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j Pinang_Januari 22" sheetId="2" r:id="rId1"/>
    <sheet name="ALL" sheetId="89" r:id="rId2"/>
    <sheet name="402768" sheetId="58" r:id="rId3"/>
    <sheet name="402912" sheetId="59" r:id="rId4"/>
    <sheet name="402927" sheetId="60" r:id="rId5"/>
    <sheet name="402932" sheetId="61" r:id="rId6"/>
    <sheet name="402942" sheetId="62" r:id="rId7"/>
    <sheet name="403477" sheetId="63" r:id="rId8"/>
    <sheet name="403355" sheetId="64" r:id="rId9"/>
    <sheet name="403369" sheetId="65" r:id="rId10"/>
  </sheets>
  <definedNames>
    <definedName name="_xlnm.Print_Titles" localSheetId="2">'402768'!$2:$2</definedName>
    <definedName name="_xlnm.Print_Titles" localSheetId="3">'402912'!$2:$2</definedName>
    <definedName name="_xlnm.Print_Titles" localSheetId="4">'402927'!$2:$2</definedName>
    <definedName name="_xlnm.Print_Titles" localSheetId="5">'402932'!$2:$2</definedName>
    <definedName name="_xlnm.Print_Titles" localSheetId="6">'402942'!$2:$2</definedName>
    <definedName name="_xlnm.Print_Titles" localSheetId="8">'403355'!$2:$2</definedName>
    <definedName name="_xlnm.Print_Titles" localSheetId="9">'403369'!$2:$2</definedName>
    <definedName name="_xlnm.Print_Titles" localSheetId="7">'403477'!$2:$2</definedName>
    <definedName name="_xlnm.Print_Titles" localSheetId="1">ALL!$2:$2</definedName>
    <definedName name="_xlnm.Print_Titles" localSheetId="0">'Sicepat_Tj Pinang_Januari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" i="89" l="1"/>
  <c r="P44" i="89"/>
  <c r="P43" i="89"/>
  <c r="O42" i="89"/>
  <c r="N42" i="89"/>
  <c r="M9" i="58"/>
  <c r="N9" i="58"/>
  <c r="P6" i="65" l="1"/>
  <c r="P6" i="64"/>
  <c r="P6" i="63"/>
  <c r="P18" i="62"/>
  <c r="P7" i="61"/>
  <c r="P5" i="60"/>
  <c r="P13" i="59"/>
  <c r="P10" i="58"/>
  <c r="B25" i="2"/>
  <c r="C25" i="2"/>
  <c r="B24" i="2"/>
  <c r="C24" i="2"/>
  <c r="B23" i="2"/>
  <c r="C23" i="2"/>
  <c r="G22" i="2"/>
  <c r="B22" i="2"/>
  <c r="C22" i="2"/>
  <c r="B21" i="2"/>
  <c r="C21" i="2"/>
  <c r="B20" i="2"/>
  <c r="C20" i="2"/>
  <c r="G19" i="2"/>
  <c r="B19" i="2"/>
  <c r="C19" i="2"/>
  <c r="G18" i="2"/>
  <c r="C18" i="2"/>
  <c r="B18" i="2"/>
  <c r="M42" i="89"/>
  <c r="Q42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7" i="89"/>
  <c r="P6" i="89"/>
  <c r="P5" i="89"/>
  <c r="P4" i="89"/>
  <c r="P3" i="89"/>
  <c r="P41" i="89"/>
  <c r="P8" i="89" l="1"/>
  <c r="P46" i="89" l="1"/>
  <c r="N5" i="65"/>
  <c r="M5" i="65"/>
  <c r="P4" i="65"/>
  <c r="P3" i="65"/>
  <c r="N5" i="64"/>
  <c r="M5" i="64"/>
  <c r="P4" i="64"/>
  <c r="P3" i="64"/>
  <c r="N5" i="63"/>
  <c r="M5" i="63"/>
  <c r="P4" i="63"/>
  <c r="P3" i="63"/>
  <c r="N17" i="62"/>
  <c r="M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N6" i="61"/>
  <c r="M6" i="61"/>
  <c r="P5" i="61"/>
  <c r="P4" i="61"/>
  <c r="P3" i="61"/>
  <c r="N4" i="60"/>
  <c r="M4" i="60"/>
  <c r="P3" i="60"/>
  <c r="N12" i="59"/>
  <c r="M12" i="59"/>
  <c r="P11" i="59"/>
  <c r="P10" i="59"/>
  <c r="P9" i="59"/>
  <c r="P8" i="59"/>
  <c r="P7" i="59"/>
  <c r="P6" i="59"/>
  <c r="P5" i="59"/>
  <c r="P4" i="59"/>
  <c r="P3" i="59"/>
  <c r="P8" i="58"/>
  <c r="P7" i="58"/>
  <c r="P6" i="58"/>
  <c r="P5" i="58"/>
  <c r="P4" i="58"/>
  <c r="P3" i="58"/>
  <c r="P45" i="89" l="1"/>
  <c r="O9" i="58"/>
  <c r="P11" i="58" s="1"/>
  <c r="P12" i="58" s="1"/>
  <c r="O12" i="59"/>
  <c r="P14" i="59" s="1"/>
  <c r="P16" i="59" s="1"/>
  <c r="O4" i="60"/>
  <c r="P6" i="60" s="1"/>
  <c r="P8" i="60" s="1"/>
  <c r="O6" i="61"/>
  <c r="P8" i="61" s="1"/>
  <c r="P10" i="61" s="1"/>
  <c r="O17" i="62"/>
  <c r="P19" i="62" s="1"/>
  <c r="P20" i="62" s="1"/>
  <c r="O5" i="63"/>
  <c r="P7" i="63" s="1"/>
  <c r="P9" i="63" s="1"/>
  <c r="O5" i="64"/>
  <c r="P7" i="64" s="1"/>
  <c r="P9" i="64" s="1"/>
  <c r="O5" i="65"/>
  <c r="P7" i="65" s="1"/>
  <c r="P9" i="65" s="1"/>
  <c r="P21" i="62"/>
  <c r="P13" i="58"/>
  <c r="P8" i="63" l="1"/>
  <c r="P15" i="59"/>
  <c r="P8" i="65"/>
  <c r="P10" i="65" s="1"/>
  <c r="P8" i="64"/>
  <c r="P10" i="64" s="1"/>
  <c r="P9" i="61"/>
  <c r="P11" i="61" s="1"/>
  <c r="P7" i="60"/>
  <c r="P9" i="60" s="1"/>
  <c r="P14" i="58"/>
  <c r="P22" i="62"/>
  <c r="P17" i="59"/>
  <c r="P10" i="63"/>
  <c r="I31" i="2"/>
  <c r="I30" i="2"/>
  <c r="I32" i="2" s="1"/>
  <c r="J25" i="2" l="1"/>
  <c r="J24" i="2" l="1"/>
  <c r="L26" i="2" l="1"/>
  <c r="A19" i="2"/>
  <c r="A20" i="2" s="1"/>
  <c r="A21" i="2" s="1"/>
  <c r="A22" i="2" s="1"/>
  <c r="A23" i="2" s="1"/>
  <c r="A24" i="2" s="1"/>
  <c r="A25" i="2" s="1"/>
  <c r="J23" i="2"/>
  <c r="J21" i="2"/>
  <c r="J22" i="2"/>
  <c r="J20" i="2"/>
  <c r="J19" i="2"/>
  <c r="I43" i="2" l="1"/>
  <c r="J18" i="2"/>
  <c r="J26" i="2" s="1"/>
  <c r="J28" i="2" s="1"/>
  <c r="J29" i="2" l="1"/>
  <c r="J31" i="2" l="1"/>
  <c r="J30" i="2"/>
  <c r="J32" i="2" l="1"/>
</calcChain>
</file>

<file path=xl/sharedStrings.xml><?xml version="1.0" encoding="utf-8"?>
<sst xmlns="http://schemas.openxmlformats.org/spreadsheetml/2006/main" count="612" uniqueCount="117">
  <si>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</si>
  <si>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</si>
  <si>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</si>
  <si>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</si>
  <si>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</si>
  <si>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</si>
  <si>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</si>
  <si>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</si>
  <si>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</si>
  <si>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</si>
  <si>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</si>
  <si>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</si>
  <si>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</si>
  <si>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</si>
  <si>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</si>
  <si>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</si>
  <si>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</si>
  <si>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</si>
  <si>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</si>
  <si>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</si>
  <si>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</si>
  <si>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</si>
  <si>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</si>
  <si>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</si>
  <si>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</si>
  <si>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</si>
  <si>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</si>
  <si>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</si>
  <si>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</si>
  <si>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</si>
  <si>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</si>
  <si>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</si>
  <si>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</si>
  <si>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</si>
  <si>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</si>
  <si>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</si>
  <si>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</si>
  <si>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</si>
  <si>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</si>
  <si>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</si>
  <si>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</si>
  <si>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</si>
  <si>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</si>
  <si>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</si>
  <si>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</si>
  <si>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</si>
  <si>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</si>
  <si>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</si>
  <si>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</si>
  <si>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</si>
  <si>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</si>
  <si>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</si>
  <si>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</si>
  <si>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</si>
  <si>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</si>
  <si>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</si>
  <si>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DMD/2201/01/STVJ2105  </t>
  </si>
  <si>
    <t>GSK211231RIN082</t>
  </si>
  <si>
    <t>GSK211231BUM843</t>
  </si>
  <si>
    <t>GSK220101SBL503</t>
  </si>
  <si>
    <t>GSK220101XVS368</t>
  </si>
  <si>
    <t>GSK220101IJN947</t>
  </si>
  <si>
    <t>GSK211231DRV568</t>
  </si>
  <si>
    <t>KM SEMBILANG</t>
  </si>
  <si>
    <t>01/07/2022 AGUS</t>
  </si>
  <si>
    <t>DMD/2201/07/RIPN1985</t>
  </si>
  <si>
    <t>GSK220107UDI270</t>
  </si>
  <si>
    <t>GSK220107IRV170</t>
  </si>
  <si>
    <t>GSK220107ZDH218</t>
  </si>
  <si>
    <t>GSK220107LSW673</t>
  </si>
  <si>
    <t>GSK220107MST346</t>
  </si>
  <si>
    <t>GSK220107SQZ395</t>
  </si>
  <si>
    <t>GSK220107CNA320</t>
  </si>
  <si>
    <t>GSK220107QBJ472</t>
  </si>
  <si>
    <t>GSK220107JIP372</t>
  </si>
  <si>
    <t>01/17/2022 AGUS</t>
  </si>
  <si>
    <t>DMD/2201/11/GUOF8195</t>
  </si>
  <si>
    <t>GSK220111WBI143</t>
  </si>
  <si>
    <t>01/24/2022 AGUS</t>
  </si>
  <si>
    <t>DMD/2201/13/GZOR6931</t>
  </si>
  <si>
    <t>GSK220111OFR370</t>
  </si>
  <si>
    <t>GSK220113RMT085</t>
  </si>
  <si>
    <t>GSK220113BVQ965</t>
  </si>
  <si>
    <t>DMD/2201/16/ZTKE6094</t>
  </si>
  <si>
    <t>GSK220116QMR290</t>
  </si>
  <si>
    <t>GSK220116UOM308</t>
  </si>
  <si>
    <t>GSK220116DZQ016</t>
  </si>
  <si>
    <t>GSK220116AXF391</t>
  </si>
  <si>
    <t>GSK220116ZRV875</t>
  </si>
  <si>
    <t>GSK220116RZG681</t>
  </si>
  <si>
    <t>GSK220116SCH568</t>
  </si>
  <si>
    <t>GSK220116QHB105</t>
  </si>
  <si>
    <t>GSK220116ZWC294</t>
  </si>
  <si>
    <t>GSK220116XUI573</t>
  </si>
  <si>
    <t>GSK220116UTV394</t>
  </si>
  <si>
    <t>GSK220116DFE384</t>
  </si>
  <si>
    <t>GSK220116ARG504</t>
  </si>
  <si>
    <t>GSK220116LMK203</t>
  </si>
  <si>
    <t>DMD/2201/22/XIWC3840</t>
  </si>
  <si>
    <t>GSK220117ODR214</t>
  </si>
  <si>
    <t>GSK220122OHS217</t>
  </si>
  <si>
    <t>01/31/2022 AGUS</t>
  </si>
  <si>
    <t>DMD/2201/24/ACEY9571</t>
  </si>
  <si>
    <t>GSK220117QJH840</t>
  </si>
  <si>
    <t>GSK220117YGF201</t>
  </si>
  <si>
    <t>DMD/2201/30/YFLR0849</t>
  </si>
  <si>
    <t>GSK220130HCK391</t>
  </si>
  <si>
    <t>GSK220130YQZ917</t>
  </si>
  <si>
    <t>KM SATRIA PRATAMA</t>
  </si>
  <si>
    <t>02/08/2022 UMAY</t>
  </si>
  <si>
    <t xml:space="preserve"> 01 Maret 2022</t>
  </si>
  <si>
    <t xml:space="preserve"> JANUARI 2022</t>
  </si>
  <si>
    <t xml:space="preserve"> TANJUNG PINANG</t>
  </si>
  <si>
    <t>DMP TNJ                  (TJ. PINANG)</t>
  </si>
  <si>
    <t>PENGIRIMAN BARANG TUJUAN TANJUNG PINANG</t>
  </si>
  <si>
    <t>TANJUNG PINANG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</si>
  <si>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Emam Juta Tiga Ratus Enam Puluh Ribu Seratus Lima Puluh Sembilan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</si>
</sst>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7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vertical="center"/>
    </xf>
    <xf numFmtId="167" fontId="5" fillId="0" borderId="28" xfId="1" applyNumberFormat="1" applyFont="1" applyBorder="1" applyAlignment="1">
      <alignment vertical="center"/>
    </xf>
    <xf numFmtId="0" fontId="4" fillId="2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6" fontId="3" fillId="2" borderId="10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2" fillId="0" borderId="1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7" fontId="5" fillId="0" borderId="26" xfId="1" applyNumberFormat="1" applyFont="1" applyBorder="1" applyAlignment="1">
      <alignment horizontal="center" vertical="center"/>
    </xf>
    <xf numFmtId="167" fontId="5" fillId="0" borderId="27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43</xdr:row>
      <xdr:rowOff>1304</xdr:rowOff>
    </xdr:from>
    <xdr:to>
      <xdr:col>16</xdr:col>
      <xdr:colOff>514350</xdr:colOff>
      <xdr:row>49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342" displayName="Table224578910112342" ref="C2:N8" totalsRowShown="0" headerRowDxfId="153" dataDxfId="151" headerRowBorderDxfId="152">
  <tableColumns count="12">
    <tableColumn id="1" name="NOMOR" dataDxfId="150" dataCellStyle="Normal"/>
    <tableColumn id="3" name="TUJUAN" dataDxfId="149" dataCellStyle="Normal"/>
    <tableColumn id="16" name="Pick Up" dataDxfId="148"/>
    <tableColumn id="14" name="KAPAL" dataDxfId="147"/>
    <tableColumn id="15" name="ETD Kapal" dataDxfId="146"/>
    <tableColumn id="10" name="KETERANGAN" dataDxfId="145" dataCellStyle="Normal"/>
    <tableColumn id="5" name="P" dataDxfId="144" dataCellStyle="Normal"/>
    <tableColumn id="6" name="L" dataDxfId="143" dataCellStyle="Normal"/>
    <tableColumn id="7" name="T" dataDxfId="142" dataCellStyle="Normal"/>
    <tableColumn id="4" name="ACT KG" dataDxfId="141" dataCellStyle="Normal"/>
    <tableColumn id="8" name="KG VOLUME" dataDxfId="140" dataCellStyle="Normal"/>
    <tableColumn id="19" name="PEMBULATAN" dataDxfId="13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8" totalsRowShown="0" headerRowDxfId="135" dataDxfId="133" headerRowBorderDxfId="134">
  <tableColumns count="12">
    <tableColumn id="1" name="NOMOR" dataDxfId="132" dataCellStyle="Normal"/>
    <tableColumn id="3" name="TUJUAN" dataDxfId="131" dataCellStyle="Normal"/>
    <tableColumn id="16" name="Pick Up" dataDxfId="130"/>
    <tableColumn id="14" name="KAPAL" dataDxfId="129"/>
    <tableColumn id="15" name="ETD Kapal" dataDxfId="128"/>
    <tableColumn id="10" name="KETERANGAN" dataDxfId="127" dataCellStyle="Normal"/>
    <tableColumn id="5" name="P" dataDxfId="126" dataCellStyle="Normal"/>
    <tableColumn id="6" name="L" dataDxfId="125" dataCellStyle="Normal"/>
    <tableColumn id="7" name="T" dataDxfId="124" dataCellStyle="Normal"/>
    <tableColumn id="4" name="ACT KG" dataDxfId="123" dataCellStyle="Normal"/>
    <tableColumn id="8" name="KG VOLUME" dataDxfId="122" dataCellStyle="Normal"/>
    <tableColumn id="19" name="PEMBULATAN" dataDxfId="12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11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3" totalsRowShown="0" headerRowDxfId="101" dataDxfId="99" headerRowBorderDxfId="100">
  <tableColumns count="12">
    <tableColumn id="1" name="NOMOR" dataDxfId="98" dataCellStyle="Normal"/>
    <tableColumn id="3" name="TUJUAN" dataDxfId="97" dataCellStyle="Normal"/>
    <tableColumn id="16" name="Pick Up" dataDxfId="96"/>
    <tableColumn id="14" name="KAPAL" dataDxfId="95"/>
    <tableColumn id="15" name="ETD Kapal" dataDxfId="94"/>
    <tableColumn id="10" name="KETERANGAN" dataDxfId="93" dataCellStyle="Normal"/>
    <tableColumn id="5" name="P" dataDxfId="92" dataCellStyle="Normal"/>
    <tableColumn id="6" name="L" dataDxfId="91" dataCellStyle="Normal"/>
    <tableColumn id="7" name="T" dataDxfId="90" dataCellStyle="Normal"/>
    <tableColumn id="4" name="ACT KG" dataDxfId="89" dataCellStyle="Normal"/>
    <tableColumn id="8" name="KG VOLUME" dataDxfId="88" dataCellStyle="Normal"/>
    <tableColumn id="19" name="PEMBULATAN" dataDxfId="8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5" totalsRowShown="0" headerRowDxfId="83" dataDxfId="81" headerRowBorderDxfId="82">
  <tableColumns count="12">
    <tableColumn id="1" name="NOMOR" dataDxfId="80" dataCellStyle="Normal"/>
    <tableColumn id="3" name="TUJUAN" dataDxfId="79" dataCellStyle="Normal"/>
    <tableColumn id="16" name="Pick Up" dataDxfId="78"/>
    <tableColumn id="14" name="KAPAL" dataDxfId="77"/>
    <tableColumn id="15" name="ETD Kapal" dataDxfId="76"/>
    <tableColumn id="10" name="KETERANGAN" dataDxfId="75" dataCellStyle="Normal"/>
    <tableColumn id="5" name="P" dataDxfId="74" dataCellStyle="Normal"/>
    <tableColumn id="6" name="L" dataDxfId="73" dataCellStyle="Normal"/>
    <tableColumn id="7" name="T" dataDxfId="72" dataCellStyle="Normal"/>
    <tableColumn id="4" name="ACT KG" dataDxfId="71" dataCellStyle="Normal"/>
    <tableColumn id="8" name="KG VOLUME" dataDxfId="70" dataCellStyle="Normal"/>
    <tableColumn id="19" name="PEMBULATAN" dataDxfId="69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16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58"/>
    <tableColumn id="10" name="KETERANGAN" dataDxfId="57" dataCellStyle="Normal"/>
    <tableColumn id="5" name="P" dataDxfId="56" dataCellStyle="Normal"/>
    <tableColumn id="6" name="L" dataDxfId="55" dataCellStyle="Normal"/>
    <tableColumn id="7" name="T" dataDxfId="54" dataCellStyle="Normal"/>
    <tableColumn id="4" name="ACT KG" dataDxfId="53" dataCellStyle="Normal"/>
    <tableColumn id="8" name="KG VOLUME" dataDxfId="52" dataCellStyle="Normal"/>
    <tableColumn id="19" name="PEMBULATAN" dataDxfId="5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4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4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0"/>
  <sheetViews>
    <sheetView tabSelected="1" topLeftCell="A23" workbookViewId="0">
      <selection activeCell="L39" sqref="L39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45" t="s">
        <v>14</v>
      </c>
      <c r="B10" s="146"/>
      <c r="C10" s="146"/>
      <c r="D10" s="146"/>
      <c r="E10" s="146"/>
      <c r="F10" s="146"/>
      <c r="G10" s="146"/>
      <c r="H10" s="146"/>
      <c r="I10" s="146"/>
      <c r="J10" s="147"/>
    </row>
    <row r="12" spans="1:10" x14ac:dyDescent="0.25">
      <c r="A12" s="17" t="s">
        <v>15</v>
      </c>
      <c r="B12" s="17" t="s">
        <v>16</v>
      </c>
      <c r="G12" s="159" t="s">
        <v>49</v>
      </c>
      <c r="H12" s="159"/>
      <c r="I12" s="22" t="s">
        <v>17</v>
      </c>
      <c r="J12" s="23"/>
    </row>
    <row r="13" spans="1:10" x14ac:dyDescent="0.25">
      <c r="G13" s="159" t="s">
        <v>18</v>
      </c>
      <c r="H13" s="159"/>
      <c r="I13" s="22" t="s">
        <v>17</v>
      </c>
      <c r="J13" s="24" t="s">
        <v>110</v>
      </c>
    </row>
    <row r="14" spans="1:10" x14ac:dyDescent="0.25">
      <c r="G14" s="159" t="s">
        <v>50</v>
      </c>
      <c r="H14" s="159"/>
      <c r="I14" s="22" t="s">
        <v>17</v>
      </c>
      <c r="J14" s="17" t="s">
        <v>112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111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48" t="s">
        <v>28</v>
      </c>
      <c r="I17" s="149"/>
      <c r="J17" s="28" t="s">
        <v>29</v>
      </c>
    </row>
    <row r="18" spans="1:12" ht="48" customHeight="1" x14ac:dyDescent="0.25">
      <c r="A18" s="29">
        <v>1</v>
      </c>
      <c r="B18" s="30">
        <f>'402768'!E3</f>
        <v>44562</v>
      </c>
      <c r="C18" s="80">
        <f>'402768'!A3</f>
        <v>402768</v>
      </c>
      <c r="D18" s="31" t="s">
        <v>114</v>
      </c>
      <c r="E18" s="31" t="s">
        <v>115</v>
      </c>
      <c r="F18" s="32">
        <v>6</v>
      </c>
      <c r="G18" s="143">
        <f>'402768'!N9</f>
        <v>246.83399999999997</v>
      </c>
      <c r="H18" s="150">
        <v>7000</v>
      </c>
      <c r="I18" s="151"/>
      <c r="J18" s="33">
        <f>G18*H18</f>
        <v>1727837.9999999998</v>
      </c>
      <c r="L18"/>
    </row>
    <row r="19" spans="1:12" ht="48" customHeight="1" x14ac:dyDescent="0.25">
      <c r="A19" s="29">
        <f>A18+1</f>
        <v>2</v>
      </c>
      <c r="B19" s="30">
        <f>'402912'!E3</f>
        <v>44568</v>
      </c>
      <c r="C19" s="80">
        <f>'402912'!A3</f>
        <v>402912</v>
      </c>
      <c r="D19" s="31" t="s">
        <v>114</v>
      </c>
      <c r="E19" s="31" t="s">
        <v>115</v>
      </c>
      <c r="F19" s="32">
        <v>9</v>
      </c>
      <c r="G19" s="144">
        <f>'402912'!N12</f>
        <v>100.91250000000001</v>
      </c>
      <c r="H19" s="150">
        <v>7000</v>
      </c>
      <c r="I19" s="151"/>
      <c r="J19" s="33">
        <f t="shared" ref="J19:J25" si="0">G19*H19</f>
        <v>706387.50000000012</v>
      </c>
      <c r="L19"/>
    </row>
    <row r="20" spans="1:12" ht="48" customHeight="1" x14ac:dyDescent="0.25">
      <c r="A20" s="29">
        <f t="shared" ref="A20:A25" si="1">A19+1</f>
        <v>3</v>
      </c>
      <c r="B20" s="30">
        <f>Table2245789101123456[Pick Up]</f>
        <v>44572</v>
      </c>
      <c r="C20" s="80">
        <f>'402927'!A3</f>
        <v>402927</v>
      </c>
      <c r="D20" s="31" t="s">
        <v>114</v>
      </c>
      <c r="E20" s="31" t="s">
        <v>115</v>
      </c>
      <c r="F20" s="32">
        <v>1</v>
      </c>
      <c r="G20" s="144">
        <v>100</v>
      </c>
      <c r="H20" s="150">
        <v>7000</v>
      </c>
      <c r="I20" s="151"/>
      <c r="J20" s="33">
        <f t="shared" si="0"/>
        <v>700000</v>
      </c>
      <c r="L20"/>
    </row>
    <row r="21" spans="1:12" ht="48" customHeight="1" x14ac:dyDescent="0.25">
      <c r="A21" s="29">
        <f t="shared" si="1"/>
        <v>4</v>
      </c>
      <c r="B21" s="30">
        <f>'402932'!E3</f>
        <v>44574</v>
      </c>
      <c r="C21" s="80">
        <f>'402932'!A3</f>
        <v>402932</v>
      </c>
      <c r="D21" s="31" t="s">
        <v>114</v>
      </c>
      <c r="E21" s="31" t="s">
        <v>115</v>
      </c>
      <c r="F21" s="32">
        <v>3</v>
      </c>
      <c r="G21" s="144">
        <v>100</v>
      </c>
      <c r="H21" s="150">
        <v>7000</v>
      </c>
      <c r="I21" s="151"/>
      <c r="J21" s="33">
        <f>G21*H21</f>
        <v>700000</v>
      </c>
      <c r="L21"/>
    </row>
    <row r="22" spans="1:12" ht="48" customHeight="1" x14ac:dyDescent="0.25">
      <c r="A22" s="29">
        <f t="shared" si="1"/>
        <v>5</v>
      </c>
      <c r="B22" s="30">
        <f>'402942'!E3</f>
        <v>44577</v>
      </c>
      <c r="C22" s="80">
        <f>'402942'!A3</f>
        <v>402942</v>
      </c>
      <c r="D22" s="31" t="s">
        <v>114</v>
      </c>
      <c r="E22" s="31" t="s">
        <v>115</v>
      </c>
      <c r="F22" s="32">
        <v>14</v>
      </c>
      <c r="G22" s="144">
        <f>'402942'!N17</f>
        <v>172</v>
      </c>
      <c r="H22" s="150">
        <v>7000</v>
      </c>
      <c r="I22" s="151"/>
      <c r="J22" s="33">
        <f>G22*H22</f>
        <v>1204000</v>
      </c>
      <c r="L22"/>
    </row>
    <row r="23" spans="1:12" ht="48" customHeight="1" x14ac:dyDescent="0.25">
      <c r="A23" s="29">
        <f t="shared" si="1"/>
        <v>6</v>
      </c>
      <c r="B23" s="30">
        <f>'403477'!E3</f>
        <v>44583</v>
      </c>
      <c r="C23" s="80">
        <f>'403477'!A3</f>
        <v>403477</v>
      </c>
      <c r="D23" s="31" t="s">
        <v>114</v>
      </c>
      <c r="E23" s="31" t="s">
        <v>115</v>
      </c>
      <c r="F23" s="32">
        <v>2</v>
      </c>
      <c r="G23" s="144">
        <v>100</v>
      </c>
      <c r="H23" s="150">
        <v>7000</v>
      </c>
      <c r="I23" s="151"/>
      <c r="J23" s="33">
        <f>G23*H23</f>
        <v>700000</v>
      </c>
      <c r="L23"/>
    </row>
    <row r="24" spans="1:12" ht="48" customHeight="1" x14ac:dyDescent="0.25">
      <c r="A24" s="29">
        <f t="shared" si="1"/>
        <v>7</v>
      </c>
      <c r="B24" s="30">
        <f>'403355'!E3</f>
        <v>44585</v>
      </c>
      <c r="C24" s="80">
        <f>'403355'!A3</f>
        <v>403355</v>
      </c>
      <c r="D24" s="31" t="s">
        <v>114</v>
      </c>
      <c r="E24" s="31" t="s">
        <v>115</v>
      </c>
      <c r="F24" s="32">
        <v>2</v>
      </c>
      <c r="G24" s="144">
        <v>100</v>
      </c>
      <c r="H24" s="150">
        <v>7000</v>
      </c>
      <c r="I24" s="151"/>
      <c r="J24" s="33">
        <f t="shared" si="0"/>
        <v>700000</v>
      </c>
      <c r="L24"/>
    </row>
    <row r="25" spans="1:12" ht="48" customHeight="1" x14ac:dyDescent="0.25">
      <c r="A25" s="29">
        <f t="shared" si="1"/>
        <v>8</v>
      </c>
      <c r="B25" s="30">
        <f>'403369'!E3</f>
        <v>44591</v>
      </c>
      <c r="C25" s="80">
        <f>'403369'!A3</f>
        <v>403369</v>
      </c>
      <c r="D25" s="31" t="s">
        <v>114</v>
      </c>
      <c r="E25" s="31" t="s">
        <v>115</v>
      </c>
      <c r="F25" s="32">
        <v>2</v>
      </c>
      <c r="G25" s="144">
        <v>100</v>
      </c>
      <c r="H25" s="150">
        <v>7000</v>
      </c>
      <c r="I25" s="151"/>
      <c r="J25" s="33">
        <f t="shared" si="0"/>
        <v>700000</v>
      </c>
      <c r="L25"/>
    </row>
    <row r="26" spans="1:12" ht="32.25" customHeight="1" thickBot="1" x14ac:dyDescent="0.3">
      <c r="A26" s="152" t="s">
        <v>30</v>
      </c>
      <c r="B26" s="153"/>
      <c r="C26" s="153"/>
      <c r="D26" s="153"/>
      <c r="E26" s="153"/>
      <c r="F26" s="153"/>
      <c r="G26" s="153"/>
      <c r="H26" s="153"/>
      <c r="I26" s="154"/>
      <c r="J26" s="34">
        <f>SUM(J18:J25)</f>
        <v>7138225.5</v>
      </c>
      <c r="L26" s="78" t="e">
        <f>#REF!+#REF!+#REF!+#REF!+#REF!+#REF!+#REF!+#REF!+#REF!+#REF!+#REF!+#REF!+#REF!+#REF!+#REF!+#REF!+#REF!+#REF!+#REF!+#REF!+#REF!+#REF!+#REF!+#REF!+#REF!+#REF!+#REF!+#REF!+#REF!+#REF!</f>
        <v>#REF!</v>
      </c>
    </row>
    <row r="27" spans="1:12" x14ac:dyDescent="0.25">
      <c r="A27" s="155"/>
      <c r="B27" s="155"/>
      <c r="C27" s="35"/>
      <c r="D27" s="35"/>
      <c r="E27" s="35"/>
      <c r="F27" s="35"/>
      <c r="G27" s="35"/>
      <c r="H27" s="36"/>
      <c r="I27" s="36"/>
      <c r="J27" s="37"/>
    </row>
    <row r="28" spans="1:12" x14ac:dyDescent="0.25">
      <c r="A28" s="81"/>
      <c r="B28" s="81"/>
      <c r="C28" s="81"/>
      <c r="D28" s="81"/>
      <c r="E28" s="81"/>
      <c r="F28" s="81"/>
      <c r="G28" s="38" t="s">
        <v>51</v>
      </c>
      <c r="H28" s="38"/>
      <c r="I28" s="36"/>
      <c r="J28" s="37">
        <f>J26*10%</f>
        <v>713822.55</v>
      </c>
      <c r="L28" s="39"/>
    </row>
    <row r="29" spans="1:12" x14ac:dyDescent="0.25">
      <c r="A29" s="81"/>
      <c r="B29" s="81"/>
      <c r="C29" s="81"/>
      <c r="D29" s="81"/>
      <c r="E29" s="81"/>
      <c r="F29" s="81"/>
      <c r="G29" s="88" t="s">
        <v>52</v>
      </c>
      <c r="H29" s="88"/>
      <c r="I29" s="89"/>
      <c r="J29" s="91">
        <f>J26-J28</f>
        <v>6424402.9500000002</v>
      </c>
      <c r="L29" s="39"/>
    </row>
    <row r="30" spans="1:12" x14ac:dyDescent="0.25">
      <c r="A30" s="81"/>
      <c r="B30" s="81"/>
      <c r="C30" s="81"/>
      <c r="D30" s="81"/>
      <c r="E30" s="81"/>
      <c r="F30" s="81"/>
      <c r="G30" s="38" t="s">
        <v>31</v>
      </c>
      <c r="H30" s="38"/>
      <c r="I30" s="39" t="e">
        <f>#REF!*1%</f>
        <v>#REF!</v>
      </c>
      <c r="J30" s="37">
        <f>J29*1%</f>
        <v>64244.029500000004</v>
      </c>
    </row>
    <row r="31" spans="1:12" ht="16.5" thickBot="1" x14ac:dyDescent="0.3">
      <c r="A31" s="81"/>
      <c r="B31" s="81"/>
      <c r="C31" s="81"/>
      <c r="D31" s="81"/>
      <c r="E31" s="81"/>
      <c r="F31" s="81"/>
      <c r="G31" s="90" t="s">
        <v>54</v>
      </c>
      <c r="H31" s="90"/>
      <c r="I31" s="40">
        <f>I27*10%</f>
        <v>0</v>
      </c>
      <c r="J31" s="40">
        <f>J29*2%</f>
        <v>128488.05900000001</v>
      </c>
    </row>
    <row r="32" spans="1:12" x14ac:dyDescent="0.25">
      <c r="E32" s="16"/>
      <c r="F32" s="16"/>
      <c r="G32" s="41" t="s">
        <v>55</v>
      </c>
      <c r="H32" s="41"/>
      <c r="I32" s="42" t="e">
        <f>I26+I30</f>
        <v>#REF!</v>
      </c>
      <c r="J32" s="42">
        <f>J29+J30-J31</f>
        <v>6360158.9205</v>
      </c>
    </row>
    <row r="33" spans="1:10" x14ac:dyDescent="0.25">
      <c r="E33" s="16"/>
      <c r="F33" s="16"/>
      <c r="G33" s="41"/>
      <c r="H33" s="41"/>
      <c r="I33" s="42"/>
      <c r="J33" s="42"/>
    </row>
    <row r="34" spans="1:10" x14ac:dyDescent="0.25">
      <c r="A34" s="16" t="s">
        <v>116</v>
      </c>
      <c r="D34" s="16"/>
      <c r="E34" s="16"/>
      <c r="F34" s="16"/>
      <c r="G34" s="16"/>
      <c r="H34" s="41"/>
      <c r="I34" s="41"/>
      <c r="J34" s="42"/>
    </row>
    <row r="35" spans="1:10" x14ac:dyDescent="0.25">
      <c r="A35" s="43"/>
      <c r="D35" s="16"/>
      <c r="E35" s="16"/>
      <c r="F35" s="16"/>
      <c r="G35" s="16"/>
      <c r="H35" s="41"/>
      <c r="I35" s="41"/>
      <c r="J35" s="42"/>
    </row>
    <row r="36" spans="1:10" x14ac:dyDescent="0.25">
      <c r="D36" s="16"/>
      <c r="E36" s="16"/>
      <c r="F36" s="16"/>
      <c r="G36" s="16"/>
      <c r="H36" s="41"/>
      <c r="I36" s="41"/>
      <c r="J36" s="42"/>
    </row>
    <row r="37" spans="1:10" x14ac:dyDescent="0.25">
      <c r="A37" s="44" t="s">
        <v>33</v>
      </c>
    </row>
    <row r="38" spans="1:10" x14ac:dyDescent="0.25">
      <c r="A38" s="45" t="s">
        <v>34</v>
      </c>
      <c r="B38" s="46"/>
      <c r="C38" s="46"/>
      <c r="D38" s="47"/>
      <c r="E38" s="47"/>
      <c r="F38" s="47"/>
      <c r="G38" s="47"/>
    </row>
    <row r="39" spans="1:10" x14ac:dyDescent="0.25">
      <c r="A39" s="45" t="s">
        <v>35</v>
      </c>
      <c r="B39" s="46"/>
      <c r="C39" s="46"/>
      <c r="D39" s="47"/>
      <c r="E39" s="47"/>
      <c r="F39" s="47"/>
      <c r="G39" s="47"/>
    </row>
    <row r="40" spans="1:10" x14ac:dyDescent="0.25">
      <c r="A40" s="48" t="s">
        <v>36</v>
      </c>
      <c r="B40" s="49"/>
      <c r="C40" s="49"/>
      <c r="D40" s="47"/>
      <c r="E40" s="47"/>
      <c r="F40" s="47"/>
      <c r="G40" s="47"/>
    </row>
    <row r="41" spans="1:10" x14ac:dyDescent="0.25">
      <c r="A41" s="50" t="s">
        <v>8</v>
      </c>
      <c r="B41" s="51"/>
      <c r="C41" s="51"/>
      <c r="D41" s="47"/>
      <c r="E41" s="47"/>
      <c r="F41" s="47"/>
      <c r="G41" s="47"/>
    </row>
    <row r="42" spans="1:10" x14ac:dyDescent="0.25">
      <c r="A42" s="52"/>
      <c r="B42" s="52"/>
      <c r="C42" s="52"/>
    </row>
    <row r="43" spans="1:10" x14ac:dyDescent="0.25">
      <c r="H43" s="53" t="s">
        <v>37</v>
      </c>
      <c r="I43" s="156" t="str">
        <f>+J13</f>
        <v xml:space="preserve"> 01 Maret 2022</v>
      </c>
      <c r="J43" s="157"/>
    </row>
    <row r="47" spans="1:10" ht="18" customHeight="1" x14ac:dyDescent="0.25"/>
    <row r="48" spans="1:10" ht="17.25" customHeight="1" x14ac:dyDescent="0.25"/>
    <row r="50" spans="8:10" x14ac:dyDescent="0.25">
      <c r="H50" s="158" t="s">
        <v>38</v>
      </c>
      <c r="I50" s="158"/>
      <c r="J50" s="158"/>
    </row>
  </sheetData>
  <mergeCells count="17">
    <mergeCell ref="I43:J43"/>
    <mergeCell ref="H50:J50"/>
    <mergeCell ref="G14:H14"/>
    <mergeCell ref="G13:H13"/>
    <mergeCell ref="G12:H12"/>
    <mergeCell ref="A10:J10"/>
    <mergeCell ref="H17:I17"/>
    <mergeCell ref="H18:I18"/>
    <mergeCell ref="A26:I26"/>
    <mergeCell ref="A27:B27"/>
    <mergeCell ref="H19:I19"/>
    <mergeCell ref="H20:I20"/>
    <mergeCell ref="H24:I24"/>
    <mergeCell ref="H22:I22"/>
    <mergeCell ref="H21:I21"/>
    <mergeCell ref="H25:I25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1" sqref="K11"/>
    </sheetView>
  </sheetViews>
  <sheetFormatPr defaultRowHeight="15" x14ac:dyDescent="0.2"/>
  <cols>
    <col min="1" max="1" width="6.28515625" style="4" customWidth="1"/>
    <col min="2" max="2" width="18.42578125" style="2" customWidth="1"/>
    <col min="3" max="3" width="14.5703125" style="2" customWidth="1"/>
    <col min="4" max="4" width="11" style="3" customWidth="1"/>
    <col min="5" max="5" width="7.5703125" style="11" customWidth="1"/>
    <col min="6" max="6" width="11" style="3" customWidth="1"/>
    <col min="7" max="7" width="10.85546875" style="3" customWidth="1"/>
    <col min="8" max="8" width="16.28515625" style="6" customWidth="1"/>
    <col min="9" max="11" width="3.7109375" style="3" customWidth="1"/>
    <col min="12" max="12" width="4.42578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403369</v>
      </c>
      <c r="B3" s="71" t="s">
        <v>105</v>
      </c>
      <c r="C3" s="8" t="s">
        <v>106</v>
      </c>
      <c r="D3" s="73" t="s">
        <v>113</v>
      </c>
      <c r="E3" s="12">
        <v>44591</v>
      </c>
      <c r="F3" s="73" t="s">
        <v>108</v>
      </c>
      <c r="G3" s="12">
        <v>44599</v>
      </c>
      <c r="H3" s="9" t="s">
        <v>109</v>
      </c>
      <c r="I3" s="1">
        <v>34</v>
      </c>
      <c r="J3" s="1">
        <v>24</v>
      </c>
      <c r="K3" s="1">
        <v>11</v>
      </c>
      <c r="L3" s="1">
        <v>1</v>
      </c>
      <c r="M3" s="76">
        <v>2.2440000000000002</v>
      </c>
      <c r="N3" s="93">
        <v>2.2440000000000002</v>
      </c>
      <c r="O3" s="61">
        <v>7000</v>
      </c>
      <c r="P3" s="62">
        <f>Table22457891011234567891011[[#This Row],[PEMBULATAN]]*O3</f>
        <v>15708.000000000002</v>
      </c>
      <c r="Q3" s="173">
        <v>2</v>
      </c>
    </row>
    <row r="4" spans="1:17" ht="26.25" customHeight="1" x14ac:dyDescent="0.2">
      <c r="A4" s="13"/>
      <c r="B4" s="72"/>
      <c r="C4" s="8" t="s">
        <v>107</v>
      </c>
      <c r="D4" s="73" t="s">
        <v>113</v>
      </c>
      <c r="E4" s="12">
        <v>44591</v>
      </c>
      <c r="F4" s="73" t="s">
        <v>108</v>
      </c>
      <c r="G4" s="12">
        <v>44599</v>
      </c>
      <c r="H4" s="9" t="s">
        <v>109</v>
      </c>
      <c r="I4" s="1">
        <v>34</v>
      </c>
      <c r="J4" s="1">
        <v>24</v>
      </c>
      <c r="K4" s="1">
        <v>11</v>
      </c>
      <c r="L4" s="1">
        <v>5</v>
      </c>
      <c r="M4" s="76">
        <v>2.2440000000000002</v>
      </c>
      <c r="N4" s="93">
        <v>5</v>
      </c>
      <c r="O4" s="61">
        <v>7000</v>
      </c>
      <c r="P4" s="62">
        <f>Table22457891011234567891011[[#This Row],[PEMBULATAN]]*O4</f>
        <v>35000</v>
      </c>
      <c r="Q4" s="175"/>
    </row>
    <row r="5" spans="1:17" ht="22.5" customHeight="1" x14ac:dyDescent="0.2">
      <c r="A5" s="168" t="s">
        <v>30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70"/>
      <c r="M5" s="75">
        <f>SUBTOTAL(109,Table22457891011234567891011[KG VOLUME])</f>
        <v>4.4880000000000004</v>
      </c>
      <c r="N5" s="65">
        <f>SUM(N3:N4)</f>
        <v>7.2439999999999998</v>
      </c>
      <c r="O5" s="171">
        <f>SUM(P3:P4)</f>
        <v>50708</v>
      </c>
      <c r="P5" s="172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5070.8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45637.2</v>
      </c>
    </row>
    <row r="8" spans="1:17" ht="18" customHeight="1" x14ac:dyDescent="0.2">
      <c r="A8" s="10"/>
      <c r="H8" s="60"/>
      <c r="N8" s="59" t="s">
        <v>31</v>
      </c>
      <c r="P8" s="66">
        <f>P7*1%</f>
        <v>456.37199999999996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912.74399999999991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45180.828000000001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2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N48" sqref="N4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11.5703125" style="3" customWidth="1"/>
    <col min="5" max="5" width="7.5703125" style="11" customWidth="1"/>
    <col min="6" max="6" width="13.85546875" style="3" customWidth="1"/>
    <col min="7" max="7" width="10.7109375" style="3" customWidth="1"/>
    <col min="8" max="8" width="15.425781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ht="15.75" thickBot="1" x14ac:dyDescent="0.25">
      <c r="H1" s="5"/>
    </row>
    <row r="2" spans="1:17" ht="25.5" x14ac:dyDescent="0.2">
      <c r="A2" s="134" t="s">
        <v>44</v>
      </c>
      <c r="B2" s="135" t="s">
        <v>7</v>
      </c>
      <c r="C2" s="135" t="s">
        <v>0</v>
      </c>
      <c r="D2" s="135" t="s">
        <v>1</v>
      </c>
      <c r="E2" s="136" t="s">
        <v>4</v>
      </c>
      <c r="F2" s="135" t="s">
        <v>3</v>
      </c>
      <c r="G2" s="135" t="s">
        <v>5</v>
      </c>
      <c r="H2" s="136" t="s">
        <v>2</v>
      </c>
      <c r="I2" s="135" t="s">
        <v>39</v>
      </c>
      <c r="J2" s="135" t="s">
        <v>40</v>
      </c>
      <c r="K2" s="135" t="s">
        <v>41</v>
      </c>
      <c r="L2" s="135" t="s">
        <v>45</v>
      </c>
      <c r="M2" s="135" t="s">
        <v>46</v>
      </c>
      <c r="N2" s="135" t="s">
        <v>6</v>
      </c>
      <c r="O2" s="135" t="s">
        <v>47</v>
      </c>
      <c r="P2" s="135" t="s">
        <v>48</v>
      </c>
      <c r="Q2" s="137" t="s">
        <v>26</v>
      </c>
    </row>
    <row r="3" spans="1:17" ht="26.25" customHeight="1" x14ac:dyDescent="0.2">
      <c r="A3" s="138">
        <v>402768</v>
      </c>
      <c r="B3" s="71" t="s">
        <v>56</v>
      </c>
      <c r="C3" s="8" t="s">
        <v>57</v>
      </c>
      <c r="D3" s="73" t="s">
        <v>113</v>
      </c>
      <c r="E3" s="12">
        <v>44562</v>
      </c>
      <c r="F3" s="73" t="s">
        <v>63</v>
      </c>
      <c r="G3" s="12">
        <v>44569</v>
      </c>
      <c r="H3" s="9" t="s">
        <v>64</v>
      </c>
      <c r="I3" s="1">
        <v>302</v>
      </c>
      <c r="J3" s="1">
        <v>63</v>
      </c>
      <c r="K3" s="1">
        <v>12</v>
      </c>
      <c r="L3" s="1">
        <v>9</v>
      </c>
      <c r="M3" s="76">
        <v>57.078000000000003</v>
      </c>
      <c r="N3" s="93">
        <v>57.078000000000003</v>
      </c>
      <c r="O3" s="61">
        <v>7000</v>
      </c>
      <c r="P3" s="62">
        <f t="shared" ref="P3:P40" si="0">N3*O3</f>
        <v>399546</v>
      </c>
      <c r="Q3" s="160">
        <v>6</v>
      </c>
    </row>
    <row r="4" spans="1:17" ht="26.25" customHeight="1" x14ac:dyDescent="0.2">
      <c r="A4" s="139"/>
      <c r="B4" s="72"/>
      <c r="C4" s="8" t="s">
        <v>58</v>
      </c>
      <c r="D4" s="73" t="s">
        <v>113</v>
      </c>
      <c r="E4" s="12">
        <v>44562</v>
      </c>
      <c r="F4" s="73" t="s">
        <v>63</v>
      </c>
      <c r="G4" s="12">
        <v>44569</v>
      </c>
      <c r="H4" s="9" t="s">
        <v>64</v>
      </c>
      <c r="I4" s="1">
        <v>302</v>
      </c>
      <c r="J4" s="1">
        <v>63</v>
      </c>
      <c r="K4" s="1">
        <v>12</v>
      </c>
      <c r="L4" s="1">
        <v>9</v>
      </c>
      <c r="M4" s="76">
        <v>57.078000000000003</v>
      </c>
      <c r="N4" s="93">
        <v>57.078000000000003</v>
      </c>
      <c r="O4" s="61">
        <v>7000</v>
      </c>
      <c r="P4" s="62">
        <f t="shared" si="0"/>
        <v>399546</v>
      </c>
      <c r="Q4" s="161"/>
    </row>
    <row r="5" spans="1:17" ht="26.25" customHeight="1" x14ac:dyDescent="0.2">
      <c r="A5" s="139"/>
      <c r="B5" s="13"/>
      <c r="C5" s="8" t="s">
        <v>59</v>
      </c>
      <c r="D5" s="73" t="s">
        <v>113</v>
      </c>
      <c r="E5" s="12">
        <v>44562</v>
      </c>
      <c r="F5" s="73" t="s">
        <v>63</v>
      </c>
      <c r="G5" s="12">
        <v>44569</v>
      </c>
      <c r="H5" s="9" t="s">
        <v>64</v>
      </c>
      <c r="I5" s="1">
        <v>302</v>
      </c>
      <c r="J5" s="1">
        <v>63</v>
      </c>
      <c r="K5" s="1">
        <v>12</v>
      </c>
      <c r="L5" s="1">
        <v>9</v>
      </c>
      <c r="M5" s="76">
        <v>57.078000000000003</v>
      </c>
      <c r="N5" s="93">
        <v>57.078000000000003</v>
      </c>
      <c r="O5" s="61">
        <v>7000</v>
      </c>
      <c r="P5" s="62">
        <f t="shared" si="0"/>
        <v>399546</v>
      </c>
      <c r="Q5" s="161"/>
    </row>
    <row r="6" spans="1:17" ht="26.25" customHeight="1" x14ac:dyDescent="0.2">
      <c r="A6" s="139"/>
      <c r="B6" s="13"/>
      <c r="C6" s="70" t="s">
        <v>60</v>
      </c>
      <c r="D6" s="73" t="s">
        <v>113</v>
      </c>
      <c r="E6" s="12">
        <v>44562</v>
      </c>
      <c r="F6" s="73" t="s">
        <v>63</v>
      </c>
      <c r="G6" s="12">
        <v>44569</v>
      </c>
      <c r="H6" s="74" t="s">
        <v>64</v>
      </c>
      <c r="I6" s="15">
        <v>240</v>
      </c>
      <c r="J6" s="15">
        <v>60</v>
      </c>
      <c r="K6" s="15">
        <v>7</v>
      </c>
      <c r="L6" s="15">
        <v>9</v>
      </c>
      <c r="M6" s="77">
        <v>25.2</v>
      </c>
      <c r="N6" s="93">
        <v>25.2</v>
      </c>
      <c r="O6" s="61">
        <v>7000</v>
      </c>
      <c r="P6" s="62">
        <f t="shared" si="0"/>
        <v>176400</v>
      </c>
      <c r="Q6" s="161"/>
    </row>
    <row r="7" spans="1:17" ht="26.25" customHeight="1" x14ac:dyDescent="0.2">
      <c r="A7" s="139"/>
      <c r="B7" s="13"/>
      <c r="C7" s="70" t="s">
        <v>61</v>
      </c>
      <c r="D7" s="73" t="s">
        <v>113</v>
      </c>
      <c r="E7" s="12">
        <v>44562</v>
      </c>
      <c r="F7" s="73" t="s">
        <v>63</v>
      </c>
      <c r="G7" s="12">
        <v>44569</v>
      </c>
      <c r="H7" s="74" t="s">
        <v>64</v>
      </c>
      <c r="I7" s="15">
        <v>240</v>
      </c>
      <c r="J7" s="15">
        <v>60</v>
      </c>
      <c r="K7" s="15">
        <v>7</v>
      </c>
      <c r="L7" s="15">
        <v>9</v>
      </c>
      <c r="M7" s="77">
        <v>25.2</v>
      </c>
      <c r="N7" s="93">
        <v>25.2</v>
      </c>
      <c r="O7" s="61">
        <v>7000</v>
      </c>
      <c r="P7" s="62">
        <f t="shared" si="0"/>
        <v>176400</v>
      </c>
      <c r="Q7" s="161"/>
    </row>
    <row r="8" spans="1:17" ht="26.25" customHeight="1" thickBot="1" x14ac:dyDescent="0.25">
      <c r="A8" s="140"/>
      <c r="B8" s="96"/>
      <c r="C8" s="118" t="s">
        <v>62</v>
      </c>
      <c r="D8" s="99" t="s">
        <v>113</v>
      </c>
      <c r="E8" s="100">
        <v>44562</v>
      </c>
      <c r="F8" s="99" t="s">
        <v>63</v>
      </c>
      <c r="G8" s="100">
        <v>44569</v>
      </c>
      <c r="H8" s="119" t="s">
        <v>64</v>
      </c>
      <c r="I8" s="120">
        <v>240</v>
      </c>
      <c r="J8" s="120">
        <v>60</v>
      </c>
      <c r="K8" s="120">
        <v>7</v>
      </c>
      <c r="L8" s="120">
        <v>9</v>
      </c>
      <c r="M8" s="121">
        <v>25.2</v>
      </c>
      <c r="N8" s="104">
        <v>25.2</v>
      </c>
      <c r="O8" s="105">
        <v>7000</v>
      </c>
      <c r="P8" s="106">
        <f t="shared" si="0"/>
        <v>176400</v>
      </c>
      <c r="Q8" s="162"/>
    </row>
    <row r="9" spans="1:17" ht="26.25" customHeight="1" x14ac:dyDescent="0.2">
      <c r="A9" s="139">
        <v>402912</v>
      </c>
      <c r="B9" s="72" t="s">
        <v>65</v>
      </c>
      <c r="C9" s="107" t="s">
        <v>66</v>
      </c>
      <c r="D9" s="108" t="s">
        <v>113</v>
      </c>
      <c r="E9" s="109">
        <v>44568</v>
      </c>
      <c r="F9" s="108" t="s">
        <v>63</v>
      </c>
      <c r="G9" s="109">
        <v>44574</v>
      </c>
      <c r="H9" s="110" t="s">
        <v>75</v>
      </c>
      <c r="I9" s="111">
        <v>150</v>
      </c>
      <c r="J9" s="111">
        <v>65</v>
      </c>
      <c r="K9" s="111">
        <v>12</v>
      </c>
      <c r="L9" s="111">
        <v>11</v>
      </c>
      <c r="M9" s="112">
        <v>29.25</v>
      </c>
      <c r="N9" s="113">
        <v>29.25</v>
      </c>
      <c r="O9" s="114">
        <v>7000</v>
      </c>
      <c r="P9" s="115">
        <f t="shared" si="0"/>
        <v>204750</v>
      </c>
      <c r="Q9" s="161">
        <v>9</v>
      </c>
    </row>
    <row r="10" spans="1:17" ht="26.25" customHeight="1" x14ac:dyDescent="0.2">
      <c r="A10" s="139"/>
      <c r="B10" s="72"/>
      <c r="C10" s="8" t="s">
        <v>67</v>
      </c>
      <c r="D10" s="73" t="s">
        <v>113</v>
      </c>
      <c r="E10" s="12">
        <v>44568</v>
      </c>
      <c r="F10" s="73" t="s">
        <v>63</v>
      </c>
      <c r="G10" s="12">
        <v>44574</v>
      </c>
      <c r="H10" s="9" t="s">
        <v>75</v>
      </c>
      <c r="I10" s="1">
        <v>56</v>
      </c>
      <c r="J10" s="1">
        <v>47</v>
      </c>
      <c r="K10" s="1">
        <v>12</v>
      </c>
      <c r="L10" s="1">
        <v>10</v>
      </c>
      <c r="M10" s="76">
        <v>7.8959999999999999</v>
      </c>
      <c r="N10" s="93">
        <v>10</v>
      </c>
      <c r="O10" s="61">
        <v>7000</v>
      </c>
      <c r="P10" s="62">
        <f t="shared" si="0"/>
        <v>70000</v>
      </c>
      <c r="Q10" s="161"/>
    </row>
    <row r="11" spans="1:17" ht="26.25" customHeight="1" x14ac:dyDescent="0.2">
      <c r="A11" s="139"/>
      <c r="B11" s="13"/>
      <c r="C11" s="8" t="s">
        <v>68</v>
      </c>
      <c r="D11" s="73" t="s">
        <v>113</v>
      </c>
      <c r="E11" s="12">
        <v>44568</v>
      </c>
      <c r="F11" s="73" t="s">
        <v>63</v>
      </c>
      <c r="G11" s="12">
        <v>44574</v>
      </c>
      <c r="H11" s="9" t="s">
        <v>75</v>
      </c>
      <c r="I11" s="1">
        <v>56</v>
      </c>
      <c r="J11" s="1">
        <v>47</v>
      </c>
      <c r="K11" s="1">
        <v>12</v>
      </c>
      <c r="L11" s="1">
        <v>10</v>
      </c>
      <c r="M11" s="76">
        <v>7.8959999999999999</v>
      </c>
      <c r="N11" s="93">
        <v>10</v>
      </c>
      <c r="O11" s="61">
        <v>7000</v>
      </c>
      <c r="P11" s="62">
        <f t="shared" si="0"/>
        <v>70000</v>
      </c>
      <c r="Q11" s="161"/>
    </row>
    <row r="12" spans="1:17" ht="26.25" customHeight="1" x14ac:dyDescent="0.2">
      <c r="A12" s="139"/>
      <c r="B12" s="13"/>
      <c r="C12" s="70" t="s">
        <v>69</v>
      </c>
      <c r="D12" s="73" t="s">
        <v>113</v>
      </c>
      <c r="E12" s="12">
        <v>44568</v>
      </c>
      <c r="F12" s="73" t="s">
        <v>63</v>
      </c>
      <c r="G12" s="12">
        <v>44574</v>
      </c>
      <c r="H12" s="74" t="s">
        <v>75</v>
      </c>
      <c r="I12" s="15">
        <v>42</v>
      </c>
      <c r="J12" s="15">
        <v>34</v>
      </c>
      <c r="K12" s="15">
        <v>30</v>
      </c>
      <c r="L12" s="15">
        <v>9</v>
      </c>
      <c r="M12" s="77">
        <v>10.71</v>
      </c>
      <c r="N12" s="93">
        <v>10.71</v>
      </c>
      <c r="O12" s="61">
        <v>7000</v>
      </c>
      <c r="P12" s="62">
        <f t="shared" si="0"/>
        <v>74970</v>
      </c>
      <c r="Q12" s="161"/>
    </row>
    <row r="13" spans="1:17" ht="26.25" customHeight="1" x14ac:dyDescent="0.2">
      <c r="A13" s="139"/>
      <c r="B13" s="13"/>
      <c r="C13" s="70" t="s">
        <v>70</v>
      </c>
      <c r="D13" s="73" t="s">
        <v>113</v>
      </c>
      <c r="E13" s="12">
        <v>44568</v>
      </c>
      <c r="F13" s="73" t="s">
        <v>63</v>
      </c>
      <c r="G13" s="12">
        <v>44574</v>
      </c>
      <c r="H13" s="74" t="s">
        <v>75</v>
      </c>
      <c r="I13" s="15">
        <v>55</v>
      </c>
      <c r="J13" s="15">
        <v>35</v>
      </c>
      <c r="K13" s="15">
        <v>12</v>
      </c>
      <c r="L13" s="15">
        <v>10</v>
      </c>
      <c r="M13" s="77">
        <v>5.7750000000000004</v>
      </c>
      <c r="N13" s="93">
        <v>10</v>
      </c>
      <c r="O13" s="61">
        <v>7000</v>
      </c>
      <c r="P13" s="62">
        <f t="shared" si="0"/>
        <v>70000</v>
      </c>
      <c r="Q13" s="161"/>
    </row>
    <row r="14" spans="1:17" ht="26.25" customHeight="1" x14ac:dyDescent="0.2">
      <c r="A14" s="139"/>
      <c r="B14" s="13"/>
      <c r="C14" s="70" t="s">
        <v>71</v>
      </c>
      <c r="D14" s="73" t="s">
        <v>113</v>
      </c>
      <c r="E14" s="12">
        <v>44568</v>
      </c>
      <c r="F14" s="73" t="s">
        <v>63</v>
      </c>
      <c r="G14" s="12">
        <v>44574</v>
      </c>
      <c r="H14" s="74" t="s">
        <v>75</v>
      </c>
      <c r="I14" s="15">
        <v>55</v>
      </c>
      <c r="J14" s="15">
        <v>35</v>
      </c>
      <c r="K14" s="15">
        <v>12</v>
      </c>
      <c r="L14" s="15">
        <v>10</v>
      </c>
      <c r="M14" s="77">
        <v>5.7750000000000004</v>
      </c>
      <c r="N14" s="93">
        <v>10</v>
      </c>
      <c r="O14" s="61">
        <v>7000</v>
      </c>
      <c r="P14" s="62">
        <f t="shared" si="0"/>
        <v>70000</v>
      </c>
      <c r="Q14" s="161"/>
    </row>
    <row r="15" spans="1:17" ht="26.25" customHeight="1" x14ac:dyDescent="0.2">
      <c r="A15" s="139"/>
      <c r="B15" s="13"/>
      <c r="C15" s="70" t="s">
        <v>72</v>
      </c>
      <c r="D15" s="73" t="s">
        <v>113</v>
      </c>
      <c r="E15" s="12">
        <v>44568</v>
      </c>
      <c r="F15" s="73" t="s">
        <v>63</v>
      </c>
      <c r="G15" s="12">
        <v>44574</v>
      </c>
      <c r="H15" s="74" t="s">
        <v>75</v>
      </c>
      <c r="I15" s="15">
        <v>37</v>
      </c>
      <c r="J15" s="15">
        <v>35</v>
      </c>
      <c r="K15" s="15">
        <v>18</v>
      </c>
      <c r="L15" s="15">
        <v>1</v>
      </c>
      <c r="M15" s="77">
        <v>5.8274999999999997</v>
      </c>
      <c r="N15" s="93">
        <v>5.8274999999999997</v>
      </c>
      <c r="O15" s="61">
        <v>7000</v>
      </c>
      <c r="P15" s="62">
        <f t="shared" si="0"/>
        <v>40792.5</v>
      </c>
      <c r="Q15" s="161"/>
    </row>
    <row r="16" spans="1:17" ht="26.25" customHeight="1" x14ac:dyDescent="0.2">
      <c r="A16" s="139"/>
      <c r="B16" s="13"/>
      <c r="C16" s="70" t="s">
        <v>73</v>
      </c>
      <c r="D16" s="73" t="s">
        <v>113</v>
      </c>
      <c r="E16" s="12">
        <v>44568</v>
      </c>
      <c r="F16" s="73" t="s">
        <v>63</v>
      </c>
      <c r="G16" s="12">
        <v>44574</v>
      </c>
      <c r="H16" s="74" t="s">
        <v>75</v>
      </c>
      <c r="I16" s="15">
        <v>40</v>
      </c>
      <c r="J16" s="15">
        <v>25</v>
      </c>
      <c r="K16" s="15">
        <v>20</v>
      </c>
      <c r="L16" s="15">
        <v>4</v>
      </c>
      <c r="M16" s="77">
        <v>5</v>
      </c>
      <c r="N16" s="93">
        <v>5</v>
      </c>
      <c r="O16" s="61">
        <v>7000</v>
      </c>
      <c r="P16" s="62">
        <f t="shared" si="0"/>
        <v>35000</v>
      </c>
      <c r="Q16" s="161"/>
    </row>
    <row r="17" spans="1:17" ht="26.25" customHeight="1" thickBot="1" x14ac:dyDescent="0.25">
      <c r="A17" s="140"/>
      <c r="B17" s="96"/>
      <c r="C17" s="118" t="s">
        <v>74</v>
      </c>
      <c r="D17" s="99" t="s">
        <v>113</v>
      </c>
      <c r="E17" s="100">
        <v>44568</v>
      </c>
      <c r="F17" s="99" t="s">
        <v>63</v>
      </c>
      <c r="G17" s="100">
        <v>44574</v>
      </c>
      <c r="H17" s="119" t="s">
        <v>75</v>
      </c>
      <c r="I17" s="120">
        <v>75</v>
      </c>
      <c r="J17" s="120">
        <v>45</v>
      </c>
      <c r="K17" s="120">
        <v>12</v>
      </c>
      <c r="L17" s="120">
        <v>10</v>
      </c>
      <c r="M17" s="121">
        <v>10.125</v>
      </c>
      <c r="N17" s="104">
        <v>10.125</v>
      </c>
      <c r="O17" s="105">
        <v>7000</v>
      </c>
      <c r="P17" s="106">
        <f t="shared" si="0"/>
        <v>70875</v>
      </c>
      <c r="Q17" s="162"/>
    </row>
    <row r="18" spans="1:17" ht="26.25" customHeight="1" thickBot="1" x14ac:dyDescent="0.25">
      <c r="A18" s="140">
        <v>402927</v>
      </c>
      <c r="B18" s="97" t="s">
        <v>76</v>
      </c>
      <c r="C18" s="123" t="s">
        <v>77</v>
      </c>
      <c r="D18" s="124" t="s">
        <v>113</v>
      </c>
      <c r="E18" s="125">
        <v>44572</v>
      </c>
      <c r="F18" s="124" t="s">
        <v>63</v>
      </c>
      <c r="G18" s="125">
        <v>44586</v>
      </c>
      <c r="H18" s="126" t="s">
        <v>78</v>
      </c>
      <c r="I18" s="127">
        <v>40</v>
      </c>
      <c r="J18" s="127">
        <v>35</v>
      </c>
      <c r="K18" s="127">
        <v>22</v>
      </c>
      <c r="L18" s="127">
        <v>18</v>
      </c>
      <c r="M18" s="128">
        <v>7.7</v>
      </c>
      <c r="N18" s="129">
        <v>18</v>
      </c>
      <c r="O18" s="130">
        <v>7000</v>
      </c>
      <c r="P18" s="131">
        <f t="shared" si="0"/>
        <v>126000</v>
      </c>
      <c r="Q18" s="141">
        <v>1</v>
      </c>
    </row>
    <row r="19" spans="1:17" ht="26.25" customHeight="1" x14ac:dyDescent="0.2">
      <c r="A19" s="139">
        <v>402932</v>
      </c>
      <c r="B19" s="72" t="s">
        <v>79</v>
      </c>
      <c r="C19" s="107" t="s">
        <v>80</v>
      </c>
      <c r="D19" s="108" t="s">
        <v>113</v>
      </c>
      <c r="E19" s="109">
        <v>44574</v>
      </c>
      <c r="F19" s="108" t="s">
        <v>63</v>
      </c>
      <c r="G19" s="109">
        <v>44586</v>
      </c>
      <c r="H19" s="110" t="s">
        <v>78</v>
      </c>
      <c r="I19" s="111">
        <v>38</v>
      </c>
      <c r="J19" s="111">
        <v>34</v>
      </c>
      <c r="K19" s="111">
        <v>25</v>
      </c>
      <c r="L19" s="111">
        <v>18</v>
      </c>
      <c r="M19" s="112">
        <v>8.0749999999999993</v>
      </c>
      <c r="N19" s="117">
        <v>18</v>
      </c>
      <c r="O19" s="114">
        <v>7000</v>
      </c>
      <c r="P19" s="115">
        <f t="shared" si="0"/>
        <v>126000</v>
      </c>
      <c r="Q19" s="161">
        <v>3</v>
      </c>
    </row>
    <row r="20" spans="1:17" ht="26.25" customHeight="1" x14ac:dyDescent="0.2">
      <c r="A20" s="139"/>
      <c r="B20" s="72"/>
      <c r="C20" s="8" t="s">
        <v>81</v>
      </c>
      <c r="D20" s="73" t="s">
        <v>113</v>
      </c>
      <c r="E20" s="12">
        <v>44574</v>
      </c>
      <c r="F20" s="73" t="s">
        <v>63</v>
      </c>
      <c r="G20" s="12">
        <v>44586</v>
      </c>
      <c r="H20" s="9" t="s">
        <v>78</v>
      </c>
      <c r="I20" s="1">
        <v>79</v>
      </c>
      <c r="J20" s="1">
        <v>54</v>
      </c>
      <c r="K20" s="1">
        <v>28</v>
      </c>
      <c r="L20" s="1">
        <v>5</v>
      </c>
      <c r="M20" s="76">
        <v>29.861999999999998</v>
      </c>
      <c r="N20" s="93">
        <v>29.861999999999998</v>
      </c>
      <c r="O20" s="61">
        <v>7000</v>
      </c>
      <c r="P20" s="62">
        <f t="shared" si="0"/>
        <v>209034</v>
      </c>
      <c r="Q20" s="161"/>
    </row>
    <row r="21" spans="1:17" ht="26.25" customHeight="1" thickBot="1" x14ac:dyDescent="0.25">
      <c r="A21" s="140"/>
      <c r="B21" s="96"/>
      <c r="C21" s="98" t="s">
        <v>82</v>
      </c>
      <c r="D21" s="99" t="s">
        <v>113</v>
      </c>
      <c r="E21" s="100">
        <v>44574</v>
      </c>
      <c r="F21" s="99" t="s">
        <v>63</v>
      </c>
      <c r="G21" s="100">
        <v>44586</v>
      </c>
      <c r="H21" s="101" t="s">
        <v>78</v>
      </c>
      <c r="I21" s="102">
        <v>20</v>
      </c>
      <c r="J21" s="102">
        <v>20</v>
      </c>
      <c r="K21" s="102">
        <v>15</v>
      </c>
      <c r="L21" s="102">
        <v>5</v>
      </c>
      <c r="M21" s="103">
        <v>1.5</v>
      </c>
      <c r="N21" s="116">
        <v>5</v>
      </c>
      <c r="O21" s="105">
        <v>7000</v>
      </c>
      <c r="P21" s="106">
        <f t="shared" si="0"/>
        <v>35000</v>
      </c>
      <c r="Q21" s="162"/>
    </row>
    <row r="22" spans="1:17" ht="26.25" customHeight="1" x14ac:dyDescent="0.2">
      <c r="A22" s="139">
        <v>402942</v>
      </c>
      <c r="B22" s="72" t="s">
        <v>83</v>
      </c>
      <c r="C22" s="107" t="s">
        <v>84</v>
      </c>
      <c r="D22" s="108" t="s">
        <v>113</v>
      </c>
      <c r="E22" s="109">
        <v>44577</v>
      </c>
      <c r="F22" s="108" t="s">
        <v>63</v>
      </c>
      <c r="G22" s="109">
        <v>44586</v>
      </c>
      <c r="H22" s="110" t="s">
        <v>78</v>
      </c>
      <c r="I22" s="111">
        <v>50</v>
      </c>
      <c r="J22" s="111">
        <v>41</v>
      </c>
      <c r="K22" s="111">
        <v>16</v>
      </c>
      <c r="L22" s="111">
        <v>10</v>
      </c>
      <c r="M22" s="112">
        <v>8.1999999999999993</v>
      </c>
      <c r="N22" s="117">
        <v>10</v>
      </c>
      <c r="O22" s="114">
        <v>7000</v>
      </c>
      <c r="P22" s="115">
        <f t="shared" si="0"/>
        <v>70000</v>
      </c>
      <c r="Q22" s="161">
        <v>14</v>
      </c>
    </row>
    <row r="23" spans="1:17" ht="26.25" customHeight="1" x14ac:dyDescent="0.2">
      <c r="A23" s="139"/>
      <c r="B23" s="72"/>
      <c r="C23" s="8" t="s">
        <v>85</v>
      </c>
      <c r="D23" s="73" t="s">
        <v>113</v>
      </c>
      <c r="E23" s="12">
        <v>44577</v>
      </c>
      <c r="F23" s="73" t="s">
        <v>63</v>
      </c>
      <c r="G23" s="12">
        <v>44586</v>
      </c>
      <c r="H23" s="9" t="s">
        <v>78</v>
      </c>
      <c r="I23" s="1">
        <v>50</v>
      </c>
      <c r="J23" s="1">
        <v>40</v>
      </c>
      <c r="K23" s="1">
        <v>36</v>
      </c>
      <c r="L23" s="1">
        <v>9</v>
      </c>
      <c r="M23" s="76">
        <v>18</v>
      </c>
      <c r="N23" s="7">
        <v>18</v>
      </c>
      <c r="O23" s="61">
        <v>7000</v>
      </c>
      <c r="P23" s="62">
        <f t="shared" si="0"/>
        <v>126000</v>
      </c>
      <c r="Q23" s="161"/>
    </row>
    <row r="24" spans="1:17" ht="26.25" customHeight="1" x14ac:dyDescent="0.2">
      <c r="A24" s="139"/>
      <c r="B24" s="13"/>
      <c r="C24" s="8" t="s">
        <v>86</v>
      </c>
      <c r="D24" s="73" t="s">
        <v>113</v>
      </c>
      <c r="E24" s="12">
        <v>44577</v>
      </c>
      <c r="F24" s="73" t="s">
        <v>63</v>
      </c>
      <c r="G24" s="12">
        <v>44586</v>
      </c>
      <c r="H24" s="9" t="s">
        <v>78</v>
      </c>
      <c r="I24" s="1">
        <v>50</v>
      </c>
      <c r="J24" s="1">
        <v>40</v>
      </c>
      <c r="K24" s="1">
        <v>36</v>
      </c>
      <c r="L24" s="1">
        <v>9</v>
      </c>
      <c r="M24" s="76">
        <v>18</v>
      </c>
      <c r="N24" s="7">
        <v>18</v>
      </c>
      <c r="O24" s="61">
        <v>7000</v>
      </c>
      <c r="P24" s="62">
        <f t="shared" si="0"/>
        <v>126000</v>
      </c>
      <c r="Q24" s="161"/>
    </row>
    <row r="25" spans="1:17" ht="26.25" customHeight="1" x14ac:dyDescent="0.2">
      <c r="A25" s="139"/>
      <c r="B25" s="13"/>
      <c r="C25" s="70" t="s">
        <v>87</v>
      </c>
      <c r="D25" s="73" t="s">
        <v>113</v>
      </c>
      <c r="E25" s="12">
        <v>44577</v>
      </c>
      <c r="F25" s="73" t="s">
        <v>63</v>
      </c>
      <c r="G25" s="12">
        <v>44586</v>
      </c>
      <c r="H25" s="74" t="s">
        <v>78</v>
      </c>
      <c r="I25" s="15">
        <v>50</v>
      </c>
      <c r="J25" s="15">
        <v>40</v>
      </c>
      <c r="K25" s="15">
        <v>36</v>
      </c>
      <c r="L25" s="15">
        <v>9</v>
      </c>
      <c r="M25" s="77">
        <v>18</v>
      </c>
      <c r="N25" s="69">
        <v>18</v>
      </c>
      <c r="O25" s="61">
        <v>7000</v>
      </c>
      <c r="P25" s="62">
        <f t="shared" si="0"/>
        <v>126000</v>
      </c>
      <c r="Q25" s="161"/>
    </row>
    <row r="26" spans="1:17" ht="26.25" customHeight="1" x14ac:dyDescent="0.2">
      <c r="A26" s="139"/>
      <c r="B26" s="13"/>
      <c r="C26" s="70" t="s">
        <v>88</v>
      </c>
      <c r="D26" s="73" t="s">
        <v>113</v>
      </c>
      <c r="E26" s="12">
        <v>44577</v>
      </c>
      <c r="F26" s="73" t="s">
        <v>63</v>
      </c>
      <c r="G26" s="12">
        <v>44586</v>
      </c>
      <c r="H26" s="74" t="s">
        <v>78</v>
      </c>
      <c r="I26" s="15">
        <v>50</v>
      </c>
      <c r="J26" s="15">
        <v>40</v>
      </c>
      <c r="K26" s="15">
        <v>36</v>
      </c>
      <c r="L26" s="15">
        <v>9</v>
      </c>
      <c r="M26" s="77">
        <v>18</v>
      </c>
      <c r="N26" s="69">
        <v>18</v>
      </c>
      <c r="O26" s="61">
        <v>7000</v>
      </c>
      <c r="P26" s="62">
        <f t="shared" si="0"/>
        <v>126000</v>
      </c>
      <c r="Q26" s="161"/>
    </row>
    <row r="27" spans="1:17" ht="26.25" customHeight="1" x14ac:dyDescent="0.2">
      <c r="A27" s="139"/>
      <c r="B27" s="13"/>
      <c r="C27" s="70" t="s">
        <v>89</v>
      </c>
      <c r="D27" s="73" t="s">
        <v>113</v>
      </c>
      <c r="E27" s="12">
        <v>44577</v>
      </c>
      <c r="F27" s="73" t="s">
        <v>63</v>
      </c>
      <c r="G27" s="12">
        <v>44586</v>
      </c>
      <c r="H27" s="74" t="s">
        <v>78</v>
      </c>
      <c r="I27" s="15">
        <v>32</v>
      </c>
      <c r="J27" s="15">
        <v>28</v>
      </c>
      <c r="K27" s="15">
        <v>10</v>
      </c>
      <c r="L27" s="15">
        <v>10</v>
      </c>
      <c r="M27" s="77">
        <v>2.2400000000000002</v>
      </c>
      <c r="N27" s="69">
        <v>10</v>
      </c>
      <c r="O27" s="61">
        <v>7000</v>
      </c>
      <c r="P27" s="62">
        <f t="shared" si="0"/>
        <v>70000</v>
      </c>
      <c r="Q27" s="161"/>
    </row>
    <row r="28" spans="1:17" ht="26.25" customHeight="1" x14ac:dyDescent="0.2">
      <c r="A28" s="139"/>
      <c r="B28" s="13"/>
      <c r="C28" s="70" t="s">
        <v>90</v>
      </c>
      <c r="D28" s="73" t="s">
        <v>113</v>
      </c>
      <c r="E28" s="12">
        <v>44577</v>
      </c>
      <c r="F28" s="73" t="s">
        <v>63</v>
      </c>
      <c r="G28" s="12">
        <v>44586</v>
      </c>
      <c r="H28" s="74" t="s">
        <v>78</v>
      </c>
      <c r="I28" s="15">
        <v>57</v>
      </c>
      <c r="J28" s="15">
        <v>40</v>
      </c>
      <c r="K28" s="15">
        <v>12</v>
      </c>
      <c r="L28" s="15">
        <v>10</v>
      </c>
      <c r="M28" s="77">
        <v>6.84</v>
      </c>
      <c r="N28" s="69">
        <v>10</v>
      </c>
      <c r="O28" s="61">
        <v>7000</v>
      </c>
      <c r="P28" s="62">
        <f t="shared" si="0"/>
        <v>70000</v>
      </c>
      <c r="Q28" s="161"/>
    </row>
    <row r="29" spans="1:17" ht="26.25" customHeight="1" x14ac:dyDescent="0.2">
      <c r="A29" s="139"/>
      <c r="B29" s="13"/>
      <c r="C29" s="70" t="s">
        <v>91</v>
      </c>
      <c r="D29" s="73" t="s">
        <v>113</v>
      </c>
      <c r="E29" s="12">
        <v>44577</v>
      </c>
      <c r="F29" s="73" t="s">
        <v>63</v>
      </c>
      <c r="G29" s="12">
        <v>44586</v>
      </c>
      <c r="H29" s="74" t="s">
        <v>78</v>
      </c>
      <c r="I29" s="15">
        <v>57</v>
      </c>
      <c r="J29" s="15">
        <v>40</v>
      </c>
      <c r="K29" s="15">
        <v>12</v>
      </c>
      <c r="L29" s="15">
        <v>10</v>
      </c>
      <c r="M29" s="77">
        <v>6.84</v>
      </c>
      <c r="N29" s="69">
        <v>10</v>
      </c>
      <c r="O29" s="61">
        <v>7000</v>
      </c>
      <c r="P29" s="62">
        <f t="shared" si="0"/>
        <v>70000</v>
      </c>
      <c r="Q29" s="161"/>
    </row>
    <row r="30" spans="1:17" ht="26.25" customHeight="1" x14ac:dyDescent="0.2">
      <c r="A30" s="139"/>
      <c r="B30" s="13"/>
      <c r="C30" s="70" t="s">
        <v>92</v>
      </c>
      <c r="D30" s="73" t="s">
        <v>113</v>
      </c>
      <c r="E30" s="12">
        <v>44577</v>
      </c>
      <c r="F30" s="73" t="s">
        <v>63</v>
      </c>
      <c r="G30" s="12">
        <v>44586</v>
      </c>
      <c r="H30" s="74" t="s">
        <v>78</v>
      </c>
      <c r="I30" s="15">
        <v>57</v>
      </c>
      <c r="J30" s="15">
        <v>40</v>
      </c>
      <c r="K30" s="15">
        <v>12</v>
      </c>
      <c r="L30" s="15">
        <v>10</v>
      </c>
      <c r="M30" s="77">
        <v>6.84</v>
      </c>
      <c r="N30" s="69">
        <v>10</v>
      </c>
      <c r="O30" s="61">
        <v>7000</v>
      </c>
      <c r="P30" s="62">
        <f t="shared" si="0"/>
        <v>70000</v>
      </c>
      <c r="Q30" s="161"/>
    </row>
    <row r="31" spans="1:17" ht="26.25" customHeight="1" x14ac:dyDescent="0.2">
      <c r="A31" s="139"/>
      <c r="B31" s="13"/>
      <c r="C31" s="70" t="s">
        <v>93</v>
      </c>
      <c r="D31" s="73" t="s">
        <v>113</v>
      </c>
      <c r="E31" s="12">
        <v>44577</v>
      </c>
      <c r="F31" s="73" t="s">
        <v>63</v>
      </c>
      <c r="G31" s="12">
        <v>44586</v>
      </c>
      <c r="H31" s="74" t="s">
        <v>78</v>
      </c>
      <c r="I31" s="15">
        <v>57</v>
      </c>
      <c r="J31" s="15">
        <v>40</v>
      </c>
      <c r="K31" s="15">
        <v>12</v>
      </c>
      <c r="L31" s="15">
        <v>10</v>
      </c>
      <c r="M31" s="77">
        <v>6.84</v>
      </c>
      <c r="N31" s="69">
        <v>10</v>
      </c>
      <c r="O31" s="61">
        <v>7000</v>
      </c>
      <c r="P31" s="62">
        <f t="shared" si="0"/>
        <v>70000</v>
      </c>
      <c r="Q31" s="161"/>
    </row>
    <row r="32" spans="1:17" ht="26.25" customHeight="1" x14ac:dyDescent="0.2">
      <c r="A32" s="139"/>
      <c r="B32" s="13"/>
      <c r="C32" s="70" t="s">
        <v>94</v>
      </c>
      <c r="D32" s="73" t="s">
        <v>113</v>
      </c>
      <c r="E32" s="12">
        <v>44577</v>
      </c>
      <c r="F32" s="73" t="s">
        <v>63</v>
      </c>
      <c r="G32" s="12">
        <v>44586</v>
      </c>
      <c r="H32" s="74" t="s">
        <v>78</v>
      </c>
      <c r="I32" s="15">
        <v>57</v>
      </c>
      <c r="J32" s="15">
        <v>40</v>
      </c>
      <c r="K32" s="15">
        <v>12</v>
      </c>
      <c r="L32" s="15">
        <v>10</v>
      </c>
      <c r="M32" s="77">
        <v>6.84</v>
      </c>
      <c r="N32" s="69">
        <v>10</v>
      </c>
      <c r="O32" s="61">
        <v>7000</v>
      </c>
      <c r="P32" s="62">
        <f t="shared" si="0"/>
        <v>70000</v>
      </c>
      <c r="Q32" s="161"/>
    </row>
    <row r="33" spans="1:17" ht="26.25" customHeight="1" x14ac:dyDescent="0.2">
      <c r="A33" s="139"/>
      <c r="B33" s="13"/>
      <c r="C33" s="70" t="s">
        <v>95</v>
      </c>
      <c r="D33" s="73" t="s">
        <v>113</v>
      </c>
      <c r="E33" s="12">
        <v>44577</v>
      </c>
      <c r="F33" s="73" t="s">
        <v>63</v>
      </c>
      <c r="G33" s="12">
        <v>44586</v>
      </c>
      <c r="H33" s="74" t="s">
        <v>78</v>
      </c>
      <c r="I33" s="15">
        <v>57</v>
      </c>
      <c r="J33" s="15">
        <v>40</v>
      </c>
      <c r="K33" s="15">
        <v>12</v>
      </c>
      <c r="L33" s="15">
        <v>10</v>
      </c>
      <c r="M33" s="77">
        <v>6.84</v>
      </c>
      <c r="N33" s="69">
        <v>10</v>
      </c>
      <c r="O33" s="61">
        <v>7000</v>
      </c>
      <c r="P33" s="62">
        <f t="shared" si="0"/>
        <v>70000</v>
      </c>
      <c r="Q33" s="161"/>
    </row>
    <row r="34" spans="1:17" ht="26.25" customHeight="1" x14ac:dyDescent="0.2">
      <c r="A34" s="139"/>
      <c r="B34" s="13"/>
      <c r="C34" s="70" t="s">
        <v>96</v>
      </c>
      <c r="D34" s="73" t="s">
        <v>113</v>
      </c>
      <c r="E34" s="12">
        <v>44577</v>
      </c>
      <c r="F34" s="73" t="s">
        <v>63</v>
      </c>
      <c r="G34" s="12">
        <v>44586</v>
      </c>
      <c r="H34" s="74" t="s">
        <v>78</v>
      </c>
      <c r="I34" s="15">
        <v>57</v>
      </c>
      <c r="J34" s="15">
        <v>40</v>
      </c>
      <c r="K34" s="15">
        <v>12</v>
      </c>
      <c r="L34" s="15">
        <v>10</v>
      </c>
      <c r="M34" s="77">
        <v>6.84</v>
      </c>
      <c r="N34" s="69">
        <v>10</v>
      </c>
      <c r="O34" s="61">
        <v>7000</v>
      </c>
      <c r="P34" s="62">
        <f t="shared" si="0"/>
        <v>70000</v>
      </c>
      <c r="Q34" s="161"/>
    </row>
    <row r="35" spans="1:17" ht="26.25" customHeight="1" thickBot="1" x14ac:dyDescent="0.25">
      <c r="A35" s="140"/>
      <c r="B35" s="96"/>
      <c r="C35" s="118" t="s">
        <v>97</v>
      </c>
      <c r="D35" s="99" t="s">
        <v>113</v>
      </c>
      <c r="E35" s="100">
        <v>44577</v>
      </c>
      <c r="F35" s="99" t="s">
        <v>63</v>
      </c>
      <c r="G35" s="100">
        <v>44586</v>
      </c>
      <c r="H35" s="119" t="s">
        <v>78</v>
      </c>
      <c r="I35" s="120">
        <v>57</v>
      </c>
      <c r="J35" s="120">
        <v>40</v>
      </c>
      <c r="K35" s="120">
        <v>12</v>
      </c>
      <c r="L35" s="120">
        <v>10</v>
      </c>
      <c r="M35" s="121">
        <v>6.84</v>
      </c>
      <c r="N35" s="122">
        <v>10</v>
      </c>
      <c r="O35" s="105">
        <v>7000</v>
      </c>
      <c r="P35" s="106">
        <f t="shared" si="0"/>
        <v>70000</v>
      </c>
      <c r="Q35" s="162"/>
    </row>
    <row r="36" spans="1:17" ht="26.25" customHeight="1" x14ac:dyDescent="0.2">
      <c r="A36" s="139">
        <v>403477</v>
      </c>
      <c r="B36" s="72" t="s">
        <v>98</v>
      </c>
      <c r="C36" s="107" t="s">
        <v>99</v>
      </c>
      <c r="D36" s="108" t="s">
        <v>113</v>
      </c>
      <c r="E36" s="109">
        <v>44583</v>
      </c>
      <c r="F36" s="108" t="s">
        <v>63</v>
      </c>
      <c r="G36" s="109">
        <v>44594</v>
      </c>
      <c r="H36" s="110" t="s">
        <v>101</v>
      </c>
      <c r="I36" s="111">
        <v>55</v>
      </c>
      <c r="J36" s="111">
        <v>34</v>
      </c>
      <c r="K36" s="111">
        <v>12</v>
      </c>
      <c r="L36" s="111">
        <v>10</v>
      </c>
      <c r="M36" s="112">
        <v>5.61</v>
      </c>
      <c r="N36" s="117">
        <v>10</v>
      </c>
      <c r="O36" s="114">
        <v>7000</v>
      </c>
      <c r="P36" s="115">
        <f t="shared" si="0"/>
        <v>70000</v>
      </c>
      <c r="Q36" s="161">
        <v>2</v>
      </c>
    </row>
    <row r="37" spans="1:17" ht="26.25" customHeight="1" thickBot="1" x14ac:dyDescent="0.25">
      <c r="A37" s="140"/>
      <c r="B37" s="97"/>
      <c r="C37" s="98" t="s">
        <v>100</v>
      </c>
      <c r="D37" s="99" t="s">
        <v>113</v>
      </c>
      <c r="E37" s="100">
        <v>44583</v>
      </c>
      <c r="F37" s="99" t="s">
        <v>63</v>
      </c>
      <c r="G37" s="100">
        <v>44594</v>
      </c>
      <c r="H37" s="101" t="s">
        <v>101</v>
      </c>
      <c r="I37" s="102">
        <v>39</v>
      </c>
      <c r="J37" s="102">
        <v>28</v>
      </c>
      <c r="K37" s="102">
        <v>20</v>
      </c>
      <c r="L37" s="102">
        <v>18</v>
      </c>
      <c r="M37" s="103">
        <v>5.46</v>
      </c>
      <c r="N37" s="116">
        <v>18</v>
      </c>
      <c r="O37" s="105">
        <v>7000</v>
      </c>
      <c r="P37" s="106">
        <f t="shared" si="0"/>
        <v>126000</v>
      </c>
      <c r="Q37" s="162"/>
    </row>
    <row r="38" spans="1:17" ht="26.25" customHeight="1" x14ac:dyDescent="0.2">
      <c r="A38" s="139">
        <v>403355</v>
      </c>
      <c r="B38" s="72" t="s">
        <v>102</v>
      </c>
      <c r="C38" s="107" t="s">
        <v>103</v>
      </c>
      <c r="D38" s="108" t="s">
        <v>113</v>
      </c>
      <c r="E38" s="109">
        <v>44585</v>
      </c>
      <c r="F38" s="108" t="s">
        <v>63</v>
      </c>
      <c r="G38" s="109">
        <v>44594</v>
      </c>
      <c r="H38" s="110" t="s">
        <v>101</v>
      </c>
      <c r="I38" s="111">
        <v>31</v>
      </c>
      <c r="J38" s="111">
        <v>22</v>
      </c>
      <c r="K38" s="111">
        <v>18</v>
      </c>
      <c r="L38" s="111">
        <v>7</v>
      </c>
      <c r="M38" s="112">
        <v>3.069</v>
      </c>
      <c r="N38" s="117">
        <v>7</v>
      </c>
      <c r="O38" s="114">
        <v>7000</v>
      </c>
      <c r="P38" s="115">
        <f t="shared" si="0"/>
        <v>49000</v>
      </c>
      <c r="Q38" s="161">
        <v>2</v>
      </c>
    </row>
    <row r="39" spans="1:17" ht="26.25" customHeight="1" thickBot="1" x14ac:dyDescent="0.25">
      <c r="A39" s="140"/>
      <c r="B39" s="97"/>
      <c r="C39" s="98" t="s">
        <v>104</v>
      </c>
      <c r="D39" s="99" t="s">
        <v>113</v>
      </c>
      <c r="E39" s="100">
        <v>44585</v>
      </c>
      <c r="F39" s="99" t="s">
        <v>63</v>
      </c>
      <c r="G39" s="100">
        <v>44594</v>
      </c>
      <c r="H39" s="101" t="s">
        <v>101</v>
      </c>
      <c r="I39" s="102">
        <v>31</v>
      </c>
      <c r="J39" s="102">
        <v>22</v>
      </c>
      <c r="K39" s="102">
        <v>18</v>
      </c>
      <c r="L39" s="102">
        <v>7</v>
      </c>
      <c r="M39" s="103">
        <v>3.069</v>
      </c>
      <c r="N39" s="116">
        <v>7</v>
      </c>
      <c r="O39" s="105">
        <v>7000</v>
      </c>
      <c r="P39" s="106">
        <f t="shared" si="0"/>
        <v>49000</v>
      </c>
      <c r="Q39" s="162"/>
    </row>
    <row r="40" spans="1:17" ht="26.25" customHeight="1" x14ac:dyDescent="0.2">
      <c r="A40" s="139">
        <v>403369</v>
      </c>
      <c r="B40" s="72" t="s">
        <v>105</v>
      </c>
      <c r="C40" s="107" t="s">
        <v>106</v>
      </c>
      <c r="D40" s="108" t="s">
        <v>113</v>
      </c>
      <c r="E40" s="109">
        <v>44591</v>
      </c>
      <c r="F40" s="108" t="s">
        <v>108</v>
      </c>
      <c r="G40" s="109">
        <v>44599</v>
      </c>
      <c r="H40" s="110" t="s">
        <v>109</v>
      </c>
      <c r="I40" s="111">
        <v>34</v>
      </c>
      <c r="J40" s="111">
        <v>24</v>
      </c>
      <c r="K40" s="111">
        <v>11</v>
      </c>
      <c r="L40" s="111">
        <v>1</v>
      </c>
      <c r="M40" s="112">
        <v>2.2440000000000002</v>
      </c>
      <c r="N40" s="113">
        <v>2.2440000000000002</v>
      </c>
      <c r="O40" s="114">
        <v>7000</v>
      </c>
      <c r="P40" s="115">
        <f t="shared" si="0"/>
        <v>15708.000000000002</v>
      </c>
      <c r="Q40" s="161">
        <v>2</v>
      </c>
    </row>
    <row r="41" spans="1:17" ht="26.25" customHeight="1" thickBot="1" x14ac:dyDescent="0.25">
      <c r="A41" s="140"/>
      <c r="B41" s="97"/>
      <c r="C41" s="98" t="s">
        <v>107</v>
      </c>
      <c r="D41" s="99" t="s">
        <v>113</v>
      </c>
      <c r="E41" s="100">
        <v>44591</v>
      </c>
      <c r="F41" s="99" t="s">
        <v>108</v>
      </c>
      <c r="G41" s="100">
        <v>44599</v>
      </c>
      <c r="H41" s="101" t="s">
        <v>109</v>
      </c>
      <c r="I41" s="102">
        <v>34</v>
      </c>
      <c r="J41" s="102">
        <v>24</v>
      </c>
      <c r="K41" s="102">
        <v>11</v>
      </c>
      <c r="L41" s="102">
        <v>5</v>
      </c>
      <c r="M41" s="103">
        <v>2.2440000000000002</v>
      </c>
      <c r="N41" s="104">
        <v>5</v>
      </c>
      <c r="O41" s="105">
        <v>7000</v>
      </c>
      <c r="P41" s="106">
        <f>N41*O41</f>
        <v>35000</v>
      </c>
      <c r="Q41" s="162"/>
    </row>
    <row r="42" spans="1:17" ht="22.5" customHeight="1" thickBot="1" x14ac:dyDescent="0.25">
      <c r="A42" s="163" t="s">
        <v>30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5"/>
      <c r="M42" s="132">
        <f>SUM(M3:M41)</f>
        <v>541.08149999999978</v>
      </c>
      <c r="N42" s="133">
        <f>SUM(N3:N41)</f>
        <v>639.85249999999996</v>
      </c>
      <c r="O42" s="166">
        <f>SUM(P3:P41)</f>
        <v>4478967.5</v>
      </c>
      <c r="P42" s="167"/>
      <c r="Q42" s="142">
        <f>SUM(Q3:Q40)</f>
        <v>39</v>
      </c>
    </row>
    <row r="43" spans="1:17" ht="18" customHeight="1" x14ac:dyDescent="0.2">
      <c r="A43" s="82"/>
      <c r="B43" s="55" t="s">
        <v>42</v>
      </c>
      <c r="C43" s="54"/>
      <c r="D43" s="56" t="s">
        <v>43</v>
      </c>
      <c r="E43" s="82"/>
      <c r="F43" s="82"/>
      <c r="G43" s="82"/>
      <c r="H43" s="82"/>
      <c r="I43" s="82"/>
      <c r="J43" s="82"/>
      <c r="K43" s="82"/>
      <c r="L43" s="82"/>
      <c r="M43" s="83"/>
      <c r="N43" s="84" t="s">
        <v>51</v>
      </c>
      <c r="O43" s="85"/>
      <c r="P43" s="85">
        <f>O42*10%</f>
        <v>447896.75</v>
      </c>
    </row>
    <row r="44" spans="1:17" ht="18" customHeight="1" thickBot="1" x14ac:dyDescent="0.25">
      <c r="A44" s="82"/>
      <c r="B44" s="55"/>
      <c r="C44" s="54"/>
      <c r="D44" s="56"/>
      <c r="E44" s="82"/>
      <c r="F44" s="82"/>
      <c r="G44" s="82"/>
      <c r="H44" s="82"/>
      <c r="I44" s="82"/>
      <c r="J44" s="82"/>
      <c r="K44" s="82"/>
      <c r="L44" s="82"/>
      <c r="M44" s="83"/>
      <c r="N44" s="86" t="s">
        <v>52</v>
      </c>
      <c r="O44" s="87"/>
      <c r="P44" s="87">
        <f>O42-P43</f>
        <v>4031070.75</v>
      </c>
    </row>
    <row r="45" spans="1:17" ht="18" customHeight="1" x14ac:dyDescent="0.2">
      <c r="A45" s="10"/>
      <c r="H45" s="60"/>
      <c r="N45" s="59" t="s">
        <v>31</v>
      </c>
      <c r="P45" s="66">
        <f>P44*1%</f>
        <v>40310.707500000004</v>
      </c>
    </row>
    <row r="46" spans="1:17" ht="18" customHeight="1" thickBot="1" x14ac:dyDescent="0.25">
      <c r="A46" s="10"/>
      <c r="H46" s="60"/>
      <c r="N46" s="59" t="s">
        <v>53</v>
      </c>
      <c r="P46" s="68">
        <f>P44*2%</f>
        <v>80621.415000000008</v>
      </c>
    </row>
    <row r="47" spans="1:17" ht="18" customHeight="1" x14ac:dyDescent="0.2">
      <c r="A47" s="10"/>
      <c r="H47" s="60"/>
      <c r="N47" s="63" t="s">
        <v>32</v>
      </c>
      <c r="O47" s="64"/>
      <c r="P47" s="67">
        <f>P44+P45-P46</f>
        <v>3990760.0425</v>
      </c>
    </row>
    <row r="49" spans="1:16" x14ac:dyDescent="0.2">
      <c r="A49" s="10"/>
      <c r="H49" s="60"/>
      <c r="P49" s="68"/>
    </row>
    <row r="50" spans="1:16" x14ac:dyDescent="0.2">
      <c r="A50" s="10"/>
      <c r="H50" s="60"/>
      <c r="O50" s="57"/>
      <c r="P50" s="68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0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0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60"/>
      <c r="N62" s="14"/>
      <c r="O62" s="14"/>
      <c r="P62" s="14"/>
    </row>
  </sheetData>
  <mergeCells count="9">
    <mergeCell ref="Q3:Q8"/>
    <mergeCell ref="A42:L42"/>
    <mergeCell ref="O42:P42"/>
    <mergeCell ref="Q9:Q17"/>
    <mergeCell ref="Q19:Q21"/>
    <mergeCell ref="Q22:Q35"/>
    <mergeCell ref="Q36:Q37"/>
    <mergeCell ref="Q38:Q39"/>
    <mergeCell ref="Q40:Q41"/>
  </mergeCells>
  <conditionalFormatting sqref="B3">
    <cfRule type="duplicateValues" dxfId="172" priority="18"/>
  </conditionalFormatting>
  <conditionalFormatting sqref="B4">
    <cfRule type="duplicateValues" dxfId="171" priority="17"/>
  </conditionalFormatting>
  <conditionalFormatting sqref="B5:B8">
    <cfRule type="duplicateValues" dxfId="170" priority="19"/>
  </conditionalFormatting>
  <conditionalFormatting sqref="B9">
    <cfRule type="duplicateValues" dxfId="169" priority="15"/>
  </conditionalFormatting>
  <conditionalFormatting sqref="B10">
    <cfRule type="duplicateValues" dxfId="168" priority="14"/>
  </conditionalFormatting>
  <conditionalFormatting sqref="B11:B17">
    <cfRule type="duplicateValues" dxfId="167" priority="16"/>
  </conditionalFormatting>
  <conditionalFormatting sqref="B18">
    <cfRule type="duplicateValues" dxfId="166" priority="13"/>
  </conditionalFormatting>
  <conditionalFormatting sqref="B19">
    <cfRule type="duplicateValues" dxfId="165" priority="11"/>
  </conditionalFormatting>
  <conditionalFormatting sqref="B20">
    <cfRule type="duplicateValues" dxfId="164" priority="10"/>
  </conditionalFormatting>
  <conditionalFormatting sqref="B21">
    <cfRule type="duplicateValues" dxfId="163" priority="12"/>
  </conditionalFormatting>
  <conditionalFormatting sqref="B22">
    <cfRule type="duplicateValues" dxfId="162" priority="8"/>
  </conditionalFormatting>
  <conditionalFormatting sqref="B23">
    <cfRule type="duplicateValues" dxfId="161" priority="7"/>
  </conditionalFormatting>
  <conditionalFormatting sqref="B24:B35">
    <cfRule type="duplicateValues" dxfId="160" priority="9"/>
  </conditionalFormatting>
  <conditionalFormatting sqref="B36">
    <cfRule type="duplicateValues" dxfId="159" priority="6"/>
  </conditionalFormatting>
  <conditionalFormatting sqref="B37">
    <cfRule type="duplicateValues" dxfId="158" priority="5"/>
  </conditionalFormatting>
  <conditionalFormatting sqref="B38">
    <cfRule type="duplicateValues" dxfId="157" priority="4"/>
  </conditionalFormatting>
  <conditionalFormatting sqref="B39">
    <cfRule type="duplicateValues" dxfId="156" priority="3"/>
  </conditionalFormatting>
  <conditionalFormatting sqref="B40">
    <cfRule type="duplicateValues" dxfId="155" priority="2"/>
  </conditionalFormatting>
  <conditionalFormatting sqref="B41">
    <cfRule type="duplicateValues" dxfId="15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"/>
  <cols>
    <col min="1" max="1" width="6.140625" style="4" customWidth="1"/>
    <col min="2" max="2" width="18.7109375" style="2" customWidth="1"/>
    <col min="3" max="3" width="14.5703125" style="2" customWidth="1"/>
    <col min="4" max="4" width="11.5703125" style="3" customWidth="1"/>
    <col min="5" max="5" width="7.5703125" style="11" customWidth="1"/>
    <col min="6" max="6" width="13.85546875" style="3" customWidth="1"/>
    <col min="7" max="7" width="10.7109375" style="3" customWidth="1"/>
    <col min="8" max="8" width="23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402768</v>
      </c>
      <c r="B3" s="71" t="s">
        <v>56</v>
      </c>
      <c r="C3" s="8" t="s">
        <v>57</v>
      </c>
      <c r="D3" s="73" t="s">
        <v>113</v>
      </c>
      <c r="E3" s="12">
        <v>44562</v>
      </c>
      <c r="F3" s="73" t="s">
        <v>63</v>
      </c>
      <c r="G3" s="12">
        <v>44569</v>
      </c>
      <c r="H3" s="9" t="s">
        <v>64</v>
      </c>
      <c r="I3" s="1">
        <v>302</v>
      </c>
      <c r="J3" s="1">
        <v>63</v>
      </c>
      <c r="K3" s="1">
        <v>12</v>
      </c>
      <c r="L3" s="1">
        <v>9</v>
      </c>
      <c r="M3" s="76">
        <v>57.078000000000003</v>
      </c>
      <c r="N3" s="93">
        <v>57.078000000000003</v>
      </c>
      <c r="O3" s="61">
        <v>7000</v>
      </c>
      <c r="P3" s="62">
        <f>Table22457891011234[[#This Row],[PEMBULATAN]]*O3</f>
        <v>399546</v>
      </c>
      <c r="Q3" s="173">
        <v>6</v>
      </c>
    </row>
    <row r="4" spans="1:17" ht="26.25" customHeight="1" x14ac:dyDescent="0.2">
      <c r="A4" s="13"/>
      <c r="B4" s="72"/>
      <c r="C4" s="8" t="s">
        <v>58</v>
      </c>
      <c r="D4" s="73" t="s">
        <v>113</v>
      </c>
      <c r="E4" s="12">
        <v>44562</v>
      </c>
      <c r="F4" s="73" t="s">
        <v>63</v>
      </c>
      <c r="G4" s="12">
        <v>44569</v>
      </c>
      <c r="H4" s="9" t="s">
        <v>64</v>
      </c>
      <c r="I4" s="1">
        <v>302</v>
      </c>
      <c r="J4" s="1">
        <v>63</v>
      </c>
      <c r="K4" s="1">
        <v>12</v>
      </c>
      <c r="L4" s="1">
        <v>9</v>
      </c>
      <c r="M4" s="76">
        <v>57.078000000000003</v>
      </c>
      <c r="N4" s="93">
        <v>57.078000000000003</v>
      </c>
      <c r="O4" s="61">
        <v>7000</v>
      </c>
      <c r="P4" s="62">
        <f>Table22457891011234[[#This Row],[PEMBULATAN]]*O4</f>
        <v>399546</v>
      </c>
      <c r="Q4" s="174"/>
    </row>
    <row r="5" spans="1:17" ht="26.25" customHeight="1" x14ac:dyDescent="0.2">
      <c r="A5" s="13"/>
      <c r="B5" s="13"/>
      <c r="C5" s="8" t="s">
        <v>59</v>
      </c>
      <c r="D5" s="73" t="s">
        <v>113</v>
      </c>
      <c r="E5" s="12">
        <v>44562</v>
      </c>
      <c r="F5" s="73" t="s">
        <v>63</v>
      </c>
      <c r="G5" s="12">
        <v>44569</v>
      </c>
      <c r="H5" s="9" t="s">
        <v>64</v>
      </c>
      <c r="I5" s="1">
        <v>302</v>
      </c>
      <c r="J5" s="1">
        <v>63</v>
      </c>
      <c r="K5" s="1">
        <v>12</v>
      </c>
      <c r="L5" s="1">
        <v>9</v>
      </c>
      <c r="M5" s="76">
        <v>57.078000000000003</v>
      </c>
      <c r="N5" s="93">
        <v>57.078000000000003</v>
      </c>
      <c r="O5" s="61">
        <v>7000</v>
      </c>
      <c r="P5" s="62">
        <f>Table22457891011234[[#This Row],[PEMBULATAN]]*O5</f>
        <v>399546</v>
      </c>
      <c r="Q5" s="174"/>
    </row>
    <row r="6" spans="1:17" ht="26.25" customHeight="1" x14ac:dyDescent="0.2">
      <c r="A6" s="13"/>
      <c r="B6" s="13"/>
      <c r="C6" s="70" t="s">
        <v>60</v>
      </c>
      <c r="D6" s="73" t="s">
        <v>113</v>
      </c>
      <c r="E6" s="12">
        <v>44562</v>
      </c>
      <c r="F6" s="73" t="s">
        <v>63</v>
      </c>
      <c r="G6" s="12">
        <v>44569</v>
      </c>
      <c r="H6" s="74" t="s">
        <v>64</v>
      </c>
      <c r="I6" s="15">
        <v>240</v>
      </c>
      <c r="J6" s="15">
        <v>60</v>
      </c>
      <c r="K6" s="15">
        <v>7</v>
      </c>
      <c r="L6" s="15">
        <v>9</v>
      </c>
      <c r="M6" s="77">
        <v>25.2</v>
      </c>
      <c r="N6" s="93">
        <v>25.2</v>
      </c>
      <c r="O6" s="61">
        <v>7000</v>
      </c>
      <c r="P6" s="62">
        <f>Table22457891011234[[#This Row],[PEMBULATAN]]*O6</f>
        <v>176400</v>
      </c>
      <c r="Q6" s="174"/>
    </row>
    <row r="7" spans="1:17" ht="26.25" customHeight="1" x14ac:dyDescent="0.2">
      <c r="A7" s="13"/>
      <c r="B7" s="13"/>
      <c r="C7" s="70" t="s">
        <v>61</v>
      </c>
      <c r="D7" s="73" t="s">
        <v>113</v>
      </c>
      <c r="E7" s="12">
        <v>44562</v>
      </c>
      <c r="F7" s="73" t="s">
        <v>63</v>
      </c>
      <c r="G7" s="12">
        <v>44569</v>
      </c>
      <c r="H7" s="74" t="s">
        <v>64</v>
      </c>
      <c r="I7" s="15">
        <v>240</v>
      </c>
      <c r="J7" s="15">
        <v>60</v>
      </c>
      <c r="K7" s="15">
        <v>7</v>
      </c>
      <c r="L7" s="15">
        <v>9</v>
      </c>
      <c r="M7" s="77">
        <v>25.2</v>
      </c>
      <c r="N7" s="93">
        <v>25.2</v>
      </c>
      <c r="O7" s="61">
        <v>7000</v>
      </c>
      <c r="P7" s="62">
        <f>Table22457891011234[[#This Row],[PEMBULATAN]]*O7</f>
        <v>176400</v>
      </c>
      <c r="Q7" s="174"/>
    </row>
    <row r="8" spans="1:17" ht="26.25" customHeight="1" x14ac:dyDescent="0.2">
      <c r="A8" s="13"/>
      <c r="B8" s="13"/>
      <c r="C8" s="70" t="s">
        <v>62</v>
      </c>
      <c r="D8" s="73" t="s">
        <v>113</v>
      </c>
      <c r="E8" s="12">
        <v>44562</v>
      </c>
      <c r="F8" s="73" t="s">
        <v>63</v>
      </c>
      <c r="G8" s="12">
        <v>44569</v>
      </c>
      <c r="H8" s="74" t="s">
        <v>64</v>
      </c>
      <c r="I8" s="15">
        <v>240</v>
      </c>
      <c r="J8" s="15">
        <v>60</v>
      </c>
      <c r="K8" s="15">
        <v>7</v>
      </c>
      <c r="L8" s="15">
        <v>9</v>
      </c>
      <c r="M8" s="77">
        <v>25.2</v>
      </c>
      <c r="N8" s="93">
        <v>25.2</v>
      </c>
      <c r="O8" s="61">
        <v>7000</v>
      </c>
      <c r="P8" s="62">
        <f>Table22457891011234[[#This Row],[PEMBULATAN]]*O8</f>
        <v>176400</v>
      </c>
      <c r="Q8" s="175"/>
    </row>
    <row r="9" spans="1:17" ht="22.5" customHeight="1" x14ac:dyDescent="0.2">
      <c r="A9" s="168" t="s">
        <v>30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70"/>
      <c r="M9" s="75">
        <f>SUBTOTAL(109,Table22457891011234[KG VOLUME])</f>
        <v>246.83399999999997</v>
      </c>
      <c r="N9" s="65">
        <f>SUM(N3:N8)</f>
        <v>246.83399999999997</v>
      </c>
      <c r="O9" s="171">
        <f>SUM(P3:P8)</f>
        <v>1727838</v>
      </c>
      <c r="P9" s="172"/>
    </row>
    <row r="10" spans="1:17" ht="18" customHeight="1" x14ac:dyDescent="0.2">
      <c r="A10" s="82"/>
      <c r="B10" s="55" t="s">
        <v>42</v>
      </c>
      <c r="C10" s="54"/>
      <c r="D10" s="56" t="s">
        <v>43</v>
      </c>
      <c r="E10" s="82"/>
      <c r="F10" s="82"/>
      <c r="G10" s="82"/>
      <c r="H10" s="82"/>
      <c r="I10" s="82"/>
      <c r="J10" s="82"/>
      <c r="K10" s="82"/>
      <c r="L10" s="82"/>
      <c r="M10" s="83"/>
      <c r="N10" s="84" t="s">
        <v>51</v>
      </c>
      <c r="O10" s="85"/>
      <c r="P10" s="85">
        <f>O9*10%</f>
        <v>172783.80000000002</v>
      </c>
    </row>
    <row r="11" spans="1:17" ht="18" customHeight="1" thickBot="1" x14ac:dyDescent="0.25">
      <c r="A11" s="82"/>
      <c r="B11" s="55"/>
      <c r="C11" s="54"/>
      <c r="D11" s="56"/>
      <c r="E11" s="82"/>
      <c r="F11" s="82"/>
      <c r="G11" s="82"/>
      <c r="H11" s="82"/>
      <c r="I11" s="82"/>
      <c r="J11" s="82"/>
      <c r="K11" s="82"/>
      <c r="L11" s="82"/>
      <c r="M11" s="83"/>
      <c r="N11" s="86" t="s">
        <v>52</v>
      </c>
      <c r="O11" s="87"/>
      <c r="P11" s="87">
        <f>O9-P10</f>
        <v>1555054.2</v>
      </c>
    </row>
    <row r="12" spans="1:17" ht="18" customHeight="1" x14ac:dyDescent="0.2">
      <c r="A12" s="10"/>
      <c r="H12" s="60"/>
      <c r="N12" s="59" t="s">
        <v>31</v>
      </c>
      <c r="P12" s="66">
        <f>P11*1%</f>
        <v>15550.541999999999</v>
      </c>
    </row>
    <row r="13" spans="1:17" ht="18" customHeight="1" thickBot="1" x14ac:dyDescent="0.25">
      <c r="A13" s="10"/>
      <c r="H13" s="60"/>
      <c r="N13" s="59" t="s">
        <v>53</v>
      </c>
      <c r="P13" s="68">
        <f>P11*2%</f>
        <v>31101.083999999999</v>
      </c>
    </row>
    <row r="14" spans="1:17" ht="18" customHeight="1" x14ac:dyDescent="0.2">
      <c r="A14" s="10"/>
      <c r="H14" s="60"/>
      <c r="N14" s="63" t="s">
        <v>32</v>
      </c>
      <c r="O14" s="64"/>
      <c r="P14" s="67">
        <f>P11+P12-P13</f>
        <v>1539503.6579999998</v>
      </c>
    </row>
    <row r="16" spans="1:17" x14ac:dyDescent="0.2">
      <c r="A16" s="10"/>
      <c r="H16" s="60"/>
      <c r="P16" s="68"/>
    </row>
    <row r="17" spans="1:16" x14ac:dyDescent="0.2">
      <c r="A17" s="10"/>
      <c r="H17" s="60"/>
      <c r="O17" s="57"/>
      <c r="P17" s="68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</sheetData>
  <mergeCells count="3">
    <mergeCell ref="A9:L9"/>
    <mergeCell ref="O9:P9"/>
    <mergeCell ref="Q3:Q8"/>
  </mergeCells>
  <conditionalFormatting sqref="B3">
    <cfRule type="duplicateValues" dxfId="138" priority="2"/>
  </conditionalFormatting>
  <conditionalFormatting sqref="B4">
    <cfRule type="duplicateValues" dxfId="137" priority="1"/>
  </conditionalFormatting>
  <conditionalFormatting sqref="B5:B8">
    <cfRule type="duplicateValues" dxfId="136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defaultRowHeight="15" x14ac:dyDescent="0.2"/>
  <cols>
    <col min="1" max="1" width="6.28515625" style="4" customWidth="1"/>
    <col min="2" max="2" width="18.5703125" style="2" customWidth="1"/>
    <col min="3" max="3" width="14.5703125" style="2" customWidth="1"/>
    <col min="4" max="4" width="10.140625" style="3" customWidth="1"/>
    <col min="5" max="5" width="7.42578125" style="11" customWidth="1"/>
    <col min="6" max="6" width="13.7109375" style="3" customWidth="1"/>
    <col min="7" max="7" width="10.42578125" style="3" customWidth="1"/>
    <col min="8" max="8" width="19.855468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402912</v>
      </c>
      <c r="B3" s="71" t="s">
        <v>65</v>
      </c>
      <c r="C3" s="8" t="s">
        <v>66</v>
      </c>
      <c r="D3" s="73" t="s">
        <v>113</v>
      </c>
      <c r="E3" s="12">
        <v>44568</v>
      </c>
      <c r="F3" s="73" t="s">
        <v>63</v>
      </c>
      <c r="G3" s="12">
        <v>44574</v>
      </c>
      <c r="H3" s="9" t="s">
        <v>75</v>
      </c>
      <c r="I3" s="1">
        <v>150</v>
      </c>
      <c r="J3" s="1">
        <v>65</v>
      </c>
      <c r="K3" s="1">
        <v>12</v>
      </c>
      <c r="L3" s="1">
        <v>11</v>
      </c>
      <c r="M3" s="76">
        <v>29.25</v>
      </c>
      <c r="N3" s="93">
        <v>29.25</v>
      </c>
      <c r="O3" s="61">
        <v>7000</v>
      </c>
      <c r="P3" s="62">
        <f>Table224578910112345[[#This Row],[PEMBULATAN]]*O3</f>
        <v>204750</v>
      </c>
      <c r="Q3" s="173">
        <v>9</v>
      </c>
    </row>
    <row r="4" spans="1:17" ht="26.25" customHeight="1" x14ac:dyDescent="0.2">
      <c r="A4" s="13"/>
      <c r="B4" s="72"/>
      <c r="C4" s="8" t="s">
        <v>67</v>
      </c>
      <c r="D4" s="73" t="s">
        <v>113</v>
      </c>
      <c r="E4" s="12">
        <v>44568</v>
      </c>
      <c r="F4" s="73" t="s">
        <v>63</v>
      </c>
      <c r="G4" s="12">
        <v>44574</v>
      </c>
      <c r="H4" s="9" t="s">
        <v>75</v>
      </c>
      <c r="I4" s="1">
        <v>56</v>
      </c>
      <c r="J4" s="1">
        <v>47</v>
      </c>
      <c r="K4" s="1">
        <v>12</v>
      </c>
      <c r="L4" s="1">
        <v>10</v>
      </c>
      <c r="M4" s="76">
        <v>7.8959999999999999</v>
      </c>
      <c r="N4" s="93">
        <v>10</v>
      </c>
      <c r="O4" s="61">
        <v>7000</v>
      </c>
      <c r="P4" s="62">
        <f>Table224578910112345[[#This Row],[PEMBULATAN]]*O4</f>
        <v>70000</v>
      </c>
      <c r="Q4" s="174"/>
    </row>
    <row r="5" spans="1:17" ht="26.25" customHeight="1" x14ac:dyDescent="0.2">
      <c r="A5" s="13"/>
      <c r="B5" s="13"/>
      <c r="C5" s="8" t="s">
        <v>68</v>
      </c>
      <c r="D5" s="73" t="s">
        <v>113</v>
      </c>
      <c r="E5" s="12">
        <v>44568</v>
      </c>
      <c r="F5" s="73" t="s">
        <v>63</v>
      </c>
      <c r="G5" s="12">
        <v>44574</v>
      </c>
      <c r="H5" s="9" t="s">
        <v>75</v>
      </c>
      <c r="I5" s="1">
        <v>56</v>
      </c>
      <c r="J5" s="1">
        <v>47</v>
      </c>
      <c r="K5" s="1">
        <v>12</v>
      </c>
      <c r="L5" s="1">
        <v>10</v>
      </c>
      <c r="M5" s="76">
        <v>7.8959999999999999</v>
      </c>
      <c r="N5" s="93">
        <v>10</v>
      </c>
      <c r="O5" s="61">
        <v>7000</v>
      </c>
      <c r="P5" s="62">
        <f>Table224578910112345[[#This Row],[PEMBULATAN]]*O5</f>
        <v>70000</v>
      </c>
      <c r="Q5" s="174"/>
    </row>
    <row r="6" spans="1:17" ht="26.25" customHeight="1" x14ac:dyDescent="0.2">
      <c r="A6" s="13"/>
      <c r="B6" s="13"/>
      <c r="C6" s="70" t="s">
        <v>69</v>
      </c>
      <c r="D6" s="73" t="s">
        <v>113</v>
      </c>
      <c r="E6" s="12">
        <v>44568</v>
      </c>
      <c r="F6" s="73" t="s">
        <v>63</v>
      </c>
      <c r="G6" s="12">
        <v>44574</v>
      </c>
      <c r="H6" s="74" t="s">
        <v>75</v>
      </c>
      <c r="I6" s="15">
        <v>42</v>
      </c>
      <c r="J6" s="15">
        <v>34</v>
      </c>
      <c r="K6" s="15">
        <v>30</v>
      </c>
      <c r="L6" s="15">
        <v>9</v>
      </c>
      <c r="M6" s="77">
        <v>10.71</v>
      </c>
      <c r="N6" s="93">
        <v>10.71</v>
      </c>
      <c r="O6" s="61">
        <v>7000</v>
      </c>
      <c r="P6" s="62">
        <f>Table224578910112345[[#This Row],[PEMBULATAN]]*O6</f>
        <v>74970</v>
      </c>
      <c r="Q6" s="174"/>
    </row>
    <row r="7" spans="1:17" ht="26.25" customHeight="1" x14ac:dyDescent="0.2">
      <c r="A7" s="13"/>
      <c r="B7" s="13"/>
      <c r="C7" s="70" t="s">
        <v>70</v>
      </c>
      <c r="D7" s="73" t="s">
        <v>113</v>
      </c>
      <c r="E7" s="12">
        <v>44568</v>
      </c>
      <c r="F7" s="73" t="s">
        <v>63</v>
      </c>
      <c r="G7" s="12">
        <v>44574</v>
      </c>
      <c r="H7" s="74" t="s">
        <v>75</v>
      </c>
      <c r="I7" s="15">
        <v>55</v>
      </c>
      <c r="J7" s="15">
        <v>35</v>
      </c>
      <c r="K7" s="15">
        <v>12</v>
      </c>
      <c r="L7" s="15">
        <v>10</v>
      </c>
      <c r="M7" s="77">
        <v>5.7750000000000004</v>
      </c>
      <c r="N7" s="93">
        <v>10</v>
      </c>
      <c r="O7" s="61">
        <v>7000</v>
      </c>
      <c r="P7" s="62">
        <f>Table224578910112345[[#This Row],[PEMBULATAN]]*O7</f>
        <v>70000</v>
      </c>
      <c r="Q7" s="174"/>
    </row>
    <row r="8" spans="1:17" ht="26.25" customHeight="1" x14ac:dyDescent="0.2">
      <c r="A8" s="13"/>
      <c r="B8" s="13"/>
      <c r="C8" s="70" t="s">
        <v>71</v>
      </c>
      <c r="D8" s="73" t="s">
        <v>113</v>
      </c>
      <c r="E8" s="12">
        <v>44568</v>
      </c>
      <c r="F8" s="73" t="s">
        <v>63</v>
      </c>
      <c r="G8" s="12">
        <v>44574</v>
      </c>
      <c r="H8" s="74" t="s">
        <v>75</v>
      </c>
      <c r="I8" s="15">
        <v>55</v>
      </c>
      <c r="J8" s="15">
        <v>35</v>
      </c>
      <c r="K8" s="15">
        <v>12</v>
      </c>
      <c r="L8" s="15">
        <v>10</v>
      </c>
      <c r="M8" s="77">
        <v>5.7750000000000004</v>
      </c>
      <c r="N8" s="93">
        <v>10</v>
      </c>
      <c r="O8" s="61">
        <v>7000</v>
      </c>
      <c r="P8" s="62">
        <f>Table224578910112345[[#This Row],[PEMBULATAN]]*O8</f>
        <v>70000</v>
      </c>
      <c r="Q8" s="174"/>
    </row>
    <row r="9" spans="1:17" ht="26.25" customHeight="1" x14ac:dyDescent="0.2">
      <c r="A9" s="13"/>
      <c r="B9" s="13"/>
      <c r="C9" s="70" t="s">
        <v>72</v>
      </c>
      <c r="D9" s="73" t="s">
        <v>113</v>
      </c>
      <c r="E9" s="12">
        <v>44568</v>
      </c>
      <c r="F9" s="73" t="s">
        <v>63</v>
      </c>
      <c r="G9" s="12">
        <v>44574</v>
      </c>
      <c r="H9" s="74" t="s">
        <v>75</v>
      </c>
      <c r="I9" s="15">
        <v>37</v>
      </c>
      <c r="J9" s="15">
        <v>35</v>
      </c>
      <c r="K9" s="15">
        <v>18</v>
      </c>
      <c r="L9" s="15">
        <v>1</v>
      </c>
      <c r="M9" s="77">
        <v>5.8274999999999997</v>
      </c>
      <c r="N9" s="93">
        <v>5.8274999999999997</v>
      </c>
      <c r="O9" s="61">
        <v>7000</v>
      </c>
      <c r="P9" s="62">
        <f>Table224578910112345[[#This Row],[PEMBULATAN]]*O9</f>
        <v>40792.5</v>
      </c>
      <c r="Q9" s="174"/>
    </row>
    <row r="10" spans="1:17" ht="26.25" customHeight="1" x14ac:dyDescent="0.2">
      <c r="A10" s="13"/>
      <c r="B10" s="13"/>
      <c r="C10" s="70" t="s">
        <v>73</v>
      </c>
      <c r="D10" s="73" t="s">
        <v>113</v>
      </c>
      <c r="E10" s="12">
        <v>44568</v>
      </c>
      <c r="F10" s="73" t="s">
        <v>63</v>
      </c>
      <c r="G10" s="12">
        <v>44574</v>
      </c>
      <c r="H10" s="74" t="s">
        <v>75</v>
      </c>
      <c r="I10" s="15">
        <v>40</v>
      </c>
      <c r="J10" s="15">
        <v>25</v>
      </c>
      <c r="K10" s="15">
        <v>20</v>
      </c>
      <c r="L10" s="15">
        <v>4</v>
      </c>
      <c r="M10" s="77">
        <v>5</v>
      </c>
      <c r="N10" s="93">
        <v>5</v>
      </c>
      <c r="O10" s="61">
        <v>7000</v>
      </c>
      <c r="P10" s="62">
        <f>Table224578910112345[[#This Row],[PEMBULATAN]]*O10</f>
        <v>35000</v>
      </c>
      <c r="Q10" s="174"/>
    </row>
    <row r="11" spans="1:17" ht="26.25" customHeight="1" x14ac:dyDescent="0.2">
      <c r="A11" s="13"/>
      <c r="B11" s="13"/>
      <c r="C11" s="70" t="s">
        <v>74</v>
      </c>
      <c r="D11" s="73" t="s">
        <v>113</v>
      </c>
      <c r="E11" s="12">
        <v>44568</v>
      </c>
      <c r="F11" s="73" t="s">
        <v>63</v>
      </c>
      <c r="G11" s="12">
        <v>44574</v>
      </c>
      <c r="H11" s="74" t="s">
        <v>75</v>
      </c>
      <c r="I11" s="15">
        <v>75</v>
      </c>
      <c r="J11" s="15">
        <v>45</v>
      </c>
      <c r="K11" s="15">
        <v>12</v>
      </c>
      <c r="L11" s="15">
        <v>10</v>
      </c>
      <c r="M11" s="77">
        <v>10.125</v>
      </c>
      <c r="N11" s="93">
        <v>10.125</v>
      </c>
      <c r="O11" s="61">
        <v>7000</v>
      </c>
      <c r="P11" s="62">
        <f>Table224578910112345[[#This Row],[PEMBULATAN]]*O11</f>
        <v>70875</v>
      </c>
      <c r="Q11" s="175"/>
    </row>
    <row r="12" spans="1:17" ht="22.5" customHeight="1" x14ac:dyDescent="0.2">
      <c r="A12" s="168" t="s">
        <v>30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M12" s="75">
        <f>SUBTOTAL(109,Table224578910112345[KG VOLUME])</f>
        <v>88.254500000000007</v>
      </c>
      <c r="N12" s="65">
        <f>SUM(N3:N11)</f>
        <v>100.91250000000001</v>
      </c>
      <c r="O12" s="171">
        <f>SUM(P3:P11)</f>
        <v>706387.5</v>
      </c>
      <c r="P12" s="172"/>
    </row>
    <row r="13" spans="1:17" ht="18" customHeight="1" x14ac:dyDescent="0.2">
      <c r="A13" s="82"/>
      <c r="B13" s="55" t="s">
        <v>42</v>
      </c>
      <c r="C13" s="54"/>
      <c r="D13" s="56" t="s">
        <v>43</v>
      </c>
      <c r="E13" s="82"/>
      <c r="F13" s="82"/>
      <c r="G13" s="82"/>
      <c r="H13" s="82"/>
      <c r="I13" s="82"/>
      <c r="J13" s="82"/>
      <c r="K13" s="82"/>
      <c r="L13" s="82"/>
      <c r="M13" s="83"/>
      <c r="N13" s="84" t="s">
        <v>51</v>
      </c>
      <c r="O13" s="85"/>
      <c r="P13" s="85">
        <f>O12*10%</f>
        <v>70638.75</v>
      </c>
    </row>
    <row r="14" spans="1:17" ht="18" customHeight="1" thickBot="1" x14ac:dyDescent="0.25">
      <c r="A14" s="82"/>
      <c r="B14" s="55"/>
      <c r="C14" s="54"/>
      <c r="D14" s="56"/>
      <c r="E14" s="82"/>
      <c r="F14" s="82"/>
      <c r="G14" s="82"/>
      <c r="H14" s="82"/>
      <c r="I14" s="82"/>
      <c r="J14" s="82"/>
      <c r="K14" s="82"/>
      <c r="L14" s="82"/>
      <c r="M14" s="83"/>
      <c r="N14" s="86" t="s">
        <v>52</v>
      </c>
      <c r="O14" s="87"/>
      <c r="P14" s="87">
        <f>O12-P13</f>
        <v>635748.75</v>
      </c>
    </row>
    <row r="15" spans="1:17" ht="18" customHeight="1" x14ac:dyDescent="0.2">
      <c r="A15" s="10"/>
      <c r="H15" s="60"/>
      <c r="N15" s="59" t="s">
        <v>31</v>
      </c>
      <c r="P15" s="66">
        <f>P14*1%</f>
        <v>6357.4875000000002</v>
      </c>
    </row>
    <row r="16" spans="1:17" ht="18" customHeight="1" thickBot="1" x14ac:dyDescent="0.25">
      <c r="A16" s="10"/>
      <c r="H16" s="60"/>
      <c r="N16" s="59" t="s">
        <v>53</v>
      </c>
      <c r="P16" s="68">
        <f>P14*2%</f>
        <v>12714.975</v>
      </c>
    </row>
    <row r="17" spans="1:16" ht="18" customHeight="1" x14ac:dyDescent="0.2">
      <c r="A17" s="10"/>
      <c r="H17" s="60"/>
      <c r="N17" s="63" t="s">
        <v>32</v>
      </c>
      <c r="O17" s="64"/>
      <c r="P17" s="67">
        <f>P14+P15-P16</f>
        <v>629391.26250000007</v>
      </c>
    </row>
    <row r="19" spans="1:16" x14ac:dyDescent="0.2">
      <c r="A19" s="10"/>
      <c r="H19" s="60"/>
      <c r="P19" s="68"/>
    </row>
    <row r="20" spans="1:16" x14ac:dyDescent="0.2">
      <c r="A20" s="10"/>
      <c r="H20" s="60"/>
      <c r="O20" s="57"/>
      <c r="P20" s="68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</sheetData>
  <mergeCells count="3">
    <mergeCell ref="A12:L12"/>
    <mergeCell ref="O12:P12"/>
    <mergeCell ref="Q3:Q11"/>
  </mergeCells>
  <conditionalFormatting sqref="B3">
    <cfRule type="duplicateValues" dxfId="120" priority="2"/>
  </conditionalFormatting>
  <conditionalFormatting sqref="B4">
    <cfRule type="duplicateValues" dxfId="119" priority="1"/>
  </conditionalFormatting>
  <conditionalFormatting sqref="B5:B11">
    <cfRule type="duplicateValues" dxfId="118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10.42578125" style="3" customWidth="1"/>
    <col min="5" max="5" width="8.28515625" style="11" customWidth="1"/>
    <col min="6" max="6" width="13.140625" style="3" customWidth="1"/>
    <col min="7" max="7" width="9.42578125" style="3" customWidth="1"/>
    <col min="8" max="8" width="19.7109375" style="6" customWidth="1"/>
    <col min="9" max="11" width="3.7109375" style="3" customWidth="1"/>
    <col min="12" max="12" width="4.42578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8.855468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402927</v>
      </c>
      <c r="B3" s="71" t="s">
        <v>76</v>
      </c>
      <c r="C3" s="8" t="s">
        <v>77</v>
      </c>
      <c r="D3" s="73" t="s">
        <v>113</v>
      </c>
      <c r="E3" s="12">
        <v>44572</v>
      </c>
      <c r="F3" s="73" t="s">
        <v>63</v>
      </c>
      <c r="G3" s="12">
        <v>44586</v>
      </c>
      <c r="H3" s="9" t="s">
        <v>78</v>
      </c>
      <c r="I3" s="1">
        <v>40</v>
      </c>
      <c r="J3" s="1">
        <v>35</v>
      </c>
      <c r="K3" s="1">
        <v>22</v>
      </c>
      <c r="L3" s="1">
        <v>18</v>
      </c>
      <c r="M3" s="76">
        <v>7.7</v>
      </c>
      <c r="N3" s="7">
        <v>18</v>
      </c>
      <c r="O3" s="61">
        <v>7000</v>
      </c>
      <c r="P3" s="62">
        <f>Table2245789101123456[[#This Row],[PEMBULATAN]]*O3</f>
        <v>126000</v>
      </c>
      <c r="Q3" s="95">
        <v>1</v>
      </c>
    </row>
    <row r="4" spans="1:17" ht="22.5" customHeight="1" x14ac:dyDescent="0.2">
      <c r="A4" s="168" t="s">
        <v>30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70"/>
      <c r="M4" s="75">
        <f>SUBTOTAL(109,Table2245789101123456[KG VOLUME])</f>
        <v>7.7</v>
      </c>
      <c r="N4" s="65">
        <f>SUM(N3:N3)</f>
        <v>18</v>
      </c>
      <c r="O4" s="171">
        <f>SUM(P3:P3)</f>
        <v>126000</v>
      </c>
      <c r="P4" s="172"/>
    </row>
    <row r="5" spans="1:17" ht="18" customHeight="1" x14ac:dyDescent="0.2">
      <c r="A5" s="82"/>
      <c r="B5" s="55" t="s">
        <v>42</v>
      </c>
      <c r="C5" s="54"/>
      <c r="D5" s="56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12600</v>
      </c>
    </row>
    <row r="6" spans="1:17" ht="18" customHeight="1" thickBot="1" x14ac:dyDescent="0.25">
      <c r="A6" s="82"/>
      <c r="B6" s="55"/>
      <c r="C6" s="54"/>
      <c r="D6" s="56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113400</v>
      </c>
    </row>
    <row r="7" spans="1:17" ht="18" customHeight="1" x14ac:dyDescent="0.2">
      <c r="A7" s="10"/>
      <c r="H7" s="60"/>
      <c r="N7" s="59" t="s">
        <v>31</v>
      </c>
      <c r="P7" s="66">
        <f>P6*1%</f>
        <v>1134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2268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112266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0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5703125" style="2" customWidth="1"/>
    <col min="4" max="4" width="10.7109375" style="3" customWidth="1"/>
    <col min="5" max="5" width="8.5703125" style="11" customWidth="1"/>
    <col min="6" max="6" width="12.42578125" style="3" customWidth="1"/>
    <col min="7" max="7" width="11.140625" style="3" customWidth="1"/>
    <col min="8" max="8" width="20.570312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8.855468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402932</v>
      </c>
      <c r="B3" s="71" t="s">
        <v>79</v>
      </c>
      <c r="C3" s="8" t="s">
        <v>80</v>
      </c>
      <c r="D3" s="73" t="s">
        <v>113</v>
      </c>
      <c r="E3" s="12">
        <v>44574</v>
      </c>
      <c r="F3" s="73" t="s">
        <v>63</v>
      </c>
      <c r="G3" s="12">
        <v>44586</v>
      </c>
      <c r="H3" s="9" t="s">
        <v>78</v>
      </c>
      <c r="I3" s="1">
        <v>38</v>
      </c>
      <c r="J3" s="1">
        <v>34</v>
      </c>
      <c r="K3" s="1">
        <v>25</v>
      </c>
      <c r="L3" s="1">
        <v>18</v>
      </c>
      <c r="M3" s="76">
        <v>8.0749999999999993</v>
      </c>
      <c r="N3" s="7">
        <v>18</v>
      </c>
      <c r="O3" s="61">
        <v>7000</v>
      </c>
      <c r="P3" s="62">
        <f>Table22457891011234567[[#This Row],[PEMBULATAN]]*O3</f>
        <v>126000</v>
      </c>
      <c r="Q3" s="173">
        <v>3</v>
      </c>
    </row>
    <row r="4" spans="1:17" ht="26.25" customHeight="1" x14ac:dyDescent="0.2">
      <c r="A4" s="13"/>
      <c r="B4" s="72"/>
      <c r="C4" s="8" t="s">
        <v>81</v>
      </c>
      <c r="D4" s="73" t="s">
        <v>113</v>
      </c>
      <c r="E4" s="12">
        <v>44574</v>
      </c>
      <c r="F4" s="73" t="s">
        <v>63</v>
      </c>
      <c r="G4" s="12">
        <v>44586</v>
      </c>
      <c r="H4" s="9" t="s">
        <v>78</v>
      </c>
      <c r="I4" s="1">
        <v>79</v>
      </c>
      <c r="J4" s="1">
        <v>54</v>
      </c>
      <c r="K4" s="1">
        <v>28</v>
      </c>
      <c r="L4" s="1">
        <v>5</v>
      </c>
      <c r="M4" s="76">
        <v>29.861999999999998</v>
      </c>
      <c r="N4" s="93">
        <v>29.861999999999998</v>
      </c>
      <c r="O4" s="61">
        <v>7000</v>
      </c>
      <c r="P4" s="62">
        <f>Table22457891011234567[[#This Row],[PEMBULATAN]]*O4</f>
        <v>209034</v>
      </c>
      <c r="Q4" s="174"/>
    </row>
    <row r="5" spans="1:17" ht="26.25" customHeight="1" x14ac:dyDescent="0.2">
      <c r="A5" s="13"/>
      <c r="B5" s="13"/>
      <c r="C5" s="8" t="s">
        <v>82</v>
      </c>
      <c r="D5" s="73" t="s">
        <v>113</v>
      </c>
      <c r="E5" s="12">
        <v>44574</v>
      </c>
      <c r="F5" s="73" t="s">
        <v>63</v>
      </c>
      <c r="G5" s="12">
        <v>44586</v>
      </c>
      <c r="H5" s="9" t="s">
        <v>78</v>
      </c>
      <c r="I5" s="1">
        <v>20</v>
      </c>
      <c r="J5" s="1">
        <v>20</v>
      </c>
      <c r="K5" s="1">
        <v>15</v>
      </c>
      <c r="L5" s="1">
        <v>5</v>
      </c>
      <c r="M5" s="76">
        <v>1.5</v>
      </c>
      <c r="N5" s="7">
        <v>5</v>
      </c>
      <c r="O5" s="61">
        <v>7000</v>
      </c>
      <c r="P5" s="62">
        <f>Table22457891011234567[[#This Row],[PEMBULATAN]]*O5</f>
        <v>35000</v>
      </c>
      <c r="Q5" s="175"/>
    </row>
    <row r="6" spans="1:17" ht="22.5" customHeight="1" x14ac:dyDescent="0.2">
      <c r="A6" s="168" t="s">
        <v>30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70"/>
      <c r="M6" s="75">
        <f>SUBTOTAL(109,Table22457891011234567[KG VOLUME])</f>
        <v>39.436999999999998</v>
      </c>
      <c r="N6" s="65">
        <f>SUM(N3:N5)</f>
        <v>52.861999999999995</v>
      </c>
      <c r="O6" s="171">
        <f>SUM(P3:P5)</f>
        <v>370034</v>
      </c>
      <c r="P6" s="172"/>
    </row>
    <row r="7" spans="1:17" ht="18" customHeight="1" x14ac:dyDescent="0.2">
      <c r="A7" s="82"/>
      <c r="B7" s="55" t="s">
        <v>42</v>
      </c>
      <c r="C7" s="54"/>
      <c r="D7" s="56" t="s">
        <v>43</v>
      </c>
      <c r="E7" s="82"/>
      <c r="F7" s="82"/>
      <c r="G7" s="82"/>
      <c r="H7" s="82"/>
      <c r="I7" s="82"/>
      <c r="J7" s="82"/>
      <c r="K7" s="82"/>
      <c r="L7" s="82"/>
      <c r="M7" s="83"/>
      <c r="N7" s="84" t="s">
        <v>51</v>
      </c>
      <c r="O7" s="85"/>
      <c r="P7" s="85">
        <f>O6*10%</f>
        <v>37003.4</v>
      </c>
    </row>
    <row r="8" spans="1:17" ht="18" customHeight="1" thickBot="1" x14ac:dyDescent="0.25">
      <c r="A8" s="82"/>
      <c r="B8" s="55"/>
      <c r="C8" s="54"/>
      <c r="D8" s="56"/>
      <c r="E8" s="82"/>
      <c r="F8" s="82"/>
      <c r="G8" s="82"/>
      <c r="H8" s="82"/>
      <c r="I8" s="82"/>
      <c r="J8" s="82"/>
      <c r="K8" s="82"/>
      <c r="L8" s="82"/>
      <c r="M8" s="83"/>
      <c r="N8" s="86" t="s">
        <v>52</v>
      </c>
      <c r="O8" s="87"/>
      <c r="P8" s="87">
        <f>O6-P7</f>
        <v>333030.59999999998</v>
      </c>
    </row>
    <row r="9" spans="1:17" ht="18" customHeight="1" x14ac:dyDescent="0.2">
      <c r="A9" s="10"/>
      <c r="H9" s="60"/>
      <c r="N9" s="59" t="s">
        <v>31</v>
      </c>
      <c r="P9" s="66">
        <f>P8*1%</f>
        <v>3330.306</v>
      </c>
    </row>
    <row r="10" spans="1:17" ht="18" customHeight="1" thickBot="1" x14ac:dyDescent="0.25">
      <c r="A10" s="10"/>
      <c r="H10" s="60"/>
      <c r="N10" s="59" t="s">
        <v>53</v>
      </c>
      <c r="P10" s="68">
        <f>P8*2%</f>
        <v>6660.6120000000001</v>
      </c>
    </row>
    <row r="11" spans="1:17" ht="18" customHeight="1" x14ac:dyDescent="0.2">
      <c r="A11" s="10"/>
      <c r="H11" s="60"/>
      <c r="N11" s="63" t="s">
        <v>32</v>
      </c>
      <c r="O11" s="64"/>
      <c r="P11" s="67">
        <f>P8+P9-P10</f>
        <v>329700.29399999994</v>
      </c>
    </row>
    <row r="13" spans="1:17" x14ac:dyDescent="0.2">
      <c r="A13" s="10"/>
      <c r="H13" s="60"/>
      <c r="P13" s="68"/>
    </row>
    <row r="14" spans="1:17" x14ac:dyDescent="0.2">
      <c r="A14" s="10"/>
      <c r="H14" s="60"/>
      <c r="O14" s="57"/>
      <c r="P14" s="68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</sheetData>
  <mergeCells count="3">
    <mergeCell ref="A6:L6"/>
    <mergeCell ref="O6:P6"/>
    <mergeCell ref="Q3:Q5"/>
  </mergeCells>
  <conditionalFormatting sqref="B3">
    <cfRule type="duplicateValues" dxfId="86" priority="2"/>
  </conditionalFormatting>
  <conditionalFormatting sqref="B4">
    <cfRule type="duplicateValues" dxfId="85" priority="1"/>
  </conditionalFormatting>
  <conditionalFormatting sqref="B5">
    <cfRule type="duplicateValues" dxfId="84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7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H27" sqref="H26:H27"/>
    </sheetView>
  </sheetViews>
  <sheetFormatPr defaultRowHeight="15" x14ac:dyDescent="0.2"/>
  <cols>
    <col min="1" max="1" width="6.42578125" style="4" customWidth="1"/>
    <col min="2" max="2" width="18.42578125" style="2" customWidth="1"/>
    <col min="3" max="3" width="14.5703125" style="2" customWidth="1"/>
    <col min="4" max="4" width="10.85546875" style="3" customWidth="1"/>
    <col min="5" max="5" width="7.42578125" style="11" customWidth="1"/>
    <col min="6" max="6" width="12.28515625" style="3" customWidth="1"/>
    <col min="7" max="7" width="10.7109375" style="3" customWidth="1"/>
    <col min="8" max="8" width="20.140625" style="6" customWidth="1"/>
    <col min="9" max="10" width="3.85546875" style="3" customWidth="1"/>
    <col min="11" max="11" width="3.7109375" style="3" customWidth="1"/>
    <col min="12" max="12" width="4.425781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402942</v>
      </c>
      <c r="B3" s="71" t="s">
        <v>83</v>
      </c>
      <c r="C3" s="8" t="s">
        <v>84</v>
      </c>
      <c r="D3" s="73" t="s">
        <v>113</v>
      </c>
      <c r="E3" s="12">
        <v>44577</v>
      </c>
      <c r="F3" s="73" t="s">
        <v>63</v>
      </c>
      <c r="G3" s="12">
        <v>44586</v>
      </c>
      <c r="H3" s="9" t="s">
        <v>78</v>
      </c>
      <c r="I3" s="1">
        <v>50</v>
      </c>
      <c r="J3" s="1">
        <v>41</v>
      </c>
      <c r="K3" s="1">
        <v>16</v>
      </c>
      <c r="L3" s="1">
        <v>10</v>
      </c>
      <c r="M3" s="76">
        <v>8.1999999999999993</v>
      </c>
      <c r="N3" s="7">
        <v>10</v>
      </c>
      <c r="O3" s="61">
        <v>7000</v>
      </c>
      <c r="P3" s="62">
        <f>Table224578910112345678[[#This Row],[PEMBULATAN]]*O3</f>
        <v>70000</v>
      </c>
      <c r="Q3" s="173">
        <v>14</v>
      </c>
    </row>
    <row r="4" spans="1:17" ht="26.25" customHeight="1" x14ac:dyDescent="0.2">
      <c r="A4" s="13"/>
      <c r="B4" s="72"/>
      <c r="C4" s="8" t="s">
        <v>85</v>
      </c>
      <c r="D4" s="73" t="s">
        <v>113</v>
      </c>
      <c r="E4" s="12">
        <v>44577</v>
      </c>
      <c r="F4" s="73" t="s">
        <v>63</v>
      </c>
      <c r="G4" s="12">
        <v>44586</v>
      </c>
      <c r="H4" s="9" t="s">
        <v>78</v>
      </c>
      <c r="I4" s="1">
        <v>50</v>
      </c>
      <c r="J4" s="1">
        <v>40</v>
      </c>
      <c r="K4" s="1">
        <v>36</v>
      </c>
      <c r="L4" s="1">
        <v>9</v>
      </c>
      <c r="M4" s="76">
        <v>18</v>
      </c>
      <c r="N4" s="7">
        <v>18</v>
      </c>
      <c r="O4" s="61">
        <v>7000</v>
      </c>
      <c r="P4" s="62">
        <f>Table224578910112345678[[#This Row],[PEMBULATAN]]*O4</f>
        <v>126000</v>
      </c>
      <c r="Q4" s="174"/>
    </row>
    <row r="5" spans="1:17" ht="26.25" customHeight="1" x14ac:dyDescent="0.2">
      <c r="A5" s="13"/>
      <c r="B5" s="13"/>
      <c r="C5" s="8" t="s">
        <v>86</v>
      </c>
      <c r="D5" s="73" t="s">
        <v>113</v>
      </c>
      <c r="E5" s="12">
        <v>44577</v>
      </c>
      <c r="F5" s="73" t="s">
        <v>63</v>
      </c>
      <c r="G5" s="12">
        <v>44586</v>
      </c>
      <c r="H5" s="9" t="s">
        <v>78</v>
      </c>
      <c r="I5" s="1">
        <v>50</v>
      </c>
      <c r="J5" s="1">
        <v>40</v>
      </c>
      <c r="K5" s="1">
        <v>36</v>
      </c>
      <c r="L5" s="1">
        <v>9</v>
      </c>
      <c r="M5" s="76">
        <v>18</v>
      </c>
      <c r="N5" s="7">
        <v>18</v>
      </c>
      <c r="O5" s="61">
        <v>7000</v>
      </c>
      <c r="P5" s="62">
        <f>Table224578910112345678[[#This Row],[PEMBULATAN]]*O5</f>
        <v>126000</v>
      </c>
      <c r="Q5" s="174"/>
    </row>
    <row r="6" spans="1:17" ht="26.25" customHeight="1" x14ac:dyDescent="0.2">
      <c r="A6" s="13"/>
      <c r="B6" s="13"/>
      <c r="C6" s="70" t="s">
        <v>87</v>
      </c>
      <c r="D6" s="73" t="s">
        <v>113</v>
      </c>
      <c r="E6" s="12">
        <v>44577</v>
      </c>
      <c r="F6" s="73" t="s">
        <v>63</v>
      </c>
      <c r="G6" s="12">
        <v>44586</v>
      </c>
      <c r="H6" s="74" t="s">
        <v>78</v>
      </c>
      <c r="I6" s="15">
        <v>50</v>
      </c>
      <c r="J6" s="15">
        <v>40</v>
      </c>
      <c r="K6" s="15">
        <v>36</v>
      </c>
      <c r="L6" s="15">
        <v>9</v>
      </c>
      <c r="M6" s="77">
        <v>18</v>
      </c>
      <c r="N6" s="69">
        <v>18</v>
      </c>
      <c r="O6" s="61">
        <v>7000</v>
      </c>
      <c r="P6" s="62">
        <f>Table224578910112345678[[#This Row],[PEMBULATAN]]*O6</f>
        <v>126000</v>
      </c>
      <c r="Q6" s="174"/>
    </row>
    <row r="7" spans="1:17" ht="26.25" customHeight="1" x14ac:dyDescent="0.2">
      <c r="A7" s="13"/>
      <c r="B7" s="13"/>
      <c r="C7" s="70" t="s">
        <v>88</v>
      </c>
      <c r="D7" s="73" t="s">
        <v>113</v>
      </c>
      <c r="E7" s="12">
        <v>44577</v>
      </c>
      <c r="F7" s="73" t="s">
        <v>63</v>
      </c>
      <c r="G7" s="12">
        <v>44586</v>
      </c>
      <c r="H7" s="74" t="s">
        <v>78</v>
      </c>
      <c r="I7" s="15">
        <v>50</v>
      </c>
      <c r="J7" s="15">
        <v>40</v>
      </c>
      <c r="K7" s="15">
        <v>36</v>
      </c>
      <c r="L7" s="15">
        <v>9</v>
      </c>
      <c r="M7" s="77">
        <v>18</v>
      </c>
      <c r="N7" s="69">
        <v>18</v>
      </c>
      <c r="O7" s="61">
        <v>7000</v>
      </c>
      <c r="P7" s="62">
        <f>Table224578910112345678[[#This Row],[PEMBULATAN]]*O7</f>
        <v>126000</v>
      </c>
      <c r="Q7" s="174"/>
    </row>
    <row r="8" spans="1:17" ht="26.25" customHeight="1" x14ac:dyDescent="0.2">
      <c r="A8" s="13"/>
      <c r="B8" s="13"/>
      <c r="C8" s="70" t="s">
        <v>89</v>
      </c>
      <c r="D8" s="73" t="s">
        <v>113</v>
      </c>
      <c r="E8" s="12">
        <v>44577</v>
      </c>
      <c r="F8" s="73" t="s">
        <v>63</v>
      </c>
      <c r="G8" s="12">
        <v>44586</v>
      </c>
      <c r="H8" s="74" t="s">
        <v>78</v>
      </c>
      <c r="I8" s="15">
        <v>32</v>
      </c>
      <c r="J8" s="15">
        <v>28</v>
      </c>
      <c r="K8" s="15">
        <v>10</v>
      </c>
      <c r="L8" s="15">
        <v>10</v>
      </c>
      <c r="M8" s="77">
        <v>2.2400000000000002</v>
      </c>
      <c r="N8" s="69">
        <v>10</v>
      </c>
      <c r="O8" s="61">
        <v>7000</v>
      </c>
      <c r="P8" s="62">
        <f>Table224578910112345678[[#This Row],[PEMBULATAN]]*O8</f>
        <v>70000</v>
      </c>
      <c r="Q8" s="174"/>
    </row>
    <row r="9" spans="1:17" ht="26.25" customHeight="1" x14ac:dyDescent="0.2">
      <c r="A9" s="13"/>
      <c r="B9" s="13"/>
      <c r="C9" s="70" t="s">
        <v>90</v>
      </c>
      <c r="D9" s="73" t="s">
        <v>113</v>
      </c>
      <c r="E9" s="12">
        <v>44577</v>
      </c>
      <c r="F9" s="73" t="s">
        <v>63</v>
      </c>
      <c r="G9" s="12">
        <v>44586</v>
      </c>
      <c r="H9" s="74" t="s">
        <v>78</v>
      </c>
      <c r="I9" s="15">
        <v>57</v>
      </c>
      <c r="J9" s="15">
        <v>40</v>
      </c>
      <c r="K9" s="15">
        <v>12</v>
      </c>
      <c r="L9" s="15">
        <v>10</v>
      </c>
      <c r="M9" s="77">
        <v>6.84</v>
      </c>
      <c r="N9" s="69">
        <v>10</v>
      </c>
      <c r="O9" s="61">
        <v>7000</v>
      </c>
      <c r="P9" s="62">
        <f>Table224578910112345678[[#This Row],[PEMBULATAN]]*O9</f>
        <v>70000</v>
      </c>
      <c r="Q9" s="174"/>
    </row>
    <row r="10" spans="1:17" ht="26.25" customHeight="1" x14ac:dyDescent="0.2">
      <c r="A10" s="13"/>
      <c r="B10" s="13"/>
      <c r="C10" s="70" t="s">
        <v>91</v>
      </c>
      <c r="D10" s="73" t="s">
        <v>113</v>
      </c>
      <c r="E10" s="12">
        <v>44577</v>
      </c>
      <c r="F10" s="73" t="s">
        <v>63</v>
      </c>
      <c r="G10" s="12">
        <v>44586</v>
      </c>
      <c r="H10" s="74" t="s">
        <v>78</v>
      </c>
      <c r="I10" s="15">
        <v>57</v>
      </c>
      <c r="J10" s="15">
        <v>40</v>
      </c>
      <c r="K10" s="15">
        <v>12</v>
      </c>
      <c r="L10" s="15">
        <v>10</v>
      </c>
      <c r="M10" s="77">
        <v>6.84</v>
      </c>
      <c r="N10" s="69">
        <v>10</v>
      </c>
      <c r="O10" s="61">
        <v>7000</v>
      </c>
      <c r="P10" s="62">
        <f>Table224578910112345678[[#This Row],[PEMBULATAN]]*O10</f>
        <v>70000</v>
      </c>
      <c r="Q10" s="174"/>
    </row>
    <row r="11" spans="1:17" ht="26.25" customHeight="1" x14ac:dyDescent="0.2">
      <c r="A11" s="13"/>
      <c r="B11" s="13"/>
      <c r="C11" s="70" t="s">
        <v>92</v>
      </c>
      <c r="D11" s="73" t="s">
        <v>113</v>
      </c>
      <c r="E11" s="12">
        <v>44577</v>
      </c>
      <c r="F11" s="73" t="s">
        <v>63</v>
      </c>
      <c r="G11" s="12">
        <v>44586</v>
      </c>
      <c r="H11" s="74" t="s">
        <v>78</v>
      </c>
      <c r="I11" s="15">
        <v>57</v>
      </c>
      <c r="J11" s="15">
        <v>40</v>
      </c>
      <c r="K11" s="15">
        <v>12</v>
      </c>
      <c r="L11" s="15">
        <v>10</v>
      </c>
      <c r="M11" s="77">
        <v>6.84</v>
      </c>
      <c r="N11" s="69">
        <v>10</v>
      </c>
      <c r="O11" s="61">
        <v>7000</v>
      </c>
      <c r="P11" s="62">
        <f>Table224578910112345678[[#This Row],[PEMBULATAN]]*O11</f>
        <v>70000</v>
      </c>
      <c r="Q11" s="174"/>
    </row>
    <row r="12" spans="1:17" ht="26.25" customHeight="1" x14ac:dyDescent="0.2">
      <c r="A12" s="13"/>
      <c r="B12" s="13"/>
      <c r="C12" s="70" t="s">
        <v>93</v>
      </c>
      <c r="D12" s="73" t="s">
        <v>113</v>
      </c>
      <c r="E12" s="12">
        <v>44577</v>
      </c>
      <c r="F12" s="73" t="s">
        <v>63</v>
      </c>
      <c r="G12" s="12">
        <v>44586</v>
      </c>
      <c r="H12" s="74" t="s">
        <v>78</v>
      </c>
      <c r="I12" s="15">
        <v>57</v>
      </c>
      <c r="J12" s="15">
        <v>40</v>
      </c>
      <c r="K12" s="15">
        <v>12</v>
      </c>
      <c r="L12" s="15">
        <v>10</v>
      </c>
      <c r="M12" s="77">
        <v>6.84</v>
      </c>
      <c r="N12" s="69">
        <v>10</v>
      </c>
      <c r="O12" s="61">
        <v>7000</v>
      </c>
      <c r="P12" s="62">
        <f>Table224578910112345678[[#This Row],[PEMBULATAN]]*O12</f>
        <v>70000</v>
      </c>
      <c r="Q12" s="174"/>
    </row>
    <row r="13" spans="1:17" ht="26.25" customHeight="1" x14ac:dyDescent="0.2">
      <c r="A13" s="13"/>
      <c r="B13" s="13"/>
      <c r="C13" s="70" t="s">
        <v>94</v>
      </c>
      <c r="D13" s="73" t="s">
        <v>113</v>
      </c>
      <c r="E13" s="12">
        <v>44577</v>
      </c>
      <c r="F13" s="73" t="s">
        <v>63</v>
      </c>
      <c r="G13" s="12">
        <v>44586</v>
      </c>
      <c r="H13" s="74" t="s">
        <v>78</v>
      </c>
      <c r="I13" s="15">
        <v>57</v>
      </c>
      <c r="J13" s="15">
        <v>40</v>
      </c>
      <c r="K13" s="15">
        <v>12</v>
      </c>
      <c r="L13" s="15">
        <v>10</v>
      </c>
      <c r="M13" s="77">
        <v>6.84</v>
      </c>
      <c r="N13" s="69">
        <v>10</v>
      </c>
      <c r="O13" s="61">
        <v>7000</v>
      </c>
      <c r="P13" s="62">
        <f>Table224578910112345678[[#This Row],[PEMBULATAN]]*O13</f>
        <v>70000</v>
      </c>
      <c r="Q13" s="174"/>
    </row>
    <row r="14" spans="1:17" ht="26.25" customHeight="1" x14ac:dyDescent="0.2">
      <c r="A14" s="13"/>
      <c r="B14" s="13"/>
      <c r="C14" s="70" t="s">
        <v>95</v>
      </c>
      <c r="D14" s="73" t="s">
        <v>113</v>
      </c>
      <c r="E14" s="12">
        <v>44577</v>
      </c>
      <c r="F14" s="73" t="s">
        <v>63</v>
      </c>
      <c r="G14" s="12">
        <v>44586</v>
      </c>
      <c r="H14" s="74" t="s">
        <v>78</v>
      </c>
      <c r="I14" s="15">
        <v>57</v>
      </c>
      <c r="J14" s="15">
        <v>40</v>
      </c>
      <c r="K14" s="15">
        <v>12</v>
      </c>
      <c r="L14" s="15">
        <v>10</v>
      </c>
      <c r="M14" s="77">
        <v>6.84</v>
      </c>
      <c r="N14" s="69">
        <v>10</v>
      </c>
      <c r="O14" s="61">
        <v>7000</v>
      </c>
      <c r="P14" s="62">
        <f>Table224578910112345678[[#This Row],[PEMBULATAN]]*O14</f>
        <v>70000</v>
      </c>
      <c r="Q14" s="174"/>
    </row>
    <row r="15" spans="1:17" ht="26.25" customHeight="1" x14ac:dyDescent="0.2">
      <c r="A15" s="13"/>
      <c r="B15" s="13"/>
      <c r="C15" s="70" t="s">
        <v>96</v>
      </c>
      <c r="D15" s="73" t="s">
        <v>113</v>
      </c>
      <c r="E15" s="12">
        <v>44577</v>
      </c>
      <c r="F15" s="73" t="s">
        <v>63</v>
      </c>
      <c r="G15" s="12">
        <v>44586</v>
      </c>
      <c r="H15" s="74" t="s">
        <v>78</v>
      </c>
      <c r="I15" s="15">
        <v>57</v>
      </c>
      <c r="J15" s="15">
        <v>40</v>
      </c>
      <c r="K15" s="15">
        <v>12</v>
      </c>
      <c r="L15" s="15">
        <v>10</v>
      </c>
      <c r="M15" s="77">
        <v>6.84</v>
      </c>
      <c r="N15" s="69">
        <v>10</v>
      </c>
      <c r="O15" s="61">
        <v>7000</v>
      </c>
      <c r="P15" s="62">
        <f>Table224578910112345678[[#This Row],[PEMBULATAN]]*O15</f>
        <v>70000</v>
      </c>
      <c r="Q15" s="174"/>
    </row>
    <row r="16" spans="1:17" ht="26.25" customHeight="1" x14ac:dyDescent="0.2">
      <c r="A16" s="13"/>
      <c r="B16" s="13"/>
      <c r="C16" s="70" t="s">
        <v>97</v>
      </c>
      <c r="D16" s="73" t="s">
        <v>113</v>
      </c>
      <c r="E16" s="12">
        <v>44577</v>
      </c>
      <c r="F16" s="73" t="s">
        <v>63</v>
      </c>
      <c r="G16" s="12">
        <v>44586</v>
      </c>
      <c r="H16" s="74" t="s">
        <v>78</v>
      </c>
      <c r="I16" s="15">
        <v>57</v>
      </c>
      <c r="J16" s="15">
        <v>40</v>
      </c>
      <c r="K16" s="15">
        <v>12</v>
      </c>
      <c r="L16" s="15">
        <v>10</v>
      </c>
      <c r="M16" s="77">
        <v>6.84</v>
      </c>
      <c r="N16" s="69">
        <v>10</v>
      </c>
      <c r="O16" s="61">
        <v>7000</v>
      </c>
      <c r="P16" s="62">
        <f>Table224578910112345678[[#This Row],[PEMBULATAN]]*O16</f>
        <v>70000</v>
      </c>
      <c r="Q16" s="175"/>
    </row>
    <row r="17" spans="1:16" ht="22.5" customHeight="1" x14ac:dyDescent="0.2">
      <c r="A17" s="168" t="s">
        <v>30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70"/>
      <c r="M17" s="75">
        <f>SUBTOTAL(109,Table224578910112345678[KG VOLUME])</f>
        <v>137.16000000000003</v>
      </c>
      <c r="N17" s="65">
        <f>SUM(N3:N16)</f>
        <v>172</v>
      </c>
      <c r="O17" s="171">
        <f>SUM(P3:P16)</f>
        <v>1204000</v>
      </c>
      <c r="P17" s="172"/>
    </row>
    <row r="18" spans="1:16" ht="18" customHeight="1" x14ac:dyDescent="0.2">
      <c r="A18" s="82"/>
      <c r="B18" s="55" t="s">
        <v>42</v>
      </c>
      <c r="C18" s="54"/>
      <c r="D18" s="56" t="s">
        <v>43</v>
      </c>
      <c r="E18" s="82"/>
      <c r="F18" s="82"/>
      <c r="G18" s="82"/>
      <c r="H18" s="82"/>
      <c r="I18" s="82"/>
      <c r="J18" s="82"/>
      <c r="K18" s="82"/>
      <c r="L18" s="82"/>
      <c r="M18" s="83"/>
      <c r="N18" s="84" t="s">
        <v>51</v>
      </c>
      <c r="O18" s="85"/>
      <c r="P18" s="85">
        <f>O17*10%</f>
        <v>120400</v>
      </c>
    </row>
    <row r="19" spans="1:16" ht="18" customHeight="1" thickBot="1" x14ac:dyDescent="0.25">
      <c r="A19" s="82"/>
      <c r="B19" s="55"/>
      <c r="C19" s="54"/>
      <c r="D19" s="56"/>
      <c r="E19" s="82"/>
      <c r="F19" s="82"/>
      <c r="G19" s="82"/>
      <c r="H19" s="82"/>
      <c r="I19" s="82"/>
      <c r="J19" s="82"/>
      <c r="K19" s="82"/>
      <c r="L19" s="82"/>
      <c r="M19" s="83"/>
      <c r="N19" s="86" t="s">
        <v>52</v>
      </c>
      <c r="O19" s="87"/>
      <c r="P19" s="87">
        <f>O17-P18</f>
        <v>1083600</v>
      </c>
    </row>
    <row r="20" spans="1:16" ht="18" customHeight="1" x14ac:dyDescent="0.2">
      <c r="A20" s="10"/>
      <c r="H20" s="60"/>
      <c r="N20" s="59" t="s">
        <v>31</v>
      </c>
      <c r="P20" s="66">
        <f>P19*1%</f>
        <v>10836</v>
      </c>
    </row>
    <row r="21" spans="1:16" ht="18" customHeight="1" thickBot="1" x14ac:dyDescent="0.25">
      <c r="A21" s="10"/>
      <c r="H21" s="60"/>
      <c r="N21" s="59" t="s">
        <v>53</v>
      </c>
      <c r="P21" s="68">
        <f>P19*2%</f>
        <v>21672</v>
      </c>
    </row>
    <row r="22" spans="1:16" ht="18" customHeight="1" x14ac:dyDescent="0.2">
      <c r="A22" s="10"/>
      <c r="H22" s="60"/>
      <c r="N22" s="63" t="s">
        <v>32</v>
      </c>
      <c r="O22" s="64"/>
      <c r="P22" s="67">
        <f>P19+P20-P21</f>
        <v>1072764</v>
      </c>
    </row>
    <row r="24" spans="1:16" x14ac:dyDescent="0.2">
      <c r="A24" s="10"/>
      <c r="H24" s="60"/>
      <c r="P24" s="68"/>
    </row>
    <row r="25" spans="1:16" x14ac:dyDescent="0.2">
      <c r="A25" s="10"/>
      <c r="H25" s="60"/>
      <c r="O25" s="57"/>
      <c r="P25" s="68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</sheetData>
  <mergeCells count="3">
    <mergeCell ref="A17:L17"/>
    <mergeCell ref="O17:P17"/>
    <mergeCell ref="Q3:Q16"/>
  </mergeCells>
  <conditionalFormatting sqref="B3">
    <cfRule type="duplicateValues" dxfId="68" priority="2"/>
  </conditionalFormatting>
  <conditionalFormatting sqref="B4">
    <cfRule type="duplicateValues" dxfId="67" priority="1"/>
  </conditionalFormatting>
  <conditionalFormatting sqref="B5:B16">
    <cfRule type="duplicateValues" dxfId="66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2"/>
  <cols>
    <col min="1" max="1" width="6.5703125" style="4" customWidth="1"/>
    <col min="2" max="2" width="19.28515625" style="2" customWidth="1"/>
    <col min="3" max="3" width="14.5703125" style="2" customWidth="1"/>
    <col min="4" max="4" width="11" style="3" customWidth="1"/>
    <col min="5" max="5" width="7.5703125" style="11" customWidth="1"/>
    <col min="6" max="6" width="12.28515625" style="3" customWidth="1"/>
    <col min="7" max="7" width="10.5703125" style="3" customWidth="1"/>
    <col min="8" max="8" width="21.14062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" style="14" customWidth="1"/>
    <col min="16" max="16" width="9.28515625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403477</v>
      </c>
      <c r="B3" s="71" t="s">
        <v>98</v>
      </c>
      <c r="C3" s="8" t="s">
        <v>99</v>
      </c>
      <c r="D3" s="73" t="s">
        <v>113</v>
      </c>
      <c r="E3" s="12">
        <v>44583</v>
      </c>
      <c r="F3" s="73" t="s">
        <v>63</v>
      </c>
      <c r="G3" s="12">
        <v>44594</v>
      </c>
      <c r="H3" s="9" t="s">
        <v>101</v>
      </c>
      <c r="I3" s="1">
        <v>55</v>
      </c>
      <c r="J3" s="1">
        <v>34</v>
      </c>
      <c r="K3" s="1">
        <v>12</v>
      </c>
      <c r="L3" s="1">
        <v>10</v>
      </c>
      <c r="M3" s="76">
        <v>5.61</v>
      </c>
      <c r="N3" s="7">
        <v>10</v>
      </c>
      <c r="O3" s="61">
        <v>7000</v>
      </c>
      <c r="P3" s="62">
        <f>Table2245789101123456789[[#This Row],[PEMBULATAN]]*O3</f>
        <v>70000</v>
      </c>
      <c r="Q3" s="173">
        <v>2</v>
      </c>
    </row>
    <row r="4" spans="1:17" ht="26.25" customHeight="1" x14ac:dyDescent="0.2">
      <c r="A4" s="13"/>
      <c r="B4" s="72"/>
      <c r="C4" s="8" t="s">
        <v>100</v>
      </c>
      <c r="D4" s="73" t="s">
        <v>113</v>
      </c>
      <c r="E4" s="12">
        <v>44583</v>
      </c>
      <c r="F4" s="73" t="s">
        <v>63</v>
      </c>
      <c r="G4" s="12">
        <v>44594</v>
      </c>
      <c r="H4" s="9" t="s">
        <v>101</v>
      </c>
      <c r="I4" s="1">
        <v>39</v>
      </c>
      <c r="J4" s="1">
        <v>28</v>
      </c>
      <c r="K4" s="1">
        <v>20</v>
      </c>
      <c r="L4" s="1">
        <v>18</v>
      </c>
      <c r="M4" s="76">
        <v>5.46</v>
      </c>
      <c r="N4" s="7">
        <v>18</v>
      </c>
      <c r="O4" s="61">
        <v>7000</v>
      </c>
      <c r="P4" s="62">
        <f>Table2245789101123456789[[#This Row],[PEMBULATAN]]*O4</f>
        <v>126000</v>
      </c>
      <c r="Q4" s="175"/>
    </row>
    <row r="5" spans="1:17" ht="22.5" customHeight="1" x14ac:dyDescent="0.2">
      <c r="A5" s="168" t="s">
        <v>30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70"/>
      <c r="M5" s="75">
        <f>SUBTOTAL(109,Table2245789101123456789[KG VOLUME])</f>
        <v>11.07</v>
      </c>
      <c r="N5" s="65">
        <f>SUM(N3:N4)</f>
        <v>28</v>
      </c>
      <c r="O5" s="171">
        <f>SUM(P3:P4)</f>
        <v>196000</v>
      </c>
      <c r="P5" s="172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19600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176400</v>
      </c>
    </row>
    <row r="8" spans="1:17" ht="18" customHeight="1" x14ac:dyDescent="0.2">
      <c r="A8" s="10"/>
      <c r="H8" s="60"/>
      <c r="N8" s="59" t="s">
        <v>31</v>
      </c>
      <c r="P8" s="66">
        <f>P7*1%</f>
        <v>1764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3528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174636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50" priority="2"/>
  </conditionalFormatting>
  <conditionalFormatting sqref="B4">
    <cfRule type="duplicateValues" dxfId="4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defaultRowHeight="15" x14ac:dyDescent="0.2"/>
  <cols>
    <col min="1" max="1" width="6.28515625" style="4" customWidth="1"/>
    <col min="2" max="2" width="18.7109375" style="2" customWidth="1"/>
    <col min="3" max="3" width="14.5703125" style="2" customWidth="1"/>
    <col min="4" max="4" width="10.42578125" style="3" customWidth="1"/>
    <col min="5" max="5" width="9.140625" style="11" customWidth="1"/>
    <col min="6" max="6" width="12.85546875" style="3" customWidth="1"/>
    <col min="7" max="7" width="10.85546875" style="3" customWidth="1"/>
    <col min="8" max="8" width="21.28515625" style="6" customWidth="1"/>
    <col min="9" max="9" width="3.7109375" style="3" customWidth="1"/>
    <col min="10" max="10" width="3.85546875" style="3" customWidth="1"/>
    <col min="11" max="11" width="3.7109375" style="3" customWidth="1"/>
    <col min="12" max="12" width="4.425781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8.71093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9">
        <v>403355</v>
      </c>
      <c r="B3" s="71" t="s">
        <v>102</v>
      </c>
      <c r="C3" s="8" t="s">
        <v>103</v>
      </c>
      <c r="D3" s="73" t="s">
        <v>113</v>
      </c>
      <c r="E3" s="12">
        <v>44585</v>
      </c>
      <c r="F3" s="73" t="s">
        <v>63</v>
      </c>
      <c r="G3" s="12">
        <v>44594</v>
      </c>
      <c r="H3" s="9" t="s">
        <v>101</v>
      </c>
      <c r="I3" s="1">
        <v>31</v>
      </c>
      <c r="J3" s="1">
        <v>22</v>
      </c>
      <c r="K3" s="1">
        <v>18</v>
      </c>
      <c r="L3" s="1">
        <v>7</v>
      </c>
      <c r="M3" s="76">
        <v>3.069</v>
      </c>
      <c r="N3" s="7">
        <v>7</v>
      </c>
      <c r="O3" s="61">
        <v>7000</v>
      </c>
      <c r="P3" s="62">
        <f>Table224578910112345678910[[#This Row],[PEMBULATAN]]*O3</f>
        <v>49000</v>
      </c>
      <c r="Q3" s="173">
        <v>2</v>
      </c>
    </row>
    <row r="4" spans="1:17" ht="26.25" customHeight="1" x14ac:dyDescent="0.2">
      <c r="A4" s="13"/>
      <c r="B4" s="72"/>
      <c r="C4" s="8" t="s">
        <v>104</v>
      </c>
      <c r="D4" s="73" t="s">
        <v>113</v>
      </c>
      <c r="E4" s="12">
        <v>44585</v>
      </c>
      <c r="F4" s="73" t="s">
        <v>63</v>
      </c>
      <c r="G4" s="12">
        <v>44594</v>
      </c>
      <c r="H4" s="9" t="s">
        <v>101</v>
      </c>
      <c r="I4" s="1">
        <v>31</v>
      </c>
      <c r="J4" s="1">
        <v>22</v>
      </c>
      <c r="K4" s="1">
        <v>18</v>
      </c>
      <c r="L4" s="1">
        <v>7</v>
      </c>
      <c r="M4" s="76">
        <v>3.069</v>
      </c>
      <c r="N4" s="7">
        <v>7</v>
      </c>
      <c r="O4" s="61">
        <v>7000</v>
      </c>
      <c r="P4" s="62">
        <f>Table224578910112345678910[[#This Row],[PEMBULATAN]]*O4</f>
        <v>49000</v>
      </c>
      <c r="Q4" s="175"/>
    </row>
    <row r="5" spans="1:17" ht="22.5" customHeight="1" x14ac:dyDescent="0.2">
      <c r="A5" s="168" t="s">
        <v>30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70"/>
      <c r="M5" s="75">
        <f>SUBTOTAL(109,Table224578910112345678910[KG VOLUME])</f>
        <v>6.1379999999999999</v>
      </c>
      <c r="N5" s="65">
        <f>SUM(N3:N4)</f>
        <v>14</v>
      </c>
      <c r="O5" s="171">
        <f>SUM(P3:P4)</f>
        <v>98000</v>
      </c>
      <c r="P5" s="172"/>
    </row>
    <row r="6" spans="1:17" ht="18" customHeight="1" x14ac:dyDescent="0.2">
      <c r="A6" s="82"/>
      <c r="B6" s="55" t="s">
        <v>42</v>
      </c>
      <c r="C6" s="54"/>
      <c r="D6" s="56" t="s">
        <v>43</v>
      </c>
      <c r="E6" s="82"/>
      <c r="F6" s="82"/>
      <c r="G6" s="82"/>
      <c r="H6" s="82"/>
      <c r="I6" s="82"/>
      <c r="J6" s="82"/>
      <c r="K6" s="82"/>
      <c r="L6" s="82"/>
      <c r="M6" s="83"/>
      <c r="N6" s="84" t="s">
        <v>51</v>
      </c>
      <c r="O6" s="85"/>
      <c r="P6" s="85">
        <f>O5*10%</f>
        <v>9800</v>
      </c>
    </row>
    <row r="7" spans="1:17" ht="18" customHeight="1" thickBot="1" x14ac:dyDescent="0.25">
      <c r="A7" s="82"/>
      <c r="B7" s="55"/>
      <c r="C7" s="54"/>
      <c r="D7" s="56"/>
      <c r="E7" s="82"/>
      <c r="F7" s="82"/>
      <c r="G7" s="82"/>
      <c r="H7" s="82"/>
      <c r="I7" s="82"/>
      <c r="J7" s="82"/>
      <c r="K7" s="82"/>
      <c r="L7" s="82"/>
      <c r="M7" s="83"/>
      <c r="N7" s="86" t="s">
        <v>52</v>
      </c>
      <c r="O7" s="87"/>
      <c r="P7" s="87">
        <f>O5-P6</f>
        <v>88200</v>
      </c>
    </row>
    <row r="8" spans="1:17" ht="18" customHeight="1" x14ac:dyDescent="0.2">
      <c r="A8" s="10"/>
      <c r="H8" s="60"/>
      <c r="N8" s="59" t="s">
        <v>31</v>
      </c>
      <c r="P8" s="66">
        <f>P7*1%</f>
        <v>882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1764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87318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33" priority="2"/>
  </conditionalFormatting>
  <conditionalFormatting sqref="B4">
    <cfRule type="duplicateValues" dxfId="3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Sicepat_Tj Pinang_Januari 22</vt:lpstr>
      <vt:lpstr>ALL</vt:lpstr>
      <vt:lpstr>402768</vt:lpstr>
      <vt:lpstr>402912</vt:lpstr>
      <vt:lpstr>402927</vt:lpstr>
      <vt:lpstr>402932</vt:lpstr>
      <vt:lpstr>402942</vt:lpstr>
      <vt:lpstr>403477</vt:lpstr>
      <vt:lpstr>403355</vt:lpstr>
      <vt:lpstr>403369</vt:lpstr>
      <vt:lpstr>'402768'!Print_Titles</vt:lpstr>
      <vt:lpstr>'402912'!Print_Titles</vt:lpstr>
      <vt:lpstr>'402927'!Print_Titles</vt:lpstr>
      <vt:lpstr>'402932'!Print_Titles</vt:lpstr>
      <vt:lpstr>'402942'!Print_Titles</vt:lpstr>
      <vt:lpstr>'403355'!Print_Titles</vt:lpstr>
      <vt:lpstr>'403369'!Print_Titles</vt:lpstr>
      <vt:lpstr>'403477'!Print_Titles</vt:lpstr>
      <vt:lpstr>ALL!Print_Titles</vt:lpstr>
      <vt:lpstr>'Sicepat_Tj Pinang_Januari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2022-03-01T06:58:27Z</cp:lastPrinted>
  <dcterms:created xsi:type="dcterms:W3CDTF">2021-07-02T11:08:00Z</dcterms:created>
  <dcterms:modified xsi:type="dcterms:W3CDTF">2022-03-10T06:27:30Z</dcterms:modified>
</cp:coreProperties>
</file>