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1、财务报表分部及合并\2019年报表\2019年9月\"/>
    </mc:Choice>
  </mc:AlternateContent>
  <bookViews>
    <workbookView xWindow="10125" yWindow="75" windowWidth="10860" windowHeight="9855" tabRatio="818" firstSheet="1" activeTab="9"/>
  </bookViews>
  <sheets>
    <sheet name="标准科目" sheetId="8" state="hidden" r:id="rId1"/>
    <sheet name="财务简表" sheetId="22" r:id="rId2"/>
    <sheet name="过渡表" sheetId="10" r:id="rId3"/>
    <sheet name="抵消分录" sheetId="6" r:id="rId4"/>
    <sheet name="合并资产负债表" sheetId="12" r:id="rId5"/>
    <sheet name="合并利润表" sheetId="13" r:id="rId6"/>
    <sheet name="合并现金流量表" sheetId="14" r:id="rId7"/>
    <sheet name="资产负债表" sheetId="15" r:id="rId8"/>
    <sheet name="利润表" sheetId="16" r:id="rId9"/>
    <sheet name="现金流量表" sheetId="17" r:id="rId10"/>
    <sheet name="合并所有者权益变动表" sheetId="20" r:id="rId11"/>
    <sheet name="母公司所有者权益变动表" sheetId="21" r:id="rId12"/>
    <sheet name="Sheet1" sheetId="18" state="hidden" r:id="rId13"/>
  </sheets>
  <externalReferences>
    <externalReference r:id="rId14"/>
  </externalReferences>
  <definedNames>
    <definedName name="_xlnm._FilterDatabase" localSheetId="3" hidden="1">抵消分录!$A$4:$U$217</definedName>
    <definedName name="_xlnm._FilterDatabase" localSheetId="4" hidden="1">合并资产负债表!$A$6:$IF$93</definedName>
    <definedName name="_xlnm.Print_Area" localSheetId="3">抵消分录!$B$4:$G$177</definedName>
    <definedName name="_xlnm.Print_Area" localSheetId="5">合并利润表!$A$2:$D$62</definedName>
    <definedName name="_xlnm.Print_Area" localSheetId="6">合并现金流量表!$A$1:$D$50</definedName>
    <definedName name="_xlnm.Print_Area" localSheetId="4">合并资产负债表!$A$1:$C$98</definedName>
    <definedName name="_xlnm.Print_Area" localSheetId="8">利润表!$A$1:$D$42</definedName>
    <definedName name="_xlnm.Print_Area" localSheetId="9">现金流量表!$A$1:$D$48</definedName>
    <definedName name="_xlnm.Print_Area" localSheetId="7">资产负债表!$A$1:$C$93</definedName>
    <definedName name="科目">标准科目!$A$1:$A$110</definedName>
    <definedName name="性质">标准科目!$C$1:$C$2</definedName>
  </definedNames>
  <calcPr calcId="162913"/>
  <pivotCaches>
    <pivotCache cacheId="0" r:id="rId15"/>
  </pivotCaches>
</workbook>
</file>

<file path=xl/calcChain.xml><?xml version="1.0" encoding="utf-8"?>
<calcChain xmlns="http://schemas.openxmlformats.org/spreadsheetml/2006/main">
  <c r="C59" i="17" l="1"/>
  <c r="B91" i="12" l="1"/>
  <c r="D9" i="13" l="1"/>
  <c r="D28" i="14"/>
  <c r="D29" i="14" s="1"/>
  <c r="D23" i="14"/>
  <c r="D15" i="14"/>
  <c r="D16" i="14" s="1"/>
  <c r="D10" i="14"/>
  <c r="Q116" i="10"/>
  <c r="B81" i="17" l="1"/>
  <c r="B82" i="17" l="1"/>
  <c r="B77" i="17"/>
  <c r="B78" i="17"/>
  <c r="B76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60" i="17"/>
  <c r="C17" i="17"/>
  <c r="C18" i="17"/>
  <c r="C19" i="17"/>
  <c r="C20" i="17"/>
  <c r="C21" i="17"/>
  <c r="C22" i="17"/>
  <c r="C30" i="17"/>
  <c r="C31" i="17"/>
  <c r="C32" i="17"/>
  <c r="C33" i="17"/>
  <c r="C34" i="17"/>
  <c r="B8" i="17"/>
  <c r="B9" i="17"/>
  <c r="B11" i="17"/>
  <c r="B12" i="17"/>
  <c r="B13" i="17"/>
  <c r="B14" i="17"/>
  <c r="B17" i="17"/>
  <c r="B18" i="17"/>
  <c r="B19" i="17"/>
  <c r="B20" i="17"/>
  <c r="B21" i="17"/>
  <c r="B22" i="17"/>
  <c r="B24" i="17"/>
  <c r="B25" i="17"/>
  <c r="B26" i="17"/>
  <c r="B27" i="17"/>
  <c r="B30" i="17"/>
  <c r="B31" i="17"/>
  <c r="B32" i="17"/>
  <c r="B33" i="17"/>
  <c r="B34" i="17"/>
  <c r="B36" i="17"/>
  <c r="B37" i="17"/>
  <c r="B38" i="17"/>
  <c r="B7" i="17"/>
  <c r="D26" i="16"/>
  <c r="D29" i="16" s="1"/>
  <c r="D31" i="16" s="1"/>
  <c r="C20" i="16"/>
  <c r="B30" i="16"/>
  <c r="B28" i="16"/>
  <c r="B27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59" i="17" s="1"/>
  <c r="B25" i="16"/>
  <c r="B6" i="16"/>
  <c r="C88" i="15"/>
  <c r="B80" i="15"/>
  <c r="B81" i="15"/>
  <c r="B82" i="15"/>
  <c r="B83" i="15"/>
  <c r="B84" i="15"/>
  <c r="B85" i="15"/>
  <c r="B86" i="15"/>
  <c r="B87" i="15"/>
  <c r="C75" i="14"/>
  <c r="C76" i="14"/>
  <c r="C74" i="14"/>
  <c r="C17" i="14"/>
  <c r="C30" i="14"/>
  <c r="C34" i="14"/>
  <c r="B75" i="14"/>
  <c r="B76" i="14"/>
  <c r="B74" i="14"/>
  <c r="B68" i="14"/>
  <c r="B69" i="14"/>
  <c r="B70" i="14"/>
  <c r="B71" i="14"/>
  <c r="B58" i="14"/>
  <c r="B17" i="14"/>
  <c r="B30" i="14"/>
  <c r="B34" i="14"/>
  <c r="B28" i="17" l="1"/>
  <c r="B15" i="17"/>
  <c r="B10" i="17"/>
  <c r="B26" i="16"/>
  <c r="B29" i="16" s="1"/>
  <c r="B31" i="16" s="1"/>
  <c r="B32" i="16" s="1"/>
  <c r="C35" i="17"/>
  <c r="C23" i="17"/>
  <c r="B35" i="17"/>
  <c r="B23" i="17"/>
  <c r="C22" i="13"/>
  <c r="B16" i="17" l="1"/>
  <c r="B29" i="17"/>
  <c r="B22" i="13"/>
  <c r="E102" i="10" l="1"/>
  <c r="H102" i="10"/>
  <c r="K102" i="10"/>
  <c r="L102" i="10"/>
  <c r="M102" i="10"/>
  <c r="N102" i="10"/>
  <c r="O102" i="10"/>
  <c r="S102" i="10"/>
  <c r="T102" i="10"/>
  <c r="B102" i="10"/>
  <c r="V95" i="10" l="1"/>
  <c r="C19" i="16" s="1"/>
  <c r="P95" i="10"/>
  <c r="R95" i="10" s="1"/>
  <c r="U95" i="10" l="1"/>
  <c r="C21" i="13" s="1"/>
  <c r="B21" i="13"/>
  <c r="E7" i="22" l="1"/>
  <c r="S191" i="10" l="1"/>
  <c r="D92" i="15" l="1"/>
  <c r="D43" i="15"/>
  <c r="A43" i="15"/>
  <c r="A92" i="15" s="1"/>
  <c r="A81" i="14"/>
  <c r="E97" i="12"/>
  <c r="D97" i="12"/>
  <c r="E45" i="12"/>
  <c r="D45" i="12"/>
  <c r="D20" i="22" l="1"/>
  <c r="D22" i="22" s="1"/>
  <c r="D5" i="22"/>
  <c r="D57" i="14" l="1"/>
  <c r="B52" i="12" l="1"/>
  <c r="E52" i="12" s="1"/>
  <c r="D7" i="13" l="1"/>
  <c r="D10" i="17"/>
  <c r="D28" i="13" l="1"/>
  <c r="D31" i="13" s="1"/>
  <c r="D33" i="13" s="1"/>
  <c r="D4" i="22"/>
  <c r="D9" i="22" s="1"/>
  <c r="A98" i="12"/>
  <c r="A48" i="17"/>
  <c r="A42" i="16"/>
  <c r="A3" i="20"/>
  <c r="A44" i="20" s="1"/>
  <c r="E21" i="12" l="1"/>
  <c r="E23" i="12"/>
  <c r="E34" i="12"/>
  <c r="E43" i="12"/>
  <c r="E44" i="12"/>
  <c r="E46" i="12"/>
  <c r="E47" i="12"/>
  <c r="E48" i="12"/>
  <c r="E50" i="12"/>
  <c r="E51" i="12"/>
  <c r="E53" i="12"/>
  <c r="E69" i="12"/>
  <c r="E81" i="12"/>
  <c r="E92" i="12"/>
  <c r="V84" i="10"/>
  <c r="C8" i="16" s="1"/>
  <c r="L129" i="10" l="1"/>
  <c r="H129" i="10"/>
  <c r="N55" i="10"/>
  <c r="D59" i="17"/>
  <c r="E203" i="10"/>
  <c r="H203" i="10"/>
  <c r="K203" i="10"/>
  <c r="L203" i="10"/>
  <c r="M203" i="10"/>
  <c r="N203" i="10"/>
  <c r="O203" i="10"/>
  <c r="D80" i="15"/>
  <c r="D81" i="15"/>
  <c r="D82" i="15"/>
  <c r="D83" i="15"/>
  <c r="D84" i="15"/>
  <c r="D85" i="15"/>
  <c r="B79" i="15"/>
  <c r="D86" i="15"/>
  <c r="B72" i="12"/>
  <c r="B73" i="12"/>
  <c r="P94" i="10"/>
  <c r="R94" i="10" s="1"/>
  <c r="B20" i="13" s="1"/>
  <c r="B68" i="15"/>
  <c r="D68" i="15" s="1"/>
  <c r="B69" i="15"/>
  <c r="D69" i="15" s="1"/>
  <c r="B70" i="15"/>
  <c r="D70" i="15" s="1"/>
  <c r="B71" i="15"/>
  <c r="D71" i="15" s="1"/>
  <c r="B72" i="15"/>
  <c r="D72" i="15" s="1"/>
  <c r="B73" i="15"/>
  <c r="D73" i="15" s="1"/>
  <c r="B74" i="15"/>
  <c r="D74" i="15" s="1"/>
  <c r="B75" i="15"/>
  <c r="D75" i="15" s="1"/>
  <c r="B67" i="15"/>
  <c r="D67" i="15" s="1"/>
  <c r="B52" i="15"/>
  <c r="D52" i="15" s="1"/>
  <c r="B53" i="15"/>
  <c r="D53" i="15" s="1"/>
  <c r="B54" i="15"/>
  <c r="D54" i="15" s="1"/>
  <c r="B55" i="15"/>
  <c r="D55" i="15" s="1"/>
  <c r="B56" i="15"/>
  <c r="D56" i="15" s="1"/>
  <c r="B57" i="15"/>
  <c r="D57" i="15" s="1"/>
  <c r="B58" i="15"/>
  <c r="D58" i="15" s="1"/>
  <c r="B59" i="15"/>
  <c r="D59" i="15" s="1"/>
  <c r="B60" i="15"/>
  <c r="D60" i="15" s="1"/>
  <c r="B61" i="15"/>
  <c r="D61" i="15" s="1"/>
  <c r="B62" i="15"/>
  <c r="D62" i="15" s="1"/>
  <c r="B63" i="15"/>
  <c r="D63" i="15" s="1"/>
  <c r="B64" i="15"/>
  <c r="D64" i="15" s="1"/>
  <c r="B51" i="15"/>
  <c r="D51" i="15" s="1"/>
  <c r="B23" i="15"/>
  <c r="D23" i="15" s="1"/>
  <c r="B24" i="15"/>
  <c r="D24" i="15" s="1"/>
  <c r="B25" i="15"/>
  <c r="D25" i="15" s="1"/>
  <c r="B26" i="15"/>
  <c r="D26" i="15" s="1"/>
  <c r="B27" i="15"/>
  <c r="D27" i="15" s="1"/>
  <c r="B28" i="15"/>
  <c r="D28" i="15" s="1"/>
  <c r="B29" i="15"/>
  <c r="D29" i="15" s="1"/>
  <c r="B30" i="15"/>
  <c r="D30" i="15" s="1"/>
  <c r="B31" i="15"/>
  <c r="D31" i="15" s="1"/>
  <c r="B32" i="15"/>
  <c r="D32" i="15" s="1"/>
  <c r="B33" i="15"/>
  <c r="D33" i="15" s="1"/>
  <c r="B34" i="15"/>
  <c r="D34" i="15" s="1"/>
  <c r="B35" i="15"/>
  <c r="D35" i="15" s="1"/>
  <c r="B36" i="15"/>
  <c r="D36" i="15" s="1"/>
  <c r="B37" i="15"/>
  <c r="D37" i="15" s="1"/>
  <c r="B38" i="15"/>
  <c r="D38" i="15" s="1"/>
  <c r="B22" i="15"/>
  <c r="D22" i="15" s="1"/>
  <c r="B7" i="15"/>
  <c r="D7" i="15" s="1"/>
  <c r="B8" i="15"/>
  <c r="D8" i="15" s="1"/>
  <c r="B9" i="15"/>
  <c r="D9" i="15" s="1"/>
  <c r="B10" i="15"/>
  <c r="D10" i="15" s="1"/>
  <c r="B11" i="15"/>
  <c r="D11" i="15" s="1"/>
  <c r="B12" i="15"/>
  <c r="D12" i="15" s="1"/>
  <c r="B13" i="15"/>
  <c r="D13" i="15" s="1"/>
  <c r="B14" i="15"/>
  <c r="D14" i="15" s="1"/>
  <c r="B15" i="15"/>
  <c r="D15" i="15" s="1"/>
  <c r="B16" i="15"/>
  <c r="D16" i="15" s="1"/>
  <c r="B17" i="15"/>
  <c r="D17" i="15" s="1"/>
  <c r="B18" i="15"/>
  <c r="D18" i="15" s="1"/>
  <c r="B19" i="15"/>
  <c r="D19" i="15" s="1"/>
  <c r="D91" i="10"/>
  <c r="B84" i="12"/>
  <c r="B85" i="12"/>
  <c r="E8" i="17"/>
  <c r="E9" i="17"/>
  <c r="E7" i="17"/>
  <c r="E12" i="17"/>
  <c r="E13" i="17"/>
  <c r="E14" i="17"/>
  <c r="E17" i="17"/>
  <c r="E18" i="17"/>
  <c r="E19" i="17"/>
  <c r="E20" i="17"/>
  <c r="E22" i="17"/>
  <c r="E24" i="17"/>
  <c r="E26" i="17"/>
  <c r="E27" i="17"/>
  <c r="E30" i="17"/>
  <c r="E31" i="17"/>
  <c r="E32" i="17"/>
  <c r="E34" i="17"/>
  <c r="E36" i="17"/>
  <c r="E37" i="17"/>
  <c r="E38" i="17"/>
  <c r="E41" i="17"/>
  <c r="E9" i="16"/>
  <c r="E10" i="16"/>
  <c r="E11" i="16"/>
  <c r="E12" i="16"/>
  <c r="E13" i="16"/>
  <c r="E14" i="16"/>
  <c r="E15" i="16"/>
  <c r="E23" i="16"/>
  <c r="E16" i="16"/>
  <c r="E17" i="16"/>
  <c r="E18" i="16"/>
  <c r="E21" i="16"/>
  <c r="E22" i="16"/>
  <c r="E25" i="16"/>
  <c r="E8" i="16"/>
  <c r="E27" i="16"/>
  <c r="E28" i="16"/>
  <c r="E30" i="16"/>
  <c r="E33" i="16"/>
  <c r="E34" i="16"/>
  <c r="D21" i="15"/>
  <c r="D41" i="15"/>
  <c r="D42" i="15"/>
  <c r="D44" i="15"/>
  <c r="D45" i="15"/>
  <c r="D46" i="15"/>
  <c r="D47" i="15"/>
  <c r="D48" i="15"/>
  <c r="D50" i="15"/>
  <c r="D66" i="15"/>
  <c r="D78" i="15"/>
  <c r="H134" i="10"/>
  <c r="E134" i="10"/>
  <c r="E129" i="10"/>
  <c r="E17" i="14"/>
  <c r="E30" i="14"/>
  <c r="E32" i="14"/>
  <c r="E39" i="14"/>
  <c r="E43" i="14"/>
  <c r="D21" i="12"/>
  <c r="D43" i="12"/>
  <c r="D44" i="12"/>
  <c r="D46" i="12"/>
  <c r="D48" i="12"/>
  <c r="D50" i="12"/>
  <c r="D51" i="12"/>
  <c r="D53" i="12"/>
  <c r="D69" i="12"/>
  <c r="D81" i="12"/>
  <c r="D92" i="12"/>
  <c r="C20" i="15"/>
  <c r="C20" i="12"/>
  <c r="J45" i="10"/>
  <c r="P45" i="10" s="1"/>
  <c r="E18" i="10"/>
  <c r="H18" i="10"/>
  <c r="K18" i="10"/>
  <c r="L18" i="10"/>
  <c r="M18" i="10"/>
  <c r="N18" i="10"/>
  <c r="O18" i="10"/>
  <c r="B18" i="10"/>
  <c r="A86" i="17"/>
  <c r="A44" i="15"/>
  <c r="A93" i="15" s="1"/>
  <c r="A82" i="14"/>
  <c r="S169" i="10"/>
  <c r="J170" i="10"/>
  <c r="D170" i="10"/>
  <c r="G170" i="10"/>
  <c r="J171" i="10"/>
  <c r="D171" i="10"/>
  <c r="G171" i="10"/>
  <c r="J172" i="10"/>
  <c r="D172" i="10"/>
  <c r="G172" i="10"/>
  <c r="J173" i="10"/>
  <c r="D173" i="10"/>
  <c r="G173" i="10"/>
  <c r="J174" i="10"/>
  <c r="D174" i="10"/>
  <c r="G174" i="10"/>
  <c r="J175" i="10"/>
  <c r="D175" i="10"/>
  <c r="G175" i="10"/>
  <c r="J176" i="10"/>
  <c r="D176" i="10"/>
  <c r="G176" i="10"/>
  <c r="J177" i="10"/>
  <c r="G177" i="10"/>
  <c r="D177" i="10"/>
  <c r="J178" i="10"/>
  <c r="D178" i="10"/>
  <c r="G178" i="10"/>
  <c r="J179" i="10"/>
  <c r="D179" i="10"/>
  <c r="G179" i="10"/>
  <c r="J180" i="10"/>
  <c r="D180" i="10"/>
  <c r="G180" i="10"/>
  <c r="J181" i="10"/>
  <c r="D181" i="10"/>
  <c r="G181" i="10"/>
  <c r="J182" i="10"/>
  <c r="G182" i="10"/>
  <c r="D182" i="10"/>
  <c r="J183" i="10"/>
  <c r="D183" i="10"/>
  <c r="G183" i="10"/>
  <c r="D15" i="17"/>
  <c r="D16" i="17" s="1"/>
  <c r="D28" i="17"/>
  <c r="L134" i="10"/>
  <c r="L142" i="10"/>
  <c r="L147" i="10"/>
  <c r="L154" i="10"/>
  <c r="L159" i="10" s="1"/>
  <c r="L158" i="10"/>
  <c r="V126" i="10"/>
  <c r="C7" i="17" s="1"/>
  <c r="V127" i="10"/>
  <c r="C8" i="17" s="1"/>
  <c r="V128" i="10"/>
  <c r="C9" i="17" s="1"/>
  <c r="V130" i="10"/>
  <c r="C11" i="17" s="1"/>
  <c r="V131" i="10"/>
  <c r="C12" i="17" s="1"/>
  <c r="V132" i="10"/>
  <c r="C13" i="17" s="1"/>
  <c r="V133" i="10"/>
  <c r="C14" i="17" s="1"/>
  <c r="T142" i="10"/>
  <c r="V143" i="10"/>
  <c r="C24" i="17" s="1"/>
  <c r="V144" i="10"/>
  <c r="C25" i="17" s="1"/>
  <c r="V145" i="10"/>
  <c r="C26" i="17" s="1"/>
  <c r="V146" i="10"/>
  <c r="C27" i="17" s="1"/>
  <c r="T154" i="10"/>
  <c r="V154" i="10" s="1"/>
  <c r="T158" i="10"/>
  <c r="T159" i="10" s="1"/>
  <c r="V160" i="10"/>
  <c r="B43" i="17"/>
  <c r="C79" i="14"/>
  <c r="J162" i="10"/>
  <c r="D162" i="10"/>
  <c r="G162" i="10"/>
  <c r="S142" i="10"/>
  <c r="S154" i="10"/>
  <c r="S158" i="10"/>
  <c r="K142" i="10"/>
  <c r="M142" i="10"/>
  <c r="N142" i="10"/>
  <c r="O142" i="10"/>
  <c r="K154" i="10"/>
  <c r="K158" i="10"/>
  <c r="M154" i="10"/>
  <c r="M158" i="10"/>
  <c r="N154" i="10"/>
  <c r="N158" i="10"/>
  <c r="O154" i="10"/>
  <c r="O158" i="10"/>
  <c r="L105" i="10"/>
  <c r="L168" i="10"/>
  <c r="V168" i="10" s="1"/>
  <c r="L169" i="10"/>
  <c r="K105" i="10"/>
  <c r="K107" i="10" s="1"/>
  <c r="K110" i="10" s="1"/>
  <c r="K168" i="10"/>
  <c r="K169" i="10"/>
  <c r="M105" i="10"/>
  <c r="M107" i="10" s="1"/>
  <c r="M110" i="10" s="1"/>
  <c r="M168" i="10"/>
  <c r="M169" i="10"/>
  <c r="N105" i="10"/>
  <c r="N107" i="10" s="1"/>
  <c r="N110" i="10" s="1"/>
  <c r="N168" i="10"/>
  <c r="N169" i="10"/>
  <c r="O105" i="10"/>
  <c r="O107" i="10" s="1"/>
  <c r="O110" i="10" s="1"/>
  <c r="O168" i="10"/>
  <c r="O169" i="10"/>
  <c r="S105" i="10"/>
  <c r="S107" i="10" s="1"/>
  <c r="S110" i="10" s="1"/>
  <c r="M129" i="10"/>
  <c r="M134" i="10"/>
  <c r="M147" i="10"/>
  <c r="N129" i="10"/>
  <c r="N134" i="10"/>
  <c r="N147" i="10"/>
  <c r="N148" i="10"/>
  <c r="O129" i="10"/>
  <c r="O134" i="10"/>
  <c r="O147" i="10"/>
  <c r="K129" i="10"/>
  <c r="K134" i="10"/>
  <c r="K147" i="10"/>
  <c r="E142" i="10"/>
  <c r="E147" i="10"/>
  <c r="E154" i="10"/>
  <c r="E158" i="10"/>
  <c r="B129" i="10"/>
  <c r="B134" i="10"/>
  <c r="B142" i="10"/>
  <c r="B147" i="10"/>
  <c r="B154" i="10"/>
  <c r="B158" i="10"/>
  <c r="B191" i="10"/>
  <c r="D191" i="10" s="1"/>
  <c r="H142" i="10"/>
  <c r="H147" i="10"/>
  <c r="H154" i="10"/>
  <c r="H158" i="10"/>
  <c r="E105" i="10"/>
  <c r="E107" i="10" s="1"/>
  <c r="E110" i="10" s="1"/>
  <c r="F159" i="10"/>
  <c r="E191" i="10"/>
  <c r="G191" i="10" s="1"/>
  <c r="H105" i="10"/>
  <c r="H107" i="10" s="1"/>
  <c r="H110" i="10" s="1"/>
  <c r="H191" i="10"/>
  <c r="J191" i="10" s="1"/>
  <c r="T169" i="10"/>
  <c r="N38" i="10"/>
  <c r="N78" i="10"/>
  <c r="C43" i="17"/>
  <c r="V191" i="10"/>
  <c r="C81" i="17" s="1"/>
  <c r="V5" i="10"/>
  <c r="D17" i="18"/>
  <c r="C17" i="18"/>
  <c r="C16" i="18"/>
  <c r="D13" i="18"/>
  <c r="T129" i="10"/>
  <c r="T134" i="10"/>
  <c r="U136" i="10"/>
  <c r="S196" i="10"/>
  <c r="T196" i="10"/>
  <c r="U196" i="10"/>
  <c r="V196" i="10"/>
  <c r="D8" i="18"/>
  <c r="S129" i="10"/>
  <c r="S134" i="10"/>
  <c r="S147" i="10"/>
  <c r="K191" i="10"/>
  <c r="L191" i="10"/>
  <c r="M191" i="10"/>
  <c r="N191" i="10"/>
  <c r="O191" i="10"/>
  <c r="B10" i="18"/>
  <c r="B11" i="18"/>
  <c r="D3" i="18"/>
  <c r="H169" i="10"/>
  <c r="B4" i="18"/>
  <c r="A3" i="18"/>
  <c r="B105" i="10"/>
  <c r="B107" i="10" s="1"/>
  <c r="B110" i="10" s="1"/>
  <c r="C79" i="12"/>
  <c r="C68" i="12"/>
  <c r="V182" i="10"/>
  <c r="C72" i="17" s="1"/>
  <c r="T147" i="10"/>
  <c r="T191" i="10"/>
  <c r="T105" i="10"/>
  <c r="T107" i="10" s="1"/>
  <c r="T110" i="10" s="1"/>
  <c r="L55" i="10"/>
  <c r="C91" i="12"/>
  <c r="C93" i="12" s="1"/>
  <c r="D19" i="22" s="1"/>
  <c r="C5" i="17"/>
  <c r="C56" i="17" s="1"/>
  <c r="C5" i="14"/>
  <c r="C54" i="14" s="1"/>
  <c r="S82" i="10"/>
  <c r="T82" i="10"/>
  <c r="U82" i="10"/>
  <c r="V82" i="10"/>
  <c r="V136" i="10"/>
  <c r="V137" i="10"/>
  <c r="V138" i="10"/>
  <c r="V139" i="10"/>
  <c r="V140" i="10"/>
  <c r="V141" i="10"/>
  <c r="V149" i="10"/>
  <c r="V150" i="10"/>
  <c r="V151" i="10"/>
  <c r="V153" i="10"/>
  <c r="V155" i="10"/>
  <c r="C36" i="17" s="1"/>
  <c r="V156" i="10"/>
  <c r="C37" i="17" s="1"/>
  <c r="V157" i="10"/>
  <c r="C38" i="17" s="1"/>
  <c r="V165" i="10"/>
  <c r="V166" i="10"/>
  <c r="V170" i="10"/>
  <c r="C60" i="17" s="1"/>
  <c r="V171" i="10"/>
  <c r="C61" i="17" s="1"/>
  <c r="V172" i="10"/>
  <c r="C62" i="17" s="1"/>
  <c r="V173" i="10"/>
  <c r="C63" i="17" s="1"/>
  <c r="V174" i="10"/>
  <c r="C64" i="17" s="1"/>
  <c r="V175" i="10"/>
  <c r="C65" i="17" s="1"/>
  <c r="V176" i="10"/>
  <c r="C66" i="17" s="1"/>
  <c r="V177" i="10"/>
  <c r="C67" i="17" s="1"/>
  <c r="V178" i="10"/>
  <c r="C68" i="17" s="1"/>
  <c r="V179" i="10"/>
  <c r="C69" i="17" s="1"/>
  <c r="V180" i="10"/>
  <c r="C70" i="17" s="1"/>
  <c r="V183" i="10"/>
  <c r="C73" i="17" s="1"/>
  <c r="V185" i="10"/>
  <c r="V186" i="10"/>
  <c r="C76" i="17" s="1"/>
  <c r="V187" i="10"/>
  <c r="C77" i="17" s="1"/>
  <c r="V188" i="10"/>
  <c r="C78" i="17" s="1"/>
  <c r="V189" i="10"/>
  <c r="C79" i="17" s="1"/>
  <c r="V192" i="10"/>
  <c r="V193" i="10"/>
  <c r="U166" i="10"/>
  <c r="V85" i="10"/>
  <c r="C9" i="16" s="1"/>
  <c r="V86" i="10"/>
  <c r="C10" i="16" s="1"/>
  <c r="V87" i="10"/>
  <c r="C11" i="16" s="1"/>
  <c r="V88" i="10"/>
  <c r="C12" i="16" s="1"/>
  <c r="V89" i="10"/>
  <c r="C13" i="16" s="1"/>
  <c r="V90" i="10"/>
  <c r="C14" i="16" s="1"/>
  <c r="V91" i="10"/>
  <c r="C15" i="16" s="1"/>
  <c r="V100" i="10"/>
  <c r="C24" i="16" s="1"/>
  <c r="V99" i="10"/>
  <c r="C23" i="16" s="1"/>
  <c r="V92" i="10"/>
  <c r="C16" i="16" s="1"/>
  <c r="V93" i="10"/>
  <c r="C17" i="16" s="1"/>
  <c r="V94" i="10"/>
  <c r="C18" i="16" s="1"/>
  <c r="V97" i="10"/>
  <c r="C21" i="16" s="1"/>
  <c r="V98" i="10"/>
  <c r="C22" i="16" s="1"/>
  <c r="V101" i="10"/>
  <c r="C25" i="16" s="1"/>
  <c r="V103" i="10"/>
  <c r="C27" i="16" s="1"/>
  <c r="V104" i="10"/>
  <c r="C28" i="16" s="1"/>
  <c r="V106" i="10"/>
  <c r="C30" i="16" s="1"/>
  <c r="V108" i="10"/>
  <c r="V109" i="10"/>
  <c r="V111" i="10"/>
  <c r="V112" i="10"/>
  <c r="V113" i="10"/>
  <c r="V114" i="10"/>
  <c r="V115" i="10"/>
  <c r="V118" i="10"/>
  <c r="V119" i="10"/>
  <c r="V120" i="10"/>
  <c r="V121" i="10"/>
  <c r="V122" i="10"/>
  <c r="V125" i="10"/>
  <c r="V83" i="10"/>
  <c r="C6" i="16" s="1"/>
  <c r="U108" i="10"/>
  <c r="U109" i="10"/>
  <c r="U112" i="10"/>
  <c r="U113" i="10"/>
  <c r="U114" i="10"/>
  <c r="U115" i="10"/>
  <c r="U122" i="10"/>
  <c r="U125" i="10"/>
  <c r="U149" i="10"/>
  <c r="V77" i="10"/>
  <c r="E169" i="10"/>
  <c r="E78" i="10"/>
  <c r="E80" i="10" s="1"/>
  <c r="H78" i="10"/>
  <c r="H80" i="10" s="1"/>
  <c r="K78" i="10"/>
  <c r="K80" i="10" s="1"/>
  <c r="L78" i="10"/>
  <c r="M78" i="10"/>
  <c r="O78" i="10"/>
  <c r="B169" i="10"/>
  <c r="E66" i="10"/>
  <c r="H66" i="10"/>
  <c r="K66" i="10"/>
  <c r="L66" i="10"/>
  <c r="M66" i="10"/>
  <c r="N66" i="10"/>
  <c r="O66" i="10"/>
  <c r="O55" i="10"/>
  <c r="E55" i="10"/>
  <c r="H55" i="10"/>
  <c r="K55" i="10"/>
  <c r="M55" i="10"/>
  <c r="E38" i="10"/>
  <c r="H38" i="10"/>
  <c r="K38" i="10"/>
  <c r="L38" i="10"/>
  <c r="M38" i="10"/>
  <c r="O38" i="10"/>
  <c r="P122" i="10"/>
  <c r="P71" i="10"/>
  <c r="R71" i="10" s="1"/>
  <c r="P19" i="10"/>
  <c r="R19" i="10"/>
  <c r="P56" i="10"/>
  <c r="R56" i="10" s="1"/>
  <c r="P59" i="10"/>
  <c r="P60" i="10"/>
  <c r="P68" i="10"/>
  <c r="R68" i="10" s="1"/>
  <c r="P72" i="10"/>
  <c r="R72" i="10" s="1"/>
  <c r="I159" i="10"/>
  <c r="I158" i="10"/>
  <c r="I154" i="10"/>
  <c r="I194" i="10"/>
  <c r="J193" i="10"/>
  <c r="J192" i="10"/>
  <c r="J189" i="10"/>
  <c r="J188" i="10"/>
  <c r="J187" i="10"/>
  <c r="J186" i="10"/>
  <c r="J185" i="10"/>
  <c r="H168" i="10"/>
  <c r="J91" i="10"/>
  <c r="J90" i="10"/>
  <c r="J40" i="10"/>
  <c r="A3" i="17"/>
  <c r="G90" i="10"/>
  <c r="G91" i="10"/>
  <c r="D90" i="10"/>
  <c r="B5" i="17"/>
  <c r="B56" i="17" s="1"/>
  <c r="D5" i="17"/>
  <c r="D56" i="17" s="1"/>
  <c r="B78" i="10"/>
  <c r="B80" i="10" s="1"/>
  <c r="A3" i="16"/>
  <c r="C76" i="15"/>
  <c r="C65" i="15"/>
  <c r="C49" i="15"/>
  <c r="B49" i="15"/>
  <c r="A47" i="15"/>
  <c r="C39" i="15"/>
  <c r="D5" i="14"/>
  <c r="D54" i="14" s="1"/>
  <c r="C194" i="10"/>
  <c r="B5" i="14"/>
  <c r="B54" i="14" s="1"/>
  <c r="C52" i="12"/>
  <c r="P168" i="10"/>
  <c r="F194" i="10"/>
  <c r="F158" i="10"/>
  <c r="F154" i="10"/>
  <c r="D195" i="10"/>
  <c r="G193" i="10"/>
  <c r="G192" i="10"/>
  <c r="D192" i="10"/>
  <c r="G189" i="10"/>
  <c r="G188" i="10"/>
  <c r="G187" i="10"/>
  <c r="G186" i="10"/>
  <c r="G185" i="10"/>
  <c r="G40" i="10"/>
  <c r="D40" i="10"/>
  <c r="A3" i="14"/>
  <c r="A4" i="13"/>
  <c r="D39" i="17"/>
  <c r="D40" i="17" s="1"/>
  <c r="D35" i="17"/>
  <c r="D36" i="14"/>
  <c r="D41" i="14"/>
  <c r="D42" i="14" s="1"/>
  <c r="D14" i="22" s="1"/>
  <c r="A50" i="12"/>
  <c r="C41" i="12"/>
  <c r="D23" i="17"/>
  <c r="D29" i="17" s="1"/>
  <c r="D193" i="10"/>
  <c r="D189" i="10"/>
  <c r="D188" i="10"/>
  <c r="D187" i="10"/>
  <c r="D186" i="10"/>
  <c r="D185" i="10"/>
  <c r="P185" i="10" s="1"/>
  <c r="R185" i="10" s="1"/>
  <c r="U185" i="10" s="1"/>
  <c r="B168" i="10"/>
  <c r="B66" i="10"/>
  <c r="B55" i="10"/>
  <c r="B38" i="10"/>
  <c r="E168" i="10"/>
  <c r="C45" i="14"/>
  <c r="U191" i="10"/>
  <c r="C13" i="18"/>
  <c r="C15" i="17" l="1"/>
  <c r="C28" i="17"/>
  <c r="C29" i="17" s="1"/>
  <c r="C10" i="17"/>
  <c r="C26" i="16"/>
  <c r="D79" i="15"/>
  <c r="B88" i="15"/>
  <c r="D88" i="15" s="1"/>
  <c r="D42" i="17"/>
  <c r="D44" i="17" s="1"/>
  <c r="D80" i="17" s="1"/>
  <c r="D82" i="17" s="1"/>
  <c r="D87" i="15"/>
  <c r="V102" i="10"/>
  <c r="S148" i="10"/>
  <c r="P192" i="10"/>
  <c r="R192" i="10" s="1"/>
  <c r="U192" i="10" s="1"/>
  <c r="P193" i="10"/>
  <c r="R193" i="10" s="1"/>
  <c r="U193" i="10" s="1"/>
  <c r="T167" i="10"/>
  <c r="T117" i="10"/>
  <c r="T123" i="10" s="1"/>
  <c r="T124" i="10" s="1"/>
  <c r="K159" i="10"/>
  <c r="O148" i="10"/>
  <c r="P186" i="10"/>
  <c r="R186" i="10" s="1"/>
  <c r="S167" i="10"/>
  <c r="S184" i="10" s="1"/>
  <c r="S117" i="10"/>
  <c r="S123" i="10" s="1"/>
  <c r="S124" i="10" s="1"/>
  <c r="V169" i="10"/>
  <c r="C7" i="16"/>
  <c r="H148" i="10"/>
  <c r="V129" i="10"/>
  <c r="M39" i="10"/>
  <c r="B135" i="10"/>
  <c r="T184" i="10"/>
  <c r="P171" i="10"/>
  <c r="R171" i="10" s="1"/>
  <c r="E148" i="10"/>
  <c r="E135" i="10"/>
  <c r="H67" i="10"/>
  <c r="H39" i="10"/>
  <c r="E39" i="10"/>
  <c r="K39" i="10"/>
  <c r="D13" i="22"/>
  <c r="D6" i="22"/>
  <c r="D23" i="22" s="1"/>
  <c r="C40" i="15"/>
  <c r="D12" i="22"/>
  <c r="D52" i="12"/>
  <c r="D49" i="15"/>
  <c r="C77" i="15"/>
  <c r="C89" i="15" s="1"/>
  <c r="C95" i="15" s="1"/>
  <c r="D85" i="12"/>
  <c r="E85" i="12"/>
  <c r="D84" i="12"/>
  <c r="E84" i="12"/>
  <c r="D72" i="12"/>
  <c r="E72" i="12"/>
  <c r="D73" i="12"/>
  <c r="E73" i="12"/>
  <c r="C80" i="12"/>
  <c r="C42" i="12"/>
  <c r="D17" i="22" s="1"/>
  <c r="N135" i="10"/>
  <c r="P182" i="10"/>
  <c r="R182" i="10" s="1"/>
  <c r="P175" i="10"/>
  <c r="R175" i="10" s="1"/>
  <c r="P170" i="10"/>
  <c r="R170" i="10" s="1"/>
  <c r="U170" i="10" s="1"/>
  <c r="C58" i="14" s="1"/>
  <c r="P40" i="10"/>
  <c r="R40" i="10" s="1"/>
  <c r="M159" i="10"/>
  <c r="S159" i="10"/>
  <c r="P174" i="10"/>
  <c r="R174" i="10" s="1"/>
  <c r="L135" i="10"/>
  <c r="H81" i="10"/>
  <c r="O67" i="10"/>
  <c r="N67" i="10"/>
  <c r="S135" i="10"/>
  <c r="T135" i="10"/>
  <c r="M135" i="10"/>
  <c r="E67" i="10"/>
  <c r="E81" i="10" s="1"/>
  <c r="B148" i="10"/>
  <c r="P162" i="10"/>
  <c r="P191" i="10" s="1"/>
  <c r="K135" i="10"/>
  <c r="N159" i="10"/>
  <c r="P187" i="10"/>
  <c r="R187" i="10" s="1"/>
  <c r="O39" i="10"/>
  <c r="T148" i="10"/>
  <c r="B39" i="10"/>
  <c r="L39" i="10"/>
  <c r="O159" i="10"/>
  <c r="P176" i="10"/>
  <c r="R176" i="10" s="1"/>
  <c r="B159" i="10"/>
  <c r="E159" i="10"/>
  <c r="P173" i="10"/>
  <c r="R173" i="10" s="1"/>
  <c r="H159" i="10"/>
  <c r="P188" i="10"/>
  <c r="R188" i="10" s="1"/>
  <c r="L67" i="10"/>
  <c r="V158" i="10"/>
  <c r="P189" i="10"/>
  <c r="R189" i="10" s="1"/>
  <c r="U189" i="10" s="1"/>
  <c r="K148" i="10"/>
  <c r="P177" i="10"/>
  <c r="R177" i="10" s="1"/>
  <c r="B65" i="14" s="1"/>
  <c r="N39" i="10"/>
  <c r="M148" i="10"/>
  <c r="K67" i="10"/>
  <c r="K81" i="10" s="1"/>
  <c r="K196" i="10" s="1"/>
  <c r="P183" i="10"/>
  <c r="R183" i="10" s="1"/>
  <c r="U187" i="10"/>
  <c r="L148" i="10"/>
  <c r="V142" i="10"/>
  <c r="O135" i="10"/>
  <c r="H135" i="10"/>
  <c r="P180" i="10"/>
  <c r="R180" i="10" s="1"/>
  <c r="H117" i="10"/>
  <c r="H123" i="10" s="1"/>
  <c r="H124" i="10" s="1"/>
  <c r="H167" i="10"/>
  <c r="H184" i="10" s="1"/>
  <c r="V181" i="10"/>
  <c r="C71" i="17" s="1"/>
  <c r="P91" i="10"/>
  <c r="R91" i="10" s="1"/>
  <c r="B17" i="13" s="1"/>
  <c r="M67" i="10"/>
  <c r="M167" i="10"/>
  <c r="M184" i="10" s="1"/>
  <c r="M117" i="10"/>
  <c r="M123" i="10" s="1"/>
  <c r="M124" i="10" s="1"/>
  <c r="K167" i="10"/>
  <c r="K184" i="10" s="1"/>
  <c r="K117" i="10"/>
  <c r="K123" i="10" s="1"/>
  <c r="K124" i="10" s="1"/>
  <c r="V159" i="10"/>
  <c r="U94" i="10"/>
  <c r="C20" i="13" s="1"/>
  <c r="V147" i="10"/>
  <c r="B67" i="10"/>
  <c r="B81" i="10" s="1"/>
  <c r="P179" i="10"/>
  <c r="R179" i="10" s="1"/>
  <c r="B67" i="14" s="1"/>
  <c r="P181" i="10"/>
  <c r="R181" i="10" s="1"/>
  <c r="P178" i="10"/>
  <c r="R178" i="10" s="1"/>
  <c r="B66" i="14" s="1"/>
  <c r="P90" i="10"/>
  <c r="R90" i="10" s="1"/>
  <c r="B16" i="13" s="1"/>
  <c r="V134" i="10"/>
  <c r="P172" i="10"/>
  <c r="R172" i="10" s="1"/>
  <c r="B60" i="14" s="1"/>
  <c r="N167" i="10"/>
  <c r="N184" i="10" s="1"/>
  <c r="N117" i="10"/>
  <c r="N123" i="10" s="1"/>
  <c r="N124" i="10" s="1"/>
  <c r="E167" i="10"/>
  <c r="E184" i="10" s="1"/>
  <c r="E117" i="10"/>
  <c r="E123" i="10" s="1"/>
  <c r="E124" i="10" s="1"/>
  <c r="B117" i="10"/>
  <c r="B123" i="10" s="1"/>
  <c r="B124" i="10" s="1"/>
  <c r="B167" i="10"/>
  <c r="B184" i="10" s="1"/>
  <c r="B200" i="10" s="1"/>
  <c r="O167" i="10"/>
  <c r="O184" i="10" s="1"/>
  <c r="O117" i="10"/>
  <c r="O123" i="10" s="1"/>
  <c r="O124" i="10" s="1"/>
  <c r="V105" i="10"/>
  <c r="L107" i="10"/>
  <c r="V107" i="10" s="1"/>
  <c r="B39" i="17"/>
  <c r="E39" i="17" s="1"/>
  <c r="E28" i="17"/>
  <c r="C39" i="17"/>
  <c r="B39" i="15"/>
  <c r="D39" i="15" s="1"/>
  <c r="B20" i="15"/>
  <c r="D20" i="15" s="1"/>
  <c r="E25" i="17"/>
  <c r="B65" i="15"/>
  <c r="D65" i="15" s="1"/>
  <c r="E10" i="17"/>
  <c r="B76" i="15"/>
  <c r="D76" i="15" s="1"/>
  <c r="E24" i="16"/>
  <c r="E21" i="17"/>
  <c r="E11" i="17"/>
  <c r="E15" i="17"/>
  <c r="Q51" i="10"/>
  <c r="C43" i="10"/>
  <c r="I103" i="10"/>
  <c r="C160" i="10"/>
  <c r="Q58" i="10"/>
  <c r="F127" i="10"/>
  <c r="I53" i="10"/>
  <c r="Q35" i="10"/>
  <c r="I57" i="10"/>
  <c r="C97" i="10"/>
  <c r="F61" i="10"/>
  <c r="I61" i="10"/>
  <c r="F54" i="10"/>
  <c r="F93" i="10"/>
  <c r="Q133" i="10"/>
  <c r="C33" i="10"/>
  <c r="I30" i="10"/>
  <c r="C57" i="10"/>
  <c r="C103" i="10"/>
  <c r="Q103" i="10"/>
  <c r="F87" i="10"/>
  <c r="Q155" i="10"/>
  <c r="Q97" i="10"/>
  <c r="I122" i="10"/>
  <c r="C35" i="10"/>
  <c r="C5" i="10"/>
  <c r="C89" i="10"/>
  <c r="Q75" i="10"/>
  <c r="I21" i="10"/>
  <c r="C120" i="10"/>
  <c r="C76" i="10"/>
  <c r="Q106" i="10"/>
  <c r="Q45" i="10"/>
  <c r="I6" i="10"/>
  <c r="C6" i="10"/>
  <c r="Q86" i="10"/>
  <c r="Q29" i="10"/>
  <c r="F126" i="10"/>
  <c r="F76" i="10"/>
  <c r="C48" i="10"/>
  <c r="F133" i="10"/>
  <c r="I75" i="10"/>
  <c r="Q127" i="10"/>
  <c r="C101" i="10"/>
  <c r="Q41" i="10"/>
  <c r="F24" i="10"/>
  <c r="C122" i="10"/>
  <c r="I58" i="10"/>
  <c r="Q61" i="10"/>
  <c r="I16" i="10"/>
  <c r="C151" i="10"/>
  <c r="F34" i="10"/>
  <c r="I34" i="10"/>
  <c r="C53" i="10"/>
  <c r="Q121" i="10"/>
  <c r="I23" i="10"/>
  <c r="F139" i="10"/>
  <c r="Q28" i="10"/>
  <c r="C157" i="10"/>
  <c r="I104" i="10"/>
  <c r="Q130" i="10"/>
  <c r="I22" i="10"/>
  <c r="C64" i="10"/>
  <c r="I74" i="10"/>
  <c r="F143" i="10"/>
  <c r="C126" i="10"/>
  <c r="Q26" i="10"/>
  <c r="Q120" i="10"/>
  <c r="C9" i="10"/>
  <c r="C153" i="10"/>
  <c r="F85" i="10"/>
  <c r="Q50" i="10"/>
  <c r="F43" i="10"/>
  <c r="I50" i="10"/>
  <c r="Q111" i="10"/>
  <c r="C21" i="10"/>
  <c r="C52" i="10"/>
  <c r="F30" i="10"/>
  <c r="C47" i="10"/>
  <c r="F116" i="10"/>
  <c r="F64" i="10"/>
  <c r="F99" i="10"/>
  <c r="C63" i="10"/>
  <c r="F46" i="10"/>
  <c r="C99" i="10"/>
  <c r="I127" i="10"/>
  <c r="F26" i="10"/>
  <c r="I65" i="10"/>
  <c r="C87" i="10"/>
  <c r="I33" i="10"/>
  <c r="C8" i="10"/>
  <c r="C140" i="10"/>
  <c r="I84" i="10"/>
  <c r="C156" i="10"/>
  <c r="F7" i="10"/>
  <c r="Q5" i="10"/>
  <c r="I35" i="10"/>
  <c r="F100" i="10"/>
  <c r="C46" i="10"/>
  <c r="C100" i="10"/>
  <c r="C20" i="10"/>
  <c r="F83" i="10"/>
  <c r="F8" i="10"/>
  <c r="F15" i="10"/>
  <c r="I89" i="10"/>
  <c r="F88" i="10"/>
  <c r="C92" i="10"/>
  <c r="Q131" i="10"/>
  <c r="Q126" i="10"/>
  <c r="Q54" i="10"/>
  <c r="I120" i="10"/>
  <c r="Q32" i="10"/>
  <c r="C104" i="10"/>
  <c r="Q104" i="10"/>
  <c r="I128" i="10"/>
  <c r="C12" i="10"/>
  <c r="Q69" i="10"/>
  <c r="I46" i="10"/>
  <c r="Q65" i="10"/>
  <c r="Q119" i="10"/>
  <c r="F131" i="10"/>
  <c r="C27" i="10"/>
  <c r="Q21" i="10"/>
  <c r="Q99" i="10"/>
  <c r="I41" i="10"/>
  <c r="C49" i="10"/>
  <c r="I37" i="10"/>
  <c r="C139" i="10"/>
  <c r="I76" i="10"/>
  <c r="C34" i="10"/>
  <c r="C145" i="10"/>
  <c r="F144" i="10"/>
  <c r="I43" i="10"/>
  <c r="Q87" i="10"/>
  <c r="Q88" i="10"/>
  <c r="F23" i="10"/>
  <c r="I64" i="10"/>
  <c r="I141" i="10"/>
  <c r="I126" i="10"/>
  <c r="I26" i="10"/>
  <c r="I36" i="10"/>
  <c r="C26" i="10"/>
  <c r="C32" i="10"/>
  <c r="Q140" i="10"/>
  <c r="I137" i="10"/>
  <c r="Q12" i="10"/>
  <c r="F106" i="10"/>
  <c r="I54" i="10"/>
  <c r="I13" i="10"/>
  <c r="F22" i="10"/>
  <c r="I98" i="10"/>
  <c r="F70" i="10"/>
  <c r="F32" i="10"/>
  <c r="I20" i="10"/>
  <c r="Q73" i="10"/>
  <c r="I146" i="10"/>
  <c r="I86" i="10"/>
  <c r="I8" i="10"/>
  <c r="F145" i="10"/>
  <c r="Q13" i="10"/>
  <c r="F44" i="10"/>
  <c r="I27" i="10"/>
  <c r="Q132" i="10"/>
  <c r="Q122" i="10"/>
  <c r="C141" i="10"/>
  <c r="C61" i="10"/>
  <c r="C37" i="10"/>
  <c r="Q36" i="10"/>
  <c r="C70" i="10"/>
  <c r="I73" i="10"/>
  <c r="Q52" i="10"/>
  <c r="I24" i="10"/>
  <c r="C65" i="10"/>
  <c r="Q160" i="10"/>
  <c r="F160" i="10"/>
  <c r="C51" i="10"/>
  <c r="I88" i="10"/>
  <c r="F13" i="10"/>
  <c r="Q37" i="10"/>
  <c r="F141" i="10"/>
  <c r="I28" i="10"/>
  <c r="I29" i="10"/>
  <c r="C150" i="10"/>
  <c r="I85" i="10"/>
  <c r="F97" i="10"/>
  <c r="F16" i="10"/>
  <c r="F140" i="10"/>
  <c r="C131" i="10"/>
  <c r="C69" i="10"/>
  <c r="I63" i="10"/>
  <c r="I155" i="10"/>
  <c r="I119" i="10"/>
  <c r="F89" i="10"/>
  <c r="C11" i="10"/>
  <c r="F48" i="10"/>
  <c r="Q49" i="10"/>
  <c r="F33" i="10"/>
  <c r="Q44" i="10"/>
  <c r="C7" i="10"/>
  <c r="F9" i="10"/>
  <c r="C128" i="10"/>
  <c r="Q9" i="10"/>
  <c r="I156" i="10"/>
  <c r="I10" i="10"/>
  <c r="Q145" i="10"/>
  <c r="Q10" i="10"/>
  <c r="F12" i="10"/>
  <c r="C130" i="10"/>
  <c r="Q62" i="10"/>
  <c r="F75" i="10"/>
  <c r="F165" i="10"/>
  <c r="I143" i="10"/>
  <c r="F28" i="10"/>
  <c r="I52" i="10"/>
  <c r="F69" i="10"/>
  <c r="Q15" i="10"/>
  <c r="Q151" i="10"/>
  <c r="C74" i="10"/>
  <c r="C88" i="10"/>
  <c r="Q118" i="10"/>
  <c r="I99" i="10"/>
  <c r="I47" i="10"/>
  <c r="C132" i="10"/>
  <c r="F62" i="10"/>
  <c r="C25" i="10"/>
  <c r="C79" i="10"/>
  <c r="I111" i="10"/>
  <c r="Q43" i="10"/>
  <c r="Q74" i="10"/>
  <c r="F74" i="10"/>
  <c r="Q70" i="10"/>
  <c r="I132" i="10"/>
  <c r="Q101" i="10"/>
  <c r="Q25" i="10"/>
  <c r="F156" i="10"/>
  <c r="Q14" i="10"/>
  <c r="I44" i="10"/>
  <c r="F49" i="10"/>
  <c r="F52" i="10"/>
  <c r="I97" i="10"/>
  <c r="I51" i="10"/>
  <c r="C111" i="10"/>
  <c r="Q16" i="10"/>
  <c r="C138" i="10"/>
  <c r="I25" i="10"/>
  <c r="Q144" i="10"/>
  <c r="F92" i="10"/>
  <c r="F84" i="10"/>
  <c r="I138" i="10"/>
  <c r="F35" i="10"/>
  <c r="Q138" i="10"/>
  <c r="Q156" i="10"/>
  <c r="I87" i="10"/>
  <c r="I12" i="10"/>
  <c r="F29" i="10"/>
  <c r="F58" i="10"/>
  <c r="I14" i="10"/>
  <c r="Q146" i="10"/>
  <c r="C62" i="10"/>
  <c r="C41" i="10"/>
  <c r="Q23" i="10"/>
  <c r="I139" i="10"/>
  <c r="C84" i="10"/>
  <c r="Q17" i="10"/>
  <c r="F118" i="10"/>
  <c r="I130" i="10"/>
  <c r="Q57" i="10"/>
  <c r="F121" i="10"/>
  <c r="Q153" i="10"/>
  <c r="C28" i="10"/>
  <c r="I151" i="10"/>
  <c r="F120" i="10"/>
  <c r="Q53" i="10"/>
  <c r="C23" i="10"/>
  <c r="F119" i="10"/>
  <c r="F155" i="10"/>
  <c r="F103" i="10"/>
  <c r="I15" i="10"/>
  <c r="F50" i="10"/>
  <c r="F73" i="10"/>
  <c r="C30" i="10"/>
  <c r="C36" i="10"/>
  <c r="Q89" i="10"/>
  <c r="C22" i="10"/>
  <c r="I133" i="10"/>
  <c r="Q100" i="10"/>
  <c r="I48" i="10"/>
  <c r="C165" i="10"/>
  <c r="I11" i="10"/>
  <c r="F122" i="10"/>
  <c r="C144" i="10"/>
  <c r="I7" i="10"/>
  <c r="C29" i="10"/>
  <c r="C86" i="10"/>
  <c r="F151" i="10"/>
  <c r="C58" i="10"/>
  <c r="C16" i="10"/>
  <c r="I101" i="10"/>
  <c r="Q141" i="10"/>
  <c r="F130" i="10"/>
  <c r="C73" i="10"/>
  <c r="I79" i="10"/>
  <c r="Q7" i="10"/>
  <c r="Q84" i="10"/>
  <c r="I69" i="10"/>
  <c r="C155" i="10"/>
  <c r="Q8" i="10"/>
  <c r="I83" i="10"/>
  <c r="Q139" i="10"/>
  <c r="F104" i="10"/>
  <c r="I5" i="10"/>
  <c r="C50" i="10"/>
  <c r="F10" i="10"/>
  <c r="Q143" i="10"/>
  <c r="F86" i="10"/>
  <c r="Q93" i="10"/>
  <c r="F20" i="10"/>
  <c r="F36" i="10"/>
  <c r="Q6" i="10"/>
  <c r="C93" i="10"/>
  <c r="I145" i="10"/>
  <c r="C133" i="10"/>
  <c r="F37" i="10"/>
  <c r="I131" i="10"/>
  <c r="Q20" i="10"/>
  <c r="F53" i="10"/>
  <c r="C15" i="10"/>
  <c r="I92" i="10"/>
  <c r="C116" i="10"/>
  <c r="Q27" i="10"/>
  <c r="F138" i="10"/>
  <c r="C127" i="10"/>
  <c r="F57" i="10"/>
  <c r="Q47" i="10"/>
  <c r="I42" i="10"/>
  <c r="F101" i="10"/>
  <c r="C83" i="10"/>
  <c r="C10" i="10"/>
  <c r="C14" i="10"/>
  <c r="Q48" i="10"/>
  <c r="F132" i="10"/>
  <c r="I9" i="10"/>
  <c r="F51" i="10"/>
  <c r="C44" i="10"/>
  <c r="F47" i="10"/>
  <c r="I118" i="10"/>
  <c r="C17" i="10"/>
  <c r="F79" i="10"/>
  <c r="C119" i="10"/>
  <c r="F41" i="10"/>
  <c r="C118" i="10"/>
  <c r="I49" i="10"/>
  <c r="C143" i="10"/>
  <c r="F21" i="10"/>
  <c r="Q150" i="10"/>
  <c r="I32" i="10"/>
  <c r="I116" i="10"/>
  <c r="C54" i="10"/>
  <c r="C121" i="10"/>
  <c r="F5" i="10"/>
  <c r="F153" i="10"/>
  <c r="I150" i="10"/>
  <c r="Q85" i="10"/>
  <c r="F42" i="10"/>
  <c r="Q64" i="10"/>
  <c r="C146" i="10"/>
  <c r="Q162" i="10"/>
  <c r="F27" i="10"/>
  <c r="Q33" i="10"/>
  <c r="C85" i="10"/>
  <c r="I70" i="10"/>
  <c r="F14" i="10"/>
  <c r="Q128" i="10"/>
  <c r="C42" i="10"/>
  <c r="Q30" i="10"/>
  <c r="F111" i="10"/>
  <c r="I165" i="10"/>
  <c r="I121" i="10"/>
  <c r="C75" i="10"/>
  <c r="I93" i="10"/>
  <c r="F98" i="10"/>
  <c r="I157" i="10"/>
  <c r="I160" i="10"/>
  <c r="Q137" i="10"/>
  <c r="F146" i="10"/>
  <c r="C98" i="10"/>
  <c r="F137" i="10"/>
  <c r="F25" i="10"/>
  <c r="C24" i="10"/>
  <c r="Q98" i="10"/>
  <c r="F150" i="10"/>
  <c r="Q157" i="10"/>
  <c r="Q92" i="10"/>
  <c r="I144" i="10"/>
  <c r="Q34" i="10"/>
  <c r="C137" i="10"/>
  <c r="F6" i="10"/>
  <c r="I62" i="10"/>
  <c r="I17" i="10"/>
  <c r="F65" i="10"/>
  <c r="I140" i="10"/>
  <c r="F11" i="10"/>
  <c r="F157" i="10"/>
  <c r="F128" i="10"/>
  <c r="Q83" i="10"/>
  <c r="Q76" i="10"/>
  <c r="Q42" i="10"/>
  <c r="C13" i="10"/>
  <c r="I100" i="10"/>
  <c r="Q24" i="10"/>
  <c r="Q11" i="10"/>
  <c r="F17" i="10"/>
  <c r="F63" i="10"/>
  <c r="Q22" i="10"/>
  <c r="C106" i="10"/>
  <c r="Q46" i="10"/>
  <c r="Q63" i="10"/>
  <c r="I153" i="10"/>
  <c r="C94" i="12" l="1"/>
  <c r="C100" i="12" s="1"/>
  <c r="D18" i="22"/>
  <c r="D21" i="22" s="1"/>
  <c r="U175" i="10"/>
  <c r="C63" i="14" s="1"/>
  <c r="B63" i="14"/>
  <c r="U173" i="10"/>
  <c r="C61" i="14" s="1"/>
  <c r="B61" i="14"/>
  <c r="U176" i="10"/>
  <c r="C64" i="14" s="1"/>
  <c r="B64" i="14"/>
  <c r="U174" i="10"/>
  <c r="C62" i="14" s="1"/>
  <c r="B62" i="14"/>
  <c r="U171" i="10"/>
  <c r="C59" i="14" s="1"/>
  <c r="B59" i="14"/>
  <c r="C16" i="17"/>
  <c r="S161" i="10"/>
  <c r="S163" i="10" s="1"/>
  <c r="S164" i="10" s="1"/>
  <c r="S200" i="10"/>
  <c r="D44" i="14"/>
  <c r="I102" i="10"/>
  <c r="Q102" i="10"/>
  <c r="C102" i="10"/>
  <c r="F102" i="10"/>
  <c r="F105" i="10" s="1"/>
  <c r="F107" i="10" s="1"/>
  <c r="F110" i="10" s="1"/>
  <c r="F167" i="10" s="1"/>
  <c r="C29" i="16"/>
  <c r="C31" i="16" s="1"/>
  <c r="C45" i="16" s="1"/>
  <c r="U186" i="10"/>
  <c r="S190" i="10"/>
  <c r="M161" i="10"/>
  <c r="M163" i="10" s="1"/>
  <c r="M164" i="10" s="1"/>
  <c r="B161" i="10"/>
  <c r="B163" i="10" s="1"/>
  <c r="H82" i="10"/>
  <c r="V135" i="10"/>
  <c r="H196" i="10"/>
  <c r="D32" i="16"/>
  <c r="D57" i="17"/>
  <c r="D74" i="17" s="1"/>
  <c r="D90" i="17" s="1"/>
  <c r="D35" i="16"/>
  <c r="D8" i="22"/>
  <c r="D10" i="22"/>
  <c r="L161" i="10"/>
  <c r="J27" i="10"/>
  <c r="J150" i="10"/>
  <c r="D157" i="10"/>
  <c r="Q203" i="10"/>
  <c r="G85" i="10"/>
  <c r="J131" i="10"/>
  <c r="D151" i="10"/>
  <c r="G130" i="10"/>
  <c r="F134" i="10"/>
  <c r="G139" i="10"/>
  <c r="D22" i="10"/>
  <c r="G27" i="10"/>
  <c r="G57" i="10"/>
  <c r="F66" i="10"/>
  <c r="D35" i="10"/>
  <c r="D93" i="10"/>
  <c r="D36" i="10"/>
  <c r="Q142" i="10"/>
  <c r="D99" i="10"/>
  <c r="D16" i="10"/>
  <c r="D140" i="10"/>
  <c r="D23" i="10"/>
  <c r="G138" i="10"/>
  <c r="J88" i="10"/>
  <c r="D156" i="10"/>
  <c r="D43" i="10"/>
  <c r="G121" i="10"/>
  <c r="D9" i="10"/>
  <c r="D88" i="10"/>
  <c r="G54" i="10"/>
  <c r="G165" i="10"/>
  <c r="J143" i="10"/>
  <c r="D120" i="10"/>
  <c r="J151" i="10"/>
  <c r="J127" i="10"/>
  <c r="G63" i="10"/>
  <c r="D139" i="10"/>
  <c r="J44" i="10"/>
  <c r="G58" i="10"/>
  <c r="C129" i="10"/>
  <c r="D126" i="10"/>
  <c r="G16" i="10"/>
  <c r="D75" i="10"/>
  <c r="D116" i="10"/>
  <c r="D155" i="10"/>
  <c r="C158" i="10"/>
  <c r="D73" i="10"/>
  <c r="G100" i="10"/>
  <c r="G169" i="10" s="1"/>
  <c r="F169" i="10"/>
  <c r="D85" i="10"/>
  <c r="G132" i="10"/>
  <c r="G9" i="10"/>
  <c r="G53" i="10"/>
  <c r="J121" i="10"/>
  <c r="J132" i="10"/>
  <c r="D37" i="10"/>
  <c r="Q158" i="10"/>
  <c r="J141" i="10"/>
  <c r="J99" i="10"/>
  <c r="J89" i="10"/>
  <c r="D150" i="10"/>
  <c r="C154" i="10"/>
  <c r="G97" i="10"/>
  <c r="J47" i="10"/>
  <c r="G8" i="10"/>
  <c r="J32" i="10"/>
  <c r="G36" i="10"/>
  <c r="J29" i="10"/>
  <c r="G89" i="10"/>
  <c r="G106" i="10"/>
  <c r="G140" i="10"/>
  <c r="I168" i="10"/>
  <c r="J111" i="10"/>
  <c r="J168" i="10" s="1"/>
  <c r="G25" i="10"/>
  <c r="F199" i="10"/>
  <c r="G5" i="10"/>
  <c r="F18" i="10"/>
  <c r="D79" i="10"/>
  <c r="L79" i="10" s="1"/>
  <c r="L80" i="10" s="1"/>
  <c r="L81" i="10" s="1"/>
  <c r="Q154" i="10"/>
  <c r="D97" i="10"/>
  <c r="Q191" i="10"/>
  <c r="J140" i="10"/>
  <c r="J30" i="10"/>
  <c r="Q129" i="10"/>
  <c r="J119" i="10"/>
  <c r="G93" i="10"/>
  <c r="D131" i="10"/>
  <c r="G144" i="10"/>
  <c r="J11" i="10"/>
  <c r="J53" i="10"/>
  <c r="G23" i="10"/>
  <c r="J42" i="10"/>
  <c r="Q134" i="10"/>
  <c r="G52" i="10"/>
  <c r="D26" i="10"/>
  <c r="Q147" i="10"/>
  <c r="D144" i="10"/>
  <c r="J24" i="10"/>
  <c r="D34" i="10"/>
  <c r="G62" i="10"/>
  <c r="D20" i="10"/>
  <c r="C38" i="10"/>
  <c r="G28" i="10"/>
  <c r="D7" i="10"/>
  <c r="D119" i="10"/>
  <c r="G70" i="10"/>
  <c r="G11" i="10"/>
  <c r="D65" i="10"/>
  <c r="J15" i="10"/>
  <c r="D32" i="10"/>
  <c r="D63" i="10"/>
  <c r="D121" i="10"/>
  <c r="G103" i="10"/>
  <c r="G88" i="10"/>
  <c r="G61" i="10"/>
  <c r="G156" i="10"/>
  <c r="C134" i="10"/>
  <c r="D130" i="10"/>
  <c r="G14" i="10"/>
  <c r="J92" i="10"/>
  <c r="J10" i="10"/>
  <c r="C105" i="10"/>
  <c r="C107" i="10" s="1"/>
  <c r="C110" i="10" s="1"/>
  <c r="C167" i="10" s="1"/>
  <c r="D83" i="10"/>
  <c r="D61" i="10"/>
  <c r="D104" i="10"/>
  <c r="G153" i="10"/>
  <c r="J87" i="10"/>
  <c r="G74" i="10"/>
  <c r="J63" i="10"/>
  <c r="J9" i="10"/>
  <c r="D12" i="10"/>
  <c r="J153" i="10"/>
  <c r="I148" i="10"/>
  <c r="G46" i="10"/>
  <c r="D33" i="10"/>
  <c r="G73" i="10"/>
  <c r="D87" i="10"/>
  <c r="D58" i="10"/>
  <c r="J52" i="10"/>
  <c r="J46" i="10"/>
  <c r="D15" i="10"/>
  <c r="G29" i="10"/>
  <c r="D143" i="10"/>
  <c r="C147" i="10"/>
  <c r="J120" i="10"/>
  <c r="G22" i="10"/>
  <c r="J98" i="10"/>
  <c r="J26" i="10"/>
  <c r="D165" i="10"/>
  <c r="D98" i="10"/>
  <c r="D24" i="10"/>
  <c r="D44" i="10"/>
  <c r="J28" i="10"/>
  <c r="G126" i="10"/>
  <c r="F129" i="10"/>
  <c r="D138" i="10"/>
  <c r="G69" i="10"/>
  <c r="G120" i="10"/>
  <c r="J13" i="10"/>
  <c r="G151" i="10"/>
  <c r="J22" i="10"/>
  <c r="G7" i="10"/>
  <c r="D127" i="10"/>
  <c r="J165" i="10"/>
  <c r="G79" i="10"/>
  <c r="J69" i="10"/>
  <c r="Q38" i="10"/>
  <c r="J73" i="10"/>
  <c r="J21" i="10"/>
  <c r="D106" i="10"/>
  <c r="D48" i="10"/>
  <c r="F55" i="10"/>
  <c r="G41" i="10"/>
  <c r="Q18" i="10"/>
  <c r="Q190" i="10"/>
  <c r="D25" i="10"/>
  <c r="D8" i="10"/>
  <c r="C199" i="10"/>
  <c r="D5" i="10"/>
  <c r="C18" i="10"/>
  <c r="D51" i="10"/>
  <c r="D27" i="10"/>
  <c r="G99" i="10"/>
  <c r="G44" i="10"/>
  <c r="G6" i="10"/>
  <c r="G12" i="10"/>
  <c r="D118" i="10"/>
  <c r="J37" i="10"/>
  <c r="J126" i="10"/>
  <c r="I129" i="10"/>
  <c r="G37" i="10"/>
  <c r="J86" i="10"/>
  <c r="G119" i="10"/>
  <c r="J12" i="10"/>
  <c r="Q169" i="10"/>
  <c r="D30" i="10"/>
  <c r="G157" i="10"/>
  <c r="J58" i="10"/>
  <c r="J54" i="10"/>
  <c r="C168" i="10"/>
  <c r="D111" i="10"/>
  <c r="D168" i="10" s="1"/>
  <c r="J23" i="10"/>
  <c r="F38" i="10"/>
  <c r="G20" i="10"/>
  <c r="J118" i="10"/>
  <c r="G17" i="10"/>
  <c r="Q168" i="10"/>
  <c r="R111" i="10"/>
  <c r="R168" i="10" s="1"/>
  <c r="U168" i="10" s="1"/>
  <c r="F142" i="10"/>
  <c r="G137" i="10"/>
  <c r="G24" i="10"/>
  <c r="J6" i="10"/>
  <c r="G83" i="10"/>
  <c r="J128" i="10"/>
  <c r="J145" i="10"/>
  <c r="D103" i="10"/>
  <c r="D141" i="10"/>
  <c r="G34" i="10"/>
  <c r="G128" i="10"/>
  <c r="J85" i="10"/>
  <c r="J93" i="10"/>
  <c r="J133" i="10"/>
  <c r="G155" i="10"/>
  <c r="J65" i="10"/>
  <c r="J7" i="10"/>
  <c r="J64" i="10"/>
  <c r="D49" i="10"/>
  <c r="G51" i="10"/>
  <c r="J16" i="10"/>
  <c r="D17" i="10"/>
  <c r="G111" i="10"/>
  <c r="G168" i="10" s="1"/>
  <c r="F168" i="10"/>
  <c r="G30" i="10"/>
  <c r="G104" i="10"/>
  <c r="D92" i="10"/>
  <c r="D14" i="10"/>
  <c r="G65" i="10"/>
  <c r="G75" i="10"/>
  <c r="D64" i="10"/>
  <c r="D76" i="10"/>
  <c r="G87" i="10"/>
  <c r="C55" i="10"/>
  <c r="D41" i="10"/>
  <c r="D21" i="10"/>
  <c r="Q105" i="10"/>
  <c r="Q107" i="10" s="1"/>
  <c r="Q110" i="10" s="1"/>
  <c r="G133" i="10"/>
  <c r="I142" i="10"/>
  <c r="J137" i="10"/>
  <c r="J139" i="10"/>
  <c r="Q66" i="10"/>
  <c r="D10" i="10"/>
  <c r="D13" i="10"/>
  <c r="D86" i="10"/>
  <c r="J34" i="10"/>
  <c r="G35" i="10"/>
  <c r="D47" i="10"/>
  <c r="G98" i="10"/>
  <c r="J74" i="10"/>
  <c r="D70" i="10"/>
  <c r="D84" i="10"/>
  <c r="I169" i="10"/>
  <c r="J100" i="10"/>
  <c r="J169" i="10" s="1"/>
  <c r="G86" i="10"/>
  <c r="D160" i="10"/>
  <c r="J76" i="10"/>
  <c r="G92" i="10"/>
  <c r="D69" i="10"/>
  <c r="J144" i="10"/>
  <c r="D153" i="10"/>
  <c r="G141" i="10"/>
  <c r="G21" i="10"/>
  <c r="D6" i="10"/>
  <c r="D28" i="10"/>
  <c r="J116" i="10"/>
  <c r="J48" i="10"/>
  <c r="G84" i="10"/>
  <c r="F203" i="10"/>
  <c r="I161" i="10"/>
  <c r="I163" i="10" s="1"/>
  <c r="J160" i="10"/>
  <c r="J104" i="10"/>
  <c r="J101" i="10"/>
  <c r="D146" i="10"/>
  <c r="J50" i="10"/>
  <c r="J8" i="10"/>
  <c r="D128" i="10"/>
  <c r="J106" i="10"/>
  <c r="G13" i="10"/>
  <c r="J62" i="10"/>
  <c r="J103" i="10"/>
  <c r="I18" i="10"/>
  <c r="J5" i="10"/>
  <c r="I199" i="10"/>
  <c r="G150" i="10"/>
  <c r="G118" i="10"/>
  <c r="D132" i="10"/>
  <c r="J57" i="10"/>
  <c r="I66" i="10"/>
  <c r="J25" i="10"/>
  <c r="D46" i="10"/>
  <c r="J157" i="10"/>
  <c r="G33" i="10"/>
  <c r="J43" i="10"/>
  <c r="J51" i="10"/>
  <c r="D62" i="10"/>
  <c r="G146" i="10"/>
  <c r="D50" i="10"/>
  <c r="J35" i="10"/>
  <c r="D137" i="10"/>
  <c r="C142" i="10"/>
  <c r="J36" i="10"/>
  <c r="D54" i="10"/>
  <c r="G116" i="10"/>
  <c r="J84" i="10"/>
  <c r="I203" i="10"/>
  <c r="G160" i="10"/>
  <c r="D53" i="10"/>
  <c r="G10" i="10"/>
  <c r="G49" i="10"/>
  <c r="G76" i="10"/>
  <c r="G43" i="10"/>
  <c r="D42" i="10"/>
  <c r="C169" i="10"/>
  <c r="D100" i="10"/>
  <c r="D169" i="10" s="1"/>
  <c r="D101" i="10"/>
  <c r="I147" i="10"/>
  <c r="J155" i="10"/>
  <c r="J79" i="10"/>
  <c r="J156" i="10"/>
  <c r="D11" i="10"/>
  <c r="G145" i="10"/>
  <c r="D145" i="10"/>
  <c r="G15" i="10"/>
  <c r="R45" i="10"/>
  <c r="B58" i="12" s="1"/>
  <c r="D58" i="12" s="1"/>
  <c r="I134" i="10"/>
  <c r="J130" i="10"/>
  <c r="G42" i="10"/>
  <c r="I38" i="10"/>
  <c r="J20" i="10"/>
  <c r="J146" i="10"/>
  <c r="G127" i="10"/>
  <c r="G64" i="10"/>
  <c r="D74" i="10"/>
  <c r="G131" i="10"/>
  <c r="D89" i="10"/>
  <c r="F147" i="10"/>
  <c r="G143" i="10"/>
  <c r="G47" i="10"/>
  <c r="I55" i="10"/>
  <c r="J41" i="10"/>
  <c r="J49" i="10"/>
  <c r="G101" i="10"/>
  <c r="G26" i="10"/>
  <c r="D133" i="10"/>
  <c r="J17" i="10"/>
  <c r="G50" i="10"/>
  <c r="D57" i="10"/>
  <c r="C66" i="10"/>
  <c r="J75" i="10"/>
  <c r="Q55" i="10"/>
  <c r="J138" i="10"/>
  <c r="J14" i="10"/>
  <c r="D52" i="10"/>
  <c r="G32" i="10"/>
  <c r="D29" i="10"/>
  <c r="J61" i="10"/>
  <c r="J97" i="10"/>
  <c r="G48" i="10"/>
  <c r="I105" i="10"/>
  <c r="I107" i="10" s="1"/>
  <c r="I110" i="10" s="1"/>
  <c r="I167" i="10" s="1"/>
  <c r="J83" i="10"/>
  <c r="J33" i="10"/>
  <c r="J70" i="10"/>
  <c r="T161" i="10"/>
  <c r="T200" i="10"/>
  <c r="R162" i="10"/>
  <c r="U182" i="10"/>
  <c r="C70" i="14" s="1"/>
  <c r="E200" i="10"/>
  <c r="E161" i="10"/>
  <c r="E163" i="10" s="1"/>
  <c r="E190" i="10" s="1"/>
  <c r="E199" i="10" s="1"/>
  <c r="E82" i="10"/>
  <c r="O161" i="10"/>
  <c r="O163" i="10" s="1"/>
  <c r="O164" i="10" s="1"/>
  <c r="K161" i="10"/>
  <c r="K163" i="10" s="1"/>
  <c r="K190" i="10" s="1"/>
  <c r="N200" i="10"/>
  <c r="D55" i="14"/>
  <c r="D72" i="14" s="1"/>
  <c r="D89" i="14" s="1"/>
  <c r="D53" i="13"/>
  <c r="D54" i="13" s="1"/>
  <c r="D34" i="13"/>
  <c r="D36" i="13"/>
  <c r="D89" i="17"/>
  <c r="D88" i="17"/>
  <c r="M200" i="10"/>
  <c r="H161" i="10"/>
  <c r="H163" i="10" s="1"/>
  <c r="H190" i="10" s="1"/>
  <c r="N161" i="10"/>
  <c r="N163" i="10" s="1"/>
  <c r="K200" i="10"/>
  <c r="U188" i="10"/>
  <c r="H200" i="10"/>
  <c r="E196" i="10"/>
  <c r="K82" i="10"/>
  <c r="U177" i="10"/>
  <c r="C65" i="14" s="1"/>
  <c r="U172" i="10"/>
  <c r="C60" i="14" s="1"/>
  <c r="U179" i="10"/>
  <c r="C67" i="14" s="1"/>
  <c r="U91" i="10"/>
  <c r="C17" i="13" s="1"/>
  <c r="U183" i="10"/>
  <c r="C71" i="14" s="1"/>
  <c r="V148" i="10"/>
  <c r="U180" i="10"/>
  <c r="C68" i="14" s="1"/>
  <c r="O200" i="10"/>
  <c r="U90" i="10"/>
  <c r="C16" i="13" s="1"/>
  <c r="B190" i="10"/>
  <c r="B164" i="10"/>
  <c r="B82" i="10"/>
  <c r="B196" i="10"/>
  <c r="U178" i="10"/>
  <c r="C66" i="14" s="1"/>
  <c r="U181" i="10"/>
  <c r="C69" i="14" s="1"/>
  <c r="E29" i="17"/>
  <c r="B40" i="15"/>
  <c r="D40" i="15" s="1"/>
  <c r="E23" i="17"/>
  <c r="C40" i="17"/>
  <c r="C42" i="17" s="1"/>
  <c r="L110" i="10"/>
  <c r="B77" i="15"/>
  <c r="D77" i="15" s="1"/>
  <c r="E26" i="16"/>
  <c r="E35" i="17"/>
  <c r="B40" i="17"/>
  <c r="R191" i="10" l="1"/>
  <c r="B79" i="14"/>
  <c r="E40" i="17"/>
  <c r="B42" i="17"/>
  <c r="C117" i="10"/>
  <c r="C123" i="10" s="1"/>
  <c r="D46" i="14"/>
  <c r="D15" i="22"/>
  <c r="J102" i="10"/>
  <c r="J105" i="10" s="1"/>
  <c r="J107" i="10" s="1"/>
  <c r="J110" i="10" s="1"/>
  <c r="J117" i="10" s="1"/>
  <c r="J123" i="10" s="1"/>
  <c r="D102" i="10"/>
  <c r="G102" i="10"/>
  <c r="C57" i="17"/>
  <c r="C74" i="17" s="1"/>
  <c r="C90" i="17" s="1"/>
  <c r="P61" i="10"/>
  <c r="R61" i="10" s="1"/>
  <c r="B74" i="12" s="1"/>
  <c r="E74" i="12" s="1"/>
  <c r="C67" i="10"/>
  <c r="P153" i="10"/>
  <c r="R153" i="10" s="1"/>
  <c r="B35" i="14" s="1"/>
  <c r="M190" i="10"/>
  <c r="V161" i="10"/>
  <c r="V163" i="10" s="1"/>
  <c r="V190" i="10" s="1"/>
  <c r="P75" i="10"/>
  <c r="R75" i="10" s="1"/>
  <c r="B88" i="12" s="1"/>
  <c r="D88" i="12" s="1"/>
  <c r="S199" i="10"/>
  <c r="S194" i="10"/>
  <c r="S198" i="10" s="1"/>
  <c r="O190" i="10"/>
  <c r="O199" i="10" s="1"/>
  <c r="L163" i="10"/>
  <c r="L164" i="10" s="1"/>
  <c r="P103" i="10"/>
  <c r="R103" i="10" s="1"/>
  <c r="P41" i="10"/>
  <c r="R41" i="10" s="1"/>
  <c r="Q117" i="10"/>
  <c r="Q123" i="10" s="1"/>
  <c r="F135" i="10"/>
  <c r="P29" i="10"/>
  <c r="R29" i="10" s="1"/>
  <c r="B32" i="12" s="1"/>
  <c r="D32" i="12" s="1"/>
  <c r="P52" i="10"/>
  <c r="R52" i="10" s="1"/>
  <c r="B65" i="12" s="1"/>
  <c r="D65" i="12" s="1"/>
  <c r="P49" i="10"/>
  <c r="R49" i="10" s="1"/>
  <c r="B62" i="12" s="1"/>
  <c r="E62" i="12" s="1"/>
  <c r="P34" i="10"/>
  <c r="R34" i="10" s="1"/>
  <c r="B37" i="12" s="1"/>
  <c r="E37" i="12" s="1"/>
  <c r="P99" i="10"/>
  <c r="R99" i="10" s="1"/>
  <c r="J142" i="10"/>
  <c r="F148" i="10"/>
  <c r="J158" i="10"/>
  <c r="P36" i="10"/>
  <c r="R36" i="10" s="1"/>
  <c r="B39" i="12" s="1"/>
  <c r="D39" i="12" s="1"/>
  <c r="P43" i="10"/>
  <c r="R43" i="10" s="1"/>
  <c r="B56" i="12" s="1"/>
  <c r="E56" i="12" s="1"/>
  <c r="P106" i="10"/>
  <c r="R106" i="10" s="1"/>
  <c r="B32" i="13" s="1"/>
  <c r="P141" i="10"/>
  <c r="R141" i="10" s="1"/>
  <c r="Q194" i="10"/>
  <c r="Q39" i="10"/>
  <c r="P24" i="10"/>
  <c r="R24" i="10" s="1"/>
  <c r="B27" i="12" s="1"/>
  <c r="D27" i="12" s="1"/>
  <c r="P87" i="10"/>
  <c r="R87" i="10" s="1"/>
  <c r="B13" i="13" s="1"/>
  <c r="P63" i="10"/>
  <c r="R63" i="10" s="1"/>
  <c r="B76" i="12" s="1"/>
  <c r="E76" i="12" s="1"/>
  <c r="P26" i="10"/>
  <c r="R26" i="10" s="1"/>
  <c r="B29" i="12" s="1"/>
  <c r="D29" i="12" s="1"/>
  <c r="Q159" i="10"/>
  <c r="P165" i="10"/>
  <c r="P23" i="10"/>
  <c r="R23" i="10" s="1"/>
  <c r="B26" i="12" s="1"/>
  <c r="D26" i="12" s="1"/>
  <c r="P76" i="10"/>
  <c r="R76" i="10" s="1"/>
  <c r="B89" i="12" s="1"/>
  <c r="E89" i="12" s="1"/>
  <c r="P7" i="10"/>
  <c r="R7" i="10" s="1"/>
  <c r="B9" i="12" s="1"/>
  <c r="D9" i="12" s="1"/>
  <c r="I117" i="10"/>
  <c r="I123" i="10" s="1"/>
  <c r="P65" i="10"/>
  <c r="R65" i="10" s="1"/>
  <c r="B78" i="12" s="1"/>
  <c r="D78" i="12" s="1"/>
  <c r="P83" i="10"/>
  <c r="P27" i="10"/>
  <c r="R27" i="10" s="1"/>
  <c r="B30" i="12" s="1"/>
  <c r="D30" i="12" s="1"/>
  <c r="P120" i="10"/>
  <c r="R120" i="10" s="1"/>
  <c r="U120" i="10" s="1"/>
  <c r="P98" i="10"/>
  <c r="R98" i="10" s="1"/>
  <c r="G154" i="10"/>
  <c r="P143" i="10"/>
  <c r="R143" i="10" s="1"/>
  <c r="B24" i="14" s="1"/>
  <c r="C148" i="10"/>
  <c r="P44" i="10"/>
  <c r="R44" i="10" s="1"/>
  <c r="B57" i="12" s="1"/>
  <c r="E57" i="12" s="1"/>
  <c r="P70" i="10"/>
  <c r="R70" i="10" s="1"/>
  <c r="B83" i="12" s="1"/>
  <c r="E83" i="12" s="1"/>
  <c r="P47" i="10"/>
  <c r="R47" i="10" s="1"/>
  <c r="B60" i="12" s="1"/>
  <c r="D60" i="12" s="1"/>
  <c r="P13" i="10"/>
  <c r="R13" i="10" s="1"/>
  <c r="B15" i="12" s="1"/>
  <c r="D15" i="12" s="1"/>
  <c r="P130" i="10"/>
  <c r="R130" i="10" s="1"/>
  <c r="B11" i="14" s="1"/>
  <c r="C184" i="10"/>
  <c r="P11" i="10"/>
  <c r="R11" i="10" s="1"/>
  <c r="B13" i="12" s="1"/>
  <c r="D13" i="12" s="1"/>
  <c r="P57" i="10"/>
  <c r="R57" i="10" s="1"/>
  <c r="I67" i="10"/>
  <c r="P53" i="10"/>
  <c r="R53" i="10" s="1"/>
  <c r="B66" i="12" s="1"/>
  <c r="D66" i="12" s="1"/>
  <c r="P137" i="10"/>
  <c r="R137" i="10" s="1"/>
  <c r="P157" i="10"/>
  <c r="R157" i="10" s="1"/>
  <c r="B40" i="14" s="1"/>
  <c r="P8" i="10"/>
  <c r="R8" i="10" s="1"/>
  <c r="B10" i="12" s="1"/>
  <c r="E10" i="12" s="1"/>
  <c r="P85" i="10"/>
  <c r="R85" i="10" s="1"/>
  <c r="F184" i="10"/>
  <c r="P126" i="10"/>
  <c r="R126" i="10" s="1"/>
  <c r="B7" i="14" s="1"/>
  <c r="P12" i="10"/>
  <c r="R12" i="10" s="1"/>
  <c r="B14" i="12" s="1"/>
  <c r="E14" i="12" s="1"/>
  <c r="P22" i="10"/>
  <c r="R22" i="10" s="1"/>
  <c r="B25" i="12" s="1"/>
  <c r="E25" i="12" s="1"/>
  <c r="P146" i="10"/>
  <c r="R146" i="10" s="1"/>
  <c r="B27" i="14" s="1"/>
  <c r="P5" i="10"/>
  <c r="R5" i="10" s="1"/>
  <c r="P6" i="10"/>
  <c r="R6" i="10" s="1"/>
  <c r="B8" i="12" s="1"/>
  <c r="D8" i="12" s="1"/>
  <c r="P30" i="10"/>
  <c r="R30" i="10" s="1"/>
  <c r="B33" i="12" s="1"/>
  <c r="D33" i="12" s="1"/>
  <c r="J154" i="10"/>
  <c r="P156" i="10"/>
  <c r="R156" i="10" s="1"/>
  <c r="B38" i="14" s="1"/>
  <c r="P62" i="10"/>
  <c r="R62" i="10" s="1"/>
  <c r="B75" i="12" s="1"/>
  <c r="E75" i="12" s="1"/>
  <c r="P42" i="10"/>
  <c r="R42" i="10" s="1"/>
  <c r="B55" i="12" s="1"/>
  <c r="D55" i="12" s="1"/>
  <c r="P116" i="10"/>
  <c r="R116" i="10" s="1"/>
  <c r="I39" i="10"/>
  <c r="Q67" i="10"/>
  <c r="D203" i="10"/>
  <c r="P69" i="10"/>
  <c r="R69" i="10" s="1"/>
  <c r="B82" i="12" s="1"/>
  <c r="E82" i="12" s="1"/>
  <c r="P32" i="10"/>
  <c r="R32" i="10" s="1"/>
  <c r="B35" i="12" s="1"/>
  <c r="D35" i="12" s="1"/>
  <c r="C39" i="10"/>
  <c r="F67" i="10"/>
  <c r="G129" i="10"/>
  <c r="J147" i="10"/>
  <c r="P104" i="10"/>
  <c r="R104" i="10" s="1"/>
  <c r="B30" i="13" s="1"/>
  <c r="P20" i="10"/>
  <c r="R20" i="10" s="1"/>
  <c r="Q135" i="10"/>
  <c r="P119" i="10"/>
  <c r="R119" i="10" s="1"/>
  <c r="U119" i="10" s="1"/>
  <c r="F39" i="10"/>
  <c r="P89" i="10"/>
  <c r="R89" i="10" s="1"/>
  <c r="B15" i="13" s="1"/>
  <c r="D158" i="10"/>
  <c r="P139" i="10"/>
  <c r="R139" i="10" s="1"/>
  <c r="P9" i="10"/>
  <c r="R9" i="10" s="1"/>
  <c r="B11" i="12" s="1"/>
  <c r="E11" i="12" s="1"/>
  <c r="C159" i="10"/>
  <c r="P84" i="10"/>
  <c r="R84" i="10" s="1"/>
  <c r="P50" i="10"/>
  <c r="R50" i="10" s="1"/>
  <c r="B63" i="12" s="1"/>
  <c r="E63" i="12" s="1"/>
  <c r="D18" i="10"/>
  <c r="Q148" i="10"/>
  <c r="G38" i="10"/>
  <c r="D147" i="10"/>
  <c r="P14" i="10"/>
  <c r="R14" i="10" s="1"/>
  <c r="B16" i="12" s="1"/>
  <c r="E16" i="12" s="1"/>
  <c r="P118" i="10"/>
  <c r="R118" i="10" s="1"/>
  <c r="U118" i="10" s="1"/>
  <c r="P15" i="10"/>
  <c r="R15" i="10" s="1"/>
  <c r="B17" i="12" s="1"/>
  <c r="D17" i="12" s="1"/>
  <c r="P150" i="10"/>
  <c r="R150" i="10" s="1"/>
  <c r="P140" i="10"/>
  <c r="R140" i="10" s="1"/>
  <c r="B21" i="14" s="1"/>
  <c r="J38" i="10"/>
  <c r="G142" i="10"/>
  <c r="P35" i="10"/>
  <c r="R35" i="10" s="1"/>
  <c r="B38" i="12" s="1"/>
  <c r="D38" i="12" s="1"/>
  <c r="P138" i="10"/>
  <c r="R138" i="10" s="1"/>
  <c r="B19" i="14" s="1"/>
  <c r="P46" i="10"/>
  <c r="R46" i="10" s="1"/>
  <c r="B59" i="12" s="1"/>
  <c r="D59" i="12" s="1"/>
  <c r="D142" i="10"/>
  <c r="J129" i="10"/>
  <c r="P127" i="10"/>
  <c r="R127" i="10" s="1"/>
  <c r="P133" i="10"/>
  <c r="R133" i="10" s="1"/>
  <c r="B14" i="14" s="1"/>
  <c r="P28" i="10"/>
  <c r="R28" i="10" s="1"/>
  <c r="B31" i="12" s="1"/>
  <c r="D31" i="12" s="1"/>
  <c r="G66" i="10"/>
  <c r="P128" i="10"/>
  <c r="R128" i="10" s="1"/>
  <c r="D134" i="10"/>
  <c r="F117" i="10"/>
  <c r="F123" i="10" s="1"/>
  <c r="P33" i="10"/>
  <c r="R33" i="10" s="1"/>
  <c r="B36" i="12" s="1"/>
  <c r="D36" i="12" s="1"/>
  <c r="J18" i="10"/>
  <c r="P58" i="10"/>
  <c r="R58" i="10" s="1"/>
  <c r="B71" i="12" s="1"/>
  <c r="D71" i="12" s="1"/>
  <c r="I198" i="10"/>
  <c r="G18" i="10"/>
  <c r="P131" i="10"/>
  <c r="R131" i="10" s="1"/>
  <c r="D38" i="10"/>
  <c r="Q199" i="10"/>
  <c r="P10" i="10"/>
  <c r="R10" i="10" s="1"/>
  <c r="B12" i="12" s="1"/>
  <c r="C20" i="22" s="1"/>
  <c r="E20" i="22" s="1"/>
  <c r="J161" i="10"/>
  <c r="J55" i="10"/>
  <c r="G105" i="10"/>
  <c r="G107" i="10" s="1"/>
  <c r="G110" i="10" s="1"/>
  <c r="G117" i="10" s="1"/>
  <c r="G123" i="10" s="1"/>
  <c r="P17" i="10"/>
  <c r="R17" i="10" s="1"/>
  <c r="B19" i="12" s="1"/>
  <c r="D19" i="12" s="1"/>
  <c r="I135" i="10"/>
  <c r="J66" i="10"/>
  <c r="P48" i="10"/>
  <c r="R48" i="10" s="1"/>
  <c r="B61" i="12" s="1"/>
  <c r="E61" i="12" s="1"/>
  <c r="P101" i="10"/>
  <c r="R101" i="10" s="1"/>
  <c r="J134" i="10"/>
  <c r="P54" i="10"/>
  <c r="R54" i="10" s="1"/>
  <c r="B67" i="12" s="1"/>
  <c r="D67" i="12" s="1"/>
  <c r="P51" i="10"/>
  <c r="R51" i="10" s="1"/>
  <c r="B64" i="12" s="1"/>
  <c r="D64" i="12" s="1"/>
  <c r="P132" i="10"/>
  <c r="R132" i="10" s="1"/>
  <c r="B13" i="14" s="1"/>
  <c r="P160" i="10"/>
  <c r="R160" i="10" s="1"/>
  <c r="U160" i="10" s="1"/>
  <c r="P21" i="10"/>
  <c r="R21" i="10" s="1"/>
  <c r="B24" i="12" s="1"/>
  <c r="G203" i="10"/>
  <c r="D66" i="10"/>
  <c r="P155" i="10"/>
  <c r="R155" i="10" s="1"/>
  <c r="B37" i="14" s="1"/>
  <c r="P145" i="10"/>
  <c r="R145" i="10" s="1"/>
  <c r="G55" i="10"/>
  <c r="P25" i="10"/>
  <c r="R25" i="10" s="1"/>
  <c r="B28" i="12" s="1"/>
  <c r="D28" i="12" s="1"/>
  <c r="P151" i="10"/>
  <c r="R151" i="10" s="1"/>
  <c r="D55" i="10"/>
  <c r="P73" i="10"/>
  <c r="R73" i="10" s="1"/>
  <c r="B86" i="12" s="1"/>
  <c r="D86" i="12" s="1"/>
  <c r="P74" i="10"/>
  <c r="R74" i="10" s="1"/>
  <c r="B87" i="12" s="1"/>
  <c r="D87" i="12" s="1"/>
  <c r="P92" i="10"/>
  <c r="R92" i="10" s="1"/>
  <c r="B18" i="13" s="1"/>
  <c r="P121" i="10"/>
  <c r="R121" i="10" s="1"/>
  <c r="U121" i="10" s="1"/>
  <c r="G147" i="10"/>
  <c r="P97" i="10"/>
  <c r="R97" i="10" s="1"/>
  <c r="P37" i="10"/>
  <c r="R37" i="10" s="1"/>
  <c r="B40" i="12" s="1"/>
  <c r="D40" i="12" s="1"/>
  <c r="C135" i="10"/>
  <c r="P88" i="10"/>
  <c r="R88" i="10" s="1"/>
  <c r="B14" i="13" s="1"/>
  <c r="P93" i="10"/>
  <c r="R93" i="10" s="1"/>
  <c r="G134" i="10"/>
  <c r="D129" i="10"/>
  <c r="P16" i="10"/>
  <c r="R16" i="10" s="1"/>
  <c r="B18" i="12" s="1"/>
  <c r="D18" i="12" s="1"/>
  <c r="P86" i="10"/>
  <c r="R86" i="10" s="1"/>
  <c r="B12" i="13" s="1"/>
  <c r="D105" i="10"/>
  <c r="D107" i="10" s="1"/>
  <c r="D110" i="10" s="1"/>
  <c r="D167" i="10" s="1"/>
  <c r="D184" i="10" s="1"/>
  <c r="E58" i="12"/>
  <c r="D154" i="10"/>
  <c r="P64" i="10"/>
  <c r="R64" i="10" s="1"/>
  <c r="B77" i="12" s="1"/>
  <c r="D77" i="12" s="1"/>
  <c r="G158" i="10"/>
  <c r="P144" i="10"/>
  <c r="R144" i="10" s="1"/>
  <c r="I184" i="10"/>
  <c r="Q167" i="10"/>
  <c r="Q184" i="10" s="1"/>
  <c r="U111" i="10"/>
  <c r="J203" i="10"/>
  <c r="P100" i="10"/>
  <c r="P169" i="10" s="1"/>
  <c r="K164" i="10"/>
  <c r="T163" i="10"/>
  <c r="B45" i="14"/>
  <c r="H164" i="10"/>
  <c r="E164" i="10"/>
  <c r="G190" i="10"/>
  <c r="G194" i="10" s="1"/>
  <c r="E194" i="10"/>
  <c r="E198" i="10" s="1"/>
  <c r="N190" i="10"/>
  <c r="N164" i="10"/>
  <c r="K199" i="10"/>
  <c r="K194" i="10"/>
  <c r="K198" i="10" s="1"/>
  <c r="H199" i="10"/>
  <c r="H194" i="10"/>
  <c r="H198" i="10" s="1"/>
  <c r="J190" i="10"/>
  <c r="D190" i="10"/>
  <c r="B194" i="10"/>
  <c r="B198" i="10" s="1"/>
  <c r="B199" i="10"/>
  <c r="O194" i="10"/>
  <c r="O198" i="10" s="1"/>
  <c r="M199" i="10"/>
  <c r="M194" i="10"/>
  <c r="M198" i="10" s="1"/>
  <c r="L82" i="10"/>
  <c r="L196" i="10"/>
  <c r="J163" i="10"/>
  <c r="J164" i="10" s="1"/>
  <c r="I164" i="10"/>
  <c r="M79" i="10"/>
  <c r="C32" i="16"/>
  <c r="C35" i="16"/>
  <c r="B89" i="15"/>
  <c r="D89" i="15" s="1"/>
  <c r="L117" i="10"/>
  <c r="V110" i="10"/>
  <c r="L167" i="10"/>
  <c r="L184" i="10" s="1"/>
  <c r="E29" i="16"/>
  <c r="E16" i="17"/>
  <c r="F77" i="10"/>
  <c r="I77" i="10"/>
  <c r="C77" i="10"/>
  <c r="Q77" i="10"/>
  <c r="V164" i="10" l="1"/>
  <c r="U151" i="10"/>
  <c r="B33" i="14"/>
  <c r="U131" i="10"/>
  <c r="C12" i="14" s="1"/>
  <c r="F12" i="14" s="1"/>
  <c r="B12" i="14"/>
  <c r="B15" i="14" s="1"/>
  <c r="U103" i="10"/>
  <c r="C29" i="13" s="1"/>
  <c r="B29" i="13"/>
  <c r="U141" i="10"/>
  <c r="B22" i="14"/>
  <c r="U144" i="10"/>
  <c r="B25" i="14"/>
  <c r="U137" i="10"/>
  <c r="C18" i="14" s="1"/>
  <c r="E18" i="14" s="1"/>
  <c r="B18" i="14"/>
  <c r="U153" i="10"/>
  <c r="U145" i="10"/>
  <c r="B26" i="14"/>
  <c r="U139" i="10"/>
  <c r="B20" i="14"/>
  <c r="U127" i="10"/>
  <c r="B8" i="14"/>
  <c r="U128" i="10"/>
  <c r="C9" i="14" s="1"/>
  <c r="F9" i="14" s="1"/>
  <c r="B9" i="14"/>
  <c r="U150" i="10"/>
  <c r="C31" i="14" s="1"/>
  <c r="E31" i="14" s="1"/>
  <c r="B31" i="14"/>
  <c r="D78" i="14"/>
  <c r="D80" i="14" s="1"/>
  <c r="D88" i="14" s="1"/>
  <c r="D11" i="22"/>
  <c r="U97" i="10"/>
  <c r="C23" i="13" s="1"/>
  <c r="B23" i="13"/>
  <c r="U98" i="10"/>
  <c r="C24" i="13" s="1"/>
  <c r="B24" i="13"/>
  <c r="U99" i="10"/>
  <c r="C25" i="13" s="1"/>
  <c r="B25" i="13"/>
  <c r="R83" i="10"/>
  <c r="U83" i="10" s="1"/>
  <c r="C8" i="13" s="1"/>
  <c r="C7" i="13" s="1"/>
  <c r="P102" i="10"/>
  <c r="P105" i="10" s="1"/>
  <c r="P107" i="10" s="1"/>
  <c r="P110" i="10" s="1"/>
  <c r="P117" i="10" s="1"/>
  <c r="P123" i="10" s="1"/>
  <c r="U93" i="10"/>
  <c r="C19" i="13" s="1"/>
  <c r="B19" i="13"/>
  <c r="U101" i="10"/>
  <c r="C27" i="13" s="1"/>
  <c r="B27" i="13"/>
  <c r="D74" i="12"/>
  <c r="U84" i="10"/>
  <c r="C10" i="13" s="1"/>
  <c r="B10" i="13"/>
  <c r="U85" i="10"/>
  <c r="C11" i="13" s="1"/>
  <c r="B11" i="13"/>
  <c r="E88" i="12"/>
  <c r="D83" i="12"/>
  <c r="T164" i="10"/>
  <c r="T190" i="10"/>
  <c r="L190" i="10"/>
  <c r="B80" i="17" s="1"/>
  <c r="E32" i="12"/>
  <c r="D25" i="12"/>
  <c r="E65" i="12"/>
  <c r="D56" i="12"/>
  <c r="F200" i="10"/>
  <c r="F161" i="10"/>
  <c r="F198" i="10" s="1"/>
  <c r="U89" i="10"/>
  <c r="C15" i="13" s="1"/>
  <c r="E29" i="12"/>
  <c r="E66" i="12"/>
  <c r="E78" i="12"/>
  <c r="D62" i="12"/>
  <c r="D37" i="12"/>
  <c r="E30" i="12"/>
  <c r="Q161" i="10"/>
  <c r="Q163" i="10" s="1"/>
  <c r="Q164" i="10" s="1"/>
  <c r="E15" i="12"/>
  <c r="U106" i="10"/>
  <c r="C32" i="13" s="1"/>
  <c r="E8" i="12"/>
  <c r="U87" i="10"/>
  <c r="C13" i="13" s="1"/>
  <c r="D76" i="12"/>
  <c r="J159" i="10"/>
  <c r="E39" i="12"/>
  <c r="J148" i="10"/>
  <c r="E27" i="12"/>
  <c r="D89" i="12"/>
  <c r="E13" i="12"/>
  <c r="E26" i="12"/>
  <c r="E9" i="12"/>
  <c r="D57" i="12"/>
  <c r="D75" i="12"/>
  <c r="D14" i="12"/>
  <c r="E60" i="12"/>
  <c r="U146" i="10"/>
  <c r="D10" i="12"/>
  <c r="U157" i="10"/>
  <c r="C161" i="10"/>
  <c r="C198" i="10" s="1"/>
  <c r="C200" i="10"/>
  <c r="E33" i="12"/>
  <c r="E17" i="12"/>
  <c r="P154" i="10"/>
  <c r="D82" i="12"/>
  <c r="D11" i="12"/>
  <c r="Q200" i="10"/>
  <c r="D135" i="10"/>
  <c r="D200" i="10" s="1"/>
  <c r="U156" i="10"/>
  <c r="D61" i="12"/>
  <c r="E55" i="12"/>
  <c r="E35" i="12"/>
  <c r="D63" i="12"/>
  <c r="G39" i="10"/>
  <c r="D148" i="10"/>
  <c r="P158" i="10"/>
  <c r="G135" i="10"/>
  <c r="U104" i="10"/>
  <c r="C30" i="13" s="1"/>
  <c r="D67" i="10"/>
  <c r="R158" i="10"/>
  <c r="U158" i="10" s="1"/>
  <c r="D39" i="10"/>
  <c r="G148" i="10"/>
  <c r="R142" i="10"/>
  <c r="U142" i="10" s="1"/>
  <c r="E31" i="12"/>
  <c r="P142" i="10"/>
  <c r="U138" i="10"/>
  <c r="G167" i="10"/>
  <c r="G184" i="10" s="1"/>
  <c r="U88" i="10"/>
  <c r="C14" i="13" s="1"/>
  <c r="J67" i="10"/>
  <c r="J39" i="10"/>
  <c r="P129" i="10"/>
  <c r="D117" i="10"/>
  <c r="D123" i="10" s="1"/>
  <c r="U86" i="10"/>
  <c r="C12" i="13" s="1"/>
  <c r="U132" i="10"/>
  <c r="E38" i="12"/>
  <c r="J135" i="10"/>
  <c r="E59" i="12"/>
  <c r="I200" i="10"/>
  <c r="E28" i="12"/>
  <c r="E40" i="12"/>
  <c r="D16" i="12"/>
  <c r="U133" i="10"/>
  <c r="U92" i="10"/>
  <c r="C18" i="13" s="1"/>
  <c r="R154" i="10"/>
  <c r="E87" i="12"/>
  <c r="P134" i="10"/>
  <c r="U140" i="10"/>
  <c r="U155" i="10"/>
  <c r="C37" i="14" s="1"/>
  <c r="E37" i="14" s="1"/>
  <c r="E12" i="12"/>
  <c r="G67" i="10"/>
  <c r="P18" i="10"/>
  <c r="D12" i="12"/>
  <c r="E64" i="12"/>
  <c r="P55" i="10"/>
  <c r="P66" i="10"/>
  <c r="E19" i="12"/>
  <c r="G159" i="10"/>
  <c r="P147" i="10"/>
  <c r="D159" i="10"/>
  <c r="J167" i="10"/>
  <c r="J184" i="10" s="1"/>
  <c r="E86" i="12"/>
  <c r="E36" i="12"/>
  <c r="E67" i="12"/>
  <c r="E71" i="12"/>
  <c r="P203" i="10"/>
  <c r="P38" i="10"/>
  <c r="V167" i="10"/>
  <c r="V184" i="10" s="1"/>
  <c r="V200" i="10" s="1"/>
  <c r="V117" i="10"/>
  <c r="V123" i="10" s="1"/>
  <c r="E18" i="12"/>
  <c r="E77" i="12"/>
  <c r="R100" i="10"/>
  <c r="G199" i="10"/>
  <c r="D24" i="12"/>
  <c r="E24" i="12"/>
  <c r="N194" i="10"/>
  <c r="N198" i="10" s="1"/>
  <c r="N199" i="10"/>
  <c r="J194" i="10"/>
  <c r="J198" i="10" s="1"/>
  <c r="J199" i="10"/>
  <c r="D194" i="10"/>
  <c r="D199" i="10"/>
  <c r="L199" i="10"/>
  <c r="C80" i="17"/>
  <c r="V194" i="10"/>
  <c r="V198" i="10" s="1"/>
  <c r="V199" i="10"/>
  <c r="B41" i="14"/>
  <c r="I78" i="10"/>
  <c r="I80" i="10" s="1"/>
  <c r="I81" i="10" s="1"/>
  <c r="J77" i="10"/>
  <c r="J78" i="10" s="1"/>
  <c r="J80" i="10" s="1"/>
  <c r="I124" i="10"/>
  <c r="Q78" i="10"/>
  <c r="Q124" i="10"/>
  <c r="C78" i="10"/>
  <c r="C80" i="10" s="1"/>
  <c r="C81" i="10" s="1"/>
  <c r="D77" i="10"/>
  <c r="C124" i="10"/>
  <c r="F78" i="10"/>
  <c r="F80" i="10" s="1"/>
  <c r="F81" i="10" s="1"/>
  <c r="G77" i="10"/>
  <c r="G78" i="10" s="1"/>
  <c r="G80" i="10" s="1"/>
  <c r="F124" i="10"/>
  <c r="R134" i="10"/>
  <c r="U130" i="10"/>
  <c r="C11" i="14" s="1"/>
  <c r="R66" i="10"/>
  <c r="B70" i="12"/>
  <c r="E70" i="12" s="1"/>
  <c r="N79" i="10"/>
  <c r="M80" i="10"/>
  <c r="M81" i="10" s="1"/>
  <c r="U143" i="10"/>
  <c r="C24" i="14" s="1"/>
  <c r="R147" i="10"/>
  <c r="U126" i="10"/>
  <c r="C7" i="14" s="1"/>
  <c r="R129" i="10"/>
  <c r="U5" i="10"/>
  <c r="B7" i="12"/>
  <c r="E7" i="12" s="1"/>
  <c r="R18" i="10"/>
  <c r="R55" i="10"/>
  <c r="B54" i="12"/>
  <c r="E54" i="12" s="1"/>
  <c r="B22" i="12"/>
  <c r="E22" i="12" s="1"/>
  <c r="R38" i="10"/>
  <c r="B95" i="15"/>
  <c r="C44" i="17"/>
  <c r="L123" i="10"/>
  <c r="L124" i="10" s="1"/>
  <c r="L200" i="10"/>
  <c r="B35" i="16"/>
  <c r="E35" i="16" s="1"/>
  <c r="B57" i="17"/>
  <c r="B74" i="17" s="1"/>
  <c r="B90" i="17" s="1"/>
  <c r="E31" i="16"/>
  <c r="E32" i="16"/>
  <c r="B89" i="17"/>
  <c r="E42" i="17"/>
  <c r="B44" i="17"/>
  <c r="C82" i="17" l="1"/>
  <c r="C89" i="17" s="1"/>
  <c r="E12" i="14"/>
  <c r="B28" i="14"/>
  <c r="B23" i="14"/>
  <c r="B10" i="14"/>
  <c r="B16" i="14" s="1"/>
  <c r="C9" i="13"/>
  <c r="C38" i="14"/>
  <c r="E38" i="14" s="1"/>
  <c r="C27" i="14"/>
  <c r="E27" i="14" s="1"/>
  <c r="E9" i="14"/>
  <c r="C14" i="14"/>
  <c r="F14" i="14" s="1"/>
  <c r="C26" i="14"/>
  <c r="E26" i="14" s="1"/>
  <c r="C22" i="14"/>
  <c r="E22" i="14" s="1"/>
  <c r="C13" i="14"/>
  <c r="E13" i="14" s="1"/>
  <c r="C19" i="14"/>
  <c r="E19" i="14" s="1"/>
  <c r="C35" i="14"/>
  <c r="E35" i="14" s="1"/>
  <c r="C40" i="14"/>
  <c r="C8" i="14"/>
  <c r="F8" i="14" s="1"/>
  <c r="C21" i="14"/>
  <c r="E21" i="14" s="1"/>
  <c r="C20" i="14"/>
  <c r="C25" i="14"/>
  <c r="B36" i="14"/>
  <c r="B42" i="14" s="1"/>
  <c r="C33" i="14"/>
  <c r="D87" i="14"/>
  <c r="B9" i="13"/>
  <c r="R203" i="10"/>
  <c r="B26" i="13"/>
  <c r="B57" i="14" s="1"/>
  <c r="B8" i="13"/>
  <c r="B7" i="13" s="1"/>
  <c r="R102" i="10"/>
  <c r="C5" i="22"/>
  <c r="E5" i="22" s="1"/>
  <c r="L194" i="10"/>
  <c r="L198" i="10" s="1"/>
  <c r="T199" i="10"/>
  <c r="T194" i="10"/>
  <c r="T198" i="10" s="1"/>
  <c r="G161" i="10"/>
  <c r="G198" i="10" s="1"/>
  <c r="F163" i="10"/>
  <c r="F164" i="10" s="1"/>
  <c r="Q198" i="10"/>
  <c r="D161" i="10"/>
  <c r="D198" i="10" s="1"/>
  <c r="R159" i="10"/>
  <c r="U159" i="10" s="1"/>
  <c r="U154" i="10"/>
  <c r="G81" i="10"/>
  <c r="G196" i="10" s="1"/>
  <c r="C4" i="22"/>
  <c r="C22" i="22" s="1"/>
  <c r="E22" i="22" s="1"/>
  <c r="C163" i="10"/>
  <c r="D163" i="10" s="1"/>
  <c r="D164" i="10" s="1"/>
  <c r="R148" i="10"/>
  <c r="G200" i="10"/>
  <c r="P148" i="10"/>
  <c r="R169" i="10"/>
  <c r="U169" i="10" s="1"/>
  <c r="C57" i="14" s="1"/>
  <c r="J200" i="10"/>
  <c r="P39" i="10"/>
  <c r="P135" i="10"/>
  <c r="J81" i="10"/>
  <c r="J196" i="10" s="1"/>
  <c r="P167" i="10"/>
  <c r="P159" i="10"/>
  <c r="D124" i="10"/>
  <c r="P184" i="10"/>
  <c r="P67" i="10"/>
  <c r="U100" i="10"/>
  <c r="C26" i="13" s="1"/>
  <c r="C88" i="17"/>
  <c r="J124" i="10"/>
  <c r="G124" i="10"/>
  <c r="R67" i="10"/>
  <c r="P194" i="10"/>
  <c r="R39" i="10"/>
  <c r="M196" i="10"/>
  <c r="M82" i="10"/>
  <c r="D70" i="12"/>
  <c r="B79" i="12"/>
  <c r="E79" i="12" s="1"/>
  <c r="U134" i="10"/>
  <c r="P77" i="10"/>
  <c r="D78" i="10"/>
  <c r="D80" i="10" s="1"/>
  <c r="D81" i="10" s="1"/>
  <c r="N80" i="10"/>
  <c r="N81" i="10" s="1"/>
  <c r="O79" i="10"/>
  <c r="U147" i="10"/>
  <c r="U148" i="10" s="1"/>
  <c r="D54" i="12"/>
  <c r="B68" i="12"/>
  <c r="D7" i="12"/>
  <c r="B20" i="12"/>
  <c r="R135" i="10"/>
  <c r="C82" i="10"/>
  <c r="C196" i="10"/>
  <c r="D22" i="12"/>
  <c r="B41" i="12"/>
  <c r="E41" i="12" s="1"/>
  <c r="U129" i="10"/>
  <c r="F82" i="10"/>
  <c r="F196" i="10"/>
  <c r="I196" i="10"/>
  <c r="I82" i="10"/>
  <c r="V124" i="10"/>
  <c r="E44" i="17"/>
  <c r="B88" i="17"/>
  <c r="B29" i="14" l="1"/>
  <c r="C41" i="14"/>
  <c r="E41" i="14" s="1"/>
  <c r="C36" i="14"/>
  <c r="E36" i="14" s="1"/>
  <c r="F13" i="14"/>
  <c r="E8" i="14"/>
  <c r="C28" i="14"/>
  <c r="C23" i="14"/>
  <c r="E23" i="14" s="1"/>
  <c r="E33" i="14"/>
  <c r="C15" i="14"/>
  <c r="E25" i="14"/>
  <c r="E20" i="14"/>
  <c r="E40" i="14"/>
  <c r="C10" i="14"/>
  <c r="E14" i="14"/>
  <c r="C28" i="13"/>
  <c r="C31" i="13" s="1"/>
  <c r="C33" i="13" s="1"/>
  <c r="C34" i="13" s="1"/>
  <c r="B28" i="13"/>
  <c r="B31" i="13" s="1"/>
  <c r="B33" i="13" s="1"/>
  <c r="U102" i="10"/>
  <c r="G163" i="10"/>
  <c r="G164" i="10" s="1"/>
  <c r="R161" i="10"/>
  <c r="R163" i="10" s="1"/>
  <c r="R190" i="10" s="1"/>
  <c r="B78" i="14" s="1"/>
  <c r="E4" i="22"/>
  <c r="G82" i="10"/>
  <c r="C164" i="10"/>
  <c r="C9" i="22"/>
  <c r="E9" i="22" s="1"/>
  <c r="R105" i="10"/>
  <c r="U105" i="10" s="1"/>
  <c r="J82" i="10"/>
  <c r="P200" i="10"/>
  <c r="P161" i="10"/>
  <c r="P198" i="10" s="1"/>
  <c r="P124" i="10"/>
  <c r="D68" i="12"/>
  <c r="E68" i="12"/>
  <c r="D20" i="12"/>
  <c r="E20" i="12"/>
  <c r="U135" i="10"/>
  <c r="U161" i="10" s="1"/>
  <c r="U163" i="10" s="1"/>
  <c r="O80" i="10"/>
  <c r="O81" i="10" s="1"/>
  <c r="P79" i="10"/>
  <c r="Q79" i="10" s="1"/>
  <c r="D41" i="12"/>
  <c r="B42" i="12"/>
  <c r="D82" i="10"/>
  <c r="D196" i="10"/>
  <c r="E24" i="14"/>
  <c r="R77" i="10"/>
  <c r="P78" i="10"/>
  <c r="E11" i="14"/>
  <c r="F11" i="14"/>
  <c r="F7" i="14"/>
  <c r="E7" i="14"/>
  <c r="N196" i="10"/>
  <c r="N82" i="10"/>
  <c r="B80" i="12"/>
  <c r="D79" i="12"/>
  <c r="C29" i="14" l="1"/>
  <c r="C42" i="14"/>
  <c r="E42" i="14" s="1"/>
  <c r="C16" i="14"/>
  <c r="C12" i="22" s="1"/>
  <c r="E12" i="22" s="1"/>
  <c r="B53" i="13"/>
  <c r="B54" i="13" s="1"/>
  <c r="B34" i="13"/>
  <c r="B36" i="13"/>
  <c r="R164" i="10"/>
  <c r="B44" i="14"/>
  <c r="B46" i="14" s="1"/>
  <c r="R107" i="10"/>
  <c r="U107" i="10" s="1"/>
  <c r="P163" i="10"/>
  <c r="P190" i="10" s="1"/>
  <c r="P199" i="10" s="1"/>
  <c r="B55" i="14"/>
  <c r="B72" i="14" s="1"/>
  <c r="B89" i="14" s="1"/>
  <c r="E80" i="12"/>
  <c r="C18" i="22"/>
  <c r="E42" i="12"/>
  <c r="C17" i="22"/>
  <c r="E17" i="22" s="1"/>
  <c r="R199" i="10"/>
  <c r="R194" i="10"/>
  <c r="R198" i="10" s="1"/>
  <c r="B80" i="14"/>
  <c r="R79" i="10"/>
  <c r="Q80" i="10"/>
  <c r="Q81" i="10" s="1"/>
  <c r="D80" i="12"/>
  <c r="P80" i="10"/>
  <c r="P81" i="10" s="1"/>
  <c r="O82" i="10"/>
  <c r="O196" i="10"/>
  <c r="F15" i="14"/>
  <c r="E15" i="14"/>
  <c r="B90" i="12"/>
  <c r="R78" i="10"/>
  <c r="U77" i="10"/>
  <c r="D42" i="12"/>
  <c r="U190" i="10"/>
  <c r="U164" i="10"/>
  <c r="E28" i="14"/>
  <c r="F10" i="14"/>
  <c r="E10" i="14"/>
  <c r="C14" i="22" l="1"/>
  <c r="E14" i="22" s="1"/>
  <c r="C21" i="22"/>
  <c r="E21" i="22" s="1"/>
  <c r="C6" i="22"/>
  <c r="E6" i="22" s="1"/>
  <c r="B88" i="14"/>
  <c r="P164" i="10"/>
  <c r="R110" i="10"/>
  <c r="R117" i="10" s="1"/>
  <c r="E90" i="12"/>
  <c r="C64" i="13"/>
  <c r="E29" i="14"/>
  <c r="C13" i="22"/>
  <c r="E13" i="22" s="1"/>
  <c r="R80" i="10"/>
  <c r="R81" i="10" s="1"/>
  <c r="R196" i="10" s="1"/>
  <c r="E18" i="22"/>
  <c r="B87" i="14"/>
  <c r="D90" i="12"/>
  <c r="Q196" i="10"/>
  <c r="Q82" i="10"/>
  <c r="C53" i="13"/>
  <c r="C36" i="13"/>
  <c r="C55" i="14"/>
  <c r="U194" i="10"/>
  <c r="U198" i="10" s="1"/>
  <c r="C78" i="14"/>
  <c r="C80" i="14" s="1"/>
  <c r="U199" i="10"/>
  <c r="E16" i="14"/>
  <c r="C44" i="14"/>
  <c r="C15" i="22" s="1"/>
  <c r="E15" i="22" s="1"/>
  <c r="F16" i="14"/>
  <c r="P196" i="10"/>
  <c r="P82" i="10"/>
  <c r="R167" i="10" l="1"/>
  <c r="R184" i="10" s="1"/>
  <c r="U184" i="10" s="1"/>
  <c r="U200" i="10" s="1"/>
  <c r="C8" i="22"/>
  <c r="E8" i="22" s="1"/>
  <c r="C10" i="22"/>
  <c r="E10" i="22" s="1"/>
  <c r="U110" i="10"/>
  <c r="U117" i="10" s="1"/>
  <c r="U123" i="10" s="1"/>
  <c r="R82" i="10"/>
  <c r="C72" i="14"/>
  <c r="C89" i="14" s="1"/>
  <c r="F98" i="12"/>
  <c r="E91" i="12"/>
  <c r="C88" i="14"/>
  <c r="C46" i="14"/>
  <c r="C11" i="22" s="1"/>
  <c r="E11" i="22" s="1"/>
  <c r="E44" i="14"/>
  <c r="R123" i="10"/>
  <c r="C54" i="13"/>
  <c r="D91" i="12"/>
  <c r="B93" i="12"/>
  <c r="R200" i="10" l="1"/>
  <c r="U167" i="10"/>
  <c r="C19" i="22"/>
  <c r="C23" i="22" s="1"/>
  <c r="R124" i="10"/>
  <c r="U124" i="10" s="1"/>
  <c r="E98" i="12"/>
  <c r="E93" i="12"/>
  <c r="E46" i="14"/>
  <c r="C87" i="14"/>
  <c r="B94" i="12"/>
  <c r="E94" i="12" s="1"/>
  <c r="D93" i="12"/>
  <c r="E19" i="22" l="1"/>
  <c r="E23" i="22"/>
  <c r="D94" i="12"/>
  <c r="B100" i="12"/>
</calcChain>
</file>

<file path=xl/comments1.xml><?xml version="1.0" encoding="utf-8"?>
<comments xmlns="http://schemas.openxmlformats.org/spreadsheetml/2006/main">
  <authors>
    <author>左建芳</author>
  </authors>
  <commentList>
    <comment ref="B166" authorId="0" shapeId="0">
      <text>
        <r>
          <rPr>
            <b/>
            <sz val="9"/>
            <color indexed="81"/>
            <rFont val="宋体"/>
            <family val="3"/>
            <charset val="134"/>
          </rPr>
          <t>左建芳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不参与计算</t>
        </r>
      </text>
    </comment>
    <comment ref="D166" authorId="0" shapeId="0">
      <text>
        <r>
          <rPr>
            <b/>
            <sz val="9"/>
            <color indexed="81"/>
            <rFont val="宋体"/>
            <family val="3"/>
            <charset val="134"/>
          </rPr>
          <t>左建芳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本列倒推</t>
        </r>
      </text>
    </comment>
  </commentList>
</comments>
</file>

<file path=xl/sharedStrings.xml><?xml version="1.0" encoding="utf-8"?>
<sst xmlns="http://schemas.openxmlformats.org/spreadsheetml/2006/main" count="1038" uniqueCount="682">
  <si>
    <t>---</t>
  </si>
  <si>
    <t xml:space="preserve">    收到的税费返还</t>
  </si>
  <si>
    <t xml:space="preserve">    购买商品、接受劳务支付的现金</t>
  </si>
  <si>
    <t xml:space="preserve">    支付的各项税费</t>
  </si>
  <si>
    <t xml:space="preserve">    收回投资所收到的现金</t>
  </si>
  <si>
    <t xml:space="preserve">        固定资产折旧 </t>
  </si>
  <si>
    <t xml:space="preserve">        无形资产摊销 </t>
  </si>
  <si>
    <t xml:space="preserve">        长期待摊费用摊销 </t>
  </si>
  <si>
    <t xml:space="preserve">        待摊费用减少（减：增加） </t>
  </si>
  <si>
    <t xml:space="preserve">        预提费用增加（减：减少） </t>
  </si>
  <si>
    <t xml:space="preserve">        处置固定资产、无形资产和其他长期资产的损失（减：收益） </t>
  </si>
  <si>
    <t xml:space="preserve">        固定资产报废损失 </t>
  </si>
  <si>
    <t xml:space="preserve">        财务费用 </t>
  </si>
  <si>
    <t xml:space="preserve">        投资损失（减：收益） </t>
  </si>
  <si>
    <t xml:space="preserve">        递延税款贷项（减：借项） </t>
  </si>
  <si>
    <t xml:space="preserve">        存货的减少（减：增加） </t>
  </si>
  <si>
    <t xml:space="preserve">        经营性应收项目的减少（减：增加） </t>
  </si>
  <si>
    <t xml:space="preserve">        经营性应付项目的增加（减：减少） </t>
  </si>
  <si>
    <t xml:space="preserve">        其他 </t>
  </si>
  <si>
    <t xml:space="preserve"> 2、不涉及现金收支的投资和筹资活动： </t>
  </si>
  <si>
    <t xml:space="preserve">    债务转为资本 </t>
  </si>
  <si>
    <t xml:space="preserve">    一年内到期的可转换公司债券 </t>
  </si>
  <si>
    <t xml:space="preserve">    融资租入固定资产 </t>
  </si>
  <si>
    <t xml:space="preserve"> 3、现金及现金等价物净增加情况： </t>
  </si>
  <si>
    <t xml:space="preserve">    现金的期末余额 </t>
  </si>
  <si>
    <t xml:space="preserve">    减：现金的期初余额 </t>
  </si>
  <si>
    <t xml:space="preserve">    加：现金等价物的期末余额 </t>
  </si>
  <si>
    <t xml:space="preserve">    减：现金等价物的期初余额 </t>
  </si>
  <si>
    <t>支付的其他与筹资活动有关的现金</t>
  </si>
  <si>
    <t>营业收入</t>
  </si>
  <si>
    <t>利息收入</t>
  </si>
  <si>
    <t>已赚保费</t>
  </si>
  <si>
    <t>手续费及佣金收入</t>
  </si>
  <si>
    <t>利息支出</t>
  </si>
  <si>
    <t>手续费及佣金支出</t>
  </si>
  <si>
    <t>退保金</t>
  </si>
  <si>
    <t>营业税金及附加</t>
  </si>
  <si>
    <t>销售费用</t>
  </si>
  <si>
    <t>管理费用</t>
  </si>
  <si>
    <t>财务费用</t>
  </si>
  <si>
    <t>资产减值损失</t>
  </si>
  <si>
    <t>投资收益</t>
  </si>
  <si>
    <t>营业外支出</t>
  </si>
  <si>
    <t>所得税费用</t>
  </si>
  <si>
    <t>销售商品、提供劳务收到的现金</t>
  </si>
  <si>
    <t>收到的税费返还</t>
  </si>
  <si>
    <t>购买商品、接受劳务支付的现金</t>
  </si>
  <si>
    <t>支付给职工以及为职工支付的现金</t>
  </si>
  <si>
    <t>支付的各项税费</t>
  </si>
  <si>
    <t>收回投资所收到的现金</t>
  </si>
  <si>
    <t>处置固定资产、无形资产和其他长期资产所收回的现金净额</t>
  </si>
  <si>
    <t>处置子公司及其他营业单位收到的现金净额</t>
  </si>
  <si>
    <t>购建固定资产、无形资产和其他长期资产所支付的现金</t>
  </si>
  <si>
    <t>取得子公司及其他营业单位支付的现金净额</t>
  </si>
  <si>
    <t>支付的其他与投资活动有关的现金</t>
  </si>
  <si>
    <t>借款所收到的现金</t>
  </si>
  <si>
    <t>收到的其他与筹资活动有关的现金</t>
  </si>
  <si>
    <t>偿还债务所支付的现金</t>
  </si>
  <si>
    <t>计提资产减值准备</t>
  </si>
  <si>
    <t>固定资产折旧</t>
  </si>
  <si>
    <t>无形资产摊销</t>
  </si>
  <si>
    <t>长期待摊费用摊销</t>
  </si>
  <si>
    <t>待摊费用减少</t>
  </si>
  <si>
    <t>预提费用增加</t>
  </si>
  <si>
    <t>处置固定资产、无形资产和其他长期资产的损失</t>
  </si>
  <si>
    <t>固定资产报废损失</t>
  </si>
  <si>
    <t>投资损失</t>
  </si>
  <si>
    <t>递延税款贷项</t>
  </si>
  <si>
    <t>存货的减少</t>
  </si>
  <si>
    <t>经营性应收项目的减少</t>
  </si>
  <si>
    <t>经营性应付项目的增加</t>
  </si>
  <si>
    <t>其他</t>
  </si>
  <si>
    <t>经营活动产生的现金流量净额</t>
  </si>
  <si>
    <t>借方金额</t>
    <phoneticPr fontId="7" type="noConversion"/>
  </si>
  <si>
    <t>贷方金额</t>
    <phoneticPr fontId="7" type="noConversion"/>
  </si>
  <si>
    <t>抵消性质</t>
    <phoneticPr fontId="7" type="noConversion"/>
  </si>
  <si>
    <t>抵消说明</t>
    <phoneticPr fontId="7" type="noConversion"/>
  </si>
  <si>
    <t>报表科目</t>
    <phoneticPr fontId="7" type="noConversion"/>
  </si>
  <si>
    <t>二级科目</t>
    <phoneticPr fontId="7" type="noConversion"/>
  </si>
  <si>
    <t>备注</t>
    <phoneticPr fontId="7" type="noConversion"/>
  </si>
  <si>
    <t>行号</t>
    <phoneticPr fontId="7" type="noConversion"/>
  </si>
  <si>
    <t>抵消分录汇总表</t>
    <phoneticPr fontId="7" type="noConversion"/>
  </si>
  <si>
    <t>行标签</t>
  </si>
  <si>
    <t>值</t>
  </si>
  <si>
    <t>求和项:借方金额</t>
  </si>
  <si>
    <t>求和项:贷方金额</t>
  </si>
  <si>
    <r>
      <rPr>
        <sz val="9"/>
        <color theme="1"/>
        <rFont val="宋体"/>
        <family val="3"/>
        <charset val="134"/>
      </rPr>
      <t>合并汇总</t>
    </r>
    <phoneticPr fontId="7" type="noConversion"/>
  </si>
  <si>
    <r>
      <rPr>
        <sz val="9"/>
        <color indexed="8"/>
        <rFont val="宋体"/>
        <family val="3"/>
        <charset val="134"/>
      </rPr>
      <t>流动资产：</t>
    </r>
  </si>
  <si>
    <r>
      <t xml:space="preserve">    </t>
    </r>
    <r>
      <rPr>
        <b/>
        <sz val="9"/>
        <color indexed="8"/>
        <rFont val="宋体"/>
        <family val="3"/>
        <charset val="134"/>
      </rPr>
      <t>流动资产合计</t>
    </r>
  </si>
  <si>
    <r>
      <rPr>
        <sz val="9"/>
        <color indexed="8"/>
        <rFont val="宋体"/>
        <family val="3"/>
        <charset val="134"/>
      </rPr>
      <t>非流动资产：</t>
    </r>
  </si>
  <si>
    <r>
      <t xml:space="preserve">    </t>
    </r>
    <r>
      <rPr>
        <b/>
        <sz val="9"/>
        <color indexed="8"/>
        <rFont val="宋体"/>
        <family val="3"/>
        <charset val="134"/>
      </rPr>
      <t>非流动资产合计</t>
    </r>
  </si>
  <si>
    <r>
      <t xml:space="preserve">      </t>
    </r>
    <r>
      <rPr>
        <b/>
        <sz val="9"/>
        <color indexed="8"/>
        <rFont val="宋体"/>
        <family val="3"/>
        <charset val="134"/>
      </rPr>
      <t>资产总计</t>
    </r>
  </si>
  <si>
    <r>
      <rPr>
        <sz val="9"/>
        <color indexed="8"/>
        <rFont val="宋体"/>
        <family val="3"/>
        <charset val="134"/>
      </rPr>
      <t>流动负债：</t>
    </r>
  </si>
  <si>
    <r>
      <t xml:space="preserve">    </t>
    </r>
    <r>
      <rPr>
        <b/>
        <sz val="9"/>
        <color indexed="8"/>
        <rFont val="宋体"/>
        <family val="3"/>
        <charset val="134"/>
      </rPr>
      <t>流动负债合计</t>
    </r>
  </si>
  <si>
    <r>
      <rPr>
        <sz val="9"/>
        <color indexed="8"/>
        <rFont val="宋体"/>
        <family val="3"/>
        <charset val="134"/>
      </rPr>
      <t>非流动负债：</t>
    </r>
  </si>
  <si>
    <r>
      <t xml:space="preserve">      </t>
    </r>
    <r>
      <rPr>
        <b/>
        <sz val="9"/>
        <color indexed="8"/>
        <rFont val="宋体"/>
        <family val="3"/>
        <charset val="134"/>
      </rPr>
      <t>负债合计</t>
    </r>
  </si>
  <si>
    <r>
      <rPr>
        <sz val="9"/>
        <color indexed="8"/>
        <rFont val="宋体"/>
        <family val="3"/>
        <charset val="134"/>
      </rPr>
      <t>所有者权益（或股东权益）：</t>
    </r>
  </si>
  <si>
    <r>
      <t xml:space="preserve">  </t>
    </r>
    <r>
      <rPr>
        <sz val="9"/>
        <color indexed="8"/>
        <rFont val="宋体"/>
        <family val="3"/>
        <charset val="134"/>
      </rPr>
      <t>归属于母公司所有者权益合计</t>
    </r>
  </si>
  <si>
    <r>
      <t xml:space="preserve">    </t>
    </r>
    <r>
      <rPr>
        <b/>
        <sz val="9"/>
        <color indexed="8"/>
        <rFont val="宋体"/>
        <family val="3"/>
        <charset val="134"/>
      </rPr>
      <t>所有者权益合计</t>
    </r>
  </si>
  <si>
    <r>
      <t xml:space="preserve">    </t>
    </r>
    <r>
      <rPr>
        <b/>
        <sz val="9"/>
        <color indexed="8"/>
        <rFont val="宋体"/>
        <family val="3"/>
        <charset val="134"/>
      </rPr>
      <t>负债和所有者权益总计</t>
    </r>
  </si>
  <si>
    <r>
      <t xml:space="preserve">      </t>
    </r>
    <r>
      <rPr>
        <sz val="9"/>
        <rFont val="宋体"/>
        <family val="3"/>
        <charset val="134"/>
      </rPr>
      <t>减：提取盈余公积</t>
    </r>
    <phoneticPr fontId="7" type="noConversion"/>
  </si>
  <si>
    <r>
      <t xml:space="preserve">      </t>
    </r>
    <r>
      <rPr>
        <sz val="9"/>
        <color indexed="8"/>
        <rFont val="宋体"/>
        <family val="3"/>
        <charset val="134"/>
      </rPr>
      <t>减：应付优先股股利</t>
    </r>
    <phoneticPr fontId="7" type="noConversion"/>
  </si>
  <si>
    <r>
      <t xml:space="preserve">      </t>
    </r>
    <r>
      <rPr>
        <sz val="9"/>
        <color indexed="8"/>
        <rFont val="宋体"/>
        <family val="3"/>
        <charset val="134"/>
      </rPr>
      <t>减：应付普通股股利</t>
    </r>
    <phoneticPr fontId="7" type="noConversion"/>
  </si>
  <si>
    <r>
      <t xml:space="preserve">      </t>
    </r>
    <r>
      <rPr>
        <sz val="9"/>
        <color indexed="8"/>
        <rFont val="宋体"/>
        <family val="3"/>
        <charset val="134"/>
      </rPr>
      <t>减：转作普通股的股利</t>
    </r>
    <phoneticPr fontId="7" type="noConversion"/>
  </si>
  <si>
    <r>
      <t xml:space="preserve">     </t>
    </r>
    <r>
      <rPr>
        <sz val="9"/>
        <color indexed="8"/>
        <rFont val="宋体"/>
        <family val="3"/>
        <charset val="134"/>
      </rPr>
      <t>减：其他调整</t>
    </r>
    <phoneticPr fontId="7" type="noConversion"/>
  </si>
  <si>
    <r>
      <t xml:space="preserve">    </t>
    </r>
    <r>
      <rPr>
        <b/>
        <sz val="9"/>
        <color indexed="8"/>
        <rFont val="宋体"/>
        <family val="3"/>
        <charset val="134"/>
      </rPr>
      <t>非流动负债合计</t>
    </r>
  </si>
  <si>
    <t xml:space="preserve">         经营活动现金流入小计</t>
    <phoneticPr fontId="7" type="noConversion"/>
  </si>
  <si>
    <t xml:space="preserve">         经营活动现金流出小计</t>
    <phoneticPr fontId="7" type="noConversion"/>
  </si>
  <si>
    <t xml:space="preserve">    经营活动产生的现金流量净额</t>
    <phoneticPr fontId="7" type="noConversion"/>
  </si>
  <si>
    <t xml:space="preserve">        投资活动现金流入小计</t>
    <phoneticPr fontId="7" type="noConversion"/>
  </si>
  <si>
    <t xml:space="preserve">        投资活动现金流出小计</t>
    <phoneticPr fontId="7" type="noConversion"/>
  </si>
  <si>
    <t xml:space="preserve">    投资活动产生的现金流量净额</t>
    <phoneticPr fontId="7" type="noConversion"/>
  </si>
  <si>
    <t xml:space="preserve">        筹资活动现金流入小计</t>
    <phoneticPr fontId="7" type="noConversion"/>
  </si>
  <si>
    <t xml:space="preserve">        筹资活动现金流出小计</t>
    <phoneticPr fontId="7" type="noConversion"/>
  </si>
  <si>
    <t xml:space="preserve">    筹资活动产生的现金流量净额</t>
    <phoneticPr fontId="7" type="noConversion"/>
  </si>
  <si>
    <t>五、现金及现金等价物净增加额</t>
    <phoneticPr fontId="7" type="noConversion"/>
  </si>
  <si>
    <t>六、期末现金及现金等价物余额</t>
    <phoneticPr fontId="7" type="noConversion"/>
  </si>
  <si>
    <t xml:space="preserve">    净利润 </t>
    <phoneticPr fontId="7" type="noConversion"/>
  </si>
  <si>
    <t xml:space="preserve">    经营活动产生的现金流量净额 </t>
    <phoneticPr fontId="7" type="noConversion"/>
  </si>
  <si>
    <t xml:space="preserve">    加：少数股东损益 </t>
    <phoneticPr fontId="7" type="noConversion"/>
  </si>
  <si>
    <t xml:space="preserve">        计提资产减值准备 </t>
    <phoneticPr fontId="7" type="noConversion"/>
  </si>
  <si>
    <t xml:space="preserve">    现金及现金等价物净增加额 </t>
    <phoneticPr fontId="7" type="noConversion"/>
  </si>
  <si>
    <t>平衡测算：</t>
    <phoneticPr fontId="7" type="noConversion"/>
  </si>
  <si>
    <t>一、经营活动产生的现金流量：</t>
    <phoneticPr fontId="7" type="noConversion"/>
  </si>
  <si>
    <t>未分配利润平衡：</t>
    <phoneticPr fontId="7" type="noConversion"/>
  </si>
  <si>
    <t>二、投资活动产生的现金流量：</t>
    <phoneticPr fontId="7" type="noConversion"/>
  </si>
  <si>
    <t>三、筹资活动产生的现金流量：</t>
    <phoneticPr fontId="7" type="noConversion"/>
  </si>
  <si>
    <r>
      <rPr>
        <b/>
        <sz val="9"/>
        <color indexed="8"/>
        <rFont val="宋体"/>
        <family val="3"/>
        <charset val="134"/>
      </rPr>
      <t>期末现金余额测算</t>
    </r>
    <r>
      <rPr>
        <b/>
        <sz val="9"/>
        <color indexed="8"/>
        <rFont val="Arial Narrow"/>
        <family val="2"/>
      </rPr>
      <t>;</t>
    </r>
    <phoneticPr fontId="7" type="noConversion"/>
  </si>
  <si>
    <t xml:space="preserve">补充资料 </t>
    <phoneticPr fontId="7" type="noConversion"/>
  </si>
  <si>
    <t xml:space="preserve"> 1、将净利润调节为经营活动现金流量： </t>
    <phoneticPr fontId="7" type="noConversion"/>
  </si>
  <si>
    <t>四、汇率变动对现金及现金等价物的影响</t>
    <phoneticPr fontId="7" type="noConversion"/>
  </si>
  <si>
    <t>期初现金及现金等价物余额</t>
  </si>
  <si>
    <t>总计</t>
  </si>
  <si>
    <r>
      <rPr>
        <sz val="9"/>
        <color theme="1"/>
        <rFont val="宋体"/>
        <family val="3"/>
        <charset val="134"/>
      </rPr>
      <t>合并数</t>
    </r>
    <phoneticPr fontId="7" type="noConversion"/>
  </si>
  <si>
    <r>
      <rPr>
        <sz val="9"/>
        <color theme="1"/>
        <rFont val="宋体"/>
        <family val="3"/>
        <charset val="134"/>
      </rPr>
      <t>项目</t>
    </r>
    <phoneticPr fontId="7" type="noConversion"/>
  </si>
  <si>
    <t>长期股权投资</t>
  </si>
  <si>
    <t>实收资本（或股本）</t>
  </si>
  <si>
    <t>资本公积</t>
  </si>
  <si>
    <t>盈余公积</t>
  </si>
  <si>
    <t>期初未分配利润</t>
  </si>
  <si>
    <t>未分配利润</t>
  </si>
  <si>
    <t>商誉</t>
  </si>
  <si>
    <t>资产负债表平衡：</t>
  </si>
  <si>
    <t>现金及现金等价物平衡</t>
  </si>
  <si>
    <t>货币资金平衡</t>
  </si>
  <si>
    <t>经营活动现金流平衡</t>
  </si>
  <si>
    <t>无形资产</t>
  </si>
  <si>
    <t>递延所得税负债</t>
  </si>
  <si>
    <t>提取盈余公积</t>
  </si>
  <si>
    <t>其他应收款</t>
  </si>
  <si>
    <t>其他应付款</t>
  </si>
  <si>
    <t xml:space="preserve">资 产 </t>
  </si>
  <si>
    <t>流动资产：</t>
  </si>
  <si>
    <t>流动资产合计</t>
  </si>
  <si>
    <t>非流动资产：</t>
  </si>
  <si>
    <t>非流动资产合计</t>
  </si>
  <si>
    <t>资产总计</t>
  </si>
  <si>
    <t>负债和股东权益</t>
  </si>
  <si>
    <t>流动负债：</t>
  </si>
  <si>
    <t>流动负债合计</t>
  </si>
  <si>
    <t>非流动负债：</t>
  </si>
  <si>
    <t>非流动负债合计</t>
  </si>
  <si>
    <t>负债合计</t>
  </si>
  <si>
    <t>股东权益：</t>
  </si>
  <si>
    <t>股东权益合计</t>
  </si>
  <si>
    <t>负债和股东权益总计</t>
  </si>
  <si>
    <t>项目</t>
  </si>
  <si>
    <t xml:space="preserve">   （一）基本每股收益</t>
  </si>
  <si>
    <t xml:space="preserve">   （二）稀释每股收益</t>
  </si>
  <si>
    <t>现金流量表</t>
  </si>
  <si>
    <t xml:space="preserve">项 目 </t>
  </si>
  <si>
    <t>一、经营活动产生的现金流量：</t>
  </si>
  <si>
    <t xml:space="preserve">    收到其他与经营活动有关的现金</t>
  </si>
  <si>
    <t>经营活动现金流入小计</t>
  </si>
  <si>
    <t xml:space="preserve">    支付给职工以及为职工支付的现金</t>
    <phoneticPr fontId="50" type="noConversion"/>
  </si>
  <si>
    <t xml:space="preserve">    支付其他与经营活动有关的现金</t>
    <phoneticPr fontId="50" type="noConversion"/>
  </si>
  <si>
    <t>经营活动现金流出小计</t>
  </si>
  <si>
    <t>二、投资活动产生的现金流量：</t>
  </si>
  <si>
    <t xml:space="preserve">    收回投资所收到的现金</t>
    <phoneticPr fontId="50" type="noConversion"/>
  </si>
  <si>
    <t xml:space="preserve">    取得投资收益收到的现金</t>
    <phoneticPr fontId="50" type="noConversion"/>
  </si>
  <si>
    <t xml:space="preserve">    处置固定资产、无形资产和其他长期资产收回的现金净额</t>
    <phoneticPr fontId="50" type="noConversion"/>
  </si>
  <si>
    <t>　　处置子公司及其他营业单位收到的现金净额</t>
    <phoneticPr fontId="50" type="noConversion"/>
  </si>
  <si>
    <t xml:space="preserve">    收到其他与投资活动有关的现金</t>
    <phoneticPr fontId="50" type="noConversion"/>
  </si>
  <si>
    <t>投资活动现金流入小计</t>
  </si>
  <si>
    <t xml:space="preserve">    购建固定资产、无形资产和其他长期资产支付的现金</t>
    <phoneticPr fontId="50" type="noConversion"/>
  </si>
  <si>
    <t xml:space="preserve">    投资支付的现金</t>
    <phoneticPr fontId="50" type="noConversion"/>
  </si>
  <si>
    <t>　　取得子公司及其他营业单位支付的现金净额</t>
    <phoneticPr fontId="50" type="noConversion"/>
  </si>
  <si>
    <t xml:space="preserve">    支付其他与投资活动有关的现金</t>
    <phoneticPr fontId="50" type="noConversion"/>
  </si>
  <si>
    <t>投资活动现金流出小计</t>
  </si>
  <si>
    <t>投资活动产生的现金流量净额</t>
  </si>
  <si>
    <t>三、筹资活动产生的现金流量：</t>
  </si>
  <si>
    <t xml:space="preserve">    吸收投资收到的现金</t>
    <phoneticPr fontId="50" type="noConversion"/>
  </si>
  <si>
    <t xml:space="preserve">    取得借款收到的现金</t>
    <phoneticPr fontId="50" type="noConversion"/>
  </si>
  <si>
    <t xml:space="preserve">    收到其他与筹资活动有关的现金</t>
    <phoneticPr fontId="50" type="noConversion"/>
  </si>
  <si>
    <t>筹资活动现金流入小计</t>
  </si>
  <si>
    <t xml:space="preserve">    偿还债务支付的现金</t>
    <phoneticPr fontId="50" type="noConversion"/>
  </si>
  <si>
    <t xml:space="preserve">    分配股利、利润或偿付利息支付的现金</t>
    <phoneticPr fontId="50" type="noConversion"/>
  </si>
  <si>
    <t xml:space="preserve">    支付其他与筹资活动有关的现金</t>
    <phoneticPr fontId="50" type="noConversion"/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</si>
  <si>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</si>
  <si>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</si>
  <si>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</si>
  <si>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</si>
  <si>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 xml:space="preserve">    加：年初现金及现金等价物余额</t>
    <phoneticPr fontId="50" type="noConversion"/>
  </si>
  <si>
    <t>六、期末现金及现金等价物余额</t>
  </si>
  <si>
    <t xml:space="preserve">补充资料 </t>
  </si>
  <si>
    <t xml:space="preserve"> 1、将净利润调节为经营活动现金流量： </t>
  </si>
  <si>
    <t xml:space="preserve">    净利润 </t>
  </si>
  <si>
    <t xml:space="preserve">    加：少数股东损益 </t>
  </si>
  <si>
    <t xml:space="preserve">        计提资产减值准备 </t>
  </si>
  <si>
    <t xml:space="preserve">    经营活动产生的现金流量净额</t>
    <phoneticPr fontId="50" type="noConversion"/>
  </si>
  <si>
    <t xml:space="preserve">    减：现金的期初余额</t>
    <phoneticPr fontId="50" type="noConversion"/>
  </si>
  <si>
    <t xml:space="preserve">    现金及现金等价物净增加额</t>
    <phoneticPr fontId="50" type="noConversion"/>
  </si>
  <si>
    <t>货币资金试算平衡</t>
    <phoneticPr fontId="50" type="noConversion"/>
  </si>
  <si>
    <t>现金及现金等价物净增加额平衡</t>
    <phoneticPr fontId="50" type="noConversion"/>
  </si>
  <si>
    <t>经营活动产生的现金流量净额平衡</t>
    <phoneticPr fontId="50" type="noConversion"/>
  </si>
  <si>
    <t>合并资产负债表</t>
  </si>
  <si>
    <t>编制单位：北京东方通科技股份有限公司</t>
  </si>
  <si>
    <t>合并利润表</t>
  </si>
  <si>
    <t xml:space="preserve">    归属于少数股东的综合收益总额</t>
  </si>
  <si>
    <t>合并现金流量表</t>
  </si>
  <si>
    <t xml:space="preserve">    支付其他与经营活动有关的现金</t>
  </si>
  <si>
    <t xml:space="preserve">    取得投资收益收到的现金</t>
  </si>
  <si>
    <t>　　处置子公司及其他营业单位收到的现金净额</t>
  </si>
  <si>
    <t xml:space="preserve">    收到其他与投资活动有关的现金</t>
  </si>
  <si>
    <t xml:space="preserve">    支付其他与投资活动有关的现金</t>
  </si>
  <si>
    <t xml:space="preserve">    吸收投资收到的现金</t>
  </si>
  <si>
    <t>　　其中：子公司吸收少数股东投资收到的现金</t>
  </si>
  <si>
    <t xml:space="preserve">    取得借款收到的现金</t>
  </si>
  <si>
    <t xml:space="preserve">    收到其他与筹资活动有关的现金</t>
  </si>
  <si>
    <t xml:space="preserve">    偿还债务支付的现金</t>
  </si>
  <si>
    <t xml:space="preserve">    分配股利、利润或偿付利息支付的现金</t>
  </si>
  <si>
    <t>　　其中：子公司支付给少数股东的股利、利润</t>
  </si>
  <si>
    <t xml:space="preserve">    支付其他与筹资活动有关的现金</t>
  </si>
  <si>
    <t xml:space="preserve">    加：年初现金及现金等价物余额</t>
  </si>
  <si>
    <r>
      <t xml:space="preserve">    </t>
    </r>
    <r>
      <rPr>
        <sz val="9"/>
        <color indexed="8"/>
        <rFont val="宋体"/>
        <family val="3"/>
        <charset val="134"/>
      </rPr>
      <t>减：所得税费用</t>
    </r>
    <phoneticPr fontId="50" type="noConversion"/>
  </si>
  <si>
    <t xml:space="preserve">    处置固定资产、无形资产和其他长期资产收回的现金净额</t>
    <phoneticPr fontId="50" type="noConversion"/>
  </si>
  <si>
    <t>　　处置子公司及其他营业单位收到的现金净额</t>
    <phoneticPr fontId="50" type="noConversion"/>
  </si>
  <si>
    <t xml:space="preserve">    吸收投资收到的现金</t>
    <phoneticPr fontId="50" type="noConversion"/>
  </si>
  <si>
    <t xml:space="preserve">    取得借款收到的现金</t>
    <phoneticPr fontId="50" type="noConversion"/>
  </si>
  <si>
    <t xml:space="preserve">    收到其他与筹资活动有关的现金</t>
    <phoneticPr fontId="50" type="noConversion"/>
  </si>
  <si>
    <t xml:space="preserve">    偿还债务支付的现金</t>
    <phoneticPr fontId="50" type="noConversion"/>
  </si>
  <si>
    <t>应付账款</t>
  </si>
  <si>
    <t>营业成本</t>
  </si>
  <si>
    <t xml:space="preserve">    支付的各项税费</t>
    <phoneticPr fontId="50" type="noConversion"/>
  </si>
  <si>
    <t>货币资金</t>
  </si>
  <si>
    <t>交易性金融资产</t>
  </si>
  <si>
    <t>存货</t>
  </si>
  <si>
    <t>一年内到期的非流动资产</t>
  </si>
  <si>
    <t>其他流动资产</t>
  </si>
  <si>
    <t>长期应收款</t>
  </si>
  <si>
    <t>投资性房地产</t>
  </si>
  <si>
    <t>固定资产</t>
  </si>
  <si>
    <t>在建工程</t>
  </si>
  <si>
    <t>工程物资</t>
  </si>
  <si>
    <t>固定资产清理</t>
  </si>
  <si>
    <t>生产性生物资产</t>
  </si>
  <si>
    <t>油气资产</t>
  </si>
  <si>
    <t>开发支出</t>
  </si>
  <si>
    <t>长期待摊费用</t>
  </si>
  <si>
    <t>递延所得税资产</t>
  </si>
  <si>
    <t>其他非流动资产</t>
  </si>
  <si>
    <t>短期借款</t>
  </si>
  <si>
    <t>交易性金融负债</t>
  </si>
  <si>
    <t>预收款项</t>
  </si>
  <si>
    <t>卖出回购金融资产款</t>
  </si>
  <si>
    <t>应付手续费及佣金</t>
  </si>
  <si>
    <t>应付职工薪酬</t>
  </si>
  <si>
    <t>应交税费</t>
  </si>
  <si>
    <t>应付利息</t>
  </si>
  <si>
    <t>应付股利</t>
  </si>
  <si>
    <t>一年内到期的非流动负债</t>
  </si>
  <si>
    <t>其他流动负债</t>
  </si>
  <si>
    <t>长期借款</t>
  </si>
  <si>
    <t>应付债券</t>
  </si>
  <si>
    <t>长期应付款</t>
  </si>
  <si>
    <t>专项应付款</t>
  </si>
  <si>
    <t>预计负债</t>
  </si>
  <si>
    <t>其他非流动负债</t>
  </si>
  <si>
    <t>一般风险准备</t>
  </si>
  <si>
    <t>少数股东权益</t>
  </si>
  <si>
    <t>汇兑收益</t>
  </si>
  <si>
    <t>少数股东损益</t>
  </si>
  <si>
    <t>预付账款</t>
  </si>
  <si>
    <t>库存股</t>
  </si>
  <si>
    <t>提取任意盈余公积</t>
  </si>
  <si>
    <t>应付优先股股利</t>
  </si>
  <si>
    <t>应付普通股股利</t>
  </si>
  <si>
    <t>转做普通股的股利</t>
  </si>
  <si>
    <t>汇率变动对现金及现金等价物的影响</t>
  </si>
  <si>
    <t>吸收投资收到的现金</t>
    <phoneticPr fontId="7" type="noConversion"/>
  </si>
  <si>
    <t>同期对比</t>
    <phoneticPr fontId="7" type="noConversion"/>
  </si>
  <si>
    <t>同期对比</t>
    <phoneticPr fontId="7" type="noConversion"/>
  </si>
  <si>
    <t>支付其他与经营活动有关的现金</t>
    <phoneticPr fontId="7" type="noConversion"/>
  </si>
  <si>
    <t xml:space="preserve">    支付给职工以及为职工支付的现金</t>
    <phoneticPr fontId="50" type="noConversion"/>
  </si>
  <si>
    <t xml:space="preserve">    支付其他与经营活动有关的现金</t>
    <phoneticPr fontId="50" type="noConversion"/>
  </si>
  <si>
    <t xml:space="preserve">    收到其他与经营活动有关的现金</t>
    <phoneticPr fontId="7" type="noConversion"/>
  </si>
  <si>
    <t>收到其他与经营活动有关的现金</t>
    <phoneticPr fontId="7" type="noConversion"/>
  </si>
  <si>
    <t xml:space="preserve">    购建固定资产、无形资产和其他长期资产支付的现金</t>
    <phoneticPr fontId="50" type="noConversion"/>
  </si>
  <si>
    <t xml:space="preserve">        经营性应付项目的增加（减：减少） </t>
    <phoneticPr fontId="7" type="noConversion"/>
  </si>
  <si>
    <t xml:space="preserve">        经营性应收项目的减少（减：增加） </t>
    <phoneticPr fontId="7" type="noConversion"/>
  </si>
  <si>
    <r>
      <rPr>
        <sz val="9"/>
        <color indexed="8"/>
        <rFont val="宋体"/>
        <family val="3"/>
        <charset val="134"/>
      </rPr>
      <t>经营性应付项目的增加（减：减少）</t>
    </r>
    <r>
      <rPr>
        <sz val="9"/>
        <color indexed="8"/>
        <rFont val="Arial Narrow"/>
        <family val="2"/>
      </rPr>
      <t xml:space="preserve"> </t>
    </r>
    <phoneticPr fontId="7" type="noConversion"/>
  </si>
  <si>
    <r>
      <rPr>
        <sz val="9"/>
        <color indexed="8"/>
        <rFont val="宋体"/>
        <family val="3"/>
        <charset val="134"/>
      </rPr>
      <t>经营性应收项目的减少（减：增加）</t>
    </r>
    <r>
      <rPr>
        <sz val="9"/>
        <color indexed="8"/>
        <rFont val="Arial Narrow"/>
        <family val="2"/>
      </rPr>
      <t xml:space="preserve"> </t>
    </r>
    <phoneticPr fontId="7" type="noConversion"/>
  </si>
  <si>
    <t>收到其他与投资活动有关的现金</t>
    <phoneticPr fontId="7" type="noConversion"/>
  </si>
  <si>
    <t>投资支付的现金</t>
    <phoneticPr fontId="7" type="noConversion"/>
  </si>
  <si>
    <t xml:space="preserve">    支付其他与投资活动有关的现金</t>
    <phoneticPr fontId="50" type="noConversion"/>
  </si>
  <si>
    <t>同期累计对比</t>
    <phoneticPr fontId="7" type="noConversion"/>
  </si>
  <si>
    <t xml:space="preserve">    投资支付的现金</t>
    <phoneticPr fontId="7" type="noConversion"/>
  </si>
  <si>
    <t>　　取得子公司及其他营业单位支付的现金净额</t>
    <phoneticPr fontId="7" type="noConversion"/>
  </si>
  <si>
    <t xml:space="preserve">    减：所得税费用</t>
    <phoneticPr fontId="7" type="noConversion"/>
  </si>
  <si>
    <t xml:space="preserve">    购建固定资产、无形资产和其他长期资产支付的现金</t>
    <phoneticPr fontId="7" type="noConversion"/>
  </si>
  <si>
    <t>试算平衡</t>
    <phoneticPr fontId="7" type="noConversion"/>
  </si>
  <si>
    <t xml:space="preserve">  　销售商品、提供劳务收到的现金</t>
    <phoneticPr fontId="7" type="noConversion"/>
  </si>
  <si>
    <t xml:space="preserve">    收回投资所收到的现金</t>
    <phoneticPr fontId="50" type="noConversion"/>
  </si>
  <si>
    <t xml:space="preserve">    支付其他与筹资活动有关的现金</t>
    <phoneticPr fontId="50" type="noConversion"/>
  </si>
  <si>
    <t xml:space="preserve">    取得投资收益收到的现金</t>
    <phoneticPr fontId="50" type="noConversion"/>
  </si>
  <si>
    <t>取得投资收益收到的现金</t>
    <phoneticPr fontId="7" type="noConversion"/>
  </si>
  <si>
    <t xml:space="preserve">    分配股利、利润或偿付利息支付的现金</t>
    <phoneticPr fontId="50" type="noConversion"/>
  </si>
  <si>
    <t>分配股利、利润或偿付利息支付的现金</t>
    <phoneticPr fontId="7" type="noConversion"/>
  </si>
  <si>
    <t xml:space="preserve">  　销售商品、提供劳务收到的现金</t>
    <phoneticPr fontId="50" type="noConversion"/>
  </si>
  <si>
    <t xml:space="preserve">    购买商品、接受劳务支付的现金</t>
    <phoneticPr fontId="50" type="noConversion"/>
  </si>
  <si>
    <t xml:space="preserve">    投资支付的现金</t>
    <phoneticPr fontId="50" type="noConversion"/>
  </si>
  <si>
    <t xml:space="preserve">    收到其他与投资活动有关的现金</t>
    <phoneticPr fontId="50" type="noConversion"/>
  </si>
  <si>
    <t>　　取得子公司及其他营业单位支付的现金净额</t>
    <phoneticPr fontId="50" type="noConversion"/>
  </si>
  <si>
    <t>五、现金及现金等价物净增加额</t>
    <phoneticPr fontId="7" type="noConversion"/>
  </si>
  <si>
    <r>
      <t xml:space="preserve">         (</t>
    </r>
    <r>
      <rPr>
        <sz val="9"/>
        <color rgb="FF000000"/>
        <rFont val="宋体"/>
        <family val="3"/>
        <charset val="134"/>
      </rPr>
      <t>一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宋体"/>
        <family val="3"/>
        <charset val="134"/>
      </rPr>
      <t>以后不能重分类进损益的其他综合收益</t>
    </r>
    <phoneticPr fontId="7" type="noConversion"/>
  </si>
  <si>
    <r>
      <t xml:space="preserve">        (</t>
    </r>
    <r>
      <rPr>
        <sz val="9"/>
        <color rgb="FF000000"/>
        <rFont val="宋体"/>
        <family val="3"/>
        <charset val="134"/>
      </rPr>
      <t>二</t>
    </r>
    <r>
      <rPr>
        <sz val="9"/>
        <color rgb="FF000000"/>
        <rFont val="Times New Roman"/>
        <family val="1"/>
      </rPr>
      <t>)</t>
    </r>
    <r>
      <rPr>
        <sz val="9"/>
        <color rgb="FF000000"/>
        <rFont val="宋体"/>
        <family val="3"/>
        <charset val="134"/>
      </rPr>
      <t>以后将重分类进损益的其他综合收益</t>
    </r>
    <phoneticPr fontId="7" type="noConversion"/>
  </si>
  <si>
    <t xml:space="preserve">    归属于母公司所有者的综合收益总额</t>
    <phoneticPr fontId="7" type="noConversion"/>
  </si>
  <si>
    <r>
      <t xml:space="preserve">       </t>
    </r>
    <r>
      <rPr>
        <sz val="9"/>
        <color rgb="FF000000"/>
        <rFont val="宋体"/>
        <family val="3"/>
        <charset val="134"/>
      </rPr>
      <t>归属于少数股东的其他综合收益的税后净额</t>
    </r>
    <phoneticPr fontId="7" type="noConversion"/>
  </si>
  <si>
    <r>
      <t xml:space="preserve">       </t>
    </r>
    <r>
      <rPr>
        <sz val="9"/>
        <color rgb="FF000000"/>
        <rFont val="宋体"/>
        <family val="3"/>
        <charset val="134"/>
      </rPr>
      <t>归属于母公司所有者的其他综合收益的税后净额</t>
    </r>
    <phoneticPr fontId="7" type="noConversion"/>
  </si>
  <si>
    <t xml:space="preserve">    购买商品、接受劳务支付的现金</t>
    <phoneticPr fontId="7" type="noConversion"/>
  </si>
  <si>
    <t xml:space="preserve">  　销售商品、提供劳务收到的现金</t>
    <phoneticPr fontId="7" type="noConversion"/>
  </si>
  <si>
    <r>
      <t xml:space="preserve">    </t>
    </r>
    <r>
      <rPr>
        <sz val="9"/>
        <color indexed="8"/>
        <rFont val="宋体"/>
        <family val="3"/>
        <charset val="134"/>
      </rPr>
      <t>归属于母公司所有者的净利润</t>
    </r>
    <phoneticPr fontId="50" type="noConversion"/>
  </si>
  <si>
    <r>
      <t xml:space="preserve">    </t>
    </r>
    <r>
      <rPr>
        <sz val="9"/>
        <color indexed="8"/>
        <rFont val="宋体"/>
        <family val="3"/>
        <charset val="134"/>
      </rPr>
      <t>少数股东损益</t>
    </r>
    <phoneticPr fontId="50" type="noConversion"/>
  </si>
  <si>
    <t xml:space="preserve">   （一）持续经营净利润（净亏损以“－”号填列）</t>
  </si>
  <si>
    <t xml:space="preserve">   （二）终止经营净利润（净亏损以“－”号填列）</t>
  </si>
  <si>
    <t xml:space="preserve">    归属于母公司所有者的净利润</t>
  </si>
  <si>
    <t xml:space="preserve">    少数股东损益</t>
  </si>
  <si>
    <t>一、营业收入</t>
    <phoneticPr fontId="7" type="noConversion"/>
  </si>
  <si>
    <r>
      <t xml:space="preserve">     </t>
    </r>
    <r>
      <rPr>
        <sz val="9"/>
        <color indexed="8"/>
        <rFont val="宋体"/>
        <family val="3"/>
        <charset val="134"/>
      </rPr>
      <t>加：营业外收入</t>
    </r>
    <phoneticPr fontId="50" type="noConversion"/>
  </si>
  <si>
    <r>
      <t xml:space="preserve">     </t>
    </r>
    <r>
      <rPr>
        <sz val="9"/>
        <color indexed="8"/>
        <rFont val="宋体"/>
        <family val="3"/>
        <charset val="134"/>
      </rPr>
      <t>减：营业外支出</t>
    </r>
    <phoneticPr fontId="50" type="noConversion"/>
  </si>
  <si>
    <t xml:space="preserve"> 三、利润总额（亏损总额以“ -” 号填列）</t>
    <phoneticPr fontId="7" type="noConversion"/>
  </si>
  <si>
    <r>
      <t xml:space="preserve">   </t>
    </r>
    <r>
      <rPr>
        <b/>
        <sz val="9"/>
        <color indexed="8"/>
        <rFont val="宋体"/>
        <family val="3"/>
        <charset val="134"/>
      </rPr>
      <t>四、净利润（净亏损以</t>
    </r>
    <r>
      <rPr>
        <b/>
        <sz val="9"/>
        <color indexed="8"/>
        <rFont val="Arial Narrow"/>
        <family val="2"/>
      </rPr>
      <t xml:space="preserve">“ - ” </t>
    </r>
    <r>
      <rPr>
        <b/>
        <sz val="9"/>
        <color indexed="8"/>
        <rFont val="宋体"/>
        <family val="3"/>
        <charset val="134"/>
      </rPr>
      <t>号填列）</t>
    </r>
    <phoneticPr fontId="7" type="noConversion"/>
  </si>
  <si>
    <r>
      <t xml:space="preserve">         </t>
    </r>
    <r>
      <rPr>
        <sz val="9"/>
        <color indexed="8"/>
        <rFont val="宋体"/>
        <family val="3"/>
        <charset val="134"/>
      </rPr>
      <t>（一）持续经营净利润（净亏损以“</t>
    </r>
    <r>
      <rPr>
        <sz val="9"/>
        <color indexed="8"/>
        <rFont val="Arial Narrow"/>
        <family val="2"/>
      </rPr>
      <t xml:space="preserve"> - </t>
    </r>
    <r>
      <rPr>
        <sz val="9"/>
        <color indexed="8"/>
        <rFont val="宋体"/>
        <family val="3"/>
        <charset val="134"/>
      </rPr>
      <t>”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宋体"/>
        <family val="3"/>
        <charset val="134"/>
      </rPr>
      <t>号填列）</t>
    </r>
    <phoneticPr fontId="50" type="noConversion"/>
  </si>
  <si>
    <r>
      <t xml:space="preserve">         </t>
    </r>
    <r>
      <rPr>
        <sz val="9"/>
        <color indexed="8"/>
        <rFont val="宋体"/>
        <family val="3"/>
        <charset val="134"/>
      </rPr>
      <t>（二）终止经营净利润（净亏损以“</t>
    </r>
    <r>
      <rPr>
        <sz val="9"/>
        <color indexed="8"/>
        <rFont val="Arial Narrow"/>
        <family val="2"/>
      </rPr>
      <t xml:space="preserve"> - </t>
    </r>
    <r>
      <rPr>
        <sz val="9"/>
        <color indexed="8"/>
        <rFont val="宋体"/>
        <family val="3"/>
        <charset val="134"/>
      </rPr>
      <t>”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宋体"/>
        <family val="3"/>
        <charset val="134"/>
      </rPr>
      <t>号填列）</t>
    </r>
    <phoneticPr fontId="50" type="noConversion"/>
  </si>
  <si>
    <t xml:space="preserve"> （二）将重分类进损益的其他综合收益</t>
    <phoneticPr fontId="7" type="noConversion"/>
  </si>
  <si>
    <r>
      <t xml:space="preserve">  </t>
    </r>
    <r>
      <rPr>
        <sz val="9"/>
        <color indexed="8"/>
        <rFont val="宋体"/>
        <family val="3"/>
        <charset val="134"/>
      </rPr>
      <t>（一）不能重分类进损益的其他综合收益</t>
    </r>
    <phoneticPr fontId="7" type="noConversion"/>
  </si>
  <si>
    <r>
      <t xml:space="preserve">  </t>
    </r>
    <r>
      <rPr>
        <b/>
        <sz val="9"/>
        <color indexed="8"/>
        <rFont val="宋体"/>
        <family val="3"/>
        <charset val="134"/>
      </rPr>
      <t>五、其他综合收益的税后净额</t>
    </r>
    <phoneticPr fontId="7" type="noConversion"/>
  </si>
  <si>
    <r>
      <t xml:space="preserve">  </t>
    </r>
    <r>
      <rPr>
        <b/>
        <sz val="9"/>
        <color indexed="8"/>
        <rFont val="宋体"/>
        <family val="3"/>
        <charset val="134"/>
      </rPr>
      <t>六、综合收益总额</t>
    </r>
    <phoneticPr fontId="7" type="noConversion"/>
  </si>
  <si>
    <t xml:space="preserve"> 七、期初未分配利润</t>
    <phoneticPr fontId="7" type="noConversion"/>
  </si>
  <si>
    <t xml:space="preserve"> 八、可供分配利润</t>
    <phoneticPr fontId="7" type="noConversion"/>
  </si>
  <si>
    <t xml:space="preserve"> 九、未分配利润</t>
    <phoneticPr fontId="7" type="noConversion"/>
  </si>
  <si>
    <t>二、营业利润</t>
    <phoneticPr fontId="7" type="noConversion"/>
  </si>
  <si>
    <t>三、利润总额</t>
    <phoneticPr fontId="7" type="noConversion"/>
  </si>
  <si>
    <t>四、净利润</t>
    <phoneticPr fontId="7" type="noConversion"/>
  </si>
  <si>
    <t>五、其他综合收益的税后净额</t>
    <phoneticPr fontId="7" type="noConversion"/>
  </si>
  <si>
    <r>
      <t xml:space="preserve">                1</t>
    </r>
    <r>
      <rPr>
        <sz val="9"/>
        <color rgb="FF000000"/>
        <rFont val="宋体"/>
        <family val="3"/>
        <charset val="134"/>
      </rPr>
      <t>、重新计量设定受益计划变动额</t>
    </r>
    <phoneticPr fontId="7" type="noConversion"/>
  </si>
  <si>
    <r>
      <t xml:space="preserve">                2</t>
    </r>
    <r>
      <rPr>
        <sz val="9"/>
        <color rgb="FF000000"/>
        <rFont val="宋体"/>
        <family val="3"/>
        <charset val="134"/>
      </rPr>
      <t>、权益法下不能转损益的其他综合收益</t>
    </r>
    <phoneticPr fontId="7" type="noConversion"/>
  </si>
  <si>
    <r>
      <t xml:space="preserve">                3</t>
    </r>
    <r>
      <rPr>
        <sz val="9"/>
        <color rgb="FF000000"/>
        <rFont val="宋体"/>
        <family val="3"/>
        <charset val="134"/>
      </rPr>
      <t>、其他权益工具投资公允价值变动</t>
    </r>
    <phoneticPr fontId="7" type="noConversion"/>
  </si>
  <si>
    <r>
      <t xml:space="preserve">                4</t>
    </r>
    <r>
      <rPr>
        <sz val="9"/>
        <color rgb="FF000000"/>
        <rFont val="宋体"/>
        <family val="3"/>
        <charset val="134"/>
      </rPr>
      <t>、企业自身信用风险公允价值变动</t>
    </r>
    <phoneticPr fontId="7" type="noConversion"/>
  </si>
  <si>
    <r>
      <t xml:space="preserve">             1</t>
    </r>
    <r>
      <rPr>
        <sz val="9"/>
        <color rgb="FF000000"/>
        <rFont val="宋体"/>
        <family val="3"/>
        <charset val="134"/>
      </rPr>
      <t>、权益法下可转损益的其他综合收益</t>
    </r>
    <phoneticPr fontId="7" type="noConversion"/>
  </si>
  <si>
    <r>
      <t xml:space="preserve">             2</t>
    </r>
    <r>
      <rPr>
        <sz val="9"/>
        <color rgb="FF000000"/>
        <rFont val="宋体"/>
        <family val="3"/>
        <charset val="134"/>
      </rPr>
      <t>、其他债权投资公允价值变动</t>
    </r>
    <phoneticPr fontId="7" type="noConversion"/>
  </si>
  <si>
    <r>
      <t xml:space="preserve">             3</t>
    </r>
    <r>
      <rPr>
        <sz val="9"/>
        <color rgb="FF000000"/>
        <rFont val="宋体"/>
        <family val="3"/>
        <charset val="134"/>
      </rPr>
      <t>、金融资产重分类计入其他综合收益的金额</t>
    </r>
    <phoneticPr fontId="7" type="noConversion"/>
  </si>
  <si>
    <r>
      <t xml:space="preserve">            4</t>
    </r>
    <r>
      <rPr>
        <sz val="9"/>
        <color rgb="FF000000"/>
        <rFont val="宋体"/>
        <family val="3"/>
        <charset val="134"/>
      </rPr>
      <t>、其他债权投资信用减值准备</t>
    </r>
    <phoneticPr fontId="7" type="noConversion"/>
  </si>
  <si>
    <r>
      <t xml:space="preserve">            6</t>
    </r>
    <r>
      <rPr>
        <sz val="9"/>
        <color rgb="FF000000"/>
        <rFont val="宋体"/>
        <family val="3"/>
        <charset val="134"/>
      </rPr>
      <t>、外币财务报表折算差额</t>
    </r>
    <phoneticPr fontId="7" type="noConversion"/>
  </si>
  <si>
    <r>
      <t xml:space="preserve">            5</t>
    </r>
    <r>
      <rPr>
        <sz val="9"/>
        <color rgb="FF000000"/>
        <rFont val="宋体"/>
        <family val="3"/>
        <charset val="134"/>
      </rPr>
      <t>、现金流量套期储备</t>
    </r>
    <phoneticPr fontId="7" type="noConversion"/>
  </si>
  <si>
    <t>六、综合收益总额</t>
    <phoneticPr fontId="7" type="noConversion"/>
  </si>
  <si>
    <t>七、每股收益：</t>
    <phoneticPr fontId="7" type="noConversion"/>
  </si>
  <si>
    <t>资产负债表</t>
    <phoneticPr fontId="7" type="noConversion"/>
  </si>
  <si>
    <t>资产负债表（续）</t>
    <phoneticPr fontId="7" type="noConversion"/>
  </si>
  <si>
    <t>利润表</t>
    <phoneticPr fontId="7" type="noConversion"/>
  </si>
  <si>
    <t>应收票据及应收账款</t>
    <phoneticPr fontId="7" type="noConversion"/>
  </si>
  <si>
    <t>衍生金融资产</t>
    <phoneticPr fontId="7" type="noConversion"/>
  </si>
  <si>
    <t>合同资产</t>
    <phoneticPr fontId="7" type="noConversion"/>
  </si>
  <si>
    <t>债权投资</t>
    <phoneticPr fontId="7" type="noConversion"/>
  </si>
  <si>
    <t>其他债权投资</t>
    <phoneticPr fontId="7" type="noConversion"/>
  </si>
  <si>
    <t>其他权益工具投资</t>
    <phoneticPr fontId="7" type="noConversion"/>
  </si>
  <si>
    <t>其他非流动金融资产</t>
    <phoneticPr fontId="7" type="noConversion"/>
  </si>
  <si>
    <t>应付票据及应付账款</t>
    <phoneticPr fontId="7" type="noConversion"/>
  </si>
  <si>
    <t>衍生金融负债</t>
    <phoneticPr fontId="7" type="noConversion"/>
  </si>
  <si>
    <t>合同负债</t>
    <phoneticPr fontId="7" type="noConversion"/>
  </si>
  <si>
    <t>持有待售资产</t>
    <phoneticPr fontId="7" type="noConversion"/>
  </si>
  <si>
    <t>持有待售负债</t>
    <phoneticPr fontId="7" type="noConversion"/>
  </si>
  <si>
    <t>递延收益</t>
    <phoneticPr fontId="7" type="noConversion"/>
  </si>
  <si>
    <t>其他权益工具</t>
    <phoneticPr fontId="7" type="noConversion"/>
  </si>
  <si>
    <t>其他综合收益</t>
    <phoneticPr fontId="7" type="noConversion"/>
  </si>
  <si>
    <t>研发费用</t>
    <phoneticPr fontId="7" type="noConversion"/>
  </si>
  <si>
    <t>信用减值损失</t>
    <phoneticPr fontId="7" type="noConversion"/>
  </si>
  <si>
    <t>其他收益</t>
    <phoneticPr fontId="7" type="noConversion"/>
  </si>
  <si>
    <t>净敞口套期收益</t>
    <phoneticPr fontId="7" type="noConversion"/>
  </si>
  <si>
    <t>公允价值变动收益</t>
    <phoneticPr fontId="7" type="noConversion"/>
  </si>
  <si>
    <t>税金及附加</t>
    <phoneticPr fontId="50" type="noConversion"/>
  </si>
  <si>
    <t>一、营业收入</t>
    <phoneticPr fontId="7" type="noConversion"/>
  </si>
  <si>
    <t>减：营业成本</t>
    <phoneticPr fontId="50" type="noConversion"/>
  </si>
  <si>
    <t>销售费用</t>
    <phoneticPr fontId="50" type="noConversion"/>
  </si>
  <si>
    <t>管理费用</t>
    <phoneticPr fontId="50" type="noConversion"/>
  </si>
  <si>
    <t>研发费用</t>
    <phoneticPr fontId="50" type="noConversion"/>
  </si>
  <si>
    <t>财务费用</t>
    <phoneticPr fontId="50" type="noConversion"/>
  </si>
  <si>
    <t>销售费用</t>
    <phoneticPr fontId="50" type="noConversion"/>
  </si>
  <si>
    <t>管理费用</t>
    <phoneticPr fontId="50" type="noConversion"/>
  </si>
  <si>
    <t>减：营业成本</t>
    <phoneticPr fontId="7" type="noConversion"/>
  </si>
  <si>
    <t>研发费用</t>
    <phoneticPr fontId="7" type="noConversion"/>
  </si>
  <si>
    <t>财务费用</t>
    <phoneticPr fontId="50" type="noConversion"/>
  </si>
  <si>
    <t>其中：利息费用</t>
    <phoneticPr fontId="7" type="noConversion"/>
  </si>
  <si>
    <t>利息收入</t>
    <phoneticPr fontId="7" type="noConversion"/>
  </si>
  <si>
    <t>其中：利息费用</t>
    <phoneticPr fontId="7" type="noConversion"/>
  </si>
  <si>
    <t>利息收入</t>
    <phoneticPr fontId="7" type="noConversion"/>
  </si>
  <si>
    <t>其中：优先股</t>
    <phoneticPr fontId="7" type="noConversion"/>
  </si>
  <si>
    <t>永续债</t>
    <phoneticPr fontId="7" type="noConversion"/>
  </si>
  <si>
    <t>永续债</t>
    <phoneticPr fontId="7" type="noConversion"/>
  </si>
  <si>
    <t>加：其他收益</t>
    <phoneticPr fontId="50" type="noConversion"/>
  </si>
  <si>
    <r>
      <rPr>
        <sz val="9"/>
        <color indexed="8"/>
        <rFont val="宋体"/>
        <family val="3"/>
        <charset val="134"/>
      </rPr>
      <t>投资收益（损失以“</t>
    </r>
    <r>
      <rPr>
        <sz val="9"/>
        <color indexed="8"/>
        <rFont val="Arial Narrow"/>
        <family val="2"/>
      </rPr>
      <t xml:space="preserve"> - </t>
    </r>
    <r>
      <rPr>
        <sz val="9"/>
        <color indexed="8"/>
        <rFont val="宋体"/>
        <family val="3"/>
        <charset val="134"/>
      </rPr>
      <t>”</t>
    </r>
    <r>
      <rPr>
        <sz val="9"/>
        <color indexed="8"/>
        <rFont val="Arial Narrow"/>
        <family val="2"/>
      </rPr>
      <t xml:space="preserve"> </t>
    </r>
    <r>
      <rPr>
        <sz val="9"/>
        <color indexed="8"/>
        <rFont val="宋体"/>
        <family val="3"/>
        <charset val="134"/>
      </rPr>
      <t>号填列）</t>
    </r>
    <phoneticPr fontId="50" type="noConversion"/>
  </si>
  <si>
    <t>其中：对联营企业和合营企业的投资收益</t>
    <phoneticPr fontId="7" type="noConversion"/>
  </si>
  <si>
    <t>加：其他收益</t>
    <phoneticPr fontId="7" type="noConversion"/>
  </si>
  <si>
    <t>其中：对联营企业和合营企业的投资收益</t>
    <phoneticPr fontId="7" type="noConversion"/>
  </si>
  <si>
    <t>净敞口套期收益（损失以“ - ” 号填列）</t>
  </si>
  <si>
    <t>资产处置收益（损失以“ - ” 号填列）</t>
  </si>
  <si>
    <t xml:space="preserve">     加：营业外收入</t>
  </si>
  <si>
    <t xml:space="preserve">     减：营业外支出</t>
  </si>
  <si>
    <t>其他权益工具</t>
    <phoneticPr fontId="7" type="noConversion"/>
  </si>
  <si>
    <t>货币资金</t>
    <phoneticPr fontId="50" type="noConversion"/>
  </si>
  <si>
    <t>交易性金融资产</t>
    <phoneticPr fontId="50" type="noConversion"/>
  </si>
  <si>
    <t>预付款项</t>
    <phoneticPr fontId="50" type="noConversion"/>
  </si>
  <si>
    <t>存货</t>
    <phoneticPr fontId="50" type="noConversion"/>
  </si>
  <si>
    <t>一年内到期的非流动资产</t>
    <phoneticPr fontId="50" type="noConversion"/>
  </si>
  <si>
    <t>其他流动资产</t>
    <phoneticPr fontId="50" type="noConversion"/>
  </si>
  <si>
    <t>一年内到期的非流动资产</t>
    <phoneticPr fontId="50" type="noConversion"/>
  </si>
  <si>
    <t>货币资金</t>
    <phoneticPr fontId="7" type="noConversion"/>
  </si>
  <si>
    <t>交易性金融资产</t>
    <phoneticPr fontId="7" type="noConversion"/>
  </si>
  <si>
    <t>预付款项</t>
    <phoneticPr fontId="7" type="noConversion"/>
  </si>
  <si>
    <t>其他应收款</t>
    <phoneticPr fontId="7" type="noConversion"/>
  </si>
  <si>
    <t>存货</t>
    <phoneticPr fontId="7" type="noConversion"/>
  </si>
  <si>
    <t>合同资产</t>
    <phoneticPr fontId="7" type="noConversion"/>
  </si>
  <si>
    <t>其他流动资产</t>
    <phoneticPr fontId="7" type="noConversion"/>
  </si>
  <si>
    <t>其他债权投资</t>
    <phoneticPr fontId="7" type="noConversion"/>
  </si>
  <si>
    <t>长期应收款</t>
    <phoneticPr fontId="7" type="noConversion"/>
  </si>
  <si>
    <t>长期股权投资</t>
    <phoneticPr fontId="7" type="noConversion"/>
  </si>
  <si>
    <t>投资性房地产</t>
    <phoneticPr fontId="7" type="noConversion"/>
  </si>
  <si>
    <t>固定资产</t>
    <phoneticPr fontId="7" type="noConversion"/>
  </si>
  <si>
    <t>在建工程</t>
    <phoneticPr fontId="7" type="noConversion"/>
  </si>
  <si>
    <t>生产性生物资产</t>
    <phoneticPr fontId="7" type="noConversion"/>
  </si>
  <si>
    <t>油气资产</t>
    <phoneticPr fontId="7" type="noConversion"/>
  </si>
  <si>
    <t>无形资产</t>
    <phoneticPr fontId="7" type="noConversion"/>
  </si>
  <si>
    <t>开发支出</t>
    <phoneticPr fontId="7" type="noConversion"/>
  </si>
  <si>
    <t>商誉</t>
    <phoneticPr fontId="7" type="noConversion"/>
  </si>
  <si>
    <t>长期待摊费用</t>
    <phoneticPr fontId="50" type="noConversion"/>
  </si>
  <si>
    <t>递延所得税资产</t>
    <phoneticPr fontId="50" type="noConversion"/>
  </si>
  <si>
    <t>其他非流动资产</t>
    <phoneticPr fontId="7" type="noConversion"/>
  </si>
  <si>
    <t>债权投资</t>
    <phoneticPr fontId="50" type="noConversion"/>
  </si>
  <si>
    <t>投资性房地产</t>
    <phoneticPr fontId="50" type="noConversion"/>
  </si>
  <si>
    <t>固定资产</t>
    <phoneticPr fontId="50" type="noConversion"/>
  </si>
  <si>
    <t>在建工程</t>
    <phoneticPr fontId="50" type="noConversion"/>
  </si>
  <si>
    <t>生产性生物资产</t>
    <phoneticPr fontId="50" type="noConversion"/>
  </si>
  <si>
    <t>油气资产</t>
    <phoneticPr fontId="50" type="noConversion"/>
  </si>
  <si>
    <t>无形资产</t>
    <phoneticPr fontId="50" type="noConversion"/>
  </si>
  <si>
    <t>开发支出</t>
    <phoneticPr fontId="50" type="noConversion"/>
  </si>
  <si>
    <t>商誉</t>
    <phoneticPr fontId="50" type="noConversion"/>
  </si>
  <si>
    <t>长期待摊费用</t>
    <phoneticPr fontId="50" type="noConversion"/>
  </si>
  <si>
    <t>递延所得税资产</t>
    <phoneticPr fontId="50" type="noConversion"/>
  </si>
  <si>
    <t>其他非流动资产</t>
    <phoneticPr fontId="50" type="noConversion"/>
  </si>
  <si>
    <t>短期借款</t>
    <phoneticPr fontId="7" type="noConversion"/>
  </si>
  <si>
    <t>交易性金融负债</t>
    <phoneticPr fontId="7" type="noConversion"/>
  </si>
  <si>
    <t>衍生金融负债</t>
    <phoneticPr fontId="7" type="noConversion"/>
  </si>
  <si>
    <t>预收款项</t>
    <phoneticPr fontId="7" type="noConversion"/>
  </si>
  <si>
    <t>应付职工薪酬</t>
    <phoneticPr fontId="7" type="noConversion"/>
  </si>
  <si>
    <t>应交税费</t>
    <phoneticPr fontId="7" type="noConversion"/>
  </si>
  <si>
    <t>其他应付款</t>
    <phoneticPr fontId="7" type="noConversion"/>
  </si>
  <si>
    <t>一年内到期的非流动负债</t>
    <phoneticPr fontId="7" type="noConversion"/>
  </si>
  <si>
    <t>其他流动负债</t>
    <phoneticPr fontId="7" type="noConversion"/>
  </si>
  <si>
    <t>短期借款</t>
    <phoneticPr fontId="50" type="noConversion"/>
  </si>
  <si>
    <t>交易性金融负债</t>
    <phoneticPr fontId="50" type="noConversion"/>
  </si>
  <si>
    <t>预收款项</t>
    <phoneticPr fontId="50" type="noConversion"/>
  </si>
  <si>
    <t>合同负债</t>
    <phoneticPr fontId="50" type="noConversion"/>
  </si>
  <si>
    <t>应付职工薪酬</t>
    <phoneticPr fontId="50" type="noConversion"/>
  </si>
  <si>
    <t>应交税费</t>
    <phoneticPr fontId="50" type="noConversion"/>
  </si>
  <si>
    <t>其他应付款</t>
    <phoneticPr fontId="50" type="noConversion"/>
  </si>
  <si>
    <t>持有待售负债</t>
    <phoneticPr fontId="50" type="noConversion"/>
  </si>
  <si>
    <t>一年内到期的非流动负债</t>
    <phoneticPr fontId="50" type="noConversion"/>
  </si>
  <si>
    <t>其他流动负债</t>
    <phoneticPr fontId="50" type="noConversion"/>
  </si>
  <si>
    <t>长期借款</t>
    <phoneticPr fontId="7" type="noConversion"/>
  </si>
  <si>
    <t>应付债券</t>
    <phoneticPr fontId="7" type="noConversion"/>
  </si>
  <si>
    <t>永续债</t>
    <phoneticPr fontId="7" type="noConversion"/>
  </si>
  <si>
    <t>长期应付款</t>
    <phoneticPr fontId="7" type="noConversion"/>
  </si>
  <si>
    <t>预计负债</t>
    <phoneticPr fontId="7" type="noConversion"/>
  </si>
  <si>
    <t>递延所得税负债</t>
    <phoneticPr fontId="7" type="noConversion"/>
  </si>
  <si>
    <t>其他非流动负债</t>
    <phoneticPr fontId="7" type="noConversion"/>
  </si>
  <si>
    <t>长期借款</t>
    <phoneticPr fontId="50" type="noConversion"/>
  </si>
  <si>
    <t>应付债券</t>
    <phoneticPr fontId="50" type="noConversion"/>
  </si>
  <si>
    <t>长期应付款</t>
    <phoneticPr fontId="50" type="noConversion"/>
  </si>
  <si>
    <t>预计负债</t>
    <phoneticPr fontId="50" type="noConversion"/>
  </si>
  <si>
    <t>递延所得税负债</t>
    <phoneticPr fontId="50" type="noConversion"/>
  </si>
  <si>
    <t>其他非流动负债</t>
    <phoneticPr fontId="50" type="noConversion"/>
  </si>
  <si>
    <t>资本公积</t>
    <phoneticPr fontId="7" type="noConversion"/>
  </si>
  <si>
    <t>减：库存股</t>
    <phoneticPr fontId="7" type="noConversion"/>
  </si>
  <si>
    <t>其他综合收益</t>
    <phoneticPr fontId="7" type="noConversion"/>
  </si>
  <si>
    <t>盈余公积</t>
    <phoneticPr fontId="7" type="noConversion"/>
  </si>
  <si>
    <t>未分配利润</t>
    <phoneticPr fontId="7" type="noConversion"/>
  </si>
  <si>
    <t>归属于母公司股东权益合计</t>
    <phoneticPr fontId="7" type="noConversion"/>
  </si>
  <si>
    <t>少数股东权益</t>
    <phoneticPr fontId="7" type="noConversion"/>
  </si>
  <si>
    <t>资本公积</t>
    <phoneticPr fontId="50" type="noConversion"/>
  </si>
  <si>
    <t>减：库存股</t>
    <phoneticPr fontId="50" type="noConversion"/>
  </si>
  <si>
    <t>其他综合收益</t>
    <phoneticPr fontId="50" type="noConversion"/>
  </si>
  <si>
    <t>少数股东权益</t>
    <phoneticPr fontId="50" type="noConversion"/>
  </si>
  <si>
    <t>以公允价值计量且其变动计入当期损益的金融资产</t>
    <phoneticPr fontId="7" type="noConversion"/>
  </si>
  <si>
    <t>以公允价值计量且其变动计入当期损益的金融负债</t>
    <phoneticPr fontId="50" type="noConversion"/>
  </si>
  <si>
    <t>以公允价值计量且其变动计入当期损益的金融资产</t>
    <phoneticPr fontId="7" type="noConversion"/>
  </si>
  <si>
    <t>以公允价值计量且其变动计入当期损益的金融负债</t>
    <phoneticPr fontId="7" type="noConversion"/>
  </si>
  <si>
    <t>以公允价值计量且其变动计入当期损益的金融资产</t>
    <phoneticPr fontId="7" type="noConversion"/>
  </si>
  <si>
    <t>应收账款</t>
    <phoneticPr fontId="7" type="noConversion"/>
  </si>
  <si>
    <t xml:space="preserve">    减：所得税费用</t>
    <phoneticPr fontId="7" type="noConversion"/>
  </si>
  <si>
    <t>二、营业总成本</t>
    <phoneticPr fontId="7" type="noConversion"/>
  </si>
  <si>
    <t>三、营业利润</t>
    <phoneticPr fontId="7" type="noConversion"/>
  </si>
  <si>
    <t>四、利润总额</t>
    <phoneticPr fontId="7" type="noConversion"/>
  </si>
  <si>
    <t>五、净利润</t>
    <phoneticPr fontId="7" type="noConversion"/>
  </si>
  <si>
    <t>六、其他综合收益的税后净额</t>
    <phoneticPr fontId="7" type="noConversion"/>
  </si>
  <si>
    <t>七、综合收益总额</t>
    <phoneticPr fontId="7" type="noConversion"/>
  </si>
  <si>
    <t>八、每股收益：</t>
    <phoneticPr fontId="7" type="noConversion"/>
  </si>
  <si>
    <t>未分配利润</t>
    <phoneticPr fontId="50" type="noConversion"/>
  </si>
  <si>
    <t>盈余公积</t>
    <phoneticPr fontId="50" type="noConversion"/>
  </si>
  <si>
    <t>其他应收款</t>
    <phoneticPr fontId="50" type="noConversion"/>
  </si>
  <si>
    <t xml:space="preserve">    加：期初现金及现金等价物余额</t>
    <phoneticPr fontId="7" type="noConversion"/>
  </si>
  <si>
    <t>合并抵消</t>
    <phoneticPr fontId="7" type="noConversion"/>
  </si>
  <si>
    <t>合并资产负债表（续）</t>
    <phoneticPr fontId="7" type="noConversion"/>
  </si>
  <si>
    <t>本期合并累计</t>
    <phoneticPr fontId="7" type="noConversion"/>
  </si>
  <si>
    <t>本期母公司累计</t>
    <phoneticPr fontId="7" type="noConversion"/>
  </si>
  <si>
    <t>应收票据</t>
    <phoneticPr fontId="7" type="noConversion"/>
  </si>
  <si>
    <t>应收账款</t>
    <phoneticPr fontId="7" type="noConversion"/>
  </si>
  <si>
    <t>应付票据</t>
    <phoneticPr fontId="7" type="noConversion"/>
  </si>
  <si>
    <t>应收票据</t>
    <phoneticPr fontId="7" type="noConversion"/>
  </si>
  <si>
    <t>应收账款</t>
    <phoneticPr fontId="7" type="noConversion"/>
  </si>
  <si>
    <t>应付票据</t>
    <phoneticPr fontId="50" type="noConversion"/>
  </si>
  <si>
    <t>应付账款</t>
    <phoneticPr fontId="50" type="noConversion"/>
  </si>
  <si>
    <t>应付账款</t>
    <phoneticPr fontId="7" type="noConversion"/>
  </si>
  <si>
    <t>应收票据</t>
    <phoneticPr fontId="7" type="noConversion"/>
  </si>
  <si>
    <t>应付票据</t>
    <phoneticPr fontId="7" type="noConversion"/>
  </si>
  <si>
    <t>试算平衡</t>
    <phoneticPr fontId="7" type="noConversion"/>
  </si>
  <si>
    <t>资产处置收益（损失以“ - ” 号填列）</t>
    <phoneticPr fontId="7" type="noConversion"/>
  </si>
  <si>
    <t>营业外收入</t>
    <phoneticPr fontId="7" type="noConversion"/>
  </si>
  <si>
    <t>营业总成本</t>
    <phoneticPr fontId="50" type="noConversion"/>
  </si>
  <si>
    <t>其他债权投资</t>
    <phoneticPr fontId="50" type="noConversion"/>
  </si>
  <si>
    <t>长期应收款</t>
    <phoneticPr fontId="50" type="noConversion"/>
  </si>
  <si>
    <t>长期股权投资</t>
    <phoneticPr fontId="50" type="noConversion"/>
  </si>
  <si>
    <t>使用权资产</t>
    <phoneticPr fontId="50" type="noConversion"/>
  </si>
  <si>
    <t>使用权资产</t>
    <phoneticPr fontId="7" type="noConversion"/>
  </si>
  <si>
    <t>可供出售金融资产</t>
    <phoneticPr fontId="7" type="noConversion"/>
  </si>
  <si>
    <t>上月合并累计</t>
    <phoneticPr fontId="7" type="noConversion"/>
  </si>
  <si>
    <t>上期母公司累计</t>
    <phoneticPr fontId="7" type="noConversion"/>
  </si>
  <si>
    <t>金额单位：人民币元</t>
    <phoneticPr fontId="7" type="noConversion"/>
  </si>
  <si>
    <t>归属于母公司所有者权益</t>
  </si>
  <si>
    <t>所有者权益合计</t>
  </si>
  <si>
    <t>股本</t>
  </si>
  <si>
    <t>其他权益工具</t>
  </si>
  <si>
    <t>减：库存股</t>
  </si>
  <si>
    <t>其他综合收益</t>
  </si>
  <si>
    <t>专项储备</t>
  </si>
  <si>
    <t>小计</t>
  </si>
  <si>
    <t>优先股</t>
  </si>
  <si>
    <t>永续债</t>
  </si>
  <si>
    <t>一、上年期末余额</t>
  </si>
  <si>
    <t>　　加：会计政策变更</t>
  </si>
  <si>
    <t>　　　　前期差错更正</t>
  </si>
  <si>
    <t>　　　　同一控制下企业合并</t>
  </si>
  <si>
    <t>　　　　其他</t>
  </si>
  <si>
    <t>二、本年期初余额</t>
  </si>
  <si>
    <t>（一）综合收益总额</t>
  </si>
  <si>
    <t>（二）所有者投入和减少资本</t>
  </si>
  <si>
    <t>（三）利润分配</t>
  </si>
  <si>
    <t>（四）所有者权益内部结转</t>
  </si>
  <si>
    <t>（五）专项储备</t>
  </si>
  <si>
    <t>（六）其他</t>
  </si>
  <si>
    <t>四、本期期末余额</t>
  </si>
  <si>
    <t>合并所有者权益变动表</t>
    <phoneticPr fontId="7" type="noConversion"/>
  </si>
  <si>
    <r>
      <t>2019</t>
    </r>
    <r>
      <rPr>
        <sz val="10"/>
        <rFont val="宋体"/>
        <family val="3"/>
        <charset val="134"/>
      </rPr>
      <t>年半年报</t>
    </r>
  </si>
  <si>
    <r>
      <t>三、本期增减变动金额（减少以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－</t>
    </r>
    <r>
      <rPr>
        <sz val="10"/>
        <rFont val="Times New Roman"/>
        <family val="1"/>
      </rPr>
      <t>”</t>
    </r>
    <r>
      <rPr>
        <sz val="10"/>
        <rFont val="宋体"/>
        <family val="3"/>
        <charset val="134"/>
      </rPr>
      <t>号填列）</t>
    </r>
  </si>
  <si>
    <r>
      <t>1</t>
    </r>
    <r>
      <rPr>
        <sz val="10"/>
        <rFont val="宋体"/>
        <family val="3"/>
        <charset val="134"/>
      </rPr>
      <t>．所有者投入的普通股</t>
    </r>
  </si>
  <si>
    <r>
      <t>2</t>
    </r>
    <r>
      <rPr>
        <sz val="10"/>
        <rFont val="宋体"/>
        <family val="3"/>
        <charset val="134"/>
      </rPr>
      <t>．其他权益工具持有者投入资本</t>
    </r>
  </si>
  <si>
    <r>
      <t>3</t>
    </r>
    <r>
      <rPr>
        <sz val="10"/>
        <rFont val="宋体"/>
        <family val="3"/>
        <charset val="134"/>
      </rPr>
      <t>．股份支付计入所有者权益的金额</t>
    </r>
  </si>
  <si>
    <r>
      <t>4</t>
    </r>
    <r>
      <rPr>
        <sz val="10"/>
        <rFont val="宋体"/>
        <family val="3"/>
        <charset val="134"/>
      </rPr>
      <t>．其他</t>
    </r>
  </si>
  <si>
    <r>
      <t>1</t>
    </r>
    <r>
      <rPr>
        <sz val="10"/>
        <rFont val="宋体"/>
        <family val="3"/>
        <charset val="134"/>
      </rPr>
      <t>．提取盈余公积</t>
    </r>
  </si>
  <si>
    <r>
      <t>2</t>
    </r>
    <r>
      <rPr>
        <sz val="10"/>
        <rFont val="宋体"/>
        <family val="3"/>
        <charset val="134"/>
      </rPr>
      <t>．提取一般风险准备</t>
    </r>
  </si>
  <si>
    <r>
      <t>3</t>
    </r>
    <r>
      <rPr>
        <sz val="10"/>
        <rFont val="宋体"/>
        <family val="3"/>
        <charset val="134"/>
      </rPr>
      <t>．对所有者（或股东）的分配</t>
    </r>
  </si>
  <si>
    <r>
      <t>1</t>
    </r>
    <r>
      <rPr>
        <sz val="10"/>
        <rFont val="宋体"/>
        <family val="3"/>
        <charset val="134"/>
      </rPr>
      <t>．资本公积转增资本（或股本）</t>
    </r>
  </si>
  <si>
    <r>
      <t>2</t>
    </r>
    <r>
      <rPr>
        <sz val="10"/>
        <rFont val="宋体"/>
        <family val="3"/>
        <charset val="134"/>
      </rPr>
      <t>．盈余公积转增资本（或股本）</t>
    </r>
  </si>
  <si>
    <r>
      <t>3</t>
    </r>
    <r>
      <rPr>
        <sz val="10"/>
        <rFont val="宋体"/>
        <family val="3"/>
        <charset val="134"/>
      </rPr>
      <t>．盈余公积弥补亏损</t>
    </r>
  </si>
  <si>
    <r>
      <t>4</t>
    </r>
    <r>
      <rPr>
        <sz val="10"/>
        <rFont val="宋体"/>
        <family val="3"/>
        <charset val="134"/>
      </rPr>
      <t>．设定受益计划变动额结转留存收益</t>
    </r>
  </si>
  <si>
    <r>
      <t>5</t>
    </r>
    <r>
      <rPr>
        <sz val="10"/>
        <rFont val="宋体"/>
        <family val="3"/>
        <charset val="134"/>
      </rPr>
      <t>．其他综合收益结转留存收益</t>
    </r>
  </si>
  <si>
    <r>
      <t>6</t>
    </r>
    <r>
      <rPr>
        <sz val="10"/>
        <rFont val="宋体"/>
        <family val="3"/>
        <charset val="134"/>
      </rPr>
      <t>．其他</t>
    </r>
  </si>
  <si>
    <r>
      <t>1</t>
    </r>
    <r>
      <rPr>
        <sz val="10"/>
        <rFont val="宋体"/>
        <family val="3"/>
        <charset val="134"/>
      </rPr>
      <t>．本期提取</t>
    </r>
  </si>
  <si>
    <r>
      <t>2</t>
    </r>
    <r>
      <rPr>
        <sz val="10"/>
        <rFont val="宋体"/>
        <family val="3"/>
        <charset val="134"/>
      </rPr>
      <t>．本期使用</t>
    </r>
  </si>
  <si>
    <r>
      <t>2</t>
    </r>
    <r>
      <rPr>
        <sz val="10"/>
        <rFont val="宋体"/>
        <family val="3"/>
        <charset val="134"/>
      </rPr>
      <t>．对所有者（或股东）的分配</t>
    </r>
  </si>
  <si>
    <r>
      <t>3</t>
    </r>
    <r>
      <rPr>
        <sz val="10"/>
        <rFont val="宋体"/>
        <family val="3"/>
        <charset val="134"/>
      </rPr>
      <t>．其他</t>
    </r>
  </si>
  <si>
    <r>
      <t>2018</t>
    </r>
    <r>
      <rPr>
        <sz val="10"/>
        <rFont val="宋体"/>
        <family val="3"/>
        <charset val="134"/>
      </rPr>
      <t>年半年报</t>
    </r>
  </si>
  <si>
    <t>合并所有者权益变动表（续）</t>
    <phoneticPr fontId="7" type="noConversion"/>
  </si>
  <si>
    <t>所有者权益变动表</t>
    <phoneticPr fontId="7" type="noConversion"/>
  </si>
  <si>
    <t>所有者权益变动表（续）</t>
    <phoneticPr fontId="7" type="noConversion"/>
  </si>
  <si>
    <r>
      <t xml:space="preserve">    </t>
    </r>
    <r>
      <rPr>
        <sz val="10"/>
        <rFont val="宋体"/>
        <family val="3"/>
        <charset val="134"/>
      </rPr>
      <t>企业法定代表人：</t>
    </r>
    <r>
      <rPr>
        <sz val="10"/>
        <rFont val="Times New Roman"/>
        <family val="1"/>
      </rPr>
      <t xml:space="preserve">                                            </t>
    </r>
    <r>
      <rPr>
        <sz val="10"/>
        <rFont val="宋体"/>
        <family val="3"/>
        <charset val="134"/>
      </rPr>
      <t>主管会计工作负责人：</t>
    </r>
    <r>
      <rPr>
        <sz val="10"/>
        <rFont val="Times New Roman"/>
        <family val="1"/>
      </rPr>
      <t xml:space="preserve">                                           </t>
    </r>
    <r>
      <rPr>
        <sz val="10"/>
        <rFont val="宋体"/>
        <family val="3"/>
        <charset val="134"/>
      </rPr>
      <t>会计机构负责人：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</si>
  <si>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企业法定代表人：</t>
    </r>
    <r>
      <rPr>
        <sz val="10"/>
        <rFont val="Times New Roman"/>
        <family val="1"/>
      </rPr>
      <t xml:space="preserve">                                           </t>
    </r>
    <r>
      <rPr>
        <sz val="10"/>
        <rFont val="宋体"/>
        <family val="3"/>
        <charset val="134"/>
      </rPr>
      <t>主管会计工作负责人：</t>
    </r>
    <r>
      <rPr>
        <sz val="10"/>
        <rFont val="Times New Roman"/>
        <family val="1"/>
      </rPr>
      <t xml:space="preserve">                                        </t>
    </r>
    <r>
      <rPr>
        <sz val="10"/>
        <rFont val="宋体"/>
        <family val="3"/>
        <charset val="134"/>
      </rPr>
      <t>会计机构负责人：</t>
    </r>
    <r>
      <rPr>
        <sz val="10"/>
        <rFont val="Times New Roman"/>
        <family val="1"/>
      </rPr>
      <t xml:space="preserve"> 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</si>
  <si>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企业法定代表人：</t>
    </r>
    <r>
      <rPr>
        <sz val="10"/>
        <rFont val="Times New Roman"/>
        <family val="1"/>
      </rPr>
      <t xml:space="preserve">                                                                                                         </t>
    </r>
    <r>
      <rPr>
        <sz val="10"/>
        <rFont val="宋体"/>
        <family val="3"/>
        <charset val="134"/>
      </rPr>
      <t>主管会计工作负责人：</t>
    </r>
    <r>
      <rPr>
        <sz val="10"/>
        <rFont val="Times New Roman"/>
        <family val="1"/>
      </rPr>
      <t xml:space="preserve">                                                                                                         </t>
    </r>
    <r>
      <rPr>
        <sz val="10"/>
        <rFont val="宋体"/>
        <family val="3"/>
        <charset val="134"/>
      </rPr>
      <t>会计机构负责人：</t>
    </r>
    <r>
      <rPr>
        <sz val="10"/>
        <rFont val="Times New Roman"/>
        <family val="1"/>
      </rPr>
      <t xml:space="preserve"> 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</si>
  <si>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企业法定代表人：</t>
    </r>
    <r>
      <rPr>
        <sz val="10"/>
        <rFont val="Times New Roman"/>
        <family val="1"/>
      </rPr>
      <t xml:space="preserve">                              </t>
    </r>
    <r>
      <rPr>
        <sz val="10"/>
        <rFont val="宋体"/>
        <family val="3"/>
        <charset val="134"/>
      </rPr>
      <t>主管会计工作负责人：</t>
    </r>
    <r>
      <rPr>
        <sz val="10"/>
        <rFont val="Times New Roman"/>
        <family val="1"/>
      </rPr>
      <t xml:space="preserve">                              </t>
    </r>
    <r>
      <rPr>
        <sz val="10"/>
        <rFont val="宋体"/>
        <family val="3"/>
        <charset val="134"/>
      </rPr>
      <t>会计机构负责人：</t>
    </r>
    <r>
      <rPr>
        <sz val="10"/>
        <rFont val="Times New Roman"/>
        <family val="1"/>
      </rPr>
      <t xml:space="preserve"> </t>
    </r>
    <phoneticPr fontId="7" type="noConversion"/>
  </si>
  <si>
    <r>
      <t xml:space="preserve">    </t>
    </r>
    <r>
      <rPr>
        <sz val="10"/>
        <rFont val="宋体"/>
        <family val="3"/>
        <charset val="134"/>
      </rPr>
      <t>企业法定代表人：</t>
    </r>
    <r>
      <rPr>
        <sz val="10"/>
        <rFont val="Times New Roman"/>
        <family val="1"/>
      </rPr>
      <t xml:space="preserve">                                                                                                                                                 </t>
    </r>
    <r>
      <rPr>
        <sz val="10"/>
        <rFont val="宋体"/>
        <family val="3"/>
        <charset val="134"/>
      </rPr>
      <t>主管会计工作负责人：</t>
    </r>
    <r>
      <rPr>
        <sz val="10"/>
        <rFont val="Times New Roman"/>
        <family val="1"/>
      </rPr>
      <t xml:space="preserve">                                                                                                                                                 </t>
    </r>
    <r>
      <rPr>
        <sz val="10"/>
        <rFont val="宋体"/>
        <family val="3"/>
        <charset val="134"/>
      </rPr>
      <t>会计机构负责人：</t>
    </r>
    <r>
      <rPr>
        <sz val="10"/>
        <rFont val="Times New Roman"/>
        <family val="1"/>
      </rPr>
      <t xml:space="preserve"> </t>
    </r>
    <phoneticPr fontId="7" type="noConversion"/>
  </si>
  <si>
    <t>股本</t>
    <phoneticPr fontId="7" type="noConversion"/>
  </si>
  <si>
    <t>股本</t>
    <phoneticPr fontId="50" type="noConversion"/>
  </si>
  <si>
    <t>一、营业总收入</t>
    <phoneticPr fontId="7" type="noConversion"/>
  </si>
  <si>
    <t>其中：营业收入</t>
    <phoneticPr fontId="7" type="noConversion"/>
  </si>
  <si>
    <t>所有者权益净利率</t>
    <phoneticPr fontId="97" type="noConversion"/>
  </si>
  <si>
    <t>应收账款周转天数（天）</t>
    <phoneticPr fontId="97" type="noConversion"/>
  </si>
  <si>
    <t>资产负债率</t>
    <phoneticPr fontId="97" type="noConversion"/>
  </si>
  <si>
    <r>
      <t>2017</t>
    </r>
    <r>
      <rPr>
        <sz val="10"/>
        <rFont val="宋体"/>
        <family val="3"/>
        <charset val="134"/>
      </rPr>
      <t>年末应收账款</t>
    </r>
    <phoneticPr fontId="7" type="noConversion"/>
  </si>
  <si>
    <t>应收账款</t>
    <phoneticPr fontId="97" type="noConversion"/>
  </si>
  <si>
    <t>所有者权益</t>
    <phoneticPr fontId="97" type="noConversion"/>
  </si>
  <si>
    <t>负债总额</t>
    <phoneticPr fontId="97" type="noConversion"/>
  </si>
  <si>
    <t>资产总额</t>
    <phoneticPr fontId="97" type="noConversion"/>
  </si>
  <si>
    <t>资产负债表</t>
    <phoneticPr fontId="97" type="noConversion"/>
  </si>
  <si>
    <t>本期末较上年末增长</t>
    <phoneticPr fontId="97" type="noConversion"/>
  </si>
  <si>
    <t>项目</t>
    <phoneticPr fontId="97" type="noConversion"/>
  </si>
  <si>
    <t>报表</t>
    <phoneticPr fontId="97" type="noConversion"/>
  </si>
  <si>
    <t>现金及现金等价物净增加额</t>
    <phoneticPr fontId="97" type="noConversion"/>
  </si>
  <si>
    <t>筹资活动产生现金流量净额</t>
    <phoneticPr fontId="97" type="noConversion"/>
  </si>
  <si>
    <t>投资活动产生现金流量净额</t>
    <phoneticPr fontId="97" type="noConversion"/>
  </si>
  <si>
    <t>经营活动产生现金流量净额</t>
    <phoneticPr fontId="97" type="noConversion"/>
  </si>
  <si>
    <t>现金期末余额</t>
    <phoneticPr fontId="97" type="noConversion"/>
  </si>
  <si>
    <t>现金流量表</t>
    <phoneticPr fontId="97" type="noConversion"/>
  </si>
  <si>
    <t>净利率</t>
    <phoneticPr fontId="97" type="noConversion"/>
  </si>
  <si>
    <t>毛利率</t>
    <phoneticPr fontId="97" type="noConversion"/>
  </si>
  <si>
    <t>扣非后净利润</t>
    <phoneticPr fontId="97" type="noConversion"/>
  </si>
  <si>
    <t>非经常性损益</t>
    <phoneticPr fontId="7" type="noConversion"/>
  </si>
  <si>
    <t>净利润</t>
    <phoneticPr fontId="97" type="noConversion"/>
  </si>
  <si>
    <t>成本</t>
    <phoneticPr fontId="97" type="noConversion"/>
  </si>
  <si>
    <t>收入</t>
    <phoneticPr fontId="97" type="noConversion"/>
  </si>
  <si>
    <t>利润表</t>
    <phoneticPr fontId="97" type="noConversion"/>
  </si>
  <si>
    <t>同比增长率</t>
    <phoneticPr fontId="97" type="noConversion"/>
  </si>
  <si>
    <t>元</t>
  </si>
  <si>
    <t>2019年1-8月</t>
    <phoneticPr fontId="97" type="noConversion"/>
  </si>
  <si>
    <t>2018年1-8月</t>
    <phoneticPr fontId="97" type="noConversion"/>
  </si>
  <si>
    <r>
      <t xml:space="preserve">    </t>
    </r>
    <r>
      <rPr>
        <sz val="10"/>
        <rFont val="宋体"/>
        <family val="3"/>
        <charset val="134"/>
      </rPr>
      <t>企业法定代表人：黄永军</t>
    </r>
    <r>
      <rPr>
        <sz val="10"/>
        <rFont val="Times New Roman"/>
        <family val="1"/>
      </rPr>
      <t xml:space="preserve">                        </t>
    </r>
    <r>
      <rPr>
        <sz val="10"/>
        <rFont val="宋体"/>
        <family val="3"/>
        <charset val="134"/>
      </rPr>
      <t>主管会计工作负责人：徐少璞</t>
    </r>
    <r>
      <rPr>
        <sz val="10"/>
        <rFont val="Times New Roman"/>
        <family val="1"/>
      </rPr>
      <t xml:space="preserve">                          </t>
    </r>
    <r>
      <rPr>
        <sz val="10"/>
        <rFont val="宋体"/>
        <family val="3"/>
        <charset val="134"/>
      </rPr>
      <t>会计机构负责人：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王巧瑞</t>
    </r>
    <phoneticPr fontId="7" type="noConversion"/>
  </si>
  <si>
    <t>请选择单位：</t>
    <phoneticPr fontId="7" type="noConversion"/>
  </si>
  <si>
    <r>
      <t>2017</t>
    </r>
    <r>
      <rPr>
        <sz val="10"/>
        <rFont val="宋体"/>
        <family val="3"/>
        <charset val="134"/>
      </rPr>
      <t>年全年收入</t>
    </r>
    <phoneticPr fontId="7" type="noConversion"/>
  </si>
  <si>
    <t>2019年9月发生额</t>
    <phoneticPr fontId="7" type="noConversion"/>
  </si>
  <si>
    <t>2019年1-9月发生额</t>
    <phoneticPr fontId="7" type="noConversion"/>
  </si>
  <si>
    <t>2018年1-9月发生额</t>
    <phoneticPr fontId="7" type="noConversion"/>
  </si>
  <si>
    <t>汇兑收益（损失以“ - ” 号填列）</t>
    <phoneticPr fontId="7" type="noConversion"/>
  </si>
  <si>
    <t>汇兑收益（损失以“ - ” 号填列）</t>
    <phoneticPr fontId="50" type="noConversion"/>
  </si>
  <si>
    <t xml:space="preserve">     以摊余成本计量的金融资产终止确认收益（损失以“ - ” 号填列）</t>
    <phoneticPr fontId="50" type="noConversion"/>
  </si>
  <si>
    <t>税金及附加</t>
    <phoneticPr fontId="50" type="noConversion"/>
  </si>
  <si>
    <t>净敞口套期收益（损失以“ - ” 号填列）</t>
    <phoneticPr fontId="50" type="noConversion"/>
  </si>
  <si>
    <t>公允价值变动收益（损失以“ - ” 号填列）</t>
    <phoneticPr fontId="50" type="noConversion"/>
  </si>
  <si>
    <t>信用减值损失（损失以“ - ” 号填列）</t>
    <phoneticPr fontId="50" type="noConversion"/>
  </si>
  <si>
    <t>资产减值损失（损失以“ - ” 号填列）</t>
    <phoneticPr fontId="50" type="noConversion"/>
  </si>
  <si>
    <t>资产处置收益（损失以“ - ” 号填列）</t>
    <phoneticPr fontId="50" type="noConversion"/>
  </si>
  <si>
    <t xml:space="preserve"> 二、营业利润</t>
    <phoneticPr fontId="7" type="noConversion"/>
  </si>
  <si>
    <t>公允价值变动收益（损失以“ - ” 号填列）</t>
    <phoneticPr fontId="7" type="noConversion"/>
  </si>
  <si>
    <t>汇兑收益（损失以“ - ” 号填列）</t>
    <phoneticPr fontId="7" type="noConversion"/>
  </si>
  <si>
    <t>投资收益（损失以“ - ” 号填列）</t>
    <phoneticPr fontId="7" type="noConversion"/>
  </si>
  <si>
    <t xml:space="preserve">     以摊余成本计量的金融资产终止确认收益（损失以“ - ” 号填列）</t>
    <phoneticPr fontId="7" type="noConversion"/>
  </si>
  <si>
    <t>公允价值变动收益（损失以“ - ” 号填列）</t>
    <phoneticPr fontId="7" type="noConversion"/>
  </si>
  <si>
    <t>信用减值损失（损失以“ - ” 号填列）</t>
    <phoneticPr fontId="7" type="noConversion"/>
  </si>
  <si>
    <t>资产减值损失（损失以“ - ” 号填列）</t>
    <phoneticPr fontId="50" type="noConversion"/>
  </si>
  <si>
    <t xml:space="preserve">    发行债券收到的现金</t>
    <phoneticPr fontId="50" type="noConversion"/>
  </si>
  <si>
    <t xml:space="preserve">    发行债券收到的现金</t>
    <phoneticPr fontId="7" type="noConversion"/>
  </si>
  <si>
    <t xml:space="preserve">    发行债券收到的现金</t>
    <phoneticPr fontId="50" type="noConversion"/>
  </si>
  <si>
    <t>资产减值损失（损失以“ - ” 号填列）</t>
    <phoneticPr fontId="50" type="noConversion"/>
  </si>
  <si>
    <t>净敞口套期收益（损失以“ - ” 号填列）</t>
    <phoneticPr fontId="7" type="noConversion"/>
  </si>
  <si>
    <t>信用减值损失（损失以“ - ” 号填列）</t>
    <phoneticPr fontId="7" type="noConversion"/>
  </si>
  <si>
    <t>投资收益（损失以“ - ” 号填列）</t>
    <phoneticPr fontId="7" type="noConversion"/>
  </si>
  <si>
    <t xml:space="preserve">     以摊余成本计量的金融资产终止确认收益（损失以“ - ” 号填列）</t>
    <phoneticPr fontId="7" type="noConversion"/>
  </si>
  <si>
    <t xml:space="preserve">        计提资产减值准备 </t>
    <phoneticPr fontId="7" type="noConversion"/>
  </si>
  <si>
    <t>合并报表摘要数据</t>
    <phoneticPr fontId="97" type="noConversion"/>
  </si>
  <si>
    <t>编制单位：</t>
    <phoneticPr fontId="7" type="noConversion"/>
  </si>
  <si>
    <t>A原表</t>
    <phoneticPr fontId="7" type="noConversion"/>
  </si>
  <si>
    <t>A公允调表</t>
    <phoneticPr fontId="7" type="noConversion"/>
  </si>
  <si>
    <t>A调定</t>
    <phoneticPr fontId="7" type="noConversion"/>
  </si>
  <si>
    <t>B原表</t>
    <phoneticPr fontId="7" type="noConversion"/>
  </si>
  <si>
    <t>B公允调表</t>
    <phoneticPr fontId="7" type="noConversion"/>
  </si>
  <si>
    <t>B调定</t>
    <phoneticPr fontId="7" type="noConversion"/>
  </si>
  <si>
    <t>C原表</t>
    <phoneticPr fontId="7" type="noConversion"/>
  </si>
  <si>
    <t>C公允调表</t>
    <phoneticPr fontId="7" type="noConversion"/>
  </si>
  <si>
    <t>C调定</t>
    <phoneticPr fontId="7" type="noConversion"/>
  </si>
  <si>
    <t>D</t>
    <phoneticPr fontId="7" type="noConversion"/>
  </si>
  <si>
    <t>E</t>
    <phoneticPr fontId="7" type="noConversion"/>
  </si>
  <si>
    <r>
      <t>2019</t>
    </r>
    <r>
      <rPr>
        <sz val="14"/>
        <rFont val="宋体"/>
        <family val="3"/>
        <charset val="134"/>
      </rPr>
      <t>年</t>
    </r>
    <r>
      <rPr>
        <sz val="14"/>
        <rFont val="Arial Narrow"/>
        <family val="2"/>
      </rPr>
      <t>9</t>
    </r>
    <r>
      <rPr>
        <sz val="14"/>
        <rFont val="宋体"/>
        <family val="3"/>
        <charset val="134"/>
      </rPr>
      <t>月合并过程</t>
    </r>
    <phoneticPr fontId="7" type="noConversion"/>
  </si>
  <si>
    <t>编制单位：</t>
    <phoneticPr fontId="50" type="noConversion"/>
  </si>
  <si>
    <t>(空白)</t>
  </si>
  <si>
    <t>编制单位：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</si>
</sst>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.00_);_(* \(#,##0.00\);_(* &quot;-&quot;??_);_(@_)"/>
    <numFmt numFmtId="177" formatCode="#,##0.00_ "/>
    <numFmt numFmtId="178" formatCode="yyyy&quot;年&quot;m&quot;月&quot;;@"/>
    <numFmt numFmtId="179" formatCode="_ * #,##0.0000_ ;_ * \-#,##0.0000_ ;_ * &quot;-&quot;??_ ;_ @_ "/>
    <numFmt numFmtId="180" formatCode="0.00_ "/>
    <numFmt numFmtId="181" formatCode="0.000"/>
    <numFmt numFmtId="182" formatCode="#,##0_ "/>
  </numFmts>
  <fonts count="101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Geneva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indexed="8"/>
      <name val="宋体"/>
      <family val="3"/>
      <charset val="134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9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4"/>
      <name val="Arial Narrow"/>
      <family val="2"/>
    </font>
    <font>
      <sz val="14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Arial"/>
      <family val="2"/>
    </font>
    <font>
      <b/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4"/>
      <name val="宋体"/>
      <family val="3"/>
      <charset val="134"/>
    </font>
    <font>
      <sz val="10"/>
      <name val="Times New Roman"/>
      <family val="1"/>
    </font>
    <font>
      <sz val="10"/>
      <color indexed="12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9"/>
      <color rgb="FF000000"/>
      <name val="Times New Roman"/>
      <family val="1"/>
    </font>
    <font>
      <sz val="9"/>
      <color rgb="FF000000"/>
      <name val="宋体"/>
      <family val="3"/>
      <charset val="134"/>
    </font>
    <font>
      <sz val="9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name val="Times New Roman"/>
      <family val="1"/>
    </font>
    <font>
      <sz val="10"/>
      <color indexed="8"/>
      <name val="MS Sans Serif"/>
      <family val="2"/>
    </font>
    <font>
      <sz val="12"/>
      <color indexed="9"/>
      <name val="宋体"/>
      <family val="3"/>
      <charset val="134"/>
    </font>
    <font>
      <b/>
      <sz val="24"/>
      <color indexed="20"/>
      <name val="隶书"/>
      <family val="3"/>
      <charset val="134"/>
    </font>
    <font>
      <b/>
      <sz val="11"/>
      <color indexed="56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name val="楷体"/>
      <family val="3"/>
      <charset val="134"/>
    </font>
    <font>
      <b/>
      <i/>
      <sz val="12"/>
      <name val="Times New Roman"/>
      <family val="1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color indexed="16"/>
      <name val="宋体"/>
      <family val="3"/>
      <charset val="134"/>
    </font>
    <font>
      <sz val="10"/>
      <color indexed="8"/>
      <name val="Arial"/>
      <family val="2"/>
    </font>
    <font>
      <sz val="12"/>
      <color indexed="17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等线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93">
    <xf numFmtId="0" fontId="0" fillId="0" borderId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9" fillId="0" borderId="0"/>
    <xf numFmtId="0" fontId="11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6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6" applyNumberFormat="0" applyAlignment="0" applyProtection="0">
      <alignment vertical="center"/>
    </xf>
    <xf numFmtId="0" fontId="38" fillId="13" borderId="7" applyNumberFormat="0" applyAlignment="0" applyProtection="0">
      <alignment vertical="center"/>
    </xf>
    <xf numFmtId="0" fontId="39" fillId="13" borderId="6" applyNumberFormat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14" borderId="9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5" borderId="10" applyNumberFormat="0" applyFont="0" applyAlignment="0" applyProtection="0">
      <alignment vertical="center"/>
    </xf>
    <xf numFmtId="0" fontId="4" fillId="0" borderId="0">
      <alignment vertical="center"/>
    </xf>
    <xf numFmtId="0" fontId="4" fillId="15" borderId="10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5" borderId="10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56" fillId="0" borderId="0"/>
    <xf numFmtId="43" fontId="5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60" fillId="47" borderId="0" applyNumberFormat="0" applyBorder="0" applyAlignment="0" applyProtection="0">
      <alignment vertical="center"/>
    </xf>
    <xf numFmtId="0" fontId="60" fillId="42" borderId="0" applyNumberFormat="0" applyBorder="0" applyAlignment="0" applyProtection="0">
      <alignment vertical="center"/>
    </xf>
    <xf numFmtId="0" fontId="60" fillId="43" borderId="0" applyNumberFormat="0" applyBorder="0" applyAlignment="0" applyProtection="0">
      <alignment vertical="center"/>
    </xf>
    <xf numFmtId="0" fontId="60" fillId="44" borderId="0" applyNumberFormat="0" applyBorder="0" applyAlignment="0" applyProtection="0">
      <alignment vertical="center"/>
    </xf>
    <xf numFmtId="0" fontId="60" fillId="47" borderId="0" applyNumberFormat="0" applyBorder="0" applyAlignment="0" applyProtection="0">
      <alignment vertical="center"/>
    </xf>
    <xf numFmtId="0" fontId="60" fillId="46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1" fillId="0" borderId="20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2" fillId="0" borderId="22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8" fillId="43" borderId="0" applyNumberFormat="0" applyBorder="0" applyAlignment="0" applyProtection="0">
      <alignment vertical="center"/>
    </xf>
    <xf numFmtId="0" fontId="71" fillId="0" borderId="23" applyNumberFormat="0" applyFill="0" applyAlignment="0" applyProtection="0">
      <alignment vertical="center"/>
    </xf>
    <xf numFmtId="0" fontId="73" fillId="48" borderId="24" applyNumberFormat="0" applyAlignment="0" applyProtection="0">
      <alignment vertical="center"/>
    </xf>
    <xf numFmtId="0" fontId="65" fillId="49" borderId="25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70" fillId="0" borderId="26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60" fillId="50" borderId="0" applyNumberFormat="0" applyBorder="0" applyAlignment="0" applyProtection="0">
      <alignment vertical="center"/>
    </xf>
    <xf numFmtId="0" fontId="60" fillId="51" borderId="0" applyNumberFormat="0" applyBorder="0" applyAlignment="0" applyProtection="0">
      <alignment vertical="center"/>
    </xf>
    <xf numFmtId="0" fontId="60" fillId="52" borderId="0" applyNumberFormat="0" applyBorder="0" applyAlignment="0" applyProtection="0">
      <alignment vertical="center"/>
    </xf>
    <xf numFmtId="0" fontId="60" fillId="53" borderId="0" applyNumberFormat="0" applyBorder="0" applyAlignment="0" applyProtection="0">
      <alignment vertical="center"/>
    </xf>
    <xf numFmtId="0" fontId="60" fillId="50" borderId="0" applyNumberFormat="0" applyBorder="0" applyAlignment="0" applyProtection="0">
      <alignment vertical="center"/>
    </xf>
    <xf numFmtId="0" fontId="60" fillId="54" borderId="0" applyNumberFormat="0" applyBorder="0" applyAlignment="0" applyProtection="0">
      <alignment vertical="center"/>
    </xf>
    <xf numFmtId="0" fontId="63" fillId="55" borderId="0" applyNumberFormat="0" applyBorder="0" applyAlignment="0" applyProtection="0">
      <alignment vertical="center"/>
    </xf>
    <xf numFmtId="0" fontId="69" fillId="48" borderId="27" applyNumberFormat="0" applyAlignment="0" applyProtection="0">
      <alignment vertical="center"/>
    </xf>
    <xf numFmtId="0" fontId="72" fillId="46" borderId="24" applyNumberFormat="0" applyAlignment="0" applyProtection="0">
      <alignment vertical="center"/>
    </xf>
    <xf numFmtId="0" fontId="9" fillId="0" borderId="0">
      <alignment vertical="center"/>
    </xf>
    <xf numFmtId="0" fontId="6" fillId="56" borderId="28" applyNumberFormat="0" applyFont="0" applyAlignment="0" applyProtection="0">
      <alignment vertical="center"/>
    </xf>
    <xf numFmtId="0" fontId="6" fillId="56" borderId="28" applyNumberFormat="0" applyFont="0" applyAlignment="0" applyProtection="0">
      <alignment vertical="center"/>
    </xf>
    <xf numFmtId="0" fontId="6" fillId="56" borderId="28" applyNumberFormat="0" applyFont="0" applyAlignment="0" applyProtection="0">
      <alignment vertical="center"/>
    </xf>
    <xf numFmtId="0" fontId="6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" borderId="10" applyNumberFormat="0" applyFont="0" applyAlignment="0" applyProtection="0">
      <alignment vertical="center"/>
    </xf>
    <xf numFmtId="0" fontId="2" fillId="0" borderId="0">
      <alignment vertical="center"/>
    </xf>
    <xf numFmtId="0" fontId="2" fillId="15" borderId="10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5" borderId="10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10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10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10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10" applyNumberFormat="0" applyFont="0" applyAlignment="0" applyProtection="0">
      <alignment vertical="center"/>
    </xf>
    <xf numFmtId="0" fontId="1" fillId="0" borderId="0">
      <alignment vertical="center"/>
    </xf>
    <xf numFmtId="0" fontId="1" fillId="15" borderId="10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5" borderId="10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57" fillId="0" borderId="0"/>
    <xf numFmtId="0" fontId="79" fillId="0" borderId="0"/>
    <xf numFmtId="0" fontId="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79" fillId="0" borderId="0"/>
    <xf numFmtId="0" fontId="80" fillId="0" borderId="0"/>
    <xf numFmtId="0" fontId="80" fillId="0" borderId="0"/>
    <xf numFmtId="0" fontId="81" fillId="60" borderId="0" applyNumberFormat="0" applyBorder="0" applyAlignment="0" applyProtection="0"/>
    <xf numFmtId="0" fontId="52" fillId="41" borderId="0" applyNumberFormat="0" applyBorder="0" applyAlignment="0" applyProtection="0"/>
    <xf numFmtId="0" fontId="52" fillId="41" borderId="0" applyNumberFormat="0" applyBorder="0" applyAlignment="0" applyProtection="0"/>
    <xf numFmtId="0" fontId="81" fillId="47" borderId="0" applyNumberFormat="0" applyBorder="0" applyAlignment="0" applyProtection="0"/>
    <xf numFmtId="0" fontId="81" fillId="53" borderId="0" applyNumberFormat="0" applyBorder="0" applyAlignment="0" applyProtection="0"/>
    <xf numFmtId="0" fontId="52" fillId="56" borderId="0" applyNumberFormat="0" applyBorder="0" applyAlignment="0" applyProtection="0"/>
    <xf numFmtId="0" fontId="52" fillId="40" borderId="0" applyNumberFormat="0" applyBorder="0" applyAlignment="0" applyProtection="0"/>
    <xf numFmtId="0" fontId="81" fillId="49" borderId="0" applyNumberFormat="0" applyBorder="0" applyAlignment="0" applyProtection="0"/>
    <xf numFmtId="0" fontId="81" fillId="49" borderId="0" applyNumberFormat="0" applyBorder="0" applyAlignment="0" applyProtection="0"/>
    <xf numFmtId="0" fontId="52" fillId="56" borderId="0" applyNumberFormat="0" applyBorder="0" applyAlignment="0" applyProtection="0"/>
    <xf numFmtId="0" fontId="52" fillId="43" borderId="0" applyNumberFormat="0" applyBorder="0" applyAlignment="0" applyProtection="0"/>
    <xf numFmtId="0" fontId="81" fillId="40" borderId="0" applyNumberFormat="0" applyBorder="0" applyAlignment="0" applyProtection="0"/>
    <xf numFmtId="0" fontId="81" fillId="60" borderId="0" applyNumberFormat="0" applyBorder="0" applyAlignment="0" applyProtection="0"/>
    <xf numFmtId="0" fontId="52" fillId="41" borderId="0" applyNumberFormat="0" applyBorder="0" applyAlignment="0" applyProtection="0"/>
    <xf numFmtId="0" fontId="52" fillId="40" borderId="0" applyNumberFormat="0" applyBorder="0" applyAlignment="0" applyProtection="0"/>
    <xf numFmtId="0" fontId="81" fillId="40" borderId="0" applyNumberFormat="0" applyBorder="0" applyAlignment="0" applyProtection="0"/>
    <xf numFmtId="0" fontId="81" fillId="50" borderId="0" applyNumberFormat="0" applyBorder="0" applyAlignment="0" applyProtection="0"/>
    <xf numFmtId="0" fontId="52" fillId="45" borderId="0" applyNumberFormat="0" applyBorder="0" applyAlignment="0" applyProtection="0"/>
    <xf numFmtId="0" fontId="52" fillId="41" borderId="0" applyNumberFormat="0" applyBorder="0" applyAlignment="0" applyProtection="0"/>
    <xf numFmtId="0" fontId="81" fillId="47" borderId="0" applyNumberFormat="0" applyBorder="0" applyAlignment="0" applyProtection="0"/>
    <xf numFmtId="0" fontId="81" fillId="59" borderId="0" applyNumberFormat="0" applyBorder="0" applyAlignment="0" applyProtection="0"/>
    <xf numFmtId="0" fontId="52" fillId="56" borderId="0" applyNumberFormat="0" applyBorder="0" applyAlignment="0" applyProtection="0"/>
    <xf numFmtId="0" fontId="52" fillId="46" borderId="0" applyNumberFormat="0" applyBorder="0" applyAlignment="0" applyProtection="0"/>
    <xf numFmtId="0" fontId="81" fillId="46" borderId="0" applyNumberFormat="0" applyBorder="0" applyAlignment="0" applyProtection="0"/>
    <xf numFmtId="44" fontId="82" fillId="0" borderId="0">
      <alignment horizontal="center" vertical="center"/>
      <protection locked="0"/>
    </xf>
    <xf numFmtId="0" fontId="86" fillId="51" borderId="30">
      <alignment horizontal="center"/>
    </xf>
    <xf numFmtId="0" fontId="85" fillId="0" borderId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87" fillId="0" borderId="0" applyNumberFormat="0" applyFill="0" applyBorder="0" applyAlignment="0" applyProtection="0">
      <alignment vertical="center"/>
    </xf>
    <xf numFmtId="0" fontId="88" fillId="0" borderId="31" applyNumberFormat="0" applyFill="0" applyAlignment="0" applyProtection="0">
      <alignment vertical="center"/>
    </xf>
    <xf numFmtId="0" fontId="89" fillId="0" borderId="32" applyNumberFormat="0" applyFill="0" applyAlignment="0" applyProtection="0">
      <alignment vertical="center"/>
    </xf>
    <xf numFmtId="0" fontId="83" fillId="0" borderId="33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/>
    <xf numFmtId="0" fontId="90" fillId="58" borderId="0" applyNumberFormat="0" applyBorder="0" applyAlignment="0" applyProtection="0">
      <alignment vertical="center"/>
    </xf>
    <xf numFmtId="0" fontId="90" fillId="58" borderId="0" applyNumberFormat="0" applyBorder="0" applyAlignment="0" applyProtection="0">
      <alignment vertical="center"/>
    </xf>
    <xf numFmtId="0" fontId="91" fillId="58" borderId="0" applyNumberFormat="0" applyBorder="0" applyAlignment="0" applyProtection="0"/>
    <xf numFmtId="0" fontId="57" fillId="0" borderId="0"/>
    <xf numFmtId="0" fontId="57" fillId="0" borderId="0"/>
    <xf numFmtId="0" fontId="57" fillId="0" borderId="0">
      <alignment vertical="center"/>
    </xf>
    <xf numFmtId="0" fontId="57" fillId="0" borderId="0"/>
    <xf numFmtId="0" fontId="57" fillId="0" borderId="0"/>
    <xf numFmtId="0" fontId="68" fillId="43" borderId="0" applyNumberFormat="0" applyBorder="0" applyAlignment="0" applyProtection="0">
      <alignment vertical="center"/>
    </xf>
    <xf numFmtId="0" fontId="93" fillId="43" borderId="0" applyNumberFormat="0" applyBorder="0" applyAlignment="0" applyProtection="0"/>
    <xf numFmtId="0" fontId="71" fillId="0" borderId="34" applyNumberFormat="0" applyFill="0" applyAlignment="0" applyProtection="0">
      <alignment vertical="center"/>
    </xf>
    <xf numFmtId="0" fontId="73" fillId="40" borderId="24" applyNumberFormat="0" applyAlignment="0" applyProtection="0">
      <alignment vertical="center"/>
    </xf>
    <xf numFmtId="0" fontId="85" fillId="0" borderId="0"/>
    <xf numFmtId="41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57" fillId="0" borderId="0" applyFont="0" applyFill="0" applyBorder="0" applyAlignment="0" applyProtection="0">
      <alignment vertical="center"/>
    </xf>
    <xf numFmtId="43" fontId="57" fillId="0" borderId="0" applyFont="0" applyFill="0" applyBorder="0" applyAlignment="0" applyProtection="0"/>
    <xf numFmtId="0" fontId="84" fillId="61" borderId="0" applyNumberFormat="0" applyBorder="0" applyAlignment="0" applyProtection="0"/>
    <xf numFmtId="0" fontId="84" fillId="62" borderId="0" applyNumberFormat="0" applyBorder="0" applyAlignment="0" applyProtection="0"/>
    <xf numFmtId="0" fontId="84" fillId="63" borderId="0" applyNumberFormat="0" applyBorder="0" applyAlignment="0" applyProtection="0"/>
    <xf numFmtId="0" fontId="69" fillId="40" borderId="27" applyNumberFormat="0" applyAlignment="0" applyProtection="0">
      <alignment vertical="center"/>
    </xf>
    <xf numFmtId="0" fontId="92" fillId="0" borderId="0">
      <alignment vertical="top"/>
    </xf>
    <xf numFmtId="0" fontId="57" fillId="56" borderId="28" applyNumberFormat="0" applyFont="0" applyAlignment="0" applyProtection="0">
      <alignment vertical="center"/>
    </xf>
  </cellStyleXfs>
  <cellXfs count="329">
    <xf numFmtId="0" fontId="0" fillId="0" borderId="0" xfId="0"/>
    <xf numFmtId="0" fontId="13" fillId="0" borderId="0" xfId="16" applyFont="1" applyBorder="1"/>
    <xf numFmtId="0" fontId="19" fillId="2" borderId="0" xfId="0" applyFont="1" applyFill="1" applyAlignment="1">
      <alignment vertical="center"/>
    </xf>
    <xf numFmtId="0" fontId="19" fillId="0" borderId="0" xfId="0" applyFont="1"/>
    <xf numFmtId="176" fontId="19" fillId="0" borderId="0" xfId="1" applyFont="1"/>
    <xf numFmtId="176" fontId="16" fillId="3" borderId="1" xfId="1" applyFont="1" applyFill="1" applyBorder="1" applyAlignment="1">
      <alignment horizontal="center" vertical="center"/>
    </xf>
    <xf numFmtId="176" fontId="16" fillId="2" borderId="1" xfId="1" applyFont="1" applyFill="1" applyBorder="1" applyAlignment="1">
      <alignment horizontal="right" vertical="center"/>
    </xf>
    <xf numFmtId="176" fontId="16" fillId="3" borderId="1" xfId="1" applyFont="1" applyFill="1" applyBorder="1" applyAlignment="1">
      <alignment horizontal="right" vertical="center"/>
    </xf>
    <xf numFmtId="176" fontId="17" fillId="3" borderId="1" xfId="1" applyFont="1" applyFill="1" applyBorder="1" applyAlignment="1">
      <alignment horizontal="right" vertical="center"/>
    </xf>
    <xf numFmtId="176" fontId="16" fillId="3" borderId="1" xfId="1" applyFont="1" applyFill="1" applyBorder="1" applyAlignment="1">
      <alignment horizontal="left" vertical="center"/>
    </xf>
    <xf numFmtId="177" fontId="19" fillId="2" borderId="0" xfId="0" applyNumberFormat="1" applyFont="1" applyFill="1" applyAlignment="1">
      <alignment vertical="center"/>
    </xf>
    <xf numFmtId="177" fontId="18" fillId="2" borderId="0" xfId="0" applyNumberFormat="1" applyFont="1" applyFill="1" applyAlignment="1">
      <alignment vertical="center"/>
    </xf>
    <xf numFmtId="176" fontId="19" fillId="0" borderId="1" xfId="1" applyFont="1" applyBorder="1"/>
    <xf numFmtId="176" fontId="19" fillId="3" borderId="1" xfId="1" applyFont="1" applyFill="1" applyBorder="1"/>
    <xf numFmtId="176" fontId="19" fillId="2" borderId="1" xfId="1" applyFont="1" applyFill="1" applyBorder="1"/>
    <xf numFmtId="176" fontId="19" fillId="2" borderId="1" xfId="1" applyFont="1" applyFill="1" applyBorder="1" applyAlignment="1">
      <alignment vertical="center"/>
    </xf>
    <xf numFmtId="176" fontId="17" fillId="4" borderId="1" xfId="1" applyFont="1" applyFill="1" applyBorder="1" applyAlignment="1">
      <alignment horizontal="right" vertical="center"/>
    </xf>
    <xf numFmtId="0" fontId="14" fillId="5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176" fontId="19" fillId="6" borderId="1" xfId="1" applyFont="1" applyFill="1" applyBorder="1"/>
    <xf numFmtId="176" fontId="19" fillId="0" borderId="0" xfId="1" applyNumberFormat="1" applyFont="1"/>
    <xf numFmtId="0" fontId="0" fillId="0" borderId="0" xfId="0" applyFill="1"/>
    <xf numFmtId="176" fontId="0" fillId="0" borderId="0" xfId="1" applyFont="1" applyFill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76" fontId="0" fillId="0" borderId="0" xfId="1" applyFont="1" applyFill="1" applyBorder="1"/>
    <xf numFmtId="176" fontId="24" fillId="0" borderId="2" xfId="1" applyFont="1" applyFill="1" applyBorder="1"/>
    <xf numFmtId="0" fontId="11" fillId="0" borderId="0" xfId="0" applyFont="1" applyFill="1" applyAlignment="1">
      <alignment horizontal="center"/>
    </xf>
    <xf numFmtId="176" fontId="11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11" fillId="0" borderId="0" xfId="0" applyFont="1" applyFill="1" applyAlignment="1">
      <alignment horizontal="left"/>
    </xf>
    <xf numFmtId="0" fontId="19" fillId="0" borderId="0" xfId="0" applyFont="1" applyFill="1"/>
    <xf numFmtId="0" fontId="12" fillId="5" borderId="1" xfId="0" applyFont="1" applyFill="1" applyBorder="1" applyAlignment="1">
      <alignment horizontal="left" vertical="center" wrapText="1"/>
    </xf>
    <xf numFmtId="176" fontId="17" fillId="3" borderId="1" xfId="1" applyFont="1" applyFill="1" applyBorder="1" applyAlignment="1">
      <alignment horizontal="left" vertical="center"/>
    </xf>
    <xf numFmtId="177" fontId="17" fillId="3" borderId="1" xfId="1" applyNumberFormat="1" applyFont="1" applyFill="1" applyBorder="1" applyAlignment="1">
      <alignment horizontal="left" vertical="center"/>
    </xf>
    <xf numFmtId="176" fontId="17" fillId="4" borderId="1" xfId="1" applyFont="1" applyFill="1" applyBorder="1" applyAlignment="1">
      <alignment horizontal="left" vertical="center"/>
    </xf>
    <xf numFmtId="176" fontId="19" fillId="3" borderId="1" xfId="1" applyFont="1" applyFill="1" applyBorder="1" applyAlignment="1">
      <alignment horizontal="left"/>
    </xf>
    <xf numFmtId="177" fontId="17" fillId="7" borderId="1" xfId="1" applyNumberFormat="1" applyFont="1" applyFill="1" applyBorder="1" applyAlignment="1">
      <alignment horizontal="left" vertical="center"/>
    </xf>
    <xf numFmtId="176" fontId="17" fillId="3" borderId="1" xfId="1" applyNumberFormat="1" applyFont="1" applyFill="1" applyBorder="1" applyAlignment="1">
      <alignment horizontal="left" vertical="center"/>
    </xf>
    <xf numFmtId="176" fontId="19" fillId="0" borderId="0" xfId="1" applyFont="1" applyAlignment="1">
      <alignment horizontal="left"/>
    </xf>
    <xf numFmtId="176" fontId="46" fillId="0" borderId="0" xfId="1" applyFont="1" applyAlignment="1">
      <alignment horizontal="left"/>
    </xf>
    <xf numFmtId="0" fontId="11" fillId="0" borderId="0" xfId="0" applyFont="1" applyFill="1" applyBorder="1" applyAlignment="1">
      <alignment horizontal="left"/>
    </xf>
    <xf numFmtId="176" fontId="0" fillId="0" borderId="0" xfId="1" applyFont="1" applyFill="1" applyBorder="1" applyAlignment="1">
      <alignment horizontal="left"/>
    </xf>
    <xf numFmtId="176" fontId="0" fillId="0" borderId="0" xfId="1" applyFont="1"/>
    <xf numFmtId="176" fontId="12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9" fillId="0" borderId="0" xfId="0" applyFont="1" applyAlignment="1">
      <alignment vertical="center"/>
    </xf>
    <xf numFmtId="31" fontId="49" fillId="0" borderId="0" xfId="0" applyNumberFormat="1" applyFont="1" applyAlignment="1">
      <alignment horizontal="center" vertical="center"/>
    </xf>
    <xf numFmtId="43" fontId="49" fillId="0" borderId="0" xfId="0" applyNumberFormat="1" applyFont="1" applyAlignment="1">
      <alignment vertical="center"/>
    </xf>
    <xf numFmtId="14" fontId="11" fillId="0" borderId="12" xfId="0" applyNumberFormat="1" applyFont="1" applyBorder="1" applyAlignment="1">
      <alignment horizontal="center" vertical="center"/>
    </xf>
    <xf numFmtId="176" fontId="49" fillId="0" borderId="0" xfId="1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76" fontId="0" fillId="0" borderId="0" xfId="1" applyFont="1" applyAlignment="1">
      <alignment vertical="center"/>
    </xf>
    <xf numFmtId="176" fontId="11" fillId="0" borderId="0" xfId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176" fontId="21" fillId="0" borderId="0" xfId="1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176" fontId="11" fillId="0" borderId="0" xfId="1" applyFont="1" applyBorder="1" applyAlignment="1">
      <alignment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176" fontId="11" fillId="0" borderId="12" xfId="1" applyFont="1" applyBorder="1" applyAlignment="1">
      <alignment horizontal="center" vertical="center"/>
    </xf>
    <xf numFmtId="176" fontId="11" fillId="0" borderId="0" xfId="1" applyFont="1" applyAlignment="1">
      <alignment horizontal="center" vertical="center"/>
    </xf>
    <xf numFmtId="0" fontId="11" fillId="0" borderId="0" xfId="0" applyFont="1" applyAlignment="1">
      <alignment vertical="center" wrapText="1" shrinkToFit="1"/>
    </xf>
    <xf numFmtId="177" fontId="11" fillId="0" borderId="0" xfId="0" applyNumberFormat="1" applyFont="1" applyAlignment="1">
      <alignment vertical="center"/>
    </xf>
    <xf numFmtId="176" fontId="11" fillId="0" borderId="0" xfId="1" applyFont="1" applyBorder="1" applyAlignment="1">
      <alignment horizontal="center"/>
    </xf>
    <xf numFmtId="176" fontId="54" fillId="0" borderId="0" xfId="1" applyFont="1" applyBorder="1" applyAlignment="1"/>
    <xf numFmtId="0" fontId="11" fillId="0" borderId="0" xfId="0" applyFont="1" applyBorder="1" applyAlignment="1">
      <alignment horizontal="center"/>
    </xf>
    <xf numFmtId="0" fontId="54" fillId="0" borderId="0" xfId="0" applyFont="1" applyBorder="1" applyAlignment="1"/>
    <xf numFmtId="176" fontId="0" fillId="0" borderId="0" xfId="1" applyFont="1" applyBorder="1" applyAlignment="1">
      <alignment vertical="center"/>
    </xf>
    <xf numFmtId="43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31" fontId="49" fillId="0" borderId="0" xfId="0" applyNumberFormat="1" applyFont="1" applyAlignment="1">
      <alignment vertical="center"/>
    </xf>
    <xf numFmtId="43" fontId="11" fillId="0" borderId="0" xfId="0" applyNumberFormat="1" applyFont="1" applyAlignment="1">
      <alignment vertical="center"/>
    </xf>
    <xf numFmtId="0" fontId="11" fillId="0" borderId="12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43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/>
    <xf numFmtId="10" fontId="11" fillId="0" borderId="0" xfId="0" applyNumberFormat="1" applyFont="1" applyAlignment="1">
      <alignment vertical="center"/>
    </xf>
    <xf numFmtId="0" fontId="49" fillId="0" borderId="0" xfId="0" applyFont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177" fontId="15" fillId="3" borderId="1" xfId="0" applyNumberFormat="1" applyFont="1" applyFill="1" applyBorder="1" applyAlignment="1">
      <alignment horizontal="left" vertical="center"/>
    </xf>
    <xf numFmtId="177" fontId="16" fillId="3" borderId="1" xfId="0" applyNumberFormat="1" applyFont="1" applyFill="1" applyBorder="1" applyAlignment="1">
      <alignment horizontal="left" vertical="center"/>
    </xf>
    <xf numFmtId="177" fontId="15" fillId="3" borderId="1" xfId="2" applyNumberFormat="1" applyFont="1" applyFill="1" applyBorder="1" applyAlignment="1">
      <alignment horizontal="left" vertical="center"/>
    </xf>
    <xf numFmtId="177" fontId="7" fillId="3" borderId="1" xfId="2" applyNumberFormat="1" applyFont="1" applyFill="1" applyBorder="1" applyAlignment="1">
      <alignment horizontal="left"/>
    </xf>
    <xf numFmtId="176" fontId="49" fillId="0" borderId="0" xfId="0" applyNumberFormat="1" applyFont="1" applyAlignment="1">
      <alignment vertical="center"/>
    </xf>
    <xf numFmtId="176" fontId="11" fillId="0" borderId="12" xfId="1" applyFont="1" applyBorder="1" applyAlignment="1">
      <alignment horizontal="center" vertical="center" wrapText="1"/>
    </xf>
    <xf numFmtId="10" fontId="0" fillId="0" borderId="0" xfId="0" applyNumberFormat="1" applyAlignment="1">
      <alignment vertical="center"/>
    </xf>
    <xf numFmtId="10" fontId="11" fillId="0" borderId="0" xfId="0" applyNumberFormat="1" applyFont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44" fontId="49" fillId="0" borderId="0" xfId="0" applyNumberFormat="1" applyFont="1" applyAlignment="1">
      <alignment vertical="center"/>
    </xf>
    <xf numFmtId="0" fontId="11" fillId="0" borderId="0" xfId="0" applyFont="1" applyFill="1" applyAlignment="1">
      <alignment vertical="center"/>
    </xf>
    <xf numFmtId="176" fontId="11" fillId="0" borderId="0" xfId="0" applyNumberFormat="1" applyFont="1" applyAlignment="1">
      <alignment vertical="center"/>
    </xf>
    <xf numFmtId="0" fontId="11" fillId="0" borderId="12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11" fillId="0" borderId="12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54" fillId="0" borderId="0" xfId="0" applyFont="1" applyFill="1" applyBorder="1" applyAlignment="1"/>
    <xf numFmtId="0" fontId="57" fillId="0" borderId="0" xfId="0" applyFont="1" applyFill="1" applyAlignment="1">
      <alignment vertical="center"/>
    </xf>
    <xf numFmtId="10" fontId="11" fillId="0" borderId="0" xfId="91" applyNumberFormat="1" applyFont="1" applyAlignment="1">
      <alignment vertical="center"/>
    </xf>
    <xf numFmtId="176" fontId="11" fillId="0" borderId="0" xfId="1" applyFont="1" applyBorder="1" applyAlignment="1"/>
    <xf numFmtId="176" fontId="0" fillId="0" borderId="0" xfId="1" applyFont="1" applyBorder="1" applyAlignment="1">
      <alignment horizontal="center"/>
    </xf>
    <xf numFmtId="176" fontId="15" fillId="3" borderId="1" xfId="1" applyFont="1" applyFill="1" applyBorder="1" applyAlignment="1">
      <alignment horizontal="left" vertical="center"/>
    </xf>
    <xf numFmtId="176" fontId="17" fillId="8" borderId="1" xfId="1" applyFont="1" applyFill="1" applyBorder="1" applyAlignment="1">
      <alignment horizontal="right" vertical="center"/>
    </xf>
    <xf numFmtId="176" fontId="17" fillId="7" borderId="1" xfId="1" applyFont="1" applyFill="1" applyBorder="1" applyAlignment="1">
      <alignment horizontal="right" vertical="center"/>
    </xf>
    <xf numFmtId="176" fontId="16" fillId="2" borderId="1" xfId="1" applyFont="1" applyFill="1" applyBorder="1" applyAlignment="1">
      <alignment horizontal="center" vertical="center"/>
    </xf>
    <xf numFmtId="176" fontId="17" fillId="0" borderId="1" xfId="1" applyFont="1" applyFill="1" applyBorder="1" applyAlignment="1">
      <alignment horizontal="right" vertical="center"/>
    </xf>
    <xf numFmtId="176" fontId="19" fillId="0" borderId="1" xfId="1" applyFont="1" applyFill="1" applyBorder="1"/>
    <xf numFmtId="176" fontId="17" fillId="3" borderId="1" xfId="1" applyNumberFormat="1" applyFont="1" applyFill="1" applyBorder="1" applyAlignment="1">
      <alignment horizontal="right" vertical="center"/>
    </xf>
    <xf numFmtId="176" fontId="16" fillId="3" borderId="1" xfId="1" applyNumberFormat="1" applyFont="1" applyFill="1" applyBorder="1" applyAlignment="1">
      <alignment horizontal="right" vertical="center"/>
    </xf>
    <xf numFmtId="176" fontId="19" fillId="0" borderId="1" xfId="1" applyNumberFormat="1" applyFont="1" applyBorder="1"/>
    <xf numFmtId="176" fontId="19" fillId="6" borderId="1" xfId="1" applyNumberFormat="1" applyFont="1" applyFill="1" applyBorder="1"/>
    <xf numFmtId="0" fontId="11" fillId="0" borderId="0" xfId="0" applyFont="1" applyAlignment="1">
      <alignment horizontal="center" vertical="center"/>
    </xf>
    <xf numFmtId="10" fontId="0" fillId="0" borderId="0" xfId="91" applyNumberFormat="1" applyFont="1" applyAlignment="1">
      <alignment vertical="center"/>
    </xf>
    <xf numFmtId="176" fontId="16" fillId="3" borderId="17" xfId="1" applyFont="1" applyFill="1" applyBorder="1" applyAlignment="1">
      <alignment horizontal="left" vertical="center"/>
    </xf>
    <xf numFmtId="176" fontId="0" fillId="0" borderId="0" xfId="0" applyNumberFormat="1"/>
    <xf numFmtId="176" fontId="16" fillId="0" borderId="1" xfId="1" applyFont="1" applyFill="1" applyBorder="1" applyAlignment="1">
      <alignment horizontal="center" vertical="center"/>
    </xf>
    <xf numFmtId="176" fontId="16" fillId="0" borderId="1" xfId="1" applyFont="1" applyFill="1" applyBorder="1" applyAlignment="1">
      <alignment horizontal="right" vertical="center"/>
    </xf>
    <xf numFmtId="176" fontId="16" fillId="0" borderId="1" xfId="1" applyNumberFormat="1" applyFont="1" applyFill="1" applyBorder="1" applyAlignment="1">
      <alignment horizontal="right" vertical="center"/>
    </xf>
    <xf numFmtId="176" fontId="11" fillId="0" borderId="0" xfId="1" applyFont="1" applyBorder="1" applyAlignment="1">
      <alignment horizontal="right" vertical="center"/>
    </xf>
    <xf numFmtId="176" fontId="11" fillId="0" borderId="0" xfId="1" applyFont="1" applyFill="1" applyBorder="1" applyAlignment="1">
      <alignment horizontal="right" vertical="center"/>
    </xf>
    <xf numFmtId="10" fontId="49" fillId="0" borderId="0" xfId="91" applyNumberFormat="1" applyFont="1" applyAlignment="1">
      <alignment vertical="center"/>
    </xf>
    <xf numFmtId="10" fontId="52" fillId="0" borderId="0" xfId="91" applyNumberFormat="1" applyFont="1" applyAlignment="1">
      <alignment vertical="center"/>
    </xf>
    <xf numFmtId="43" fontId="11" fillId="0" borderId="0" xfId="1" applyNumberFormat="1" applyFont="1" applyAlignment="1">
      <alignment vertical="center"/>
    </xf>
    <xf numFmtId="43" fontId="11" fillId="0" borderId="13" xfId="1" applyNumberFormat="1" applyFont="1" applyBorder="1" applyAlignment="1">
      <alignment vertical="center"/>
    </xf>
    <xf numFmtId="43" fontId="11" fillId="0" borderId="0" xfId="1" applyNumberFormat="1" applyFont="1" applyBorder="1" applyAlignment="1">
      <alignment vertical="center"/>
    </xf>
    <xf numFmtId="43" fontId="21" fillId="0" borderId="0" xfId="1" applyNumberFormat="1" applyFont="1" applyAlignment="1">
      <alignment vertical="center"/>
    </xf>
    <xf numFmtId="43" fontId="11" fillId="0" borderId="0" xfId="1" applyNumberFormat="1" applyFont="1" applyAlignment="1">
      <alignment vertical="center" wrapText="1"/>
    </xf>
    <xf numFmtId="43" fontId="11" fillId="0" borderId="12" xfId="1" applyNumberFormat="1" applyFont="1" applyFill="1" applyBorder="1" applyAlignment="1">
      <alignment vertical="center"/>
    </xf>
    <xf numFmtId="43" fontId="11" fillId="0" borderId="0" xfId="1" applyNumberFormat="1" applyFont="1" applyFill="1" applyAlignment="1">
      <alignment vertical="center"/>
    </xf>
    <xf numFmtId="43" fontId="11" fillId="0" borderId="15" xfId="1" applyNumberFormat="1" applyFont="1" applyFill="1" applyBorder="1" applyAlignment="1">
      <alignment vertical="center"/>
    </xf>
    <xf numFmtId="43" fontId="11" fillId="0" borderId="14" xfId="1" applyNumberFormat="1" applyFont="1" applyFill="1" applyBorder="1" applyAlignment="1">
      <alignment vertical="center"/>
    </xf>
    <xf numFmtId="43" fontId="49" fillId="0" borderId="0" xfId="1" applyNumberFormat="1" applyFont="1" applyAlignment="1">
      <alignment vertical="center"/>
    </xf>
    <xf numFmtId="43" fontId="11" fillId="0" borderId="13" xfId="1" applyNumberFormat="1" applyFont="1" applyFill="1" applyBorder="1" applyAlignment="1">
      <alignment vertical="center"/>
    </xf>
    <xf numFmtId="43" fontId="11" fillId="0" borderId="16" xfId="1" applyNumberFormat="1" applyFont="1" applyBorder="1" applyAlignment="1">
      <alignment vertical="center"/>
    </xf>
    <xf numFmtId="43" fontId="11" fillId="0" borderId="12" xfId="1" applyNumberFormat="1" applyFont="1" applyBorder="1" applyAlignment="1">
      <alignment vertical="center"/>
    </xf>
    <xf numFmtId="43" fontId="11" fillId="0" borderId="18" xfId="1" applyNumberFormat="1" applyFont="1" applyBorder="1" applyAlignment="1">
      <alignment vertical="center"/>
    </xf>
    <xf numFmtId="43" fontId="11" fillId="0" borderId="18" xfId="1" applyNumberFormat="1" applyFont="1" applyFill="1" applyBorder="1" applyAlignment="1">
      <alignment vertical="center"/>
    </xf>
    <xf numFmtId="43" fontId="11" fillId="0" borderId="19" xfId="1" applyNumberFormat="1" applyFont="1" applyBorder="1" applyAlignment="1">
      <alignment vertical="center"/>
    </xf>
    <xf numFmtId="43" fontId="0" fillId="0" borderId="0" xfId="0" applyNumberFormat="1" applyAlignment="1">
      <alignment vertical="center"/>
    </xf>
    <xf numFmtId="0" fontId="11" fillId="0" borderId="0" xfId="0" applyFont="1" applyAlignment="1">
      <alignment horizontal="center" vertical="center"/>
    </xf>
    <xf numFmtId="43" fontId="54" fillId="0" borderId="0" xfId="1" applyNumberFormat="1" applyFont="1" applyBorder="1" applyAlignment="1"/>
    <xf numFmtId="43" fontId="0" fillId="0" borderId="0" xfId="1" applyNumberFormat="1" applyFont="1" applyBorder="1" applyAlignment="1">
      <alignment vertical="center"/>
    </xf>
    <xf numFmtId="176" fontId="19" fillId="0" borderId="1" xfId="159" applyFont="1" applyFill="1" applyBorder="1" applyAlignment="1"/>
    <xf numFmtId="0" fontId="74" fillId="0" borderId="0" xfId="0" applyFont="1" applyBorder="1" applyAlignment="1">
      <alignment horizontal="justify" vertical="center"/>
    </xf>
    <xf numFmtId="176" fontId="11" fillId="0" borderId="0" xfId="1" applyFont="1" applyFill="1" applyAlignment="1">
      <alignment vertical="center"/>
    </xf>
    <xf numFmtId="4" fontId="76" fillId="0" borderId="0" xfId="0" applyNumberFormat="1" applyFont="1" applyBorder="1" applyAlignment="1">
      <alignment horizontal="right" vertical="center" wrapText="1"/>
    </xf>
    <xf numFmtId="0" fontId="76" fillId="0" borderId="0" xfId="0" applyFont="1" applyBorder="1" applyAlignment="1">
      <alignment horizontal="right" vertical="center" wrapText="1"/>
    </xf>
    <xf numFmtId="43" fontId="11" fillId="0" borderId="0" xfId="1" applyNumberFormat="1" applyFont="1" applyFill="1" applyBorder="1" applyAlignment="1">
      <alignment vertical="center"/>
    </xf>
    <xf numFmtId="43" fontId="11" fillId="0" borderId="14" xfId="0" applyNumberFormat="1" applyFont="1" applyBorder="1" applyAlignment="1">
      <alignment vertical="center"/>
    </xf>
    <xf numFmtId="43" fontId="11" fillId="0" borderId="14" xfId="1" applyNumberFormat="1" applyFont="1" applyBorder="1" applyAlignment="1">
      <alignment vertical="center"/>
    </xf>
    <xf numFmtId="43" fontId="11" fillId="0" borderId="12" xfId="1" applyNumberFormat="1" applyFont="1" applyBorder="1" applyAlignment="1">
      <alignment horizontal="center"/>
    </xf>
    <xf numFmtId="179" fontId="11" fillId="0" borderId="0" xfId="1" applyNumberFormat="1" applyFont="1" applyAlignment="1">
      <alignment vertical="center"/>
    </xf>
    <xf numFmtId="179" fontId="11" fillId="0" borderId="14" xfId="1" applyNumberFormat="1" applyFont="1" applyBorder="1" applyAlignment="1">
      <alignment vertical="center"/>
    </xf>
    <xf numFmtId="176" fontId="20" fillId="3" borderId="1" xfId="1" applyFont="1" applyFill="1" applyBorder="1" applyAlignment="1">
      <alignment horizontal="left" vertical="center"/>
    </xf>
    <xf numFmtId="177" fontId="20" fillId="3" borderId="1" xfId="1" applyNumberFormat="1" applyFont="1" applyFill="1" applyBorder="1" applyAlignment="1">
      <alignment horizontal="left" vertical="center"/>
    </xf>
    <xf numFmtId="177" fontId="20" fillId="40" borderId="1" xfId="0" applyNumberFormat="1" applyFont="1" applyFill="1" applyBorder="1" applyAlignment="1">
      <alignment horizontal="left" vertical="center"/>
    </xf>
    <xf numFmtId="177" fontId="17" fillId="3" borderId="1" xfId="0" applyNumberFormat="1" applyFont="1" applyFill="1" applyBorder="1" applyAlignment="1">
      <alignment horizontal="left" vertical="center"/>
    </xf>
    <xf numFmtId="0" fontId="48" fillId="0" borderId="0" xfId="0" applyFont="1" applyAlignment="1">
      <alignment horizontal="center" vertical="center"/>
    </xf>
    <xf numFmtId="177" fontId="15" fillId="3" borderId="1" xfId="0" applyNumberFormat="1" applyFont="1" applyFill="1" applyBorder="1" applyAlignment="1">
      <alignment horizontal="left" vertical="center" indent="2"/>
    </xf>
    <xf numFmtId="177" fontId="15" fillId="3" borderId="1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3"/>
    </xf>
    <xf numFmtId="0" fontId="11" fillId="0" borderId="0" xfId="0" applyFont="1" applyAlignment="1">
      <alignment horizontal="left" vertical="center" indent="4"/>
    </xf>
    <xf numFmtId="0" fontId="11" fillId="0" borderId="0" xfId="0" applyFont="1" applyAlignment="1">
      <alignment horizontal="left" vertical="center" indent="7"/>
    </xf>
    <xf numFmtId="177" fontId="15" fillId="3" borderId="1" xfId="0" applyNumberFormat="1" applyFont="1" applyFill="1" applyBorder="1" applyAlignment="1">
      <alignment horizontal="left" vertical="center" indent="3"/>
    </xf>
    <xf numFmtId="177" fontId="15" fillId="3" borderId="1" xfId="0" applyNumberFormat="1" applyFont="1" applyFill="1" applyBorder="1" applyAlignment="1">
      <alignment horizontal="left" vertical="center" indent="6"/>
    </xf>
    <xf numFmtId="0" fontId="11" fillId="0" borderId="0" xfId="0" applyFont="1" applyFill="1" applyAlignment="1">
      <alignment horizontal="left" vertical="center" indent="2"/>
    </xf>
    <xf numFmtId="0" fontId="11" fillId="0" borderId="0" xfId="0" applyFont="1" applyFill="1" applyAlignment="1">
      <alignment horizontal="left" vertical="center" indent="5"/>
    </xf>
    <xf numFmtId="0" fontId="11" fillId="0" borderId="0" xfId="0" applyFont="1" applyFill="1" applyAlignment="1">
      <alignment horizontal="left" vertical="center" indent="1"/>
    </xf>
    <xf numFmtId="2" fontId="15" fillId="3" borderId="1" xfId="0" applyNumberFormat="1" applyFont="1" applyFill="1" applyBorder="1" applyAlignment="1">
      <alignment horizontal="left" vertical="center" indent="2"/>
    </xf>
    <xf numFmtId="2" fontId="15" fillId="3" borderId="1" xfId="0" applyNumberFormat="1" applyFont="1" applyFill="1" applyBorder="1" applyAlignment="1">
      <alignment horizontal="left" vertical="center" indent="1"/>
    </xf>
    <xf numFmtId="2" fontId="15" fillId="3" borderId="1" xfId="0" applyNumberFormat="1" applyFont="1" applyFill="1" applyBorder="1" applyAlignment="1">
      <alignment horizontal="left" vertical="center" indent="5"/>
    </xf>
    <xf numFmtId="43" fontId="21" fillId="0" borderId="12" xfId="1" applyNumberFormat="1" applyFont="1" applyBorder="1" applyAlignment="1">
      <alignment vertical="center"/>
    </xf>
    <xf numFmtId="43" fontId="11" fillId="0" borderId="29" xfId="1" applyNumberFormat="1" applyFont="1" applyBorder="1" applyAlignment="1">
      <alignment vertical="center"/>
    </xf>
    <xf numFmtId="176" fontId="19" fillId="0" borderId="1" xfId="1" applyFont="1" applyFill="1" applyBorder="1" applyAlignment="1">
      <alignment horizontal="right" vertical="center"/>
    </xf>
    <xf numFmtId="43" fontId="21" fillId="0" borderId="16" xfId="1" applyNumberFormat="1" applyFont="1" applyBorder="1" applyAlignment="1">
      <alignment vertical="center"/>
    </xf>
    <xf numFmtId="43" fontId="21" fillId="0" borderId="14" xfId="1" applyNumberFormat="1" applyFont="1" applyFill="1" applyBorder="1" applyAlignment="1">
      <alignment vertical="center"/>
    </xf>
    <xf numFmtId="180" fontId="11" fillId="0" borderId="0" xfId="0" applyNumberFormat="1" applyFont="1" applyFill="1" applyAlignment="1">
      <alignment horizontal="left" vertical="center" wrapText="1" indent="1"/>
    </xf>
    <xf numFmtId="0" fontId="11" fillId="0" borderId="0" xfId="0" applyFont="1" applyFill="1" applyAlignment="1">
      <alignment horizontal="left" vertical="center" wrapText="1" indent="1"/>
    </xf>
    <xf numFmtId="179" fontId="11" fillId="0" borderId="12" xfId="1" applyNumberFormat="1" applyFont="1" applyBorder="1" applyAlignment="1">
      <alignment vertical="center"/>
    </xf>
    <xf numFmtId="177" fontId="49" fillId="0" borderId="0" xfId="0" applyNumberFormat="1" applyFont="1" applyAlignment="1">
      <alignment vertical="center"/>
    </xf>
    <xf numFmtId="176" fontId="19" fillId="0" borderId="1" xfId="159" applyFont="1" applyBorder="1" applyAlignment="1" applyProtection="1">
      <alignment vertical="center"/>
      <protection locked="0"/>
    </xf>
    <xf numFmtId="176" fontId="16" fillId="48" borderId="1" xfId="159" applyFont="1" applyFill="1" applyBorder="1" applyAlignment="1" applyProtection="1">
      <alignment horizontal="right" vertical="center"/>
      <protection locked="0"/>
    </xf>
    <xf numFmtId="176" fontId="16" fillId="0" borderId="1" xfId="159" applyFont="1" applyFill="1" applyBorder="1" applyAlignment="1" applyProtection="1">
      <alignment horizontal="right" vertical="center"/>
      <protection locked="0"/>
    </xf>
    <xf numFmtId="176" fontId="19" fillId="48" borderId="1" xfId="159" applyFont="1" applyFill="1" applyBorder="1" applyAlignment="1" applyProtection="1">
      <alignment horizontal="right" vertical="center"/>
      <protection locked="0"/>
    </xf>
    <xf numFmtId="176" fontId="7" fillId="48" borderId="1" xfId="159" applyFont="1" applyFill="1" applyBorder="1" applyAlignment="1" applyProtection="1">
      <alignment horizontal="right" vertical="center"/>
      <protection locked="0"/>
    </xf>
    <xf numFmtId="176" fontId="19" fillId="2" borderId="1" xfId="159" applyFont="1" applyFill="1" applyBorder="1" applyAlignment="1" applyProtection="1">
      <alignment horizontal="right" vertical="center"/>
      <protection locked="0"/>
    </xf>
    <xf numFmtId="176" fontId="19" fillId="2" borderId="1" xfId="159" applyFont="1" applyFill="1" applyBorder="1" applyAlignment="1" applyProtection="1">
      <alignment vertical="center"/>
      <protection locked="0"/>
    </xf>
    <xf numFmtId="0" fontId="11" fillId="0" borderId="0" xfId="0" applyFont="1" applyAlignment="1">
      <alignment horizontal="right" vertical="center"/>
    </xf>
    <xf numFmtId="176" fontId="16" fillId="2" borderId="1" xfId="159" applyFont="1" applyFill="1" applyBorder="1" applyAlignment="1" applyProtection="1">
      <alignment horizontal="right" vertical="center"/>
      <protection locked="0"/>
    </xf>
    <xf numFmtId="0" fontId="0" fillId="0" borderId="0" xfId="0" applyNumberFormat="1" applyFill="1" applyBorder="1"/>
    <xf numFmtId="0" fontId="21" fillId="0" borderId="2" xfId="0" applyNumberFormat="1" applyFont="1" applyFill="1" applyBorder="1" applyAlignment="1">
      <alignment horizontal="right"/>
    </xf>
    <xf numFmtId="0" fontId="11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11" fillId="0" borderId="0" xfId="0" applyNumberFormat="1" applyFont="1" applyFill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1"/>
    </xf>
    <xf numFmtId="44" fontId="0" fillId="0" borderId="0" xfId="0" applyNumberFormat="1" applyFill="1"/>
    <xf numFmtId="177" fontId="0" fillId="0" borderId="0" xfId="0" applyNumberFormat="1" applyFill="1"/>
    <xf numFmtId="176" fontId="16" fillId="4" borderId="1" xfId="1" applyFont="1" applyFill="1" applyBorder="1" applyAlignment="1">
      <alignment horizontal="right" vertical="center"/>
    </xf>
    <xf numFmtId="176" fontId="0" fillId="0" borderId="0" xfId="2" applyFont="1" applyFill="1"/>
    <xf numFmtId="176" fontId="19" fillId="4" borderId="1" xfId="159" applyFont="1" applyFill="1" applyBorder="1" applyAlignment="1" applyProtection="1">
      <alignment vertical="center"/>
      <protection locked="0"/>
    </xf>
    <xf numFmtId="176" fontId="16" fillId="48" borderId="1" xfId="1" applyFont="1" applyFill="1" applyBorder="1" applyAlignment="1" applyProtection="1">
      <alignment horizontal="right" vertical="center"/>
      <protection locked="0"/>
    </xf>
    <xf numFmtId="176" fontId="19" fillId="0" borderId="1" xfId="1" applyFont="1" applyBorder="1" applyAlignment="1" applyProtection="1">
      <alignment vertical="center"/>
      <protection locked="0"/>
    </xf>
    <xf numFmtId="0" fontId="77" fillId="2" borderId="0" xfId="0" applyFont="1" applyFill="1" applyAlignment="1">
      <alignment horizontal="center"/>
    </xf>
    <xf numFmtId="43" fontId="11" fillId="0" borderId="0" xfId="159" applyNumberFormat="1" applyFont="1" applyAlignment="1">
      <alignment vertical="center"/>
    </xf>
    <xf numFmtId="43" fontId="11" fillId="0" borderId="0" xfId="159" applyNumberFormat="1" applyFont="1">
      <alignment vertical="center"/>
    </xf>
    <xf numFmtId="176" fontId="11" fillId="0" borderId="0" xfId="1" applyFont="1" applyFill="1" applyBorder="1" applyAlignment="1">
      <alignment vertical="center"/>
    </xf>
    <xf numFmtId="0" fontId="53" fillId="0" borderId="0" xfId="0" applyFont="1" applyAlignment="1">
      <alignment horizontal="center" vertical="center"/>
    </xf>
    <xf numFmtId="176" fontId="0" fillId="0" borderId="0" xfId="0" applyNumberFormat="1" applyFill="1"/>
    <xf numFmtId="44" fontId="11" fillId="4" borderId="0" xfId="0" applyNumberFormat="1" applyFont="1" applyFill="1"/>
    <xf numFmtId="44" fontId="0" fillId="4" borderId="0" xfId="0" applyNumberFormat="1" applyFill="1"/>
    <xf numFmtId="10" fontId="49" fillId="0" borderId="0" xfId="0" applyNumberFormat="1" applyFont="1" applyAlignment="1">
      <alignment vertical="center"/>
    </xf>
    <xf numFmtId="0" fontId="53" fillId="0" borderId="0" xfId="0" applyFont="1" applyAlignment="1">
      <alignment horizontal="center" vertical="center"/>
    </xf>
    <xf numFmtId="0" fontId="55" fillId="0" borderId="0" xfId="0" applyFont="1" applyFill="1" applyBorder="1" applyAlignment="1">
      <alignment horizontal="left" vertical="center" wrapText="1"/>
    </xf>
    <xf numFmtId="176" fontId="11" fillId="0" borderId="0" xfId="1" applyFont="1" applyFill="1" applyBorder="1"/>
    <xf numFmtId="176" fontId="12" fillId="57" borderId="1" xfId="1" applyFont="1" applyFill="1" applyBorder="1" applyAlignment="1">
      <alignment horizontal="center" vertical="center" wrapText="1"/>
    </xf>
    <xf numFmtId="176" fontId="14" fillId="6" borderId="1" xfId="1" applyFont="1" applyFill="1" applyBorder="1" applyAlignment="1">
      <alignment horizontal="center" vertical="center" wrapText="1"/>
    </xf>
    <xf numFmtId="0" fontId="14" fillId="57" borderId="1" xfId="0" applyFont="1" applyFill="1" applyBorder="1" applyAlignment="1">
      <alignment horizontal="center" vertical="center" wrapText="1"/>
    </xf>
    <xf numFmtId="177" fontId="19" fillId="48" borderId="0" xfId="0" applyNumberFormat="1" applyFont="1" applyFill="1" applyAlignment="1">
      <alignment vertical="center"/>
    </xf>
    <xf numFmtId="176" fontId="11" fillId="0" borderId="0" xfId="0" applyNumberFormat="1" applyFont="1" applyFill="1"/>
    <xf numFmtId="176" fontId="15" fillId="48" borderId="1" xfId="159" applyFont="1" applyFill="1" applyBorder="1" applyAlignment="1" applyProtection="1">
      <alignment horizontal="right" vertical="center"/>
      <protection locked="0"/>
    </xf>
    <xf numFmtId="176" fontId="0" fillId="4" borderId="0" xfId="1" applyFont="1" applyFill="1" applyBorder="1"/>
    <xf numFmtId="43" fontId="21" fillId="0" borderId="13" xfId="1" applyNumberFormat="1" applyFont="1" applyFill="1" applyBorder="1" applyAlignment="1">
      <alignment vertical="center"/>
    </xf>
    <xf numFmtId="43" fontId="21" fillId="0" borderId="13" xfId="1" applyNumberFormat="1" applyFont="1" applyBorder="1" applyAlignment="1">
      <alignment vertical="center"/>
    </xf>
    <xf numFmtId="43" fontId="11" fillId="0" borderId="12" xfId="159" applyNumberFormat="1" applyFont="1" applyFill="1" applyBorder="1">
      <alignment vertical="center"/>
    </xf>
    <xf numFmtId="176" fontId="78" fillId="0" borderId="0" xfId="1" applyFont="1" applyFill="1" applyBorder="1"/>
    <xf numFmtId="181" fontId="0" fillId="0" borderId="0" xfId="0" applyNumberFormat="1" applyFill="1"/>
    <xf numFmtId="4" fontId="19" fillId="0" borderId="0" xfId="0" applyNumberFormat="1" applyFont="1"/>
    <xf numFmtId="176" fontId="16" fillId="4" borderId="1" xfId="159" applyFont="1" applyFill="1" applyBorder="1" applyAlignment="1" applyProtection="1">
      <alignment horizontal="right" vertical="center"/>
      <protection locked="0"/>
    </xf>
    <xf numFmtId="177" fontId="19" fillId="48" borderId="1" xfId="0" applyNumberFormat="1" applyFont="1" applyFill="1" applyBorder="1" applyAlignment="1">
      <alignment vertical="center"/>
    </xf>
    <xf numFmtId="176" fontId="19" fillId="0" borderId="0" xfId="159" applyFont="1" applyAlignment="1" applyProtection="1">
      <alignment vertical="center"/>
    </xf>
    <xf numFmtId="176" fontId="11" fillId="0" borderId="0" xfId="1" applyFont="1" applyFill="1" applyBorder="1" applyAlignment="1">
      <alignment horizontal="left"/>
    </xf>
    <xf numFmtId="44" fontId="19" fillId="0" borderId="0" xfId="0" applyNumberFormat="1" applyFont="1"/>
    <xf numFmtId="43" fontId="94" fillId="0" borderId="0" xfId="0" applyNumberFormat="1" applyFont="1" applyAlignment="1">
      <alignment vertical="center"/>
    </xf>
    <xf numFmtId="43" fontId="52" fillId="0" borderId="0" xfId="0" applyNumberFormat="1" applyFont="1" applyAlignment="1">
      <alignment vertical="center"/>
    </xf>
    <xf numFmtId="176" fontId="18" fillId="2" borderId="1" xfId="1" applyFont="1" applyFill="1" applyBorder="1" applyAlignment="1">
      <alignment vertical="center"/>
    </xf>
    <xf numFmtId="2" fontId="95" fillId="0" borderId="0" xfId="0" applyNumberFormat="1" applyFont="1" applyFill="1" applyBorder="1" applyAlignment="1">
      <alignment horizontal="right" vertical="center"/>
    </xf>
    <xf numFmtId="176" fontId="94" fillId="0" borderId="0" xfId="1" applyFont="1" applyAlignment="1">
      <alignment vertical="center"/>
    </xf>
    <xf numFmtId="176" fontId="0" fillId="0" borderId="0" xfId="159" applyFont="1" applyFill="1" applyAlignment="1">
      <alignment vertical="center"/>
    </xf>
    <xf numFmtId="44" fontId="0" fillId="0" borderId="0" xfId="1" applyNumberFormat="1" applyFont="1" applyFill="1"/>
    <xf numFmtId="176" fontId="17" fillId="0" borderId="1" xfId="159" applyFont="1" applyFill="1" applyBorder="1" applyAlignment="1" applyProtection="1">
      <alignment horizontal="right" vertical="center"/>
      <protection locked="0"/>
    </xf>
    <xf numFmtId="177" fontId="11" fillId="0" borderId="0" xfId="1" applyNumberFormat="1" applyFont="1" applyAlignment="1">
      <alignment vertical="center"/>
    </xf>
    <xf numFmtId="176" fontId="11" fillId="0" borderId="18" xfId="1" applyFont="1" applyBorder="1" applyAlignment="1">
      <alignment vertical="center"/>
    </xf>
    <xf numFmtId="176" fontId="11" fillId="0" borderId="12" xfId="1" applyFont="1" applyBorder="1" applyAlignment="1">
      <alignment vertical="center"/>
    </xf>
    <xf numFmtId="176" fontId="11" fillId="0" borderId="13" xfId="1" applyFont="1" applyBorder="1" applyAlignment="1">
      <alignment vertical="center"/>
    </xf>
    <xf numFmtId="0" fontId="0" fillId="0" borderId="0" xfId="0" applyFont="1" applyFill="1"/>
    <xf numFmtId="10" fontId="0" fillId="0" borderId="1" xfId="91" applyNumberFormat="1" applyFont="1" applyBorder="1" applyAlignment="1">
      <alignment vertical="center"/>
    </xf>
    <xf numFmtId="44" fontId="0" fillId="0" borderId="0" xfId="0" applyNumberFormat="1" applyAlignment="1">
      <alignment vertical="center"/>
    </xf>
    <xf numFmtId="43" fontId="0" fillId="0" borderId="0" xfId="90" applyFont="1" applyFill="1" applyBorder="1" applyAlignment="1"/>
    <xf numFmtId="176" fontId="7" fillId="0" borderId="0" xfId="1" applyFont="1" applyAlignment="1">
      <alignment horizontal="left"/>
    </xf>
    <xf numFmtId="0" fontId="11" fillId="0" borderId="0" xfId="0" applyFont="1" applyAlignment="1">
      <alignment horizontal="left" vertical="center" wrapText="1" indent="4"/>
    </xf>
    <xf numFmtId="44" fontId="11" fillId="0" borderId="0" xfId="0" applyNumberFormat="1" applyFont="1" applyAlignment="1">
      <alignment vertical="center"/>
    </xf>
    <xf numFmtId="0" fontId="48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9" fillId="0" borderId="0" xfId="0" applyFont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4" fontId="54" fillId="0" borderId="1" xfId="0" applyNumberFormat="1" applyFont="1" applyFill="1" applyBorder="1" applyAlignment="1">
      <alignment horizontal="right" vertical="center" wrapText="1"/>
    </xf>
    <xf numFmtId="0" fontId="54" fillId="0" borderId="1" xfId="0" applyFont="1" applyFill="1" applyBorder="1" applyAlignment="1">
      <alignment horizontal="right" vertical="center" wrapText="1"/>
    </xf>
    <xf numFmtId="0" fontId="54" fillId="0" borderId="1" xfId="0" applyFont="1" applyFill="1" applyBorder="1" applyAlignment="1">
      <alignment horizontal="left" vertical="center" wrapText="1"/>
    </xf>
    <xf numFmtId="0" fontId="53" fillId="0" borderId="0" xfId="0" applyFont="1" applyFill="1" applyAlignment="1">
      <alignment horizontal="centerContinuous" vertical="center"/>
    </xf>
    <xf numFmtId="0" fontId="0" fillId="0" borderId="0" xfId="0" applyFill="1" applyAlignment="1">
      <alignment horizontal="centerContinuous" vertical="center"/>
    </xf>
    <xf numFmtId="0" fontId="0" fillId="0" borderId="0" xfId="0" applyFill="1" applyAlignment="1">
      <alignment vertical="center"/>
    </xf>
    <xf numFmtId="0" fontId="21" fillId="0" borderId="12" xfId="0" applyFont="1" applyBorder="1" applyAlignment="1">
      <alignment vertical="center" wrapText="1"/>
    </xf>
    <xf numFmtId="0" fontId="21" fillId="0" borderId="12" xfId="0" applyFont="1" applyBorder="1" applyAlignment="1">
      <alignment vertical="center"/>
    </xf>
    <xf numFmtId="43" fontId="21" fillId="0" borderId="29" xfId="1" applyNumberFormat="1" applyFont="1" applyBorder="1" applyAlignment="1">
      <alignment vertical="center"/>
    </xf>
    <xf numFmtId="9" fontId="0" fillId="0" borderId="0" xfId="91" applyFont="1" applyAlignment="1">
      <alignment horizontal="center" vertical="center"/>
    </xf>
    <xf numFmtId="9" fontId="0" fillId="0" borderId="1" xfId="91" applyFont="1" applyBorder="1" applyAlignment="1">
      <alignment horizontal="center" vertical="center"/>
    </xf>
    <xf numFmtId="0" fontId="96" fillId="0" borderId="1" xfId="0" applyFont="1" applyBorder="1" applyAlignment="1">
      <alignment vertical="center"/>
    </xf>
    <xf numFmtId="49" fontId="0" fillId="0" borderId="1" xfId="1" applyNumberFormat="1" applyFont="1" applyBorder="1" applyAlignment="1">
      <alignment horizontal="center" vertical="center"/>
    </xf>
    <xf numFmtId="182" fontId="0" fillId="0" borderId="1" xfId="0" applyNumberFormat="1" applyBorder="1" applyAlignment="1">
      <alignment vertical="center"/>
    </xf>
    <xf numFmtId="182" fontId="0" fillId="0" borderId="1" xfId="90" applyNumberFormat="1" applyFont="1" applyBorder="1" applyAlignment="1">
      <alignment vertical="center"/>
    </xf>
    <xf numFmtId="9" fontId="0" fillId="0" borderId="1" xfId="91" applyFont="1" applyBorder="1" applyAlignment="1">
      <alignment vertical="center"/>
    </xf>
    <xf numFmtId="9" fontId="98" fillId="5" borderId="1" xfId="91" applyFont="1" applyFill="1" applyBorder="1" applyAlignment="1">
      <alignment horizontal="center" vertical="center"/>
    </xf>
    <xf numFmtId="31" fontId="98" fillId="5" borderId="1" xfId="0" applyNumberFormat="1" applyFont="1" applyFill="1" applyBorder="1" applyAlignment="1">
      <alignment horizontal="center" vertical="center"/>
    </xf>
    <xf numFmtId="0" fontId="98" fillId="5" borderId="1" xfId="0" applyFont="1" applyFill="1" applyBorder="1" applyAlignment="1">
      <alignment horizontal="center" vertical="center"/>
    </xf>
    <xf numFmtId="9" fontId="11" fillId="0" borderId="1" xfId="91" applyFont="1" applyBorder="1" applyAlignment="1">
      <alignment horizontal="center" vertical="center"/>
    </xf>
    <xf numFmtId="9" fontId="0" fillId="0" borderId="1" xfId="91" applyFont="1" applyBorder="1" applyAlignment="1">
      <alignment horizontal="right" vertical="center"/>
    </xf>
    <xf numFmtId="9" fontId="0" fillId="0" borderId="0" xfId="91" applyFont="1" applyAlignment="1">
      <alignment vertical="center"/>
    </xf>
    <xf numFmtId="0" fontId="96" fillId="0" borderId="1" xfId="0" applyFont="1" applyFill="1" applyBorder="1" applyAlignment="1">
      <alignment vertical="center"/>
    </xf>
    <xf numFmtId="0" fontId="98" fillId="0" borderId="0" xfId="0" applyFont="1" applyAlignment="1">
      <alignment horizontal="center" vertical="center"/>
    </xf>
    <xf numFmtId="0" fontId="99" fillId="0" borderId="12" xfId="0" applyFont="1" applyBorder="1" applyAlignment="1">
      <alignment horizontal="right" vertical="center"/>
    </xf>
    <xf numFmtId="0" fontId="100" fillId="0" borderId="0" xfId="0" applyFont="1" applyAlignment="1">
      <alignment horizontal="center" vertical="center"/>
    </xf>
    <xf numFmtId="0" fontId="99" fillId="0" borderId="0" xfId="0" applyFont="1" applyAlignment="1">
      <alignment horizontal="left" vertical="center"/>
    </xf>
    <xf numFmtId="0" fontId="100" fillId="0" borderId="0" xfId="0" applyFont="1" applyAlignment="1">
      <alignment horizontal="centerContinuous" vertical="center"/>
    </xf>
    <xf numFmtId="0" fontId="99" fillId="64" borderId="0" xfId="0" applyFont="1" applyFill="1" applyAlignment="1">
      <alignment horizontal="center" vertical="center"/>
    </xf>
    <xf numFmtId="43" fontId="0" fillId="0" borderId="1" xfId="1" applyNumberFormat="1" applyFont="1" applyBorder="1" applyAlignment="1">
      <alignment horizontal="right" vertical="center" wrapText="1"/>
    </xf>
    <xf numFmtId="43" fontId="0" fillId="0" borderId="1" xfId="1" applyNumberFormat="1" applyFont="1" applyBorder="1" applyAlignment="1">
      <alignment vertical="center" wrapText="1"/>
    </xf>
    <xf numFmtId="177" fontId="0" fillId="0" borderId="1" xfId="1" applyNumberFormat="1" applyFont="1" applyBorder="1" applyAlignment="1">
      <alignment vertical="center" wrapText="1"/>
    </xf>
    <xf numFmtId="176" fontId="14" fillId="0" borderId="0" xfId="1" applyFont="1" applyFill="1" applyBorder="1" applyAlignment="1">
      <alignment vertical="center"/>
    </xf>
    <xf numFmtId="176" fontId="0" fillId="4" borderId="0" xfId="159" applyFont="1" applyFill="1" applyAlignment="1">
      <alignment vertical="center"/>
    </xf>
    <xf numFmtId="176" fontId="11" fillId="0" borderId="0" xfId="1" applyFont="1" applyAlignment="1">
      <alignment horizontal="right" vertical="center"/>
    </xf>
    <xf numFmtId="176" fontId="11" fillId="0" borderId="0" xfId="1" applyFont="1" applyAlignment="1">
      <alignment horizontal="center" vertical="center" wrapText="1"/>
    </xf>
    <xf numFmtId="176" fontId="0" fillId="0" borderId="0" xfId="1" applyFont="1" applyAlignment="1">
      <alignment horizontal="center" vertical="center"/>
    </xf>
    <xf numFmtId="177" fontId="15" fillId="3" borderId="1" xfId="0" applyNumberFormat="1" applyFont="1" applyFill="1" applyBorder="1" applyAlignment="1">
      <alignment horizontal="left" vertical="center" wrapText="1" indent="3"/>
    </xf>
    <xf numFmtId="43" fontId="21" fillId="0" borderId="0" xfId="1" applyNumberFormat="1" applyFont="1" applyBorder="1" applyAlignment="1">
      <alignment vertical="center"/>
    </xf>
    <xf numFmtId="43" fontId="11" fillId="0" borderId="18" xfId="159" applyNumberFormat="1" applyFont="1" applyBorder="1">
      <alignment vertical="center"/>
    </xf>
    <xf numFmtId="179" fontId="0" fillId="0" borderId="1" xfId="1" applyNumberFormat="1" applyFont="1" applyBorder="1" applyAlignment="1">
      <alignment vertical="center" wrapText="1"/>
    </xf>
    <xf numFmtId="0" fontId="98" fillId="0" borderId="1" xfId="0" applyFont="1" applyBorder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78" fontId="24" fillId="0" borderId="2" xfId="0" applyNumberFormat="1" applyFont="1" applyFill="1" applyBorder="1" applyAlignment="1">
      <alignment horizontal="center"/>
    </xf>
    <xf numFmtId="0" fontId="21" fillId="0" borderId="2" xfId="0" applyFont="1" applyFill="1" applyBorder="1" applyAlignment="1">
      <alignment horizontal="left"/>
    </xf>
    <xf numFmtId="0" fontId="24" fillId="0" borderId="2" xfId="0" applyFont="1" applyFill="1" applyBorder="1" applyAlignment="1">
      <alignment horizontal="left"/>
    </xf>
    <xf numFmtId="0" fontId="48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5" fillId="0" borderId="0" xfId="0" applyFont="1" applyFill="1" applyBorder="1" applyAlignment="1">
      <alignment horizontal="left" vertical="center" wrapText="1"/>
    </xf>
    <xf numFmtId="0" fontId="53" fillId="0" borderId="0" xfId="0" applyFont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54" fillId="0" borderId="1" xfId="0" applyFont="1" applyFill="1" applyBorder="1" applyAlignment="1">
      <alignment horizontal="center" vertical="center" wrapText="1"/>
    </xf>
  </cellXfs>
  <cellStyles count="393">
    <cellStyle name="_TP~MF1 递延所得税资产_实质性程序_YHY" xfId="301"/>
    <cellStyle name="_报表调整-新大陆电脑_20070325" xfId="302"/>
    <cellStyle name="_存货余额预算" xfId="3"/>
    <cellStyle name="_存货余额预算 2" xfId="93"/>
    <cellStyle name="_单体" xfId="303"/>
    <cellStyle name="_单体_底稿_F14_辽阳项目部_2007（张）" xfId="304"/>
    <cellStyle name="_单体_吉林化建_2007_项目部" xfId="305"/>
    <cellStyle name="_单体_年度工程结算单检查" xfId="306"/>
    <cellStyle name="_单体_天健会计报表（母表）" xfId="307"/>
    <cellStyle name="_单体_中油化建_2007_建筑公司项目部预审" xfId="308"/>
    <cellStyle name="_单体_中油化建_2007_项目部" xfId="309"/>
    <cellStyle name="_底稿_F14_辽阳项目部_2007（张）" xfId="310"/>
    <cellStyle name="_港务会计报表" xfId="311"/>
    <cellStyle name="_港务会计报表（送小明）" xfId="312"/>
    <cellStyle name="_港务会计报表（送小明）_底稿_F14_辽阳项目部_2007（张）" xfId="313"/>
    <cellStyle name="_港务会计报表（送小明）_吉林化建_2007_项目部" xfId="314"/>
    <cellStyle name="_港务会计报表（送小明）_年度工程结算单检查" xfId="315"/>
    <cellStyle name="_港务会计报表（送小明）_天健会计报表（母表）" xfId="316"/>
    <cellStyle name="_港务会计报表（送小明）_中油化建_2007_建筑公司项目部预审" xfId="317"/>
    <cellStyle name="_港务会计报表（送小明）_中油化建_2007_项目部" xfId="318"/>
    <cellStyle name="_港务会计报表_底稿_F14_辽阳项目部_2007（张）" xfId="319"/>
    <cellStyle name="_港务会计报表_吉林化建_2007_项目部" xfId="320"/>
    <cellStyle name="_港务会计报表_年度工程结算单检查" xfId="321"/>
    <cellStyle name="_港务会计报表_天健会计报表（母表）" xfId="322"/>
    <cellStyle name="_港务会计报表_中油化建_2007_建筑公司项目部预审" xfId="323"/>
    <cellStyle name="_港务会计报表_中油化建_2007_项目部" xfId="324"/>
    <cellStyle name="_固定资产总表卡片" xfId="325"/>
    <cellStyle name="_人工成本明细表" xfId="4"/>
    <cellStyle name="_人工成本明细表 2" xfId="94"/>
    <cellStyle name="_审2008NZ020304_新大陆软件_2007_销售与收款循环" xfId="326"/>
    <cellStyle name="_项目结算情况-陈建" xfId="327"/>
    <cellStyle name="_新大陆软件_2006_销售与收款循环_修改未审数10-16" xfId="328"/>
    <cellStyle name="_预算完成情况表" xfId="5"/>
    <cellStyle name="_预算完成情况表 2" xfId="95"/>
    <cellStyle name="0,0_x000d__x000a_NA_x000d__x000a_" xfId="6"/>
    <cellStyle name="0,0_x000d__x000a_NA_x000d__x000a_ 2" xfId="96"/>
    <cellStyle name="20% - 强调文字颜色 1 2" xfId="63"/>
    <cellStyle name="20% - 强调文字颜色 1 2 2" xfId="98"/>
    <cellStyle name="20% - 强调文字颜色 1 2 3" xfId="190"/>
    <cellStyle name="20% - 强调文字颜色 1 2 3 2" xfId="274"/>
    <cellStyle name="20% - 强调文字颜色 1 2 4" xfId="232"/>
    <cellStyle name="20% - 强调文字颜色 1 3" xfId="77"/>
    <cellStyle name="20% - 强调文字颜色 1 3 2" xfId="99"/>
    <cellStyle name="20% - 强调文字颜色 1 3 3" xfId="204"/>
    <cellStyle name="20% - 强调文字颜色 1 3 3 2" xfId="288"/>
    <cellStyle name="20% - 强调文字颜色 1 3 4" xfId="246"/>
    <cellStyle name="20% - 强调文字颜色 1 4" xfId="97"/>
    <cellStyle name="20% - 强调文字颜色 1 5" xfId="174"/>
    <cellStyle name="20% - 强调文字颜色 1 5 2" xfId="258"/>
    <cellStyle name="20% - 强调文字颜色 1 6" xfId="216"/>
    <cellStyle name="20% - 强调文字颜色 2 2" xfId="65"/>
    <cellStyle name="20% - 强调文字颜色 2 2 2" xfId="101"/>
    <cellStyle name="20% - 强调文字颜色 2 2 3" xfId="192"/>
    <cellStyle name="20% - 强调文字颜色 2 2 3 2" xfId="276"/>
    <cellStyle name="20% - 强调文字颜色 2 2 4" xfId="234"/>
    <cellStyle name="20% - 强调文字颜色 2 3" xfId="79"/>
    <cellStyle name="20% - 强调文字颜色 2 3 2" xfId="102"/>
    <cellStyle name="20% - 强调文字颜色 2 3 3" xfId="206"/>
    <cellStyle name="20% - 强调文字颜色 2 3 3 2" xfId="290"/>
    <cellStyle name="20% - 强调文字颜色 2 3 4" xfId="248"/>
    <cellStyle name="20% - 强调文字颜色 2 4" xfId="100"/>
    <cellStyle name="20% - 强调文字颜色 2 5" xfId="176"/>
    <cellStyle name="20% - 强调文字颜色 2 5 2" xfId="260"/>
    <cellStyle name="20% - 强调文字颜色 2 6" xfId="218"/>
    <cellStyle name="20% - 强调文字颜色 3 2" xfId="67"/>
    <cellStyle name="20% - 强调文字颜色 3 2 2" xfId="104"/>
    <cellStyle name="20% - 强调文字颜色 3 2 3" xfId="194"/>
    <cellStyle name="20% - 强调文字颜色 3 2 3 2" xfId="278"/>
    <cellStyle name="20% - 强调文字颜色 3 2 4" xfId="236"/>
    <cellStyle name="20% - 强调文字颜色 3 3" xfId="81"/>
    <cellStyle name="20% - 强调文字颜色 3 3 2" xfId="105"/>
    <cellStyle name="20% - 强调文字颜色 3 3 3" xfId="208"/>
    <cellStyle name="20% - 强调文字颜色 3 3 3 2" xfId="292"/>
    <cellStyle name="20% - 强调文字颜色 3 3 4" xfId="250"/>
    <cellStyle name="20% - 强调文字颜色 3 4" xfId="103"/>
    <cellStyle name="20% - 强调文字颜色 3 5" xfId="178"/>
    <cellStyle name="20% - 强调文字颜色 3 5 2" xfId="262"/>
    <cellStyle name="20% - 强调文字颜色 3 6" xfId="220"/>
    <cellStyle name="20% - 强调文字颜色 4 2" xfId="69"/>
    <cellStyle name="20% - 强调文字颜色 4 2 2" xfId="107"/>
    <cellStyle name="20% - 强调文字颜色 4 2 3" xfId="196"/>
    <cellStyle name="20% - 强调文字颜色 4 2 3 2" xfId="280"/>
    <cellStyle name="20% - 强调文字颜色 4 2 4" xfId="238"/>
    <cellStyle name="20% - 强调文字颜色 4 3" xfId="83"/>
    <cellStyle name="20% - 强调文字颜色 4 3 2" xfId="108"/>
    <cellStyle name="20% - 强调文字颜色 4 3 3" xfId="210"/>
    <cellStyle name="20% - 强调文字颜色 4 3 3 2" xfId="294"/>
    <cellStyle name="20% - 强调文字颜色 4 3 4" xfId="252"/>
    <cellStyle name="20% - 强调文字颜色 4 4" xfId="106"/>
    <cellStyle name="20% - 强调文字颜色 4 5" xfId="180"/>
    <cellStyle name="20% - 强调文字颜色 4 5 2" xfId="264"/>
    <cellStyle name="20% - 强调文字颜色 4 6" xfId="222"/>
    <cellStyle name="20% - 强调文字颜色 5 2" xfId="71"/>
    <cellStyle name="20% - 强调文字颜色 5 2 2" xfId="110"/>
    <cellStyle name="20% - 强调文字颜色 5 2 3" xfId="198"/>
    <cellStyle name="20% - 强调文字颜色 5 2 3 2" xfId="282"/>
    <cellStyle name="20% - 强调文字颜色 5 2 4" xfId="240"/>
    <cellStyle name="20% - 强调文字颜色 5 3" xfId="85"/>
    <cellStyle name="20% - 强调文字颜色 5 3 2" xfId="111"/>
    <cellStyle name="20% - 强调文字颜色 5 3 3" xfId="212"/>
    <cellStyle name="20% - 强调文字颜色 5 3 3 2" xfId="296"/>
    <cellStyle name="20% - 强调文字颜色 5 3 4" xfId="254"/>
    <cellStyle name="20% - 强调文字颜色 5 4" xfId="109"/>
    <cellStyle name="20% - 强调文字颜色 5 5" xfId="182"/>
    <cellStyle name="20% - 强调文字颜色 5 5 2" xfId="266"/>
    <cellStyle name="20% - 强调文字颜色 5 6" xfId="224"/>
    <cellStyle name="20% - 强调文字颜色 6 2" xfId="73"/>
    <cellStyle name="20% - 强调文字颜色 6 2 2" xfId="113"/>
    <cellStyle name="20% - 强调文字颜色 6 2 3" xfId="200"/>
    <cellStyle name="20% - 强调文字颜色 6 2 3 2" xfId="284"/>
    <cellStyle name="20% - 强调文字颜色 6 2 4" xfId="242"/>
    <cellStyle name="20% - 强调文字颜色 6 3" xfId="87"/>
    <cellStyle name="20% - 强调文字颜色 6 3 2" xfId="114"/>
    <cellStyle name="20% - 强调文字颜色 6 3 3" xfId="214"/>
    <cellStyle name="20% - 强调文字颜色 6 3 3 2" xfId="298"/>
    <cellStyle name="20% - 强调文字颜色 6 3 4" xfId="256"/>
    <cellStyle name="20% - 强调文字颜色 6 4" xfId="112"/>
    <cellStyle name="20% - 强调文字颜色 6 5" xfId="184"/>
    <cellStyle name="20% - 强调文字颜色 6 5 2" xfId="268"/>
    <cellStyle name="20% - 强调文字颜色 6 6" xfId="226"/>
    <cellStyle name="20% - 着色 1" xfId="36" builtinId="30" customBuiltin="1"/>
    <cellStyle name="20% - 着色 2" xfId="40" builtinId="34" customBuiltin="1"/>
    <cellStyle name="20% - 着色 3" xfId="44" builtinId="38" customBuiltin="1"/>
    <cellStyle name="20% - 着色 4" xfId="48" builtinId="42" customBuiltin="1"/>
    <cellStyle name="20% - 着色 5" xfId="52" builtinId="46" customBuiltin="1"/>
    <cellStyle name="20% - 着色 6" xfId="56" builtinId="50" customBuiltin="1"/>
    <cellStyle name="40% - 强调文字颜色 1 2" xfId="64"/>
    <cellStyle name="40% - 强调文字颜色 1 2 2" xfId="116"/>
    <cellStyle name="40% - 强调文字颜色 1 2 3" xfId="191"/>
    <cellStyle name="40% - 强调文字颜色 1 2 3 2" xfId="275"/>
    <cellStyle name="40% - 强调文字颜色 1 2 4" xfId="233"/>
    <cellStyle name="40% - 强调文字颜色 1 3" xfId="78"/>
    <cellStyle name="40% - 强调文字颜色 1 3 2" xfId="117"/>
    <cellStyle name="40% - 强调文字颜色 1 3 3" xfId="205"/>
    <cellStyle name="40% - 强调文字颜色 1 3 3 2" xfId="289"/>
    <cellStyle name="40% - 强调文字颜色 1 3 4" xfId="247"/>
    <cellStyle name="40% - 强调文字颜色 1 4" xfId="115"/>
    <cellStyle name="40% - 强调文字颜色 1 5" xfId="175"/>
    <cellStyle name="40% - 强调文字颜色 1 5 2" xfId="259"/>
    <cellStyle name="40% - 强调文字颜色 1 6" xfId="217"/>
    <cellStyle name="40% - 强调文字颜色 2 2" xfId="66"/>
    <cellStyle name="40% - 强调文字颜色 2 2 2" xfId="119"/>
    <cellStyle name="40% - 强调文字颜色 2 2 3" xfId="193"/>
    <cellStyle name="40% - 强调文字颜色 2 2 3 2" xfId="277"/>
    <cellStyle name="40% - 强调文字颜色 2 2 4" xfId="235"/>
    <cellStyle name="40% - 强调文字颜色 2 3" xfId="80"/>
    <cellStyle name="40% - 强调文字颜色 2 3 2" xfId="120"/>
    <cellStyle name="40% - 强调文字颜色 2 3 3" xfId="207"/>
    <cellStyle name="40% - 强调文字颜色 2 3 3 2" xfId="291"/>
    <cellStyle name="40% - 强调文字颜色 2 3 4" xfId="249"/>
    <cellStyle name="40% - 强调文字颜色 2 4" xfId="118"/>
    <cellStyle name="40% - 强调文字颜色 2 5" xfId="177"/>
    <cellStyle name="40% - 强调文字颜色 2 5 2" xfId="261"/>
    <cellStyle name="40% - 强调文字颜色 2 6" xfId="219"/>
    <cellStyle name="40% - 强调文字颜色 3 2" xfId="68"/>
    <cellStyle name="40% - 强调文字颜色 3 2 2" xfId="122"/>
    <cellStyle name="40% - 强调文字颜色 3 2 3" xfId="195"/>
    <cellStyle name="40% - 强调文字颜色 3 2 3 2" xfId="279"/>
    <cellStyle name="40% - 强调文字颜色 3 2 4" xfId="237"/>
    <cellStyle name="40% - 强调文字颜色 3 3" xfId="82"/>
    <cellStyle name="40% - 强调文字颜色 3 3 2" xfId="123"/>
    <cellStyle name="40% - 强调文字颜色 3 3 3" xfId="209"/>
    <cellStyle name="40% - 强调文字颜色 3 3 3 2" xfId="293"/>
    <cellStyle name="40% - 强调文字颜色 3 3 4" xfId="251"/>
    <cellStyle name="40% - 强调文字颜色 3 4" xfId="121"/>
    <cellStyle name="40% - 强调文字颜色 3 5" xfId="179"/>
    <cellStyle name="40% - 强调文字颜色 3 5 2" xfId="263"/>
    <cellStyle name="40% - 强调文字颜色 3 6" xfId="221"/>
    <cellStyle name="40% - 强调文字颜色 4 2" xfId="70"/>
    <cellStyle name="40% - 强调文字颜色 4 2 2" xfId="125"/>
    <cellStyle name="40% - 强调文字颜色 4 2 3" xfId="197"/>
    <cellStyle name="40% - 强调文字颜色 4 2 3 2" xfId="281"/>
    <cellStyle name="40% - 强调文字颜色 4 2 4" xfId="239"/>
    <cellStyle name="40% - 强调文字颜色 4 3" xfId="84"/>
    <cellStyle name="40% - 强调文字颜色 4 3 2" xfId="126"/>
    <cellStyle name="40% - 强调文字颜色 4 3 3" xfId="211"/>
    <cellStyle name="40% - 强调文字颜色 4 3 3 2" xfId="295"/>
    <cellStyle name="40% - 强调文字颜色 4 3 4" xfId="253"/>
    <cellStyle name="40% - 强调文字颜色 4 4" xfId="124"/>
    <cellStyle name="40% - 强调文字颜色 4 5" xfId="181"/>
    <cellStyle name="40% - 强调文字颜色 4 5 2" xfId="265"/>
    <cellStyle name="40% - 强调文字颜色 4 6" xfId="223"/>
    <cellStyle name="40% - 强调文字颜色 5 2" xfId="72"/>
    <cellStyle name="40% - 强调文字颜色 5 2 2" xfId="128"/>
    <cellStyle name="40% - 强调文字颜色 5 2 3" xfId="199"/>
    <cellStyle name="40% - 强调文字颜色 5 2 3 2" xfId="283"/>
    <cellStyle name="40% - 强调文字颜色 5 2 4" xfId="241"/>
    <cellStyle name="40% - 强调文字颜色 5 3" xfId="86"/>
    <cellStyle name="40% - 强调文字颜色 5 3 2" xfId="129"/>
    <cellStyle name="40% - 强调文字颜色 5 3 3" xfId="213"/>
    <cellStyle name="40% - 强调文字颜色 5 3 3 2" xfId="297"/>
    <cellStyle name="40% - 强调文字颜色 5 3 4" xfId="255"/>
    <cellStyle name="40% - 强调文字颜色 5 4" xfId="127"/>
    <cellStyle name="40% - 强调文字颜色 5 5" xfId="183"/>
    <cellStyle name="40% - 强调文字颜色 5 5 2" xfId="267"/>
    <cellStyle name="40% - 强调文字颜色 5 6" xfId="225"/>
    <cellStyle name="40% - 强调文字颜色 6 2" xfId="74"/>
    <cellStyle name="40% - 强调文字颜色 6 2 2" xfId="131"/>
    <cellStyle name="40% - 强调文字颜色 6 2 3" xfId="201"/>
    <cellStyle name="40% - 强调文字颜色 6 2 3 2" xfId="285"/>
    <cellStyle name="40% - 强调文字颜色 6 2 4" xfId="243"/>
    <cellStyle name="40% - 强调文字颜色 6 3" xfId="88"/>
    <cellStyle name="40% - 强调文字颜色 6 3 2" xfId="132"/>
    <cellStyle name="40% - 强调文字颜色 6 3 3" xfId="215"/>
    <cellStyle name="40% - 强调文字颜色 6 3 3 2" xfId="299"/>
    <cellStyle name="40% - 强调文字颜色 6 3 4" xfId="257"/>
    <cellStyle name="40% - 强调文字颜色 6 4" xfId="130"/>
    <cellStyle name="40% - 强调文字颜色 6 5" xfId="185"/>
    <cellStyle name="40% - 强调文字颜色 6 5 2" xfId="269"/>
    <cellStyle name="40% - 强调文字颜色 6 6" xfId="227"/>
    <cellStyle name="40% - 着色 1" xfId="37" builtinId="31" customBuiltin="1"/>
    <cellStyle name="40% - 着色 2" xfId="41" builtinId="35" customBuiltin="1"/>
    <cellStyle name="40% - 着色 3" xfId="45" builtinId="39" customBuiltin="1"/>
    <cellStyle name="40% - 着色 4" xfId="49" builtinId="43" customBuiltin="1"/>
    <cellStyle name="40% - 着色 5" xfId="53" builtinId="47" customBuiltin="1"/>
    <cellStyle name="40% - 着色 6" xfId="57" builtinId="51" customBuiltin="1"/>
    <cellStyle name="60% - 强调文字颜色 1 2" xfId="133"/>
    <cellStyle name="60% - 强调文字颜色 2 2" xfId="134"/>
    <cellStyle name="60% - 强调文字颜色 3 2" xfId="135"/>
    <cellStyle name="60% - 强调文字颜色 4 2" xfId="136"/>
    <cellStyle name="60% - 强调文字颜色 5 2" xfId="137"/>
    <cellStyle name="60% - 强调文字颜色 6 2" xfId="138"/>
    <cellStyle name="60% - 着色 1" xfId="38" builtinId="32" customBuiltin="1"/>
    <cellStyle name="60% - 着色 2" xfId="42" builtinId="36" customBuiltin="1"/>
    <cellStyle name="60% - 着色 3" xfId="46" builtinId="40" customBuiltin="1"/>
    <cellStyle name="60% - 着色 4" xfId="50" builtinId="44" customBuiltin="1"/>
    <cellStyle name="60% - 着色 5" xfId="54" builtinId="48" customBuiltin="1"/>
    <cellStyle name="60% - 着色 6" xfId="58" builtinId="52" customBuiltin="1"/>
    <cellStyle name="Accent1" xfId="329"/>
    <cellStyle name="Accent1 - 20%" xfId="330"/>
    <cellStyle name="Accent1 - 40%" xfId="331"/>
    <cellStyle name="Accent1 - 60%" xfId="332"/>
    <cellStyle name="Accent2" xfId="333"/>
    <cellStyle name="Accent2 - 20%" xfId="334"/>
    <cellStyle name="Accent2 - 40%" xfId="335"/>
    <cellStyle name="Accent2 - 60%" xfId="336"/>
    <cellStyle name="Accent3" xfId="337"/>
    <cellStyle name="Accent3 - 20%" xfId="338"/>
    <cellStyle name="Accent3 - 40%" xfId="339"/>
    <cellStyle name="Accent3 - 60%" xfId="340"/>
    <cellStyle name="Accent4" xfId="341"/>
    <cellStyle name="Accent4 - 20%" xfId="342"/>
    <cellStyle name="Accent4 - 40%" xfId="343"/>
    <cellStyle name="Accent4 - 60%" xfId="344"/>
    <cellStyle name="Accent5" xfId="345"/>
    <cellStyle name="Accent5 - 20%" xfId="346"/>
    <cellStyle name="Accent5 - 40%" xfId="347"/>
    <cellStyle name="Accent5 - 60%" xfId="348"/>
    <cellStyle name="Accent6" xfId="349"/>
    <cellStyle name="Accent6 - 20%" xfId="350"/>
    <cellStyle name="Accent6 - 40%" xfId="351"/>
    <cellStyle name="Accent6 - 60%" xfId="352"/>
    <cellStyle name="jktitle" xfId="353"/>
    <cellStyle name="NewStyle" xfId="354"/>
    <cellStyle name="Normal_control" xfId="355"/>
    <cellStyle name="百分比" xfId="91" builtinId="5"/>
    <cellStyle name="百分比 2" xfId="357"/>
    <cellStyle name="百分比 3" xfId="356"/>
    <cellStyle name="百分比 8" xfId="358"/>
    <cellStyle name="标题" xfId="19" builtinId="15" customBuiltin="1"/>
    <cellStyle name="标题 1" xfId="20" builtinId="16" customBuiltin="1"/>
    <cellStyle name="标题 1 2" xfId="140"/>
    <cellStyle name="标题 1 3" xfId="360"/>
    <cellStyle name="标题 2" xfId="21" builtinId="17" customBuiltin="1"/>
    <cellStyle name="标题 2 2" xfId="141"/>
    <cellStyle name="标题 2 3" xfId="361"/>
    <cellStyle name="标题 3" xfId="22" builtinId="18" customBuiltin="1"/>
    <cellStyle name="标题 3 2" xfId="142"/>
    <cellStyle name="标题 3 3" xfId="362"/>
    <cellStyle name="标题 4" xfId="23" builtinId="19" customBuiltin="1"/>
    <cellStyle name="标题 4 2" xfId="143"/>
    <cellStyle name="标题 4 3" xfId="363"/>
    <cellStyle name="标题 5" xfId="139"/>
    <cellStyle name="标题 6" xfId="359"/>
    <cellStyle name="表标题" xfId="364"/>
    <cellStyle name="差" xfId="25" builtinId="27" customBuiltin="1"/>
    <cellStyle name="差 2" xfId="144"/>
    <cellStyle name="差 3" xfId="365"/>
    <cellStyle name="差_2010-8-31TB-调" xfId="366"/>
    <cellStyle name="差_北京东方通_2010_收入税费权益" xfId="367"/>
    <cellStyle name="常规" xfId="0" builtinId="0"/>
    <cellStyle name="常规 10" xfId="173"/>
    <cellStyle name="常规 11" xfId="300"/>
    <cellStyle name="常规 2" xfId="7"/>
    <cellStyle name="常规 2 2" xfId="368"/>
    <cellStyle name="常规 3" xfId="17"/>
    <cellStyle name="常规 3 2" xfId="145"/>
    <cellStyle name="常规 3 3" xfId="369"/>
    <cellStyle name="常规 4" xfId="59"/>
    <cellStyle name="常规 4 2" xfId="146"/>
    <cellStyle name="常规 4 3" xfId="186"/>
    <cellStyle name="常规 4 3 2" xfId="270"/>
    <cellStyle name="常规 4 4" xfId="228"/>
    <cellStyle name="常规 4 5" xfId="370"/>
    <cellStyle name="常规 5" xfId="61"/>
    <cellStyle name="常规 5 2" xfId="147"/>
    <cellStyle name="常规 5 3" xfId="188"/>
    <cellStyle name="常规 5 3 2" xfId="272"/>
    <cellStyle name="常规 5 4" xfId="230"/>
    <cellStyle name="常规 5 5" xfId="371"/>
    <cellStyle name="常规 6" xfId="75"/>
    <cellStyle name="常规 6 2" xfId="148"/>
    <cellStyle name="常规 6 3" xfId="202"/>
    <cellStyle name="常规 6 3 2" xfId="286"/>
    <cellStyle name="常规 6 4" xfId="244"/>
    <cellStyle name="常规 7" xfId="89"/>
    <cellStyle name="常规 8" xfId="92"/>
    <cellStyle name="常规 9" xfId="150"/>
    <cellStyle name="常规 9 2" xfId="372"/>
    <cellStyle name="超链接 10" xfId="18"/>
    <cellStyle name="超链接 10 2" xfId="149"/>
    <cellStyle name="超链接 2" xfId="8"/>
    <cellStyle name="超链接 3" xfId="9"/>
    <cellStyle name="超链接 4" xfId="10"/>
    <cellStyle name="超链接 5" xfId="11"/>
    <cellStyle name="超链接 6" xfId="12"/>
    <cellStyle name="超链接 7" xfId="13"/>
    <cellStyle name="超链接 8" xfId="14"/>
    <cellStyle name="超链接 9" xfId="15"/>
    <cellStyle name="好" xfId="24" builtinId="26" customBuiltin="1"/>
    <cellStyle name="好 2" xfId="151"/>
    <cellStyle name="好_2010-8-31TB-调" xfId="373"/>
    <cellStyle name="好_北京东方通_2010_收入税费权益" xfId="374"/>
    <cellStyle name="汇总" xfId="34" builtinId="25" customBuiltin="1"/>
    <cellStyle name="汇总 2" xfId="152"/>
    <cellStyle name="汇总 3" xfId="375"/>
    <cellStyle name="计算" xfId="29" builtinId="22" customBuiltin="1"/>
    <cellStyle name="计算 2" xfId="153"/>
    <cellStyle name="计算 3" xfId="376"/>
    <cellStyle name="检查单元格" xfId="31" builtinId="23" customBuiltin="1"/>
    <cellStyle name="检查单元格 2" xfId="154"/>
    <cellStyle name="解释性文本" xfId="33" builtinId="53" customBuiltin="1"/>
    <cellStyle name="解释性文本 2" xfId="155"/>
    <cellStyle name="警告文本" xfId="32" builtinId="11" customBuiltin="1"/>
    <cellStyle name="警告文本 2" xfId="156"/>
    <cellStyle name="链接单元格" xfId="30" builtinId="24" customBuiltin="1"/>
    <cellStyle name="链接单元格 2" xfId="157"/>
    <cellStyle name="普通_ 外G9(3)" xfId="377"/>
    <cellStyle name="千分位[0]_封面" xfId="378"/>
    <cellStyle name="千分位_封面" xfId="379"/>
    <cellStyle name="千位[0]_Balance" xfId="380"/>
    <cellStyle name="千位_Balance" xfId="381"/>
    <cellStyle name="千位分隔" xfId="1" builtinId="3"/>
    <cellStyle name="千位分隔 12 2" xfId="383"/>
    <cellStyle name="千位分隔 2" xfId="2"/>
    <cellStyle name="千位分隔 2 2" xfId="159"/>
    <cellStyle name="千位分隔 2 3" xfId="384"/>
    <cellStyle name="千位分隔 3" xfId="90"/>
    <cellStyle name="千位分隔 3 2" xfId="385"/>
    <cellStyle name="千位分隔 4" xfId="158"/>
    <cellStyle name="千位分隔 4 2" xfId="386"/>
    <cellStyle name="千位分隔 5" xfId="382"/>
    <cellStyle name="强调 1" xfId="387"/>
    <cellStyle name="强调 2" xfId="388"/>
    <cellStyle name="强调 3" xfId="389"/>
    <cellStyle name="强调文字颜色 1 2" xfId="160"/>
    <cellStyle name="强调文字颜色 2 2" xfId="161"/>
    <cellStyle name="强调文字颜色 3 2" xfId="162"/>
    <cellStyle name="强调文字颜色 4 2" xfId="163"/>
    <cellStyle name="强调文字颜色 5 2" xfId="164"/>
    <cellStyle name="强调文字颜色 6 2" xfId="165"/>
    <cellStyle name="适中" xfId="26" builtinId="28" customBuiltin="1"/>
    <cellStyle name="适中 2" xfId="166"/>
    <cellStyle name="输出" xfId="28" builtinId="21" customBuiltin="1"/>
    <cellStyle name="输出 2" xfId="167"/>
    <cellStyle name="输出 3" xfId="390"/>
    <cellStyle name="输入" xfId="27" builtinId="20" customBuiltin="1"/>
    <cellStyle name="输入 2" xfId="168"/>
    <cellStyle name="样式 1" xfId="16"/>
    <cellStyle name="样式 1 2" xfId="169"/>
    <cellStyle name="样式 1 3" xfId="391"/>
    <cellStyle name="着色 1" xfId="35" builtinId="29" customBuiltin="1"/>
    <cellStyle name="着色 2" xfId="39" builtinId="33" customBuiltin="1"/>
    <cellStyle name="着色 3" xfId="43" builtinId="37" customBuiltin="1"/>
    <cellStyle name="着色 4" xfId="47" builtinId="41" customBuiltin="1"/>
    <cellStyle name="着色 5" xfId="51" builtinId="45" customBuiltin="1"/>
    <cellStyle name="着色 6" xfId="55" builtinId="49" customBuiltin="1"/>
    <cellStyle name="注释 2" xfId="60"/>
    <cellStyle name="注释 2 2" xfId="170"/>
    <cellStyle name="注释 2 3" xfId="187"/>
    <cellStyle name="注释 2 3 2" xfId="271"/>
    <cellStyle name="注释 2 4" xfId="229"/>
    <cellStyle name="注释 3" xfId="62"/>
    <cellStyle name="注释 3 2" xfId="171"/>
    <cellStyle name="注释 3 3" xfId="189"/>
    <cellStyle name="注释 3 3 2" xfId="273"/>
    <cellStyle name="注释 3 4" xfId="231"/>
    <cellStyle name="注释 4" xfId="76"/>
    <cellStyle name="注释 4 2" xfId="172"/>
    <cellStyle name="注释 4 3" xfId="203"/>
    <cellStyle name="注释 4 3 2" xfId="287"/>
    <cellStyle name="注释 4 4" xfId="245"/>
    <cellStyle name="注释 5" xfId="392"/>
  </cellStyles>
  <dxfs count="91">
    <dxf>
      <numFmt numFmtId="177" formatCode="#,##0.00_ "/>
    </dxf>
    <dxf>
      <numFmt numFmtId="177" formatCode="#,##0.00_ "/>
    </dxf>
    <dxf>
      <fill>
        <patternFill patternType="none">
          <bgColor auto="1"/>
        </patternFill>
      </fill>
    </dxf>
    <dxf>
      <numFmt numFmtId="176" formatCode="_(* #,##0.00_);_(* \(#,##0.00\);_(* &quot;-&quot;??_);_(@_)"/>
    </dxf>
    <dxf>
      <numFmt numFmtId="176" formatCode="_(* #,##0.00_);_(* \(#,##0.00\);_(* &quot;-&quot;??_);_(@_)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76" formatCode="_(* #,##0.00_);_(* \(#,##0.00\);_(* &quot;-&quot;??_);_(@_)"/>
    </dxf>
    <dxf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83" formatCode="#,###.00,,\_x000a_%"/>
    </dxf>
    <dxf>
      <numFmt numFmtId="184" formatCode="0\.00,"/>
    </dxf>
    <dxf>
      <numFmt numFmtId="185" formatCode="0.00,,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90"/>
      <tableStyleElement type="headerRow" dxfId="8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&#12289;&#36130;&#21153;&#25253;&#34920;&#20998;&#37096;&#21450;&#21512;&#24182;/2019&#24180;&#25253;&#34920;/2019&#24180;6&#26376;/2019&#24180;&#21322;&#24180;&#21512;&#24182;&#36130;&#21153;&#2525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标准科目"/>
      <sheetName val="过渡表"/>
      <sheetName val="抵消分录"/>
      <sheetName val="合并资产负债表"/>
      <sheetName val="合并利润表"/>
      <sheetName val="Sheet2"/>
      <sheetName val="合并现金流量表"/>
      <sheetName val="资产负债表"/>
      <sheetName val="利润表"/>
      <sheetName val="现金流量表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s" refreshedDate="43734.610346180554" createdVersion="3" refreshedVersion="6" minRefreshableVersion="3" recordCount="224">
  <cacheSource type="worksheet">
    <worksheetSource ref="A4:H368" sheet="抵消分录"/>
  </cacheSource>
  <cacheFields count="8">
    <cacheField name="行号" numFmtId="0">
      <sharedItems containsString="0" containsBlank="1" containsNumber="1" containsInteger="1" minValue="1" maxValue="209"/>
    </cacheField>
    <cacheField name="抵消性质" numFmtId="0">
      <sharedItems containsString="0" containsBlank="1" containsNumber="1" containsInteger="1" minValue="1" maxValue="5" count="6">
        <n v="1"/>
        <m/>
        <n v="2"/>
        <n v="4"/>
        <n v="5"/>
        <n v="3" u="1"/>
      </sharedItems>
    </cacheField>
    <cacheField name="抵消说明" numFmtId="0">
      <sharedItems containsNonDate="0" containsString="0" containsBlank="1"/>
    </cacheField>
    <cacheField name="报表科目" numFmtId="0">
      <sharedItems containsNonDate="0" containsBlank="1" count="70">
        <m/>
        <s v="收到其他与经营活动有关的现金" u="1"/>
        <s v="未分配利润" u="1"/>
        <s v="其他流动资产" u="1"/>
        <s v="其他应付款" u="1"/>
        <s v="收回投资所收到的现金" u="1"/>
        <s v="固定资产" u="1"/>
        <s v="销售费用" u="1"/>
        <s v="取得投资收益收到的现金" u="1"/>
        <s v="固定资产折旧" u="1"/>
        <s v="递延所得税资产" u="1"/>
        <s v="存货" u="1"/>
        <s v="支付给职工以及为职工支付的现金" u="1"/>
        <s v="营业外收入" u="1"/>
        <s v="投资所支付的现金" u="1"/>
        <s v="支付其他与经营活动有关的现金" u="1"/>
        <s v="分配股利、利润或偿付利息支付的现金" u="1"/>
        <s v="少数股东权益" u="1"/>
        <s v="其他非流动负债" u="1"/>
        <s v="收到的税费返还" u="1"/>
        <s v="盈余公积" u="1"/>
        <s v="实收资本（或股本）" u="1"/>
        <s v="无形资产" u="1"/>
        <s v="所得税费用" u="1"/>
        <s v="其他收益" u="1"/>
        <s v="预收款项" u="1"/>
        <s v="购买商品、接受劳务支付的现金" u="1"/>
        <s v="营业收入" u="1"/>
        <s v="长期股权投资" u="1"/>
        <s v="　　取得子公司及其他营业单位支付的现金净额" u="1"/>
        <s v="应付账款" u="1"/>
        <s v="吸收投资收到的现金" u="1"/>
        <s v="外币报表折算差额" u="1"/>
        <s v="经营性应付项目的增加（减：减少） " u="1"/>
        <s v="收到的其他与经营活动有关的现金" u="1"/>
        <s v="购建固定资产、无形资产和其他长期资产所支付的现金" u="1"/>
        <s v="应付股利" u="1"/>
        <s v="其他应收款" u="1"/>
        <s v="经营性应收项目的减少（减：增加） " u="1"/>
        <s v="商誉" u="1"/>
        <s v="支付的其他与投资活动有关的现金" u="1"/>
        <s v="递延所得税负债" u="1"/>
        <s v="投资收益" u="1"/>
        <s v="应交税费" u="1"/>
        <s v="少数股东损益" u="1"/>
        <s v="应收票据及应收账款" u="1"/>
        <s v="营业成本" u="1"/>
        <s v="资本公积" u="1"/>
        <s v="吸收投资所收到的现金" u="1"/>
        <s v="汇率变动对现金及现金等价物的影响" u="1"/>
        <s v="购建固定资产、无形资产和其他长期资产支付的现金" u="1"/>
        <s v="取得子公司及其他营业单位支付的现金净额" u="1"/>
        <s v="销售商品、提供劳务收到的现金" u="1"/>
        <s v="资产减值损失" u="1"/>
        <s v="收到其他与投资活动有关的现金" u="1"/>
        <s v="期初现金及现金等价物余额" u="1"/>
        <s v="应收账款" u="1"/>
        <s v="支付的其他与经营活动有关的现金" u="1"/>
        <s v="    投资支付的现金" u="1"/>
        <s v="期初未分配利润" u="1"/>
        <s v="预付账款" u="1"/>
        <s v="应收股利" u="1"/>
        <s v="提取盈余公积" u="1"/>
        <s v="投资支付的现金" u="1"/>
        <s v="其他流动负债" u="1"/>
        <s v="应付普通股股利" u="1"/>
        <s v="管理费用" u="1"/>
        <s v="支付的其他与筹资活动有关的现金" u="1"/>
        <s v="应付票据及应付账款" u="1"/>
        <s v="处置固定资产、无形资产和其他长期资产所收回的现金净额" u="1"/>
      </sharedItems>
    </cacheField>
    <cacheField name="二级科目" numFmtId="0">
      <sharedItems containsNonDate="0" containsString="0" containsBlank="1"/>
    </cacheField>
    <cacheField name="借方金额" numFmtId="0">
      <sharedItems containsNonDate="0" containsString="0" containsBlank="1"/>
    </cacheField>
    <cacheField name="贷方金额" numFmtId="0">
      <sharedItems containsNonDate="0" containsString="0" containsBlank="1"/>
    </cacheField>
    <cacheField name="备注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n v="1"/>
    <x v="0"/>
    <m/>
    <x v="0"/>
    <m/>
    <m/>
    <m/>
    <m/>
  </r>
  <r>
    <n v="2"/>
    <x v="0"/>
    <m/>
    <x v="0"/>
    <m/>
    <m/>
    <m/>
    <m/>
  </r>
  <r>
    <n v="3"/>
    <x v="0"/>
    <m/>
    <x v="0"/>
    <m/>
    <m/>
    <m/>
    <m/>
  </r>
  <r>
    <n v="4"/>
    <x v="1"/>
    <m/>
    <x v="0"/>
    <m/>
    <m/>
    <m/>
    <m/>
  </r>
  <r>
    <n v="5"/>
    <x v="0"/>
    <m/>
    <x v="0"/>
    <m/>
    <m/>
    <m/>
    <m/>
  </r>
  <r>
    <n v="6"/>
    <x v="0"/>
    <m/>
    <x v="0"/>
    <m/>
    <m/>
    <m/>
    <m/>
  </r>
  <r>
    <n v="7"/>
    <x v="0"/>
    <m/>
    <x v="0"/>
    <m/>
    <m/>
    <m/>
    <m/>
  </r>
  <r>
    <n v="8"/>
    <x v="1"/>
    <m/>
    <x v="0"/>
    <m/>
    <m/>
    <m/>
    <m/>
  </r>
  <r>
    <n v="9"/>
    <x v="0"/>
    <m/>
    <x v="0"/>
    <m/>
    <m/>
    <m/>
    <m/>
  </r>
  <r>
    <n v="10"/>
    <x v="0"/>
    <m/>
    <x v="0"/>
    <m/>
    <m/>
    <m/>
    <m/>
  </r>
  <r>
    <n v="11"/>
    <x v="0"/>
    <m/>
    <x v="0"/>
    <m/>
    <m/>
    <m/>
    <m/>
  </r>
  <r>
    <n v="12"/>
    <x v="1"/>
    <m/>
    <x v="0"/>
    <m/>
    <m/>
    <m/>
    <m/>
  </r>
  <r>
    <n v="13"/>
    <x v="0"/>
    <m/>
    <x v="0"/>
    <m/>
    <m/>
    <m/>
    <m/>
  </r>
  <r>
    <n v="14"/>
    <x v="0"/>
    <m/>
    <x v="0"/>
    <m/>
    <m/>
    <m/>
    <m/>
  </r>
  <r>
    <n v="15"/>
    <x v="1"/>
    <m/>
    <x v="0"/>
    <m/>
    <m/>
    <m/>
    <m/>
  </r>
  <r>
    <n v="16"/>
    <x v="2"/>
    <m/>
    <x v="0"/>
    <m/>
    <m/>
    <m/>
    <m/>
  </r>
  <r>
    <n v="17"/>
    <x v="2"/>
    <m/>
    <x v="0"/>
    <m/>
    <m/>
    <m/>
    <m/>
  </r>
  <r>
    <n v="18"/>
    <x v="2"/>
    <m/>
    <x v="0"/>
    <m/>
    <m/>
    <m/>
    <m/>
  </r>
  <r>
    <n v="19"/>
    <x v="2"/>
    <m/>
    <x v="0"/>
    <m/>
    <m/>
    <m/>
    <m/>
  </r>
  <r>
    <n v="20"/>
    <x v="2"/>
    <m/>
    <x v="0"/>
    <m/>
    <m/>
    <m/>
    <m/>
  </r>
  <r>
    <n v="21"/>
    <x v="2"/>
    <m/>
    <x v="0"/>
    <m/>
    <m/>
    <m/>
    <m/>
  </r>
  <r>
    <n v="22"/>
    <x v="2"/>
    <m/>
    <x v="0"/>
    <m/>
    <m/>
    <m/>
    <m/>
  </r>
  <r>
    <n v="23"/>
    <x v="1"/>
    <m/>
    <x v="0"/>
    <m/>
    <m/>
    <m/>
    <m/>
  </r>
  <r>
    <n v="24"/>
    <x v="3"/>
    <m/>
    <x v="0"/>
    <m/>
    <m/>
    <m/>
    <m/>
  </r>
  <r>
    <n v="25"/>
    <x v="3"/>
    <m/>
    <x v="0"/>
    <m/>
    <m/>
    <m/>
    <m/>
  </r>
  <r>
    <n v="26"/>
    <x v="3"/>
    <m/>
    <x v="0"/>
    <m/>
    <m/>
    <m/>
    <m/>
  </r>
  <r>
    <n v="27"/>
    <x v="1"/>
    <m/>
    <x v="0"/>
    <m/>
    <m/>
    <m/>
    <m/>
  </r>
  <r>
    <n v="28"/>
    <x v="3"/>
    <m/>
    <x v="0"/>
    <m/>
    <m/>
    <m/>
    <m/>
  </r>
  <r>
    <n v="29"/>
    <x v="3"/>
    <m/>
    <x v="0"/>
    <m/>
    <m/>
    <m/>
    <m/>
  </r>
  <r>
    <n v="30"/>
    <x v="3"/>
    <m/>
    <x v="0"/>
    <m/>
    <m/>
    <m/>
    <m/>
  </r>
  <r>
    <n v="31"/>
    <x v="1"/>
    <m/>
    <x v="0"/>
    <m/>
    <m/>
    <m/>
    <m/>
  </r>
  <r>
    <n v="32"/>
    <x v="3"/>
    <m/>
    <x v="0"/>
    <m/>
    <m/>
    <m/>
    <m/>
  </r>
  <r>
    <n v="33"/>
    <x v="3"/>
    <m/>
    <x v="0"/>
    <m/>
    <m/>
    <m/>
    <m/>
  </r>
  <r>
    <n v="34"/>
    <x v="3"/>
    <m/>
    <x v="0"/>
    <m/>
    <m/>
    <m/>
    <m/>
  </r>
  <r>
    <n v="35"/>
    <x v="1"/>
    <m/>
    <x v="0"/>
    <m/>
    <m/>
    <m/>
    <m/>
  </r>
  <r>
    <n v="36"/>
    <x v="3"/>
    <m/>
    <x v="0"/>
    <m/>
    <m/>
    <m/>
    <m/>
  </r>
  <r>
    <n v="37"/>
    <x v="3"/>
    <m/>
    <x v="0"/>
    <m/>
    <m/>
    <m/>
    <m/>
  </r>
  <r>
    <n v="38"/>
    <x v="1"/>
    <m/>
    <x v="0"/>
    <m/>
    <m/>
    <m/>
    <m/>
  </r>
  <r>
    <n v="39"/>
    <x v="2"/>
    <m/>
    <x v="0"/>
    <m/>
    <m/>
    <m/>
    <m/>
  </r>
  <r>
    <n v="40"/>
    <x v="2"/>
    <m/>
    <x v="0"/>
    <m/>
    <m/>
    <m/>
    <m/>
  </r>
  <r>
    <n v="41"/>
    <x v="2"/>
    <m/>
    <x v="0"/>
    <m/>
    <m/>
    <m/>
    <m/>
  </r>
  <r>
    <n v="42"/>
    <x v="2"/>
    <m/>
    <x v="0"/>
    <m/>
    <m/>
    <m/>
    <m/>
  </r>
  <r>
    <n v="43"/>
    <x v="2"/>
    <m/>
    <x v="0"/>
    <m/>
    <m/>
    <m/>
    <m/>
  </r>
  <r>
    <n v="44"/>
    <x v="2"/>
    <m/>
    <x v="0"/>
    <m/>
    <m/>
    <m/>
    <m/>
  </r>
  <r>
    <n v="45"/>
    <x v="1"/>
    <m/>
    <x v="0"/>
    <m/>
    <m/>
    <m/>
    <m/>
  </r>
  <r>
    <n v="46"/>
    <x v="4"/>
    <m/>
    <x v="0"/>
    <m/>
    <m/>
    <m/>
    <m/>
  </r>
  <r>
    <n v="47"/>
    <x v="4"/>
    <m/>
    <x v="0"/>
    <m/>
    <m/>
    <m/>
    <m/>
  </r>
  <r>
    <n v="48"/>
    <x v="4"/>
    <m/>
    <x v="0"/>
    <m/>
    <m/>
    <m/>
    <m/>
  </r>
  <r>
    <n v="49"/>
    <x v="1"/>
    <m/>
    <x v="0"/>
    <m/>
    <m/>
    <m/>
    <m/>
  </r>
  <r>
    <n v="50"/>
    <x v="4"/>
    <m/>
    <x v="0"/>
    <m/>
    <m/>
    <m/>
    <m/>
  </r>
  <r>
    <n v="51"/>
    <x v="4"/>
    <m/>
    <x v="0"/>
    <m/>
    <m/>
    <m/>
    <m/>
  </r>
  <r>
    <n v="52"/>
    <x v="4"/>
    <m/>
    <x v="0"/>
    <m/>
    <m/>
    <m/>
    <m/>
  </r>
  <r>
    <n v="53"/>
    <x v="1"/>
    <m/>
    <x v="0"/>
    <m/>
    <m/>
    <m/>
    <m/>
  </r>
  <r>
    <n v="54"/>
    <x v="4"/>
    <m/>
    <x v="0"/>
    <m/>
    <m/>
    <m/>
    <m/>
  </r>
  <r>
    <n v="55"/>
    <x v="4"/>
    <m/>
    <x v="0"/>
    <m/>
    <m/>
    <m/>
    <m/>
  </r>
  <r>
    <n v="56"/>
    <x v="4"/>
    <m/>
    <x v="0"/>
    <m/>
    <m/>
    <m/>
    <m/>
  </r>
  <r>
    <n v="57"/>
    <x v="1"/>
    <m/>
    <x v="0"/>
    <m/>
    <m/>
    <m/>
    <m/>
  </r>
  <r>
    <n v="58"/>
    <x v="4"/>
    <m/>
    <x v="0"/>
    <m/>
    <m/>
    <m/>
    <m/>
  </r>
  <r>
    <n v="59"/>
    <x v="4"/>
    <m/>
    <x v="0"/>
    <m/>
    <m/>
    <m/>
    <m/>
  </r>
  <r>
    <n v="60"/>
    <x v="1"/>
    <m/>
    <x v="0"/>
    <m/>
    <m/>
    <m/>
    <m/>
  </r>
  <r>
    <n v="61"/>
    <x v="2"/>
    <m/>
    <x v="0"/>
    <m/>
    <m/>
    <m/>
    <m/>
  </r>
  <r>
    <n v="62"/>
    <x v="2"/>
    <m/>
    <x v="0"/>
    <m/>
    <m/>
    <m/>
    <m/>
  </r>
  <r>
    <n v="63"/>
    <x v="2"/>
    <m/>
    <x v="0"/>
    <m/>
    <m/>
    <m/>
    <m/>
  </r>
  <r>
    <n v="64"/>
    <x v="2"/>
    <m/>
    <x v="0"/>
    <m/>
    <m/>
    <m/>
    <m/>
  </r>
  <r>
    <n v="65"/>
    <x v="2"/>
    <m/>
    <x v="0"/>
    <m/>
    <m/>
    <m/>
    <m/>
  </r>
  <r>
    <n v="66"/>
    <x v="2"/>
    <m/>
    <x v="0"/>
    <m/>
    <m/>
    <m/>
    <m/>
  </r>
  <r>
    <n v="67"/>
    <x v="2"/>
    <m/>
    <x v="0"/>
    <m/>
    <m/>
    <m/>
    <m/>
  </r>
  <r>
    <n v="68"/>
    <x v="1"/>
    <m/>
    <x v="0"/>
    <m/>
    <m/>
    <m/>
    <m/>
  </r>
  <r>
    <n v="69"/>
    <x v="2"/>
    <m/>
    <x v="0"/>
    <m/>
    <m/>
    <m/>
    <m/>
  </r>
  <r>
    <n v="70"/>
    <x v="2"/>
    <m/>
    <x v="0"/>
    <m/>
    <m/>
    <m/>
    <m/>
  </r>
  <r>
    <n v="71"/>
    <x v="2"/>
    <m/>
    <x v="0"/>
    <m/>
    <m/>
    <m/>
    <m/>
  </r>
  <r>
    <n v="72"/>
    <x v="2"/>
    <m/>
    <x v="0"/>
    <m/>
    <m/>
    <m/>
    <m/>
  </r>
  <r>
    <n v="73"/>
    <x v="2"/>
    <m/>
    <x v="0"/>
    <m/>
    <m/>
    <m/>
    <m/>
  </r>
  <r>
    <n v="74"/>
    <x v="1"/>
    <m/>
    <x v="0"/>
    <m/>
    <m/>
    <m/>
    <m/>
  </r>
  <r>
    <n v="75"/>
    <x v="2"/>
    <m/>
    <x v="0"/>
    <m/>
    <m/>
    <m/>
    <m/>
  </r>
  <r>
    <n v="76"/>
    <x v="2"/>
    <m/>
    <x v="0"/>
    <m/>
    <m/>
    <m/>
    <m/>
  </r>
  <r>
    <n v="77"/>
    <x v="2"/>
    <m/>
    <x v="0"/>
    <m/>
    <m/>
    <m/>
    <m/>
  </r>
  <r>
    <n v="78"/>
    <x v="2"/>
    <m/>
    <x v="0"/>
    <m/>
    <m/>
    <m/>
    <m/>
  </r>
  <r>
    <n v="79"/>
    <x v="2"/>
    <m/>
    <x v="0"/>
    <m/>
    <m/>
    <m/>
    <m/>
  </r>
  <r>
    <n v="80"/>
    <x v="1"/>
    <m/>
    <x v="0"/>
    <m/>
    <m/>
    <m/>
    <m/>
  </r>
  <r>
    <n v="81"/>
    <x v="1"/>
    <m/>
    <x v="0"/>
    <m/>
    <m/>
    <m/>
    <m/>
  </r>
  <r>
    <n v="82"/>
    <x v="2"/>
    <m/>
    <x v="0"/>
    <m/>
    <m/>
    <m/>
    <m/>
  </r>
  <r>
    <n v="83"/>
    <x v="2"/>
    <m/>
    <x v="0"/>
    <m/>
    <m/>
    <m/>
    <m/>
  </r>
  <r>
    <n v="84"/>
    <x v="2"/>
    <m/>
    <x v="0"/>
    <m/>
    <m/>
    <m/>
    <m/>
  </r>
  <r>
    <n v="85"/>
    <x v="2"/>
    <m/>
    <x v="0"/>
    <m/>
    <m/>
    <m/>
    <m/>
  </r>
  <r>
    <n v="86"/>
    <x v="2"/>
    <m/>
    <x v="0"/>
    <m/>
    <m/>
    <m/>
    <m/>
  </r>
  <r>
    <n v="87"/>
    <x v="2"/>
    <m/>
    <x v="0"/>
    <m/>
    <m/>
    <m/>
    <m/>
  </r>
  <r>
    <n v="88"/>
    <x v="1"/>
    <m/>
    <x v="0"/>
    <m/>
    <m/>
    <m/>
    <m/>
  </r>
  <r>
    <n v="89"/>
    <x v="2"/>
    <m/>
    <x v="0"/>
    <m/>
    <m/>
    <m/>
    <m/>
  </r>
  <r>
    <n v="90"/>
    <x v="2"/>
    <m/>
    <x v="0"/>
    <m/>
    <m/>
    <m/>
    <m/>
  </r>
  <r>
    <n v="91"/>
    <x v="2"/>
    <m/>
    <x v="0"/>
    <m/>
    <m/>
    <m/>
    <m/>
  </r>
  <r>
    <n v="92"/>
    <x v="2"/>
    <m/>
    <x v="0"/>
    <m/>
    <m/>
    <m/>
    <m/>
  </r>
  <r>
    <n v="93"/>
    <x v="2"/>
    <m/>
    <x v="0"/>
    <m/>
    <m/>
    <m/>
    <m/>
  </r>
  <r>
    <n v="94"/>
    <x v="2"/>
    <m/>
    <x v="0"/>
    <m/>
    <m/>
    <m/>
    <m/>
  </r>
  <r>
    <n v="95"/>
    <x v="1"/>
    <m/>
    <x v="0"/>
    <m/>
    <m/>
    <m/>
    <m/>
  </r>
  <r>
    <n v="96"/>
    <x v="2"/>
    <m/>
    <x v="0"/>
    <m/>
    <m/>
    <m/>
    <m/>
  </r>
  <r>
    <n v="97"/>
    <x v="2"/>
    <m/>
    <x v="0"/>
    <m/>
    <m/>
    <m/>
    <m/>
  </r>
  <r>
    <n v="98"/>
    <x v="1"/>
    <m/>
    <x v="0"/>
    <m/>
    <m/>
    <m/>
    <m/>
  </r>
  <r>
    <n v="99"/>
    <x v="0"/>
    <m/>
    <x v="0"/>
    <m/>
    <m/>
    <m/>
    <m/>
  </r>
  <r>
    <n v="100"/>
    <x v="0"/>
    <m/>
    <x v="0"/>
    <m/>
    <m/>
    <m/>
    <m/>
  </r>
  <r>
    <n v="101"/>
    <x v="1"/>
    <m/>
    <x v="0"/>
    <m/>
    <m/>
    <m/>
    <m/>
  </r>
  <r>
    <n v="102"/>
    <x v="2"/>
    <m/>
    <x v="0"/>
    <m/>
    <m/>
    <m/>
    <m/>
  </r>
  <r>
    <n v="103"/>
    <x v="2"/>
    <m/>
    <x v="0"/>
    <m/>
    <m/>
    <m/>
    <m/>
  </r>
  <r>
    <n v="104"/>
    <x v="1"/>
    <m/>
    <x v="0"/>
    <m/>
    <m/>
    <m/>
    <m/>
  </r>
  <r>
    <n v="105"/>
    <x v="2"/>
    <m/>
    <x v="0"/>
    <m/>
    <m/>
    <m/>
    <m/>
  </r>
  <r>
    <n v="106"/>
    <x v="2"/>
    <m/>
    <x v="0"/>
    <m/>
    <m/>
    <m/>
    <m/>
  </r>
  <r>
    <n v="107"/>
    <x v="1"/>
    <m/>
    <x v="0"/>
    <m/>
    <m/>
    <m/>
    <m/>
  </r>
  <r>
    <n v="108"/>
    <x v="2"/>
    <m/>
    <x v="0"/>
    <m/>
    <m/>
    <m/>
    <m/>
  </r>
  <r>
    <n v="109"/>
    <x v="2"/>
    <m/>
    <x v="0"/>
    <m/>
    <m/>
    <m/>
    <m/>
  </r>
  <r>
    <n v="110"/>
    <x v="1"/>
    <m/>
    <x v="0"/>
    <m/>
    <m/>
    <m/>
    <m/>
  </r>
  <r>
    <n v="111"/>
    <x v="2"/>
    <m/>
    <x v="0"/>
    <m/>
    <m/>
    <m/>
    <m/>
  </r>
  <r>
    <n v="112"/>
    <x v="2"/>
    <m/>
    <x v="0"/>
    <m/>
    <m/>
    <m/>
    <m/>
  </r>
  <r>
    <n v="113"/>
    <x v="2"/>
    <m/>
    <x v="0"/>
    <m/>
    <m/>
    <m/>
    <m/>
  </r>
  <r>
    <n v="114"/>
    <x v="1"/>
    <m/>
    <x v="0"/>
    <m/>
    <m/>
    <m/>
    <m/>
  </r>
  <r>
    <n v="115"/>
    <x v="2"/>
    <m/>
    <x v="0"/>
    <m/>
    <m/>
    <m/>
    <m/>
  </r>
  <r>
    <n v="116"/>
    <x v="2"/>
    <m/>
    <x v="0"/>
    <m/>
    <m/>
    <m/>
    <m/>
  </r>
  <r>
    <n v="117"/>
    <x v="1"/>
    <m/>
    <x v="0"/>
    <m/>
    <m/>
    <m/>
    <m/>
  </r>
  <r>
    <n v="118"/>
    <x v="2"/>
    <m/>
    <x v="0"/>
    <m/>
    <m/>
    <m/>
    <m/>
  </r>
  <r>
    <n v="119"/>
    <x v="2"/>
    <m/>
    <x v="0"/>
    <m/>
    <m/>
    <m/>
    <m/>
  </r>
  <r>
    <n v="120"/>
    <x v="2"/>
    <m/>
    <x v="0"/>
    <m/>
    <m/>
    <m/>
    <m/>
  </r>
  <r>
    <n v="121"/>
    <x v="1"/>
    <m/>
    <x v="0"/>
    <m/>
    <m/>
    <m/>
    <m/>
  </r>
  <r>
    <n v="122"/>
    <x v="1"/>
    <m/>
    <x v="0"/>
    <m/>
    <m/>
    <m/>
    <m/>
  </r>
  <r>
    <n v="123"/>
    <x v="2"/>
    <m/>
    <x v="0"/>
    <m/>
    <m/>
    <m/>
    <m/>
  </r>
  <r>
    <n v="124"/>
    <x v="2"/>
    <m/>
    <x v="0"/>
    <m/>
    <m/>
    <m/>
    <m/>
  </r>
  <r>
    <n v="125"/>
    <x v="1"/>
    <m/>
    <x v="0"/>
    <m/>
    <m/>
    <m/>
    <m/>
  </r>
  <r>
    <n v="126"/>
    <x v="2"/>
    <m/>
    <x v="0"/>
    <m/>
    <m/>
    <m/>
    <m/>
  </r>
  <r>
    <n v="127"/>
    <x v="2"/>
    <m/>
    <x v="0"/>
    <m/>
    <m/>
    <m/>
    <m/>
  </r>
  <r>
    <n v="128"/>
    <x v="1"/>
    <m/>
    <x v="0"/>
    <m/>
    <m/>
    <m/>
    <m/>
  </r>
  <r>
    <n v="129"/>
    <x v="2"/>
    <m/>
    <x v="0"/>
    <m/>
    <m/>
    <m/>
    <m/>
  </r>
  <r>
    <n v="130"/>
    <x v="2"/>
    <m/>
    <x v="0"/>
    <m/>
    <m/>
    <m/>
    <m/>
  </r>
  <r>
    <n v="131"/>
    <x v="1"/>
    <m/>
    <x v="0"/>
    <m/>
    <m/>
    <m/>
    <m/>
  </r>
  <r>
    <n v="132"/>
    <x v="1"/>
    <m/>
    <x v="0"/>
    <m/>
    <m/>
    <m/>
    <m/>
  </r>
  <r>
    <n v="133"/>
    <x v="2"/>
    <m/>
    <x v="0"/>
    <m/>
    <m/>
    <m/>
    <m/>
  </r>
  <r>
    <n v="134"/>
    <x v="2"/>
    <m/>
    <x v="0"/>
    <m/>
    <m/>
    <m/>
    <m/>
  </r>
  <r>
    <n v="135"/>
    <x v="1"/>
    <m/>
    <x v="0"/>
    <m/>
    <m/>
    <m/>
    <m/>
  </r>
  <r>
    <n v="136"/>
    <x v="2"/>
    <m/>
    <x v="0"/>
    <m/>
    <m/>
    <m/>
    <m/>
  </r>
  <r>
    <n v="137"/>
    <x v="2"/>
    <m/>
    <x v="0"/>
    <m/>
    <m/>
    <m/>
    <m/>
  </r>
  <r>
    <n v="138"/>
    <x v="1"/>
    <m/>
    <x v="0"/>
    <m/>
    <m/>
    <m/>
    <m/>
  </r>
  <r>
    <n v="139"/>
    <x v="1"/>
    <m/>
    <x v="0"/>
    <m/>
    <m/>
    <m/>
    <m/>
  </r>
  <r>
    <n v="140"/>
    <x v="2"/>
    <m/>
    <x v="0"/>
    <m/>
    <m/>
    <m/>
    <m/>
  </r>
  <r>
    <n v="141"/>
    <x v="2"/>
    <m/>
    <x v="0"/>
    <m/>
    <m/>
    <m/>
    <m/>
  </r>
  <r>
    <n v="142"/>
    <x v="1"/>
    <m/>
    <x v="0"/>
    <m/>
    <m/>
    <m/>
    <m/>
  </r>
  <r>
    <n v="143"/>
    <x v="2"/>
    <m/>
    <x v="0"/>
    <m/>
    <m/>
    <m/>
    <m/>
  </r>
  <r>
    <n v="144"/>
    <x v="2"/>
    <m/>
    <x v="0"/>
    <m/>
    <m/>
    <m/>
    <m/>
  </r>
  <r>
    <n v="145"/>
    <x v="1"/>
    <m/>
    <x v="0"/>
    <m/>
    <m/>
    <m/>
    <m/>
  </r>
  <r>
    <n v="146"/>
    <x v="2"/>
    <m/>
    <x v="0"/>
    <m/>
    <m/>
    <m/>
    <m/>
  </r>
  <r>
    <n v="147"/>
    <x v="2"/>
    <m/>
    <x v="0"/>
    <m/>
    <m/>
    <m/>
    <m/>
  </r>
  <r>
    <n v="148"/>
    <x v="1"/>
    <m/>
    <x v="0"/>
    <m/>
    <m/>
    <m/>
    <m/>
  </r>
  <r>
    <n v="149"/>
    <x v="2"/>
    <m/>
    <x v="0"/>
    <m/>
    <m/>
    <m/>
    <m/>
  </r>
  <r>
    <n v="150"/>
    <x v="2"/>
    <m/>
    <x v="0"/>
    <m/>
    <m/>
    <m/>
    <m/>
  </r>
  <r>
    <n v="151"/>
    <x v="1"/>
    <m/>
    <x v="0"/>
    <m/>
    <m/>
    <m/>
    <m/>
  </r>
  <r>
    <n v="152"/>
    <x v="2"/>
    <m/>
    <x v="0"/>
    <m/>
    <m/>
    <m/>
    <m/>
  </r>
  <r>
    <m/>
    <x v="2"/>
    <m/>
    <x v="0"/>
    <m/>
    <m/>
    <m/>
    <m/>
  </r>
  <r>
    <n v="153"/>
    <x v="2"/>
    <m/>
    <x v="0"/>
    <m/>
    <m/>
    <m/>
    <m/>
  </r>
  <r>
    <n v="154"/>
    <x v="1"/>
    <m/>
    <x v="0"/>
    <m/>
    <m/>
    <m/>
    <m/>
  </r>
  <r>
    <n v="155"/>
    <x v="1"/>
    <m/>
    <x v="0"/>
    <m/>
    <m/>
    <m/>
    <m/>
  </r>
  <r>
    <n v="156"/>
    <x v="2"/>
    <m/>
    <x v="0"/>
    <m/>
    <m/>
    <m/>
    <m/>
  </r>
  <r>
    <m/>
    <x v="2"/>
    <m/>
    <x v="0"/>
    <m/>
    <m/>
    <m/>
    <m/>
  </r>
  <r>
    <n v="157"/>
    <x v="2"/>
    <m/>
    <x v="0"/>
    <m/>
    <m/>
    <m/>
    <m/>
  </r>
  <r>
    <n v="158"/>
    <x v="1"/>
    <m/>
    <x v="0"/>
    <m/>
    <m/>
    <m/>
    <m/>
  </r>
  <r>
    <n v="159"/>
    <x v="2"/>
    <m/>
    <x v="0"/>
    <m/>
    <m/>
    <m/>
    <m/>
  </r>
  <r>
    <n v="160"/>
    <x v="2"/>
    <m/>
    <x v="0"/>
    <m/>
    <m/>
    <m/>
    <m/>
  </r>
  <r>
    <n v="161"/>
    <x v="1"/>
    <m/>
    <x v="0"/>
    <m/>
    <m/>
    <m/>
    <m/>
  </r>
  <r>
    <n v="162"/>
    <x v="2"/>
    <m/>
    <x v="0"/>
    <m/>
    <m/>
    <m/>
    <m/>
  </r>
  <r>
    <n v="163"/>
    <x v="2"/>
    <m/>
    <x v="0"/>
    <m/>
    <m/>
    <m/>
    <m/>
  </r>
  <r>
    <n v="164"/>
    <x v="1"/>
    <m/>
    <x v="0"/>
    <m/>
    <m/>
    <m/>
    <m/>
  </r>
  <r>
    <n v="165"/>
    <x v="2"/>
    <m/>
    <x v="0"/>
    <m/>
    <m/>
    <m/>
    <m/>
  </r>
  <r>
    <n v="166"/>
    <x v="2"/>
    <m/>
    <x v="0"/>
    <m/>
    <m/>
    <m/>
    <m/>
  </r>
  <r>
    <n v="167"/>
    <x v="1"/>
    <m/>
    <x v="0"/>
    <m/>
    <m/>
    <m/>
    <m/>
  </r>
  <r>
    <n v="168"/>
    <x v="2"/>
    <m/>
    <x v="0"/>
    <m/>
    <m/>
    <m/>
    <m/>
  </r>
  <r>
    <n v="169"/>
    <x v="2"/>
    <m/>
    <x v="0"/>
    <m/>
    <m/>
    <m/>
    <m/>
  </r>
  <r>
    <n v="170"/>
    <x v="1"/>
    <m/>
    <x v="0"/>
    <m/>
    <m/>
    <m/>
    <m/>
  </r>
  <r>
    <n v="171"/>
    <x v="1"/>
    <m/>
    <x v="0"/>
    <m/>
    <m/>
    <m/>
    <m/>
  </r>
  <r>
    <n v="172"/>
    <x v="2"/>
    <m/>
    <x v="0"/>
    <m/>
    <m/>
    <m/>
    <m/>
  </r>
  <r>
    <n v="173"/>
    <x v="2"/>
    <m/>
    <x v="0"/>
    <m/>
    <m/>
    <m/>
    <m/>
  </r>
  <r>
    <n v="174"/>
    <x v="1"/>
    <m/>
    <x v="0"/>
    <m/>
    <m/>
    <m/>
    <m/>
  </r>
  <r>
    <n v="175"/>
    <x v="2"/>
    <m/>
    <x v="0"/>
    <m/>
    <m/>
    <m/>
    <m/>
  </r>
  <r>
    <n v="176"/>
    <x v="2"/>
    <m/>
    <x v="0"/>
    <m/>
    <m/>
    <m/>
    <m/>
  </r>
  <r>
    <n v="177"/>
    <x v="1"/>
    <m/>
    <x v="0"/>
    <m/>
    <m/>
    <m/>
    <m/>
  </r>
  <r>
    <n v="178"/>
    <x v="2"/>
    <m/>
    <x v="0"/>
    <m/>
    <m/>
    <m/>
    <m/>
  </r>
  <r>
    <n v="179"/>
    <x v="2"/>
    <m/>
    <x v="0"/>
    <m/>
    <m/>
    <m/>
    <m/>
  </r>
  <r>
    <n v="180"/>
    <x v="1"/>
    <m/>
    <x v="0"/>
    <m/>
    <m/>
    <m/>
    <m/>
  </r>
  <r>
    <n v="181"/>
    <x v="2"/>
    <m/>
    <x v="0"/>
    <m/>
    <m/>
    <m/>
    <m/>
  </r>
  <r>
    <n v="182"/>
    <x v="2"/>
    <m/>
    <x v="0"/>
    <m/>
    <m/>
    <m/>
    <m/>
  </r>
  <r>
    <n v="183"/>
    <x v="1"/>
    <m/>
    <x v="0"/>
    <m/>
    <m/>
    <m/>
    <m/>
  </r>
  <r>
    <n v="184"/>
    <x v="2"/>
    <m/>
    <x v="0"/>
    <m/>
    <m/>
    <m/>
    <m/>
  </r>
  <r>
    <n v="185"/>
    <x v="2"/>
    <m/>
    <x v="0"/>
    <m/>
    <m/>
    <m/>
    <m/>
  </r>
  <r>
    <n v="186"/>
    <x v="1"/>
    <m/>
    <x v="0"/>
    <m/>
    <m/>
    <m/>
    <m/>
  </r>
  <r>
    <n v="187"/>
    <x v="2"/>
    <m/>
    <x v="0"/>
    <m/>
    <m/>
    <m/>
    <m/>
  </r>
  <r>
    <n v="188"/>
    <x v="2"/>
    <m/>
    <x v="0"/>
    <m/>
    <m/>
    <m/>
    <m/>
  </r>
  <r>
    <n v="189"/>
    <x v="1"/>
    <m/>
    <x v="0"/>
    <m/>
    <m/>
    <m/>
    <m/>
  </r>
  <r>
    <n v="190"/>
    <x v="2"/>
    <m/>
    <x v="0"/>
    <m/>
    <m/>
    <m/>
    <m/>
  </r>
  <r>
    <n v="191"/>
    <x v="2"/>
    <m/>
    <x v="0"/>
    <m/>
    <m/>
    <m/>
    <m/>
  </r>
  <r>
    <n v="192"/>
    <x v="1"/>
    <m/>
    <x v="0"/>
    <m/>
    <m/>
    <m/>
    <m/>
  </r>
  <r>
    <n v="193"/>
    <x v="2"/>
    <m/>
    <x v="0"/>
    <m/>
    <m/>
    <m/>
    <m/>
  </r>
  <r>
    <n v="194"/>
    <x v="2"/>
    <m/>
    <x v="0"/>
    <m/>
    <m/>
    <m/>
    <m/>
  </r>
  <r>
    <n v="195"/>
    <x v="1"/>
    <m/>
    <x v="0"/>
    <m/>
    <m/>
    <m/>
    <m/>
  </r>
  <r>
    <n v="196"/>
    <x v="2"/>
    <m/>
    <x v="0"/>
    <m/>
    <m/>
    <m/>
    <m/>
  </r>
  <r>
    <n v="197"/>
    <x v="2"/>
    <m/>
    <x v="0"/>
    <m/>
    <m/>
    <m/>
    <m/>
  </r>
  <r>
    <n v="198"/>
    <x v="1"/>
    <m/>
    <x v="0"/>
    <m/>
    <m/>
    <m/>
    <m/>
  </r>
  <r>
    <n v="199"/>
    <x v="2"/>
    <m/>
    <x v="0"/>
    <m/>
    <m/>
    <m/>
    <m/>
  </r>
  <r>
    <n v="200"/>
    <x v="2"/>
    <m/>
    <x v="0"/>
    <m/>
    <m/>
    <m/>
    <m/>
  </r>
  <r>
    <n v="201"/>
    <x v="1"/>
    <m/>
    <x v="0"/>
    <m/>
    <m/>
    <m/>
    <m/>
  </r>
  <r>
    <n v="202"/>
    <x v="2"/>
    <m/>
    <x v="0"/>
    <m/>
    <m/>
    <m/>
    <m/>
  </r>
  <r>
    <n v="203"/>
    <x v="2"/>
    <m/>
    <x v="0"/>
    <m/>
    <m/>
    <m/>
    <m/>
  </r>
  <r>
    <n v="204"/>
    <x v="1"/>
    <m/>
    <x v="0"/>
    <m/>
    <m/>
    <m/>
    <m/>
  </r>
  <r>
    <n v="205"/>
    <x v="2"/>
    <m/>
    <x v="0"/>
    <m/>
    <m/>
    <m/>
    <m/>
  </r>
  <r>
    <n v="206"/>
    <x v="2"/>
    <m/>
    <x v="0"/>
    <m/>
    <m/>
    <m/>
    <m/>
  </r>
  <r>
    <n v="207"/>
    <x v="1"/>
    <m/>
    <x v="0"/>
    <m/>
    <m/>
    <m/>
    <m/>
  </r>
  <r>
    <n v="208"/>
    <x v="2"/>
    <m/>
    <x v="0"/>
    <m/>
    <m/>
    <m/>
    <m/>
  </r>
  <r>
    <n v="209"/>
    <x v="2"/>
    <m/>
    <x v="0"/>
    <m/>
    <m/>
    <m/>
    <m/>
  </r>
  <r>
    <m/>
    <x v="1"/>
    <m/>
    <x v="0"/>
    <m/>
    <m/>
    <m/>
    <m/>
  </r>
  <r>
    <m/>
    <x v="1"/>
    <m/>
    <x v="0"/>
    <m/>
    <m/>
    <m/>
    <m/>
  </r>
  <r>
    <m/>
    <x v="1"/>
    <m/>
    <x v="0"/>
    <m/>
    <m/>
    <m/>
    <m/>
  </r>
  <r>
    <m/>
    <x v="1"/>
    <m/>
    <x v="0"/>
    <m/>
    <m/>
    <m/>
    <m/>
  </r>
  <r>
    <m/>
    <x v="1"/>
    <m/>
    <x v="0"/>
    <m/>
    <m/>
    <m/>
    <m/>
  </r>
  <r>
    <m/>
    <x v="1"/>
    <m/>
    <x v="0"/>
    <m/>
    <m/>
    <m/>
    <m/>
  </r>
  <r>
    <m/>
    <x v="1"/>
    <m/>
    <x v="0"/>
    <m/>
    <m/>
    <m/>
    <m/>
  </r>
  <r>
    <m/>
    <x v="1"/>
    <m/>
    <x v="0"/>
    <m/>
    <m/>
    <m/>
    <m/>
  </r>
  <r>
    <m/>
    <x v="1"/>
    <m/>
    <x v="0"/>
    <m/>
    <m/>
    <m/>
    <m/>
  </r>
  <r>
    <m/>
    <x v="1"/>
    <m/>
    <x v="0"/>
    <m/>
    <m/>
    <m/>
    <m/>
  </r>
  <r>
    <m/>
    <x v="1"/>
    <m/>
    <x v="0"/>
    <m/>
    <m/>
    <m/>
    <m/>
  </r>
  <r>
    <m/>
    <x v="1"/>
    <m/>
    <x v="0"/>
    <m/>
    <m/>
    <m/>
    <m/>
  </r>
  <r>
    <m/>
    <x v="1"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showCalcMbrs="0" useAutoFormatting="1" itemPrintTitles="1" createdVersion="3" indent="0" outline="1" outlineData="1" multipleFieldFilters="0">
  <location ref="I2:K9" firstHeaderRow="1" firstDataRow="2" firstDataCol="1"/>
  <pivotFields count="8">
    <pivotField showAll="0"/>
    <pivotField axis="axisRow" showAll="0">
      <items count="7">
        <item x="0"/>
        <item x="2"/>
        <item h="1" x="1"/>
        <item m="1" x="5"/>
        <item x="3"/>
        <item x="4"/>
        <item t="default"/>
      </items>
    </pivotField>
    <pivotField showAll="0"/>
    <pivotField axis="axisRow" multipleItemSelectionAllowed="1" showAll="0">
      <items count="71">
        <item m="1" x="28"/>
        <item m="1" x="4"/>
        <item m="1" x="37"/>
        <item m="1" x="17"/>
        <item m="1" x="21"/>
        <item m="1" x="20"/>
        <item m="1" x="47"/>
        <item x="0"/>
        <item m="1" x="32"/>
        <item m="1" x="44"/>
        <item m="1" x="59"/>
        <item m="1" x="34"/>
        <item m="1" x="57"/>
        <item m="1" x="48"/>
        <item m="1" x="49"/>
        <item m="1" x="56"/>
        <item m="1" x="25"/>
        <item m="1" x="60"/>
        <item m="1" x="30"/>
        <item m="1" x="10"/>
        <item m="1" x="64"/>
        <item m="1" x="18"/>
        <item m="1" x="3"/>
        <item m="1" x="43"/>
        <item m="1" x="14"/>
        <item m="1" x="39"/>
        <item m="1" x="2"/>
        <item m="1" x="55"/>
        <item m="1" x="51"/>
        <item m="1" x="27"/>
        <item m="1" x="66"/>
        <item m="1" x="52"/>
        <item m="1" x="69"/>
        <item m="1" x="35"/>
        <item m="1" x="46"/>
        <item m="1" x="26"/>
        <item m="1" x="23"/>
        <item m="1" x="22"/>
        <item m="1" x="41"/>
        <item m="1" x="62"/>
        <item m="1" x="5"/>
        <item m="1" x="31"/>
        <item m="1" x="19"/>
        <item m="1" x="12"/>
        <item m="1" x="40"/>
        <item m="1" x="1"/>
        <item m="1" x="15"/>
        <item m="1" x="50"/>
        <item m="1" x="33"/>
        <item m="1" x="38"/>
        <item m="1" x="9"/>
        <item m="1" x="54"/>
        <item m="1" x="63"/>
        <item m="1" x="11"/>
        <item m="1" x="42"/>
        <item m="1" x="67"/>
        <item m="1" x="65"/>
        <item m="1" x="8"/>
        <item m="1" x="16"/>
        <item m="1" x="7"/>
        <item m="1" x="58"/>
        <item m="1" x="29"/>
        <item m="1" x="53"/>
        <item m="1" x="61"/>
        <item m="1" x="36"/>
        <item m="1" x="45"/>
        <item m="1" x="68"/>
        <item m="1" x="13"/>
        <item m="1" x="24"/>
        <item m="1" x="6"/>
        <item t="default"/>
      </items>
    </pivotField>
    <pivotField showAll="0"/>
    <pivotField dataField="1" showAll="0"/>
    <pivotField dataField="1" showAll="0"/>
    <pivotField showAll="0"/>
  </pivotFields>
  <rowFields count="2">
    <field x="3"/>
    <field x="1"/>
  </rowFields>
  <rowItems count="6">
    <i>
      <x v="7"/>
    </i>
    <i r="1">
      <x/>
    </i>
    <i r="1">
      <x v="1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借方金额" fld="5" baseField="1" baseItem="1" numFmtId="177"/>
    <dataField name="求和项:贷方金额" fld="6" baseField="1" baseItem="1" numFmtId="177"/>
  </dataFields>
  <formats count="17">
    <format dxfId="16">
      <pivotArea type="all" dataOnly="0" outline="0" fieldPosition="0"/>
    </format>
    <format dxfId="15">
      <pivotArea grandRow="1" outline="0" collapsedLevelsAreSubtotals="1" fieldPosition="0"/>
    </format>
    <format dxfId="14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3" count="1" selected="0">
            <x v="18"/>
          </reference>
        </references>
      </pivotArea>
    </format>
    <format dxfId="13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3" count="1" selected="0">
            <x v="1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3" count="1" selected="0">
            <x v="0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3" count="1" selected="0">
            <x v="25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3" count="1" selected="0">
            <x v="15"/>
          </reference>
        </references>
      </pivotArea>
    </format>
    <format dxfId="9">
      <pivotArea collapsedLevelsAreSubtotals="1" fieldPosition="0">
        <references count="3">
          <reference field="4294967294" count="1" selected="0">
            <x v="0"/>
          </reference>
          <reference field="1" count="1">
            <x v="1"/>
          </reference>
          <reference field="3" count="1" selected="0">
            <x v="2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3" count="1" selected="0">
            <x v="4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3" count="1" selected="0">
            <x v="6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3" count="1" selected="0">
            <x v="5"/>
          </reference>
        </references>
      </pivotArea>
    </format>
    <format dxfId="5">
      <pivotArea collapsedLevelsAreSubtotals="1" fieldPosition="0">
        <references count="3">
          <reference field="4294967294" count="1" selected="0">
            <x v="1"/>
          </reference>
          <reference field="1" count="1">
            <x v="1"/>
          </reference>
          <reference field="3" count="1" selected="0">
            <x v="10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0">
            <x v="0"/>
            <x v="1"/>
            <x v="2"/>
            <x v="4"/>
            <x v="5"/>
            <x v="6"/>
            <x v="10"/>
            <x v="15"/>
            <x v="18"/>
            <x v="25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3" count="8">
            <x v="1"/>
            <x v="2"/>
            <x v="4"/>
            <x v="5"/>
            <x v="6"/>
            <x v="10"/>
            <x v="15"/>
            <x v="18"/>
          </reference>
        </references>
      </pivotArea>
    </format>
    <format dxfId="2">
      <pivotArea collapsedLevelsAreSubtotals="1" fieldPosition="0">
        <references count="2">
          <reference field="1" count="1" selected="0">
            <x v="1"/>
          </reference>
          <reference field="3" count="11">
            <x v="0"/>
            <x v="1"/>
            <x v="2"/>
            <x v="4"/>
            <x v="5"/>
            <x v="6"/>
            <x v="10"/>
            <x v="15"/>
            <x v="18"/>
            <x v="25"/>
            <x v="26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9"/>
  <sheetViews>
    <sheetView topLeftCell="A66" workbookViewId="0">
      <selection activeCell="A76" sqref="A76"/>
    </sheetView>
  </sheetViews>
  <sheetFormatPr defaultRowHeight="12.75"/>
  <cols>
    <col min="1" max="1" width="31.5703125" customWidth="1"/>
  </cols>
  <sheetData>
    <row r="1" spans="1:3" ht="13.5">
      <c r="A1" s="9" t="s">
        <v>244</v>
      </c>
      <c r="C1">
        <v>1</v>
      </c>
    </row>
    <row r="2" spans="1:3" ht="13.5">
      <c r="A2" s="9" t="s">
        <v>245</v>
      </c>
      <c r="C2">
        <v>2</v>
      </c>
    </row>
    <row r="3" spans="1:3">
      <c r="A3" s="113" t="s">
        <v>371</v>
      </c>
      <c r="C3">
        <v>3</v>
      </c>
    </row>
    <row r="4" spans="1:3">
      <c r="A4" s="113" t="s">
        <v>370</v>
      </c>
      <c r="C4">
        <v>4</v>
      </c>
    </row>
    <row r="5" spans="1:3">
      <c r="A5" s="113" t="s">
        <v>524</v>
      </c>
    </row>
    <row r="6" spans="1:3">
      <c r="A6" s="113" t="s">
        <v>525</v>
      </c>
    </row>
    <row r="7" spans="1:3" ht="13.5">
      <c r="A7" s="9" t="s">
        <v>282</v>
      </c>
    </row>
    <row r="8" spans="1:3" ht="13.5">
      <c r="A8" s="9" t="s">
        <v>149</v>
      </c>
    </row>
    <row r="9" spans="1:3" ht="13.5">
      <c r="A9" s="9" t="s">
        <v>246</v>
      </c>
    </row>
    <row r="10" spans="1:3">
      <c r="A10" s="113" t="s">
        <v>372</v>
      </c>
    </row>
    <row r="11" spans="1:3">
      <c r="A11" s="113" t="s">
        <v>380</v>
      </c>
    </row>
    <row r="12" spans="1:3" ht="13.5">
      <c r="A12" s="9" t="s">
        <v>247</v>
      </c>
    </row>
    <row r="13" spans="1:3" ht="13.5">
      <c r="A13" s="9" t="s">
        <v>248</v>
      </c>
    </row>
    <row r="14" spans="1:3">
      <c r="A14" s="113" t="s">
        <v>373</v>
      </c>
    </row>
    <row r="15" spans="1:3">
      <c r="A15" s="113" t="s">
        <v>374</v>
      </c>
    </row>
    <row r="16" spans="1:3">
      <c r="A16" s="113" t="s">
        <v>375</v>
      </c>
    </row>
    <row r="17" spans="1:1">
      <c r="A17" s="113" t="s">
        <v>376</v>
      </c>
    </row>
    <row r="18" spans="1:1" ht="13.5">
      <c r="A18" s="9" t="s">
        <v>249</v>
      </c>
    </row>
    <row r="19" spans="1:1" ht="13.5">
      <c r="A19" s="9" t="s">
        <v>135</v>
      </c>
    </row>
    <row r="20" spans="1:1" ht="13.5">
      <c r="A20" s="9" t="s">
        <v>250</v>
      </c>
    </row>
    <row r="21" spans="1:1" ht="13.5">
      <c r="A21" s="9" t="s">
        <v>251</v>
      </c>
    </row>
    <row r="22" spans="1:1" ht="13.5">
      <c r="A22" s="9" t="s">
        <v>252</v>
      </c>
    </row>
    <row r="23" spans="1:1" ht="13.5">
      <c r="A23" s="9" t="s">
        <v>253</v>
      </c>
    </row>
    <row r="24" spans="1:1" ht="13.5">
      <c r="A24" s="9" t="s">
        <v>254</v>
      </c>
    </row>
    <row r="25" spans="1:1" ht="13.5">
      <c r="A25" s="9" t="s">
        <v>255</v>
      </c>
    </row>
    <row r="26" spans="1:1" ht="13.5">
      <c r="A26" s="9" t="s">
        <v>256</v>
      </c>
    </row>
    <row r="27" spans="1:1" ht="13.5">
      <c r="A27" s="9" t="s">
        <v>146</v>
      </c>
    </row>
    <row r="28" spans="1:1" ht="13.5">
      <c r="A28" s="9" t="s">
        <v>257</v>
      </c>
    </row>
    <row r="29" spans="1:1" ht="13.5">
      <c r="A29" s="9" t="s">
        <v>141</v>
      </c>
    </row>
    <row r="30" spans="1:1" ht="13.5">
      <c r="A30" s="9" t="s">
        <v>258</v>
      </c>
    </row>
    <row r="31" spans="1:1" ht="13.5">
      <c r="A31" s="9" t="s">
        <v>259</v>
      </c>
    </row>
    <row r="32" spans="1:1" ht="13.5">
      <c r="A32" s="9" t="s">
        <v>260</v>
      </c>
    </row>
    <row r="33" spans="1:1" ht="13.5">
      <c r="A33" s="9" t="s">
        <v>261</v>
      </c>
    </row>
    <row r="34" spans="1:1">
      <c r="A34" s="113" t="s">
        <v>378</v>
      </c>
    </row>
    <row r="35" spans="1:1">
      <c r="A35" s="113" t="s">
        <v>379</v>
      </c>
    </row>
    <row r="36" spans="1:1">
      <c r="A36" s="113" t="s">
        <v>381</v>
      </c>
    </row>
    <row r="37" spans="1:1" ht="13.5">
      <c r="A37" s="9" t="s">
        <v>262</v>
      </c>
    </row>
    <row r="38" spans="1:1">
      <c r="A38" s="113" t="s">
        <v>377</v>
      </c>
    </row>
    <row r="39" spans="1:1">
      <c r="A39" s="113" t="s">
        <v>526</v>
      </c>
    </row>
    <row r="40" spans="1:1" ht="13.5">
      <c r="A40" s="9" t="s">
        <v>241</v>
      </c>
    </row>
    <row r="41" spans="1:1" ht="13.5">
      <c r="A41" s="9" t="s">
        <v>263</v>
      </c>
    </row>
    <row r="42" spans="1:1" ht="13.5">
      <c r="A42" s="9" t="s">
        <v>264</v>
      </c>
    </row>
    <row r="43" spans="1:1" ht="13.5">
      <c r="A43" s="9" t="s">
        <v>265</v>
      </c>
    </row>
    <row r="44" spans="1:1" ht="13.5">
      <c r="A44" s="9" t="s">
        <v>266</v>
      </c>
    </row>
    <row r="45" spans="1:1" ht="13.5">
      <c r="A45" s="9" t="s">
        <v>267</v>
      </c>
    </row>
    <row r="46" spans="1:1" ht="13.5">
      <c r="A46" s="9" t="s">
        <v>268</v>
      </c>
    </row>
    <row r="47" spans="1:1" ht="13.5">
      <c r="A47" s="9" t="s">
        <v>269</v>
      </c>
    </row>
    <row r="48" spans="1:1" ht="13.5">
      <c r="A48" s="9" t="s">
        <v>150</v>
      </c>
    </row>
    <row r="49" spans="1:1">
      <c r="A49" s="113" t="s">
        <v>382</v>
      </c>
    </row>
    <row r="50" spans="1:1" ht="13.5">
      <c r="A50" s="9" t="s">
        <v>270</v>
      </c>
    </row>
    <row r="51" spans="1:1" ht="13.5">
      <c r="A51" s="9" t="s">
        <v>271</v>
      </c>
    </row>
    <row r="52" spans="1:1" ht="13.5">
      <c r="A52" s="9" t="s">
        <v>272</v>
      </c>
    </row>
    <row r="53" spans="1:1" ht="13.5">
      <c r="A53" s="9" t="s">
        <v>273</v>
      </c>
    </row>
    <row r="54" spans="1:1" ht="13.5">
      <c r="A54" s="9" t="s">
        <v>274</v>
      </c>
    </row>
    <row r="55" spans="1:1" ht="13.5">
      <c r="A55" s="9" t="s">
        <v>275</v>
      </c>
    </row>
    <row r="56" spans="1:1" ht="13.5">
      <c r="A56" s="9" t="s">
        <v>276</v>
      </c>
    </row>
    <row r="57" spans="1:1" ht="13.5">
      <c r="A57" s="9" t="s">
        <v>147</v>
      </c>
    </row>
    <row r="58" spans="1:1" ht="13.5">
      <c r="A58" s="9" t="s">
        <v>277</v>
      </c>
    </row>
    <row r="59" spans="1:1" ht="13.5">
      <c r="A59" s="9" t="s">
        <v>136</v>
      </c>
    </row>
    <row r="60" spans="1:1" ht="13.5">
      <c r="A60" s="9" t="s">
        <v>137</v>
      </c>
    </row>
    <row r="61" spans="1:1" ht="13.5">
      <c r="A61" s="9" t="s">
        <v>283</v>
      </c>
    </row>
    <row r="62" spans="1:1" ht="13.5">
      <c r="A62" s="9" t="s">
        <v>138</v>
      </c>
    </row>
    <row r="63" spans="1:1" ht="13.5">
      <c r="A63" s="9" t="s">
        <v>278</v>
      </c>
    </row>
    <row r="64" spans="1:1">
      <c r="A64" s="113" t="s">
        <v>384</v>
      </c>
    </row>
    <row r="65" spans="1:2">
      <c r="A65" s="113" t="s">
        <v>140</v>
      </c>
    </row>
    <row r="66" spans="1:2">
      <c r="A66" s="113" t="s">
        <v>383</v>
      </c>
    </row>
    <row r="67" spans="1:2" ht="13.5">
      <c r="A67" s="9" t="s">
        <v>279</v>
      </c>
    </row>
    <row r="68" spans="1:2" ht="13.5">
      <c r="A68" s="9" t="s">
        <v>29</v>
      </c>
    </row>
    <row r="69" spans="1:2" ht="13.5">
      <c r="A69" s="9" t="s">
        <v>30</v>
      </c>
    </row>
    <row r="70" spans="1:2" ht="13.5">
      <c r="A70" s="9" t="s">
        <v>31</v>
      </c>
    </row>
    <row r="71" spans="1:2" ht="13.5">
      <c r="A71" s="9" t="s">
        <v>32</v>
      </c>
    </row>
    <row r="72" spans="1:2">
      <c r="A72" s="113" t="s">
        <v>242</v>
      </c>
    </row>
    <row r="73" spans="1:2" ht="13.5">
      <c r="A73" s="9" t="s">
        <v>33</v>
      </c>
    </row>
    <row r="74" spans="1:2">
      <c r="A74" s="113" t="s">
        <v>34</v>
      </c>
    </row>
    <row r="75" spans="1:2" ht="13.5">
      <c r="A75" s="9" t="s">
        <v>35</v>
      </c>
    </row>
    <row r="76" spans="1:2">
      <c r="A76" s="113" t="s">
        <v>387</v>
      </c>
    </row>
    <row r="77" spans="1:2" s="1" customFormat="1">
      <c r="A77" s="113" t="s">
        <v>388</v>
      </c>
      <c r="B77"/>
    </row>
    <row r="78" spans="1:2" s="1" customFormat="1">
      <c r="A78" s="113" t="s">
        <v>386</v>
      </c>
      <c r="B78"/>
    </row>
    <row r="79" spans="1:2" s="1" customFormat="1">
      <c r="A79" s="113" t="s">
        <v>385</v>
      </c>
      <c r="B79"/>
    </row>
    <row r="80" spans="1:2" s="1" customFormat="1" ht="13.5">
      <c r="A80" s="9" t="s">
        <v>36</v>
      </c>
      <c r="B80"/>
    </row>
    <row r="81" spans="1:1" ht="13.5">
      <c r="A81" s="9" t="s">
        <v>37</v>
      </c>
    </row>
    <row r="82" spans="1:1">
      <c r="A82" s="113" t="s">
        <v>38</v>
      </c>
    </row>
    <row r="83" spans="1:1" ht="13.5">
      <c r="A83" s="9" t="s">
        <v>39</v>
      </c>
    </row>
    <row r="84" spans="1:1" ht="13.5">
      <c r="A84" s="9" t="s">
        <v>40</v>
      </c>
    </row>
    <row r="85" spans="1:1">
      <c r="A85" s="113" t="s">
        <v>389</v>
      </c>
    </row>
    <row r="86" spans="1:1" ht="13.5">
      <c r="A86" s="9" t="s">
        <v>41</v>
      </c>
    </row>
    <row r="87" spans="1:1" ht="13.5">
      <c r="A87" s="9" t="s">
        <v>280</v>
      </c>
    </row>
    <row r="88" spans="1:1">
      <c r="A88" s="113" t="s">
        <v>536</v>
      </c>
    </row>
    <row r="89" spans="1:1" ht="13.5">
      <c r="A89" s="9" t="s">
        <v>42</v>
      </c>
    </row>
    <row r="90" spans="1:1" ht="13.5">
      <c r="A90" s="9" t="s">
        <v>43</v>
      </c>
    </row>
    <row r="91" spans="1:1" ht="13.5">
      <c r="A91" s="9" t="s">
        <v>281</v>
      </c>
    </row>
    <row r="92" spans="1:1" ht="13.5">
      <c r="A92" s="9" t="s">
        <v>139</v>
      </c>
    </row>
    <row r="93" spans="1:1" ht="13.5">
      <c r="A93" s="9" t="s">
        <v>148</v>
      </c>
    </row>
    <row r="94" spans="1:1" ht="13.5">
      <c r="A94" s="9" t="s">
        <v>284</v>
      </c>
    </row>
    <row r="95" spans="1:1" ht="13.5">
      <c r="A95" s="9" t="s">
        <v>285</v>
      </c>
    </row>
    <row r="96" spans="1:1" ht="13.5">
      <c r="A96" s="9" t="s">
        <v>286</v>
      </c>
    </row>
    <row r="97" spans="1:1" ht="13.5">
      <c r="A97" s="9" t="s">
        <v>287</v>
      </c>
    </row>
    <row r="98" spans="1:1" ht="13.5">
      <c r="A98" s="9" t="s">
        <v>44</v>
      </c>
    </row>
    <row r="99" spans="1:1" ht="13.5">
      <c r="A99" s="9" t="s">
        <v>45</v>
      </c>
    </row>
    <row r="100" spans="1:1">
      <c r="A100" s="113" t="s">
        <v>296</v>
      </c>
    </row>
    <row r="101" spans="1:1" ht="13.5">
      <c r="A101" s="9" t="s">
        <v>46</v>
      </c>
    </row>
    <row r="102" spans="1:1" ht="13.5">
      <c r="A102" s="9" t="s">
        <v>47</v>
      </c>
    </row>
    <row r="103" spans="1:1" ht="13.5">
      <c r="A103" s="9" t="s">
        <v>48</v>
      </c>
    </row>
    <row r="104" spans="1:1">
      <c r="A104" s="113" t="s">
        <v>292</v>
      </c>
    </row>
    <row r="105" spans="1:1" ht="13.5">
      <c r="A105" s="9" t="s">
        <v>49</v>
      </c>
    </row>
    <row r="106" spans="1:1">
      <c r="A106" s="113" t="s">
        <v>315</v>
      </c>
    </row>
    <row r="107" spans="1:1" ht="13.5">
      <c r="A107" s="9" t="s">
        <v>50</v>
      </c>
    </row>
    <row r="108" spans="1:1" ht="13.5">
      <c r="A108" s="9" t="s">
        <v>51</v>
      </c>
    </row>
    <row r="109" spans="1:1">
      <c r="A109" s="113" t="s">
        <v>302</v>
      </c>
    </row>
    <row r="110" spans="1:1" ht="13.5">
      <c r="A110" s="9" t="s">
        <v>52</v>
      </c>
    </row>
    <row r="111" spans="1:1">
      <c r="A111" s="113" t="s">
        <v>303</v>
      </c>
    </row>
    <row r="112" spans="1:1" ht="13.5">
      <c r="A112" s="9" t="s">
        <v>53</v>
      </c>
    </row>
    <row r="113" spans="1:1" ht="13.5">
      <c r="A113" s="9" t="s">
        <v>54</v>
      </c>
    </row>
    <row r="114" spans="1:1">
      <c r="A114" s="113" t="s">
        <v>289</v>
      </c>
    </row>
    <row r="115" spans="1:1" ht="13.5">
      <c r="A115" s="9" t="s">
        <v>55</v>
      </c>
    </row>
    <row r="116" spans="1:1" ht="13.5">
      <c r="A116" s="9" t="s">
        <v>56</v>
      </c>
    </row>
    <row r="117" spans="1:1" ht="13.5">
      <c r="A117" s="9" t="s">
        <v>57</v>
      </c>
    </row>
    <row r="118" spans="1:1">
      <c r="A118" s="113" t="s">
        <v>317</v>
      </c>
    </row>
    <row r="119" spans="1:1" ht="13.5">
      <c r="A119" s="9" t="s">
        <v>28</v>
      </c>
    </row>
    <row r="120" spans="1:1" ht="13.5">
      <c r="A120" s="9" t="s">
        <v>288</v>
      </c>
    </row>
    <row r="121" spans="1:1" ht="13.5">
      <c r="A121" s="9" t="s">
        <v>58</v>
      </c>
    </row>
    <row r="122" spans="1:1" ht="13.5">
      <c r="A122" s="9" t="s">
        <v>59</v>
      </c>
    </row>
    <row r="123" spans="1:1" ht="13.5">
      <c r="A123" s="9" t="s">
        <v>60</v>
      </c>
    </row>
    <row r="124" spans="1:1" ht="13.5">
      <c r="A124" s="9" t="s">
        <v>61</v>
      </c>
    </row>
    <row r="125" spans="1:1" ht="13.5">
      <c r="A125" s="9" t="s">
        <v>62</v>
      </c>
    </row>
    <row r="126" spans="1:1" ht="13.5">
      <c r="A126" s="9" t="s">
        <v>63</v>
      </c>
    </row>
    <row r="127" spans="1:1" ht="13.5">
      <c r="A127" s="9" t="s">
        <v>64</v>
      </c>
    </row>
    <row r="128" spans="1:1" ht="13.5">
      <c r="A128" s="9" t="s">
        <v>65</v>
      </c>
    </row>
    <row r="129" spans="1:1" ht="13.5">
      <c r="A129" s="9" t="s">
        <v>39</v>
      </c>
    </row>
    <row r="130" spans="1:1" ht="13.5">
      <c r="A130" s="9" t="s">
        <v>66</v>
      </c>
    </row>
    <row r="131" spans="1:1" ht="13.5">
      <c r="A131" s="9" t="s">
        <v>67</v>
      </c>
    </row>
    <row r="132" spans="1:1" ht="13.5">
      <c r="A132" s="9" t="s">
        <v>68</v>
      </c>
    </row>
    <row r="133" spans="1:1" ht="13.5">
      <c r="A133" s="9" t="s">
        <v>69</v>
      </c>
    </row>
    <row r="134" spans="1:1" ht="13.5">
      <c r="A134" s="9" t="s">
        <v>70</v>
      </c>
    </row>
    <row r="135" spans="1:1" ht="13.5">
      <c r="A135" s="9" t="s">
        <v>131</v>
      </c>
    </row>
    <row r="136" spans="1:1" ht="13.5">
      <c r="A136" s="9" t="s">
        <v>71</v>
      </c>
    </row>
    <row r="137" spans="1:1" ht="13.5">
      <c r="A137" s="9" t="s">
        <v>72</v>
      </c>
    </row>
    <row r="138" spans="1:1" ht="13.5">
      <c r="A138" s="125" t="s">
        <v>300</v>
      </c>
    </row>
    <row r="139" spans="1:1" ht="13.5">
      <c r="A139" s="125" t="s">
        <v>301</v>
      </c>
    </row>
  </sheetData>
  <phoneticPr fontId="7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I91"/>
  <sheetViews>
    <sheetView tabSelected="1" zoomScaleNormal="100" zoomScaleSheetLayoutView="100" workbookViewId="0">
      <pane ySplit="5" topLeftCell="A6" activePane="bottomLeft" state="frozen"/>
      <selection pane="bottomLeft" activeCell="C6" sqref="C6"/>
    </sheetView>
  </sheetViews>
  <sheetFormatPr defaultRowHeight="12.75"/>
  <cols>
    <col min="1" max="1" width="47.5703125" style="57" customWidth="1"/>
    <col min="2" max="4" width="21.7109375" style="56" customWidth="1"/>
    <col min="5" max="5" width="18.7109375" style="57" bestFit="1" customWidth="1"/>
    <col min="6" max="6" width="13.85546875" style="57" customWidth="1"/>
    <col min="7" max="7" width="15.5703125" style="57" customWidth="1"/>
    <col min="8" max="241" width="9.140625" style="57"/>
    <col min="242" max="252" width="9.140625" style="47"/>
    <col min="253" max="253" width="47.42578125" style="47" customWidth="1"/>
    <col min="254" max="254" width="31.42578125" style="47" customWidth="1"/>
    <col min="255" max="255" width="0" style="47" hidden="1" customWidth="1"/>
    <col min="256" max="256" width="17.140625" style="47" bestFit="1" customWidth="1"/>
    <col min="257" max="508" width="9.140625" style="47"/>
    <col min="509" max="509" width="47.42578125" style="47" customWidth="1"/>
    <col min="510" max="510" width="31.42578125" style="47" customWidth="1"/>
    <col min="511" max="511" width="0" style="47" hidden="1" customWidth="1"/>
    <col min="512" max="512" width="17.140625" style="47" bestFit="1" customWidth="1"/>
    <col min="513" max="764" width="9.140625" style="47"/>
    <col min="765" max="765" width="47.42578125" style="47" customWidth="1"/>
    <col min="766" max="766" width="31.42578125" style="47" customWidth="1"/>
    <col min="767" max="767" width="0" style="47" hidden="1" customWidth="1"/>
    <col min="768" max="768" width="17.140625" style="47" bestFit="1" customWidth="1"/>
    <col min="769" max="1020" width="9.140625" style="47"/>
    <col min="1021" max="1021" width="47.42578125" style="47" customWidth="1"/>
    <col min="1022" max="1022" width="31.42578125" style="47" customWidth="1"/>
    <col min="1023" max="1023" width="0" style="47" hidden="1" customWidth="1"/>
    <col min="1024" max="1024" width="17.140625" style="47" bestFit="1" customWidth="1"/>
    <col min="1025" max="1276" width="9.140625" style="47"/>
    <col min="1277" max="1277" width="47.42578125" style="47" customWidth="1"/>
    <col min="1278" max="1278" width="31.42578125" style="47" customWidth="1"/>
    <col min="1279" max="1279" width="0" style="47" hidden="1" customWidth="1"/>
    <col min="1280" max="1280" width="17.140625" style="47" bestFit="1" customWidth="1"/>
    <col min="1281" max="1532" width="9.140625" style="47"/>
    <col min="1533" max="1533" width="47.42578125" style="47" customWidth="1"/>
    <col min="1534" max="1534" width="31.42578125" style="47" customWidth="1"/>
    <col min="1535" max="1535" width="0" style="47" hidden="1" customWidth="1"/>
    <col min="1536" max="1536" width="17.140625" style="47" bestFit="1" customWidth="1"/>
    <col min="1537" max="1788" width="9.140625" style="47"/>
    <col min="1789" max="1789" width="47.42578125" style="47" customWidth="1"/>
    <col min="1790" max="1790" width="31.42578125" style="47" customWidth="1"/>
    <col min="1791" max="1791" width="0" style="47" hidden="1" customWidth="1"/>
    <col min="1792" max="1792" width="17.140625" style="47" bestFit="1" customWidth="1"/>
    <col min="1793" max="2044" width="9.140625" style="47"/>
    <col min="2045" max="2045" width="47.42578125" style="47" customWidth="1"/>
    <col min="2046" max="2046" width="31.42578125" style="47" customWidth="1"/>
    <col min="2047" max="2047" width="0" style="47" hidden="1" customWidth="1"/>
    <col min="2048" max="2048" width="17.140625" style="47" bestFit="1" customWidth="1"/>
    <col min="2049" max="2300" width="9.140625" style="47"/>
    <col min="2301" max="2301" width="47.42578125" style="47" customWidth="1"/>
    <col min="2302" max="2302" width="31.42578125" style="47" customWidth="1"/>
    <col min="2303" max="2303" width="0" style="47" hidden="1" customWidth="1"/>
    <col min="2304" max="2304" width="17.140625" style="47" bestFit="1" customWidth="1"/>
    <col min="2305" max="2556" width="9.140625" style="47"/>
    <col min="2557" max="2557" width="47.42578125" style="47" customWidth="1"/>
    <col min="2558" max="2558" width="31.42578125" style="47" customWidth="1"/>
    <col min="2559" max="2559" width="0" style="47" hidden="1" customWidth="1"/>
    <col min="2560" max="2560" width="17.140625" style="47" bestFit="1" customWidth="1"/>
    <col min="2561" max="2812" width="9.140625" style="47"/>
    <col min="2813" max="2813" width="47.42578125" style="47" customWidth="1"/>
    <col min="2814" max="2814" width="31.42578125" style="47" customWidth="1"/>
    <col min="2815" max="2815" width="0" style="47" hidden="1" customWidth="1"/>
    <col min="2816" max="2816" width="17.140625" style="47" bestFit="1" customWidth="1"/>
    <col min="2817" max="3068" width="9.140625" style="47"/>
    <col min="3069" max="3069" width="47.42578125" style="47" customWidth="1"/>
    <col min="3070" max="3070" width="31.42578125" style="47" customWidth="1"/>
    <col min="3071" max="3071" width="0" style="47" hidden="1" customWidth="1"/>
    <col min="3072" max="3072" width="17.140625" style="47" bestFit="1" customWidth="1"/>
    <col min="3073" max="3324" width="9.140625" style="47"/>
    <col min="3325" max="3325" width="47.42578125" style="47" customWidth="1"/>
    <col min="3326" max="3326" width="31.42578125" style="47" customWidth="1"/>
    <col min="3327" max="3327" width="0" style="47" hidden="1" customWidth="1"/>
    <col min="3328" max="3328" width="17.140625" style="47" bestFit="1" customWidth="1"/>
    <col min="3329" max="3580" width="9.140625" style="47"/>
    <col min="3581" max="3581" width="47.42578125" style="47" customWidth="1"/>
    <col min="3582" max="3582" width="31.42578125" style="47" customWidth="1"/>
    <col min="3583" max="3583" width="0" style="47" hidden="1" customWidth="1"/>
    <col min="3584" max="3584" width="17.140625" style="47" bestFit="1" customWidth="1"/>
    <col min="3585" max="3836" width="9.140625" style="47"/>
    <col min="3837" max="3837" width="47.42578125" style="47" customWidth="1"/>
    <col min="3838" max="3838" width="31.42578125" style="47" customWidth="1"/>
    <col min="3839" max="3839" width="0" style="47" hidden="1" customWidth="1"/>
    <col min="3840" max="3840" width="17.140625" style="47" bestFit="1" customWidth="1"/>
    <col min="3841" max="4092" width="9.140625" style="47"/>
    <col min="4093" max="4093" width="47.42578125" style="47" customWidth="1"/>
    <col min="4094" max="4094" width="31.42578125" style="47" customWidth="1"/>
    <col min="4095" max="4095" width="0" style="47" hidden="1" customWidth="1"/>
    <col min="4096" max="4096" width="17.140625" style="47" bestFit="1" customWidth="1"/>
    <col min="4097" max="4348" width="9.140625" style="47"/>
    <col min="4349" max="4349" width="47.42578125" style="47" customWidth="1"/>
    <col min="4350" max="4350" width="31.42578125" style="47" customWidth="1"/>
    <col min="4351" max="4351" width="0" style="47" hidden="1" customWidth="1"/>
    <col min="4352" max="4352" width="17.140625" style="47" bestFit="1" customWidth="1"/>
    <col min="4353" max="4604" width="9.140625" style="47"/>
    <col min="4605" max="4605" width="47.42578125" style="47" customWidth="1"/>
    <col min="4606" max="4606" width="31.42578125" style="47" customWidth="1"/>
    <col min="4607" max="4607" width="0" style="47" hidden="1" customWidth="1"/>
    <col min="4608" max="4608" width="17.140625" style="47" bestFit="1" customWidth="1"/>
    <col min="4609" max="4860" width="9.140625" style="47"/>
    <col min="4861" max="4861" width="47.42578125" style="47" customWidth="1"/>
    <col min="4862" max="4862" width="31.42578125" style="47" customWidth="1"/>
    <col min="4863" max="4863" width="0" style="47" hidden="1" customWidth="1"/>
    <col min="4864" max="4864" width="17.140625" style="47" bestFit="1" customWidth="1"/>
    <col min="4865" max="5116" width="9.140625" style="47"/>
    <col min="5117" max="5117" width="47.42578125" style="47" customWidth="1"/>
    <col min="5118" max="5118" width="31.42578125" style="47" customWidth="1"/>
    <col min="5119" max="5119" width="0" style="47" hidden="1" customWidth="1"/>
    <col min="5120" max="5120" width="17.140625" style="47" bestFit="1" customWidth="1"/>
    <col min="5121" max="5372" width="9.140625" style="47"/>
    <col min="5373" max="5373" width="47.42578125" style="47" customWidth="1"/>
    <col min="5374" max="5374" width="31.42578125" style="47" customWidth="1"/>
    <col min="5375" max="5375" width="0" style="47" hidden="1" customWidth="1"/>
    <col min="5376" max="5376" width="17.140625" style="47" bestFit="1" customWidth="1"/>
    <col min="5377" max="5628" width="9.140625" style="47"/>
    <col min="5629" max="5629" width="47.42578125" style="47" customWidth="1"/>
    <col min="5630" max="5630" width="31.42578125" style="47" customWidth="1"/>
    <col min="5631" max="5631" width="0" style="47" hidden="1" customWidth="1"/>
    <col min="5632" max="5632" width="17.140625" style="47" bestFit="1" customWidth="1"/>
    <col min="5633" max="5884" width="9.140625" style="47"/>
    <col min="5885" max="5885" width="47.42578125" style="47" customWidth="1"/>
    <col min="5886" max="5886" width="31.42578125" style="47" customWidth="1"/>
    <col min="5887" max="5887" width="0" style="47" hidden="1" customWidth="1"/>
    <col min="5888" max="5888" width="17.140625" style="47" bestFit="1" customWidth="1"/>
    <col min="5889" max="6140" width="9.140625" style="47"/>
    <col min="6141" max="6141" width="47.42578125" style="47" customWidth="1"/>
    <col min="6142" max="6142" width="31.42578125" style="47" customWidth="1"/>
    <col min="6143" max="6143" width="0" style="47" hidden="1" customWidth="1"/>
    <col min="6144" max="6144" width="17.140625" style="47" bestFit="1" customWidth="1"/>
    <col min="6145" max="6396" width="9.140625" style="47"/>
    <col min="6397" max="6397" width="47.42578125" style="47" customWidth="1"/>
    <col min="6398" max="6398" width="31.42578125" style="47" customWidth="1"/>
    <col min="6399" max="6399" width="0" style="47" hidden="1" customWidth="1"/>
    <col min="6400" max="6400" width="17.140625" style="47" bestFit="1" customWidth="1"/>
    <col min="6401" max="6652" width="9.140625" style="47"/>
    <col min="6653" max="6653" width="47.42578125" style="47" customWidth="1"/>
    <col min="6654" max="6654" width="31.42578125" style="47" customWidth="1"/>
    <col min="6655" max="6655" width="0" style="47" hidden="1" customWidth="1"/>
    <col min="6656" max="6656" width="17.140625" style="47" bestFit="1" customWidth="1"/>
    <col min="6657" max="6908" width="9.140625" style="47"/>
    <col min="6909" max="6909" width="47.42578125" style="47" customWidth="1"/>
    <col min="6910" max="6910" width="31.42578125" style="47" customWidth="1"/>
    <col min="6911" max="6911" width="0" style="47" hidden="1" customWidth="1"/>
    <col min="6912" max="6912" width="17.140625" style="47" bestFit="1" customWidth="1"/>
    <col min="6913" max="7164" width="9.140625" style="47"/>
    <col min="7165" max="7165" width="47.42578125" style="47" customWidth="1"/>
    <col min="7166" max="7166" width="31.42578125" style="47" customWidth="1"/>
    <col min="7167" max="7167" width="0" style="47" hidden="1" customWidth="1"/>
    <col min="7168" max="7168" width="17.140625" style="47" bestFit="1" customWidth="1"/>
    <col min="7169" max="7420" width="9.140625" style="47"/>
    <col min="7421" max="7421" width="47.42578125" style="47" customWidth="1"/>
    <col min="7422" max="7422" width="31.42578125" style="47" customWidth="1"/>
    <col min="7423" max="7423" width="0" style="47" hidden="1" customWidth="1"/>
    <col min="7424" max="7424" width="17.140625" style="47" bestFit="1" customWidth="1"/>
    <col min="7425" max="7676" width="9.140625" style="47"/>
    <col min="7677" max="7677" width="47.42578125" style="47" customWidth="1"/>
    <col min="7678" max="7678" width="31.42578125" style="47" customWidth="1"/>
    <col min="7679" max="7679" width="0" style="47" hidden="1" customWidth="1"/>
    <col min="7680" max="7680" width="17.140625" style="47" bestFit="1" customWidth="1"/>
    <col min="7681" max="7932" width="9.140625" style="47"/>
    <col min="7933" max="7933" width="47.42578125" style="47" customWidth="1"/>
    <col min="7934" max="7934" width="31.42578125" style="47" customWidth="1"/>
    <col min="7935" max="7935" width="0" style="47" hidden="1" customWidth="1"/>
    <col min="7936" max="7936" width="17.140625" style="47" bestFit="1" customWidth="1"/>
    <col min="7937" max="8188" width="9.140625" style="47"/>
    <col min="8189" max="8189" width="47.42578125" style="47" customWidth="1"/>
    <col min="8190" max="8190" width="31.42578125" style="47" customWidth="1"/>
    <col min="8191" max="8191" width="0" style="47" hidden="1" customWidth="1"/>
    <col min="8192" max="8192" width="17.140625" style="47" bestFit="1" customWidth="1"/>
    <col min="8193" max="8444" width="9.140625" style="47"/>
    <col min="8445" max="8445" width="47.42578125" style="47" customWidth="1"/>
    <col min="8446" max="8446" width="31.42578125" style="47" customWidth="1"/>
    <col min="8447" max="8447" width="0" style="47" hidden="1" customWidth="1"/>
    <col min="8448" max="8448" width="17.140625" style="47" bestFit="1" customWidth="1"/>
    <col min="8449" max="8700" width="9.140625" style="47"/>
    <col min="8701" max="8701" width="47.42578125" style="47" customWidth="1"/>
    <col min="8702" max="8702" width="31.42578125" style="47" customWidth="1"/>
    <col min="8703" max="8703" width="0" style="47" hidden="1" customWidth="1"/>
    <col min="8704" max="8704" width="17.140625" style="47" bestFit="1" customWidth="1"/>
    <col min="8705" max="8956" width="9.140625" style="47"/>
    <col min="8957" max="8957" width="47.42578125" style="47" customWidth="1"/>
    <col min="8958" max="8958" width="31.42578125" style="47" customWidth="1"/>
    <col min="8959" max="8959" width="0" style="47" hidden="1" customWidth="1"/>
    <col min="8960" max="8960" width="17.140625" style="47" bestFit="1" customWidth="1"/>
    <col min="8961" max="9212" width="9.140625" style="47"/>
    <col min="9213" max="9213" width="47.42578125" style="47" customWidth="1"/>
    <col min="9214" max="9214" width="31.42578125" style="47" customWidth="1"/>
    <col min="9215" max="9215" width="0" style="47" hidden="1" customWidth="1"/>
    <col min="9216" max="9216" width="17.140625" style="47" bestFit="1" customWidth="1"/>
    <col min="9217" max="9468" width="9.140625" style="47"/>
    <col min="9469" max="9469" width="47.42578125" style="47" customWidth="1"/>
    <col min="9470" max="9470" width="31.42578125" style="47" customWidth="1"/>
    <col min="9471" max="9471" width="0" style="47" hidden="1" customWidth="1"/>
    <col min="9472" max="9472" width="17.140625" style="47" bestFit="1" customWidth="1"/>
    <col min="9473" max="9724" width="9.140625" style="47"/>
    <col min="9725" max="9725" width="47.42578125" style="47" customWidth="1"/>
    <col min="9726" max="9726" width="31.42578125" style="47" customWidth="1"/>
    <col min="9727" max="9727" width="0" style="47" hidden="1" customWidth="1"/>
    <col min="9728" max="9728" width="17.140625" style="47" bestFit="1" customWidth="1"/>
    <col min="9729" max="9980" width="9.140625" style="47"/>
    <col min="9981" max="9981" width="47.42578125" style="47" customWidth="1"/>
    <col min="9982" max="9982" width="31.42578125" style="47" customWidth="1"/>
    <col min="9983" max="9983" width="0" style="47" hidden="1" customWidth="1"/>
    <col min="9984" max="9984" width="17.140625" style="47" bestFit="1" customWidth="1"/>
    <col min="9985" max="10236" width="9.140625" style="47"/>
    <col min="10237" max="10237" width="47.42578125" style="47" customWidth="1"/>
    <col min="10238" max="10238" width="31.42578125" style="47" customWidth="1"/>
    <col min="10239" max="10239" width="0" style="47" hidden="1" customWidth="1"/>
    <col min="10240" max="10240" width="17.140625" style="47" bestFit="1" customWidth="1"/>
    <col min="10241" max="10492" width="9.140625" style="47"/>
    <col min="10493" max="10493" width="47.42578125" style="47" customWidth="1"/>
    <col min="10494" max="10494" width="31.42578125" style="47" customWidth="1"/>
    <col min="10495" max="10495" width="0" style="47" hidden="1" customWidth="1"/>
    <col min="10496" max="10496" width="17.140625" style="47" bestFit="1" customWidth="1"/>
    <col min="10497" max="10748" width="9.140625" style="47"/>
    <col min="10749" max="10749" width="47.42578125" style="47" customWidth="1"/>
    <col min="10750" max="10750" width="31.42578125" style="47" customWidth="1"/>
    <col min="10751" max="10751" width="0" style="47" hidden="1" customWidth="1"/>
    <col min="10752" max="10752" width="17.140625" style="47" bestFit="1" customWidth="1"/>
    <col min="10753" max="11004" width="9.140625" style="47"/>
    <col min="11005" max="11005" width="47.42578125" style="47" customWidth="1"/>
    <col min="11006" max="11006" width="31.42578125" style="47" customWidth="1"/>
    <col min="11007" max="11007" width="0" style="47" hidden="1" customWidth="1"/>
    <col min="11008" max="11008" width="17.140625" style="47" bestFit="1" customWidth="1"/>
    <col min="11009" max="11260" width="9.140625" style="47"/>
    <col min="11261" max="11261" width="47.42578125" style="47" customWidth="1"/>
    <col min="11262" max="11262" width="31.42578125" style="47" customWidth="1"/>
    <col min="11263" max="11263" width="0" style="47" hidden="1" customWidth="1"/>
    <col min="11264" max="11264" width="17.140625" style="47" bestFit="1" customWidth="1"/>
    <col min="11265" max="11516" width="9.140625" style="47"/>
    <col min="11517" max="11517" width="47.42578125" style="47" customWidth="1"/>
    <col min="11518" max="11518" width="31.42578125" style="47" customWidth="1"/>
    <col min="11519" max="11519" width="0" style="47" hidden="1" customWidth="1"/>
    <col min="11520" max="11520" width="17.140625" style="47" bestFit="1" customWidth="1"/>
    <col min="11521" max="11772" width="9.140625" style="47"/>
    <col min="11773" max="11773" width="47.42578125" style="47" customWidth="1"/>
    <col min="11774" max="11774" width="31.42578125" style="47" customWidth="1"/>
    <col min="11775" max="11775" width="0" style="47" hidden="1" customWidth="1"/>
    <col min="11776" max="11776" width="17.140625" style="47" bestFit="1" customWidth="1"/>
    <col min="11777" max="12028" width="9.140625" style="47"/>
    <col min="12029" max="12029" width="47.42578125" style="47" customWidth="1"/>
    <col min="12030" max="12030" width="31.42578125" style="47" customWidth="1"/>
    <col min="12031" max="12031" width="0" style="47" hidden="1" customWidth="1"/>
    <col min="12032" max="12032" width="17.140625" style="47" bestFit="1" customWidth="1"/>
    <col min="12033" max="12284" width="9.140625" style="47"/>
    <col min="12285" max="12285" width="47.42578125" style="47" customWidth="1"/>
    <col min="12286" max="12286" width="31.42578125" style="47" customWidth="1"/>
    <col min="12287" max="12287" width="0" style="47" hidden="1" customWidth="1"/>
    <col min="12288" max="12288" width="17.140625" style="47" bestFit="1" customWidth="1"/>
    <col min="12289" max="12540" width="9.140625" style="47"/>
    <col min="12541" max="12541" width="47.42578125" style="47" customWidth="1"/>
    <col min="12542" max="12542" width="31.42578125" style="47" customWidth="1"/>
    <col min="12543" max="12543" width="0" style="47" hidden="1" customWidth="1"/>
    <col min="12544" max="12544" width="17.140625" style="47" bestFit="1" customWidth="1"/>
    <col min="12545" max="12796" width="9.140625" style="47"/>
    <col min="12797" max="12797" width="47.42578125" style="47" customWidth="1"/>
    <col min="12798" max="12798" width="31.42578125" style="47" customWidth="1"/>
    <col min="12799" max="12799" width="0" style="47" hidden="1" customWidth="1"/>
    <col min="12800" max="12800" width="17.140625" style="47" bestFit="1" customWidth="1"/>
    <col min="12801" max="13052" width="9.140625" style="47"/>
    <col min="13053" max="13053" width="47.42578125" style="47" customWidth="1"/>
    <col min="13054" max="13054" width="31.42578125" style="47" customWidth="1"/>
    <col min="13055" max="13055" width="0" style="47" hidden="1" customWidth="1"/>
    <col min="13056" max="13056" width="17.140625" style="47" bestFit="1" customWidth="1"/>
    <col min="13057" max="13308" width="9.140625" style="47"/>
    <col min="13309" max="13309" width="47.42578125" style="47" customWidth="1"/>
    <col min="13310" max="13310" width="31.42578125" style="47" customWidth="1"/>
    <col min="13311" max="13311" width="0" style="47" hidden="1" customWidth="1"/>
    <col min="13312" max="13312" width="17.140625" style="47" bestFit="1" customWidth="1"/>
    <col min="13313" max="13564" width="9.140625" style="47"/>
    <col min="13565" max="13565" width="47.42578125" style="47" customWidth="1"/>
    <col min="13566" max="13566" width="31.42578125" style="47" customWidth="1"/>
    <col min="13567" max="13567" width="0" style="47" hidden="1" customWidth="1"/>
    <col min="13568" max="13568" width="17.140625" style="47" bestFit="1" customWidth="1"/>
    <col min="13569" max="13820" width="9.140625" style="47"/>
    <col min="13821" max="13821" width="47.42578125" style="47" customWidth="1"/>
    <col min="13822" max="13822" width="31.42578125" style="47" customWidth="1"/>
    <col min="13823" max="13823" width="0" style="47" hidden="1" customWidth="1"/>
    <col min="13824" max="13824" width="17.140625" style="47" bestFit="1" customWidth="1"/>
    <col min="13825" max="14076" width="9.140625" style="47"/>
    <col min="14077" max="14077" width="47.42578125" style="47" customWidth="1"/>
    <col min="14078" max="14078" width="31.42578125" style="47" customWidth="1"/>
    <col min="14079" max="14079" width="0" style="47" hidden="1" customWidth="1"/>
    <col min="14080" max="14080" width="17.140625" style="47" bestFit="1" customWidth="1"/>
    <col min="14081" max="14332" width="9.140625" style="47"/>
    <col min="14333" max="14333" width="47.42578125" style="47" customWidth="1"/>
    <col min="14334" max="14334" width="31.42578125" style="47" customWidth="1"/>
    <col min="14335" max="14335" width="0" style="47" hidden="1" customWidth="1"/>
    <col min="14336" max="14336" width="17.140625" style="47" bestFit="1" customWidth="1"/>
    <col min="14337" max="14588" width="9.140625" style="47"/>
    <col min="14589" max="14589" width="47.42578125" style="47" customWidth="1"/>
    <col min="14590" max="14590" width="31.42578125" style="47" customWidth="1"/>
    <col min="14591" max="14591" width="0" style="47" hidden="1" customWidth="1"/>
    <col min="14592" max="14592" width="17.140625" style="47" bestFit="1" customWidth="1"/>
    <col min="14593" max="14844" width="9.140625" style="47"/>
    <col min="14845" max="14845" width="47.42578125" style="47" customWidth="1"/>
    <col min="14846" max="14846" width="31.42578125" style="47" customWidth="1"/>
    <col min="14847" max="14847" width="0" style="47" hidden="1" customWidth="1"/>
    <col min="14848" max="14848" width="17.140625" style="47" bestFit="1" customWidth="1"/>
    <col min="14849" max="15100" width="9.140625" style="47"/>
    <col min="15101" max="15101" width="47.42578125" style="47" customWidth="1"/>
    <col min="15102" max="15102" width="31.42578125" style="47" customWidth="1"/>
    <col min="15103" max="15103" width="0" style="47" hidden="1" customWidth="1"/>
    <col min="15104" max="15104" width="17.140625" style="47" bestFit="1" customWidth="1"/>
    <col min="15105" max="15356" width="9.140625" style="47"/>
    <col min="15357" max="15357" width="47.42578125" style="47" customWidth="1"/>
    <col min="15358" max="15358" width="31.42578125" style="47" customWidth="1"/>
    <col min="15359" max="15359" width="0" style="47" hidden="1" customWidth="1"/>
    <col min="15360" max="15360" width="17.140625" style="47" bestFit="1" customWidth="1"/>
    <col min="15361" max="15612" width="9.140625" style="47"/>
    <col min="15613" max="15613" width="47.42578125" style="47" customWidth="1"/>
    <col min="15614" max="15614" width="31.42578125" style="47" customWidth="1"/>
    <col min="15615" max="15615" width="0" style="47" hidden="1" customWidth="1"/>
    <col min="15616" max="15616" width="17.140625" style="47" bestFit="1" customWidth="1"/>
    <col min="15617" max="15868" width="9.140625" style="47"/>
    <col min="15869" max="15869" width="47.42578125" style="47" customWidth="1"/>
    <col min="15870" max="15870" width="31.42578125" style="47" customWidth="1"/>
    <col min="15871" max="15871" width="0" style="47" hidden="1" customWidth="1"/>
    <col min="15872" max="15872" width="17.140625" style="47" bestFit="1" customWidth="1"/>
    <col min="15873" max="16124" width="9.140625" style="47"/>
    <col min="16125" max="16125" width="47.42578125" style="47" customWidth="1"/>
    <col min="16126" max="16126" width="31.42578125" style="47" customWidth="1"/>
    <col min="16127" max="16127" width="0" style="47" hidden="1" customWidth="1"/>
    <col min="16128" max="16128" width="17.140625" style="47" bestFit="1" customWidth="1"/>
    <col min="16129" max="16384" width="9.140625" style="47"/>
  </cols>
  <sheetData>
    <row r="1" spans="1:241" ht="18.75">
      <c r="A1" s="324" t="s">
        <v>169</v>
      </c>
      <c r="B1" s="324"/>
      <c r="C1" s="324"/>
      <c r="D1" s="324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</row>
    <row r="2" spans="1:241" ht="15" customHeight="1">
      <c r="A2" s="272"/>
      <c r="B2" s="272"/>
      <c r="C2" s="272"/>
      <c r="D2" s="27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7"/>
      <c r="HC2" s="47"/>
      <c r="HD2" s="47"/>
      <c r="HE2" s="47"/>
      <c r="HF2" s="47"/>
      <c r="HG2" s="47"/>
      <c r="HH2" s="47"/>
      <c r="HI2" s="47"/>
      <c r="HJ2" s="47"/>
      <c r="HK2" s="47"/>
      <c r="HL2" s="47"/>
      <c r="HM2" s="47"/>
      <c r="HN2" s="47"/>
      <c r="HO2" s="47"/>
      <c r="HP2" s="47"/>
      <c r="HQ2" s="47"/>
      <c r="HR2" s="47"/>
      <c r="HS2" s="47"/>
      <c r="HT2" s="47"/>
      <c r="HU2" s="47"/>
      <c r="HV2" s="47"/>
      <c r="HW2" s="47"/>
      <c r="HX2" s="47"/>
      <c r="HY2" s="47"/>
      <c r="HZ2" s="47"/>
      <c r="IA2" s="47"/>
      <c r="IB2" s="47"/>
      <c r="IC2" s="47"/>
      <c r="ID2" s="47"/>
      <c r="IE2" s="47"/>
      <c r="IF2" s="47"/>
      <c r="IG2" s="47"/>
    </row>
    <row r="3" spans="1:241">
      <c r="A3" s="48" t="str">
        <f>合并资产负债表!A3</f>
        <v>编制单位：</v>
      </c>
      <c r="B3" s="57"/>
      <c r="C3" s="5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  <c r="FL3" s="47"/>
      <c r="FM3" s="47"/>
      <c r="FN3" s="47"/>
      <c r="FO3" s="47"/>
      <c r="FP3" s="47"/>
      <c r="FQ3" s="47"/>
      <c r="FR3" s="47"/>
      <c r="FS3" s="47"/>
      <c r="FT3" s="47"/>
      <c r="FU3" s="47"/>
      <c r="FV3" s="47"/>
      <c r="FW3" s="47"/>
      <c r="FX3" s="47"/>
      <c r="FY3" s="47"/>
      <c r="FZ3" s="47"/>
      <c r="GA3" s="47"/>
      <c r="GB3" s="47"/>
      <c r="GC3" s="47"/>
      <c r="GD3" s="47"/>
      <c r="GE3" s="47"/>
      <c r="GF3" s="47"/>
      <c r="GG3" s="47"/>
      <c r="GH3" s="47"/>
      <c r="GI3" s="47"/>
      <c r="GJ3" s="47"/>
      <c r="GK3" s="47"/>
      <c r="GL3" s="47"/>
      <c r="GM3" s="47"/>
      <c r="GN3" s="47"/>
      <c r="GO3" s="47"/>
      <c r="GP3" s="47"/>
      <c r="GQ3" s="47"/>
      <c r="GR3" s="47"/>
      <c r="GS3" s="47"/>
      <c r="GT3" s="47"/>
      <c r="GU3" s="47"/>
      <c r="GV3" s="47"/>
      <c r="GW3" s="47"/>
      <c r="GX3" s="47"/>
      <c r="GY3" s="47"/>
      <c r="GZ3" s="47"/>
      <c r="HA3" s="47"/>
      <c r="HB3" s="47"/>
      <c r="HC3" s="47"/>
      <c r="HD3" s="47"/>
      <c r="HE3" s="47"/>
      <c r="HF3" s="47"/>
      <c r="HG3" s="47"/>
      <c r="HH3" s="47"/>
      <c r="HI3" s="47"/>
      <c r="HJ3" s="47"/>
      <c r="HK3" s="47"/>
      <c r="HL3" s="47"/>
      <c r="HM3" s="47"/>
      <c r="HN3" s="47"/>
      <c r="HO3" s="47"/>
      <c r="HP3" s="47"/>
      <c r="HQ3" s="47"/>
      <c r="HR3" s="47"/>
      <c r="HS3" s="47"/>
      <c r="HT3" s="47"/>
      <c r="HU3" s="47"/>
      <c r="HV3" s="47"/>
      <c r="HW3" s="47"/>
      <c r="HX3" s="47"/>
      <c r="HY3" s="47"/>
      <c r="HZ3" s="47"/>
      <c r="IA3" s="47"/>
      <c r="IB3" s="47"/>
      <c r="IC3" s="47"/>
      <c r="ID3" s="47"/>
      <c r="IE3" s="47"/>
      <c r="IF3" s="47"/>
      <c r="IG3" s="47"/>
    </row>
    <row r="4" spans="1:241">
      <c r="A4" s="273" t="s">
        <v>546</v>
      </c>
      <c r="B4" s="57"/>
      <c r="C4" s="57"/>
      <c r="D4" s="6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  <c r="FL4" s="47"/>
      <c r="FM4" s="47"/>
      <c r="FN4" s="47"/>
      <c r="FO4" s="47"/>
      <c r="FP4" s="47"/>
      <c r="FQ4" s="47"/>
      <c r="FR4" s="47"/>
      <c r="FS4" s="47"/>
      <c r="FT4" s="47"/>
      <c r="FU4" s="47"/>
      <c r="FV4" s="47"/>
      <c r="FW4" s="47"/>
      <c r="FX4" s="47"/>
      <c r="FY4" s="47"/>
      <c r="FZ4" s="47"/>
      <c r="GA4" s="47"/>
      <c r="GB4" s="47"/>
      <c r="GC4" s="47"/>
      <c r="GD4" s="47"/>
      <c r="GE4" s="47"/>
      <c r="GF4" s="47"/>
      <c r="GG4" s="47"/>
      <c r="GH4" s="47"/>
      <c r="GI4" s="47"/>
      <c r="GJ4" s="47"/>
      <c r="GK4" s="47"/>
      <c r="GL4" s="47"/>
      <c r="GM4" s="47"/>
      <c r="GN4" s="47"/>
      <c r="GO4" s="47"/>
      <c r="GP4" s="47"/>
      <c r="GQ4" s="47"/>
      <c r="GR4" s="47"/>
      <c r="GS4" s="47"/>
      <c r="GT4" s="47"/>
      <c r="GU4" s="47"/>
      <c r="GV4" s="47"/>
      <c r="GW4" s="47"/>
      <c r="GX4" s="47"/>
      <c r="GY4" s="47"/>
      <c r="GZ4" s="47"/>
      <c r="HA4" s="47"/>
      <c r="HB4" s="47"/>
      <c r="HC4" s="47"/>
      <c r="HD4" s="47"/>
      <c r="HE4" s="47"/>
      <c r="HF4" s="47"/>
      <c r="HG4" s="47"/>
      <c r="HH4" s="47"/>
      <c r="HI4" s="47"/>
      <c r="HJ4" s="47"/>
      <c r="HK4" s="47"/>
      <c r="HL4" s="47"/>
      <c r="HM4" s="47"/>
      <c r="HN4" s="47"/>
      <c r="HO4" s="47"/>
      <c r="HP4" s="47"/>
      <c r="HQ4" s="47"/>
      <c r="HR4" s="47"/>
      <c r="HS4" s="47"/>
      <c r="HT4" s="47"/>
      <c r="HU4" s="47"/>
      <c r="HV4" s="47"/>
      <c r="HW4" s="47"/>
      <c r="HX4" s="47"/>
      <c r="HY4" s="47"/>
      <c r="HZ4" s="47"/>
      <c r="IA4" s="47"/>
      <c r="IB4" s="47"/>
      <c r="IC4" s="47"/>
      <c r="ID4" s="47"/>
      <c r="IE4" s="47"/>
      <c r="IF4" s="47"/>
      <c r="IG4" s="47"/>
    </row>
    <row r="5" spans="1:241" ht="16.5" customHeight="1">
      <c r="A5" s="58" t="s">
        <v>170</v>
      </c>
      <c r="B5" s="68" t="str">
        <f>利润表!B5</f>
        <v>2019年9月发生额</v>
      </c>
      <c r="C5" s="68" t="str">
        <f>利润表!C5</f>
        <v>2019年1-9月发生额</v>
      </c>
      <c r="D5" s="68" t="str">
        <f>利润表!D5</f>
        <v>2018年1-9月发生额</v>
      </c>
      <c r="E5" s="123" t="s">
        <v>291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  <c r="DT5" s="47"/>
      <c r="DU5" s="47"/>
      <c r="DV5" s="47"/>
      <c r="DW5" s="47"/>
      <c r="DX5" s="47"/>
      <c r="DY5" s="47"/>
      <c r="DZ5" s="47"/>
      <c r="EA5" s="47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47"/>
      <c r="ET5" s="47"/>
      <c r="EU5" s="47"/>
      <c r="EV5" s="47"/>
      <c r="EW5" s="47"/>
      <c r="EX5" s="47"/>
      <c r="EY5" s="47"/>
      <c r="EZ5" s="47"/>
      <c r="FA5" s="47"/>
      <c r="FB5" s="47"/>
      <c r="FC5" s="47"/>
      <c r="FD5" s="47"/>
      <c r="FE5" s="47"/>
      <c r="FF5" s="47"/>
      <c r="FG5" s="47"/>
      <c r="FH5" s="47"/>
      <c r="FI5" s="47"/>
      <c r="FJ5" s="47"/>
      <c r="FK5" s="47"/>
      <c r="FL5" s="47"/>
      <c r="FM5" s="47"/>
      <c r="FN5" s="47"/>
      <c r="FO5" s="47"/>
      <c r="FP5" s="47"/>
      <c r="FQ5" s="47"/>
      <c r="FR5" s="47"/>
      <c r="FS5" s="47"/>
      <c r="FT5" s="47"/>
      <c r="FU5" s="47"/>
      <c r="FV5" s="47"/>
      <c r="FW5" s="47"/>
      <c r="FX5" s="47"/>
      <c r="FY5" s="47"/>
      <c r="FZ5" s="47"/>
      <c r="GA5" s="47"/>
      <c r="GB5" s="47"/>
      <c r="GC5" s="47"/>
      <c r="GD5" s="47"/>
      <c r="GE5" s="47"/>
      <c r="GF5" s="47"/>
      <c r="GG5" s="47"/>
      <c r="GH5" s="47"/>
      <c r="GI5" s="47"/>
      <c r="GJ5" s="47"/>
      <c r="GK5" s="47"/>
      <c r="GL5" s="47"/>
      <c r="GM5" s="47"/>
      <c r="GN5" s="47"/>
      <c r="GO5" s="47"/>
      <c r="GP5" s="47"/>
      <c r="GQ5" s="47"/>
      <c r="GR5" s="47"/>
      <c r="GS5" s="47"/>
      <c r="GT5" s="47"/>
      <c r="GU5" s="47"/>
      <c r="GV5" s="47"/>
      <c r="GW5" s="47"/>
      <c r="GX5" s="47"/>
      <c r="GY5" s="47"/>
      <c r="GZ5" s="47"/>
      <c r="HA5" s="47"/>
      <c r="HB5" s="47"/>
      <c r="HC5" s="47"/>
      <c r="HD5" s="47"/>
      <c r="HE5" s="47"/>
      <c r="HF5" s="47"/>
      <c r="HG5" s="47"/>
      <c r="HH5" s="47"/>
      <c r="HI5" s="47"/>
      <c r="HJ5" s="47"/>
      <c r="HK5" s="47"/>
      <c r="HL5" s="47"/>
      <c r="HM5" s="47"/>
      <c r="HN5" s="47"/>
      <c r="HO5" s="47"/>
      <c r="HP5" s="47"/>
      <c r="HQ5" s="47"/>
      <c r="HR5" s="47"/>
      <c r="HS5" s="47"/>
      <c r="HT5" s="47"/>
      <c r="HU5" s="47"/>
      <c r="HV5" s="47"/>
      <c r="HW5" s="47"/>
      <c r="HX5" s="47"/>
      <c r="HY5" s="47"/>
      <c r="HZ5" s="47"/>
      <c r="IA5" s="47"/>
      <c r="IB5" s="47"/>
      <c r="IC5" s="47"/>
      <c r="ID5" s="47"/>
      <c r="IE5" s="47"/>
      <c r="IF5" s="47"/>
      <c r="IG5" s="47"/>
    </row>
    <row r="6" spans="1:241" ht="16.5" customHeight="1">
      <c r="A6" s="60" t="s">
        <v>171</v>
      </c>
      <c r="B6" s="69"/>
      <c r="C6" s="69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47"/>
      <c r="DY6" s="47"/>
      <c r="DZ6" s="47"/>
      <c r="EA6" s="47"/>
      <c r="EB6" s="47"/>
      <c r="EC6" s="47"/>
      <c r="ED6" s="47"/>
      <c r="EE6" s="47"/>
      <c r="EF6" s="47"/>
      <c r="EG6" s="47"/>
      <c r="EH6" s="47"/>
      <c r="EI6" s="47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7"/>
      <c r="FA6" s="47"/>
      <c r="FB6" s="47"/>
      <c r="FC6" s="47"/>
      <c r="FD6" s="47"/>
      <c r="FE6" s="47"/>
      <c r="FF6" s="47"/>
      <c r="FG6" s="47"/>
      <c r="FH6" s="47"/>
      <c r="FI6" s="47"/>
      <c r="FJ6" s="47"/>
      <c r="FK6" s="47"/>
      <c r="FL6" s="47"/>
      <c r="FM6" s="47"/>
      <c r="FN6" s="47"/>
      <c r="FO6" s="47"/>
      <c r="FP6" s="47"/>
      <c r="FQ6" s="47"/>
      <c r="FR6" s="47"/>
      <c r="FS6" s="47"/>
      <c r="FT6" s="47"/>
      <c r="FU6" s="47"/>
      <c r="FV6" s="47"/>
      <c r="FW6" s="47"/>
      <c r="FX6" s="47"/>
      <c r="FY6" s="47"/>
      <c r="FZ6" s="47"/>
      <c r="GA6" s="47"/>
      <c r="GB6" s="47"/>
      <c r="GC6" s="47"/>
      <c r="GD6" s="47"/>
      <c r="GE6" s="47"/>
      <c r="GF6" s="47"/>
      <c r="GG6" s="47"/>
      <c r="GH6" s="47"/>
      <c r="GI6" s="47"/>
      <c r="GJ6" s="47"/>
      <c r="GK6" s="47"/>
      <c r="GL6" s="47"/>
      <c r="GM6" s="47"/>
      <c r="GN6" s="47"/>
      <c r="GO6" s="47"/>
      <c r="GP6" s="47"/>
      <c r="GQ6" s="47"/>
      <c r="GR6" s="47"/>
      <c r="GS6" s="47"/>
      <c r="GT6" s="47"/>
      <c r="GU6" s="47"/>
      <c r="GV6" s="47"/>
      <c r="GW6" s="47"/>
      <c r="GX6" s="47"/>
      <c r="GY6" s="47"/>
      <c r="GZ6" s="47"/>
      <c r="HA6" s="47"/>
      <c r="HB6" s="47"/>
      <c r="HC6" s="47"/>
      <c r="HD6" s="47"/>
      <c r="HE6" s="47"/>
      <c r="HF6" s="47"/>
      <c r="HG6" s="47"/>
      <c r="HH6" s="47"/>
      <c r="HI6" s="47"/>
      <c r="HJ6" s="47"/>
      <c r="HK6" s="47"/>
      <c r="HL6" s="47"/>
      <c r="HM6" s="47"/>
      <c r="HN6" s="47"/>
      <c r="HO6" s="47"/>
      <c r="HP6" s="47"/>
      <c r="HQ6" s="47"/>
      <c r="HR6" s="47"/>
      <c r="HS6" s="47"/>
      <c r="HT6" s="47"/>
      <c r="HU6" s="47"/>
      <c r="HV6" s="47"/>
      <c r="HW6" s="47"/>
      <c r="HX6" s="47"/>
      <c r="HY6" s="47"/>
      <c r="HZ6" s="47"/>
      <c r="IA6" s="47"/>
      <c r="IB6" s="47"/>
      <c r="IC6" s="47"/>
      <c r="ID6" s="47"/>
      <c r="IE6" s="47"/>
      <c r="IF6" s="47"/>
      <c r="IG6" s="47"/>
    </row>
    <row r="7" spans="1:241" ht="16.5" customHeight="1">
      <c r="A7" s="57" t="s">
        <v>311</v>
      </c>
      <c r="B7" s="134" t="str">
        <f>IF(VLOOKUP(A7,过渡表!$A$3:$R$194,12,0)&lt;&gt;0,VLOOKUP(A7,过渡表!$A$3:$R$194,12,0),"")</f>
        <v/>
      </c>
      <c r="C7" s="134" t="str">
        <f>IF(VLOOKUP(A7,过渡表!$A$3:$V$194,22,0)&lt;&gt;0,VLOOKUP(A7,过渡表!$A$3:$V$194,22,0),"")</f>
        <v/>
      </c>
      <c r="D7" s="221"/>
      <c r="E7" s="124">
        <f>IFERROR((B7-D7)/D7,0)</f>
        <v>0</v>
      </c>
      <c r="F7" s="150"/>
      <c r="G7" s="150"/>
      <c r="H7" s="150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  <c r="EP7" s="47"/>
      <c r="EQ7" s="47"/>
      <c r="ER7" s="47"/>
      <c r="ES7" s="47"/>
      <c r="ET7" s="47"/>
      <c r="EU7" s="47"/>
      <c r="EV7" s="47"/>
      <c r="EW7" s="47"/>
      <c r="EX7" s="47"/>
      <c r="EY7" s="47"/>
      <c r="EZ7" s="47"/>
      <c r="FA7" s="47"/>
      <c r="FB7" s="47"/>
      <c r="FC7" s="47"/>
      <c r="FD7" s="47"/>
      <c r="FE7" s="47"/>
      <c r="FF7" s="47"/>
      <c r="FG7" s="47"/>
      <c r="FH7" s="47"/>
      <c r="FI7" s="47"/>
      <c r="FJ7" s="47"/>
      <c r="FK7" s="47"/>
      <c r="FL7" s="47"/>
      <c r="FM7" s="47"/>
      <c r="FN7" s="47"/>
      <c r="FO7" s="47"/>
      <c r="FP7" s="47"/>
      <c r="FQ7" s="47"/>
      <c r="FR7" s="47"/>
      <c r="FS7" s="47"/>
      <c r="FT7" s="47"/>
      <c r="FU7" s="47"/>
      <c r="FV7" s="47"/>
      <c r="FW7" s="47"/>
      <c r="FX7" s="47"/>
      <c r="FY7" s="47"/>
      <c r="FZ7" s="47"/>
      <c r="GA7" s="47"/>
      <c r="GB7" s="47"/>
      <c r="GC7" s="47"/>
      <c r="GD7" s="47"/>
      <c r="GE7" s="47"/>
      <c r="GF7" s="47"/>
      <c r="GG7" s="47"/>
      <c r="GH7" s="47"/>
      <c r="GI7" s="47"/>
      <c r="GJ7" s="47"/>
      <c r="GK7" s="47"/>
      <c r="GL7" s="47"/>
      <c r="GM7" s="47"/>
      <c r="GN7" s="47"/>
      <c r="GO7" s="47"/>
      <c r="GP7" s="47"/>
      <c r="GQ7" s="47"/>
      <c r="GR7" s="47"/>
      <c r="GS7" s="47"/>
      <c r="GT7" s="47"/>
      <c r="GU7" s="47"/>
      <c r="GV7" s="47"/>
      <c r="GW7" s="47"/>
      <c r="GX7" s="47"/>
      <c r="GY7" s="47"/>
      <c r="GZ7" s="47"/>
      <c r="HA7" s="47"/>
      <c r="HB7" s="47"/>
      <c r="HC7" s="47"/>
      <c r="HD7" s="47"/>
      <c r="HE7" s="47"/>
      <c r="HF7" s="47"/>
      <c r="HG7" s="47"/>
      <c r="HH7" s="47"/>
      <c r="HI7" s="47"/>
      <c r="HJ7" s="47"/>
      <c r="HK7" s="47"/>
      <c r="HL7" s="47"/>
      <c r="HM7" s="47"/>
      <c r="HN7" s="47"/>
      <c r="HO7" s="47"/>
      <c r="HP7" s="47"/>
      <c r="HQ7" s="47"/>
      <c r="HR7" s="47"/>
      <c r="HS7" s="47"/>
      <c r="HT7" s="47"/>
      <c r="HU7" s="47"/>
      <c r="HV7" s="47"/>
      <c r="HW7" s="47"/>
      <c r="HX7" s="47"/>
      <c r="HY7" s="47"/>
      <c r="HZ7" s="47"/>
      <c r="IA7" s="47"/>
      <c r="IB7" s="47"/>
      <c r="IC7" s="47"/>
      <c r="ID7" s="47"/>
      <c r="IE7" s="47"/>
      <c r="IF7" s="47"/>
      <c r="IG7" s="47"/>
    </row>
    <row r="8" spans="1:241" ht="16.5" customHeight="1">
      <c r="A8" s="57" t="s">
        <v>1</v>
      </c>
      <c r="B8" s="134" t="str">
        <f>IF(VLOOKUP(A8,过渡表!$A$3:$R$194,12,0)&lt;&gt;0,VLOOKUP(A8,过渡表!$A$3:$R$194,12,0),"")</f>
        <v/>
      </c>
      <c r="C8" s="134" t="str">
        <f>IF(VLOOKUP(A8,过渡表!$A$3:$V$194,22,0)&lt;&gt;0,VLOOKUP(A8,过渡表!$A$3:$V$194,22,0),"")</f>
        <v/>
      </c>
      <c r="D8" s="221"/>
      <c r="E8" s="124">
        <f t="shared" ref="E8:E44" si="0">IFERROR((B8-D8)/D8,0)</f>
        <v>0</v>
      </c>
      <c r="F8" s="47"/>
      <c r="G8" s="150"/>
      <c r="H8" s="150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</row>
    <row r="9" spans="1:241" ht="16.5" customHeight="1">
      <c r="A9" s="57" t="s">
        <v>172</v>
      </c>
      <c r="B9" s="147" t="str">
        <f>IF(VLOOKUP(A9,过渡表!$A$3:$R$194,12,0)&lt;&gt;0,VLOOKUP(A9,过渡表!$A$3:$R$194,12,0),"")</f>
        <v/>
      </c>
      <c r="C9" s="147" t="str">
        <f>IF(VLOOKUP(A9,过渡表!$A$3:$V$194,22,0)&lt;&gt;0,VLOOKUP(A9,过渡表!$A$3:$V$194,22,0),"")</f>
        <v/>
      </c>
      <c r="D9" s="147"/>
      <c r="E9" s="124">
        <f t="shared" si="0"/>
        <v>0</v>
      </c>
      <c r="F9" s="47"/>
      <c r="G9" s="150"/>
      <c r="H9" s="150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C9" s="47"/>
      <c r="ID9" s="47"/>
      <c r="IE9" s="47"/>
      <c r="IF9" s="47"/>
      <c r="IG9" s="47"/>
    </row>
    <row r="10" spans="1:241" ht="16.5" customHeight="1">
      <c r="A10" s="59" t="s">
        <v>173</v>
      </c>
      <c r="B10" s="145">
        <f>SUM(B7:B9)</f>
        <v>0</v>
      </c>
      <c r="C10" s="145">
        <f>SUM(C7:C9)</f>
        <v>0</v>
      </c>
      <c r="D10" s="145">
        <f>SUM(D7:D9)</f>
        <v>0</v>
      </c>
      <c r="E10" s="124">
        <f t="shared" si="0"/>
        <v>0</v>
      </c>
      <c r="F10" s="47"/>
      <c r="G10" s="150"/>
      <c r="H10" s="150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</row>
    <row r="11" spans="1:241" ht="16.5" customHeight="1">
      <c r="A11" s="57" t="s">
        <v>2</v>
      </c>
      <c r="B11" s="134" t="str">
        <f>IF(VLOOKUP(A11,过渡表!$A$3:$R$194,12,0)&lt;&gt;0,VLOOKUP(A11,过渡表!$A$3:$R$194,12,0),"")</f>
        <v/>
      </c>
      <c r="C11" s="134" t="str">
        <f>IF(VLOOKUP(A11,过渡表!$A$3:$V$194,22,0)&lt;&gt;0,VLOOKUP(A11,过渡表!$A$3:$V$194,22,0),"")</f>
        <v/>
      </c>
      <c r="D11" s="221"/>
      <c r="E11" s="124">
        <f t="shared" si="0"/>
        <v>0</v>
      </c>
      <c r="F11" s="47"/>
      <c r="G11" s="150"/>
      <c r="H11" s="150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  <c r="HG11" s="47"/>
      <c r="HH11" s="47"/>
      <c r="HI11" s="47"/>
      <c r="HJ11" s="47"/>
      <c r="HK11" s="47"/>
      <c r="HL11" s="47"/>
      <c r="HM11" s="47"/>
      <c r="HN11" s="47"/>
      <c r="HO11" s="47"/>
      <c r="HP11" s="47"/>
      <c r="HQ11" s="47"/>
      <c r="HR11" s="47"/>
      <c r="HS11" s="47"/>
      <c r="HT11" s="47"/>
      <c r="HU11" s="47"/>
      <c r="HV11" s="47"/>
      <c r="HW11" s="47"/>
      <c r="HX11" s="47"/>
      <c r="HY11" s="47"/>
      <c r="HZ11" s="47"/>
      <c r="IA11" s="47"/>
      <c r="IB11" s="47"/>
      <c r="IC11" s="47"/>
      <c r="ID11" s="47"/>
      <c r="IE11" s="47"/>
      <c r="IF11" s="47"/>
      <c r="IG11" s="47"/>
    </row>
    <row r="12" spans="1:241" ht="16.5" customHeight="1">
      <c r="A12" s="57" t="s">
        <v>174</v>
      </c>
      <c r="B12" s="134" t="str">
        <f>IF(VLOOKUP(A12,过渡表!$A$3:$R$194,12,0)&lt;&gt;0,VLOOKUP(A12,过渡表!$A$3:$R$194,12,0),"")</f>
        <v/>
      </c>
      <c r="C12" s="134" t="str">
        <f>IF(VLOOKUP(A12,过渡表!$A$3:$V$194,22,0)&lt;&gt;0,VLOOKUP(A12,过渡表!$A$3:$V$194,22,0),"")</f>
        <v/>
      </c>
      <c r="D12" s="221"/>
      <c r="E12" s="124">
        <f t="shared" si="0"/>
        <v>0</v>
      </c>
      <c r="F12" s="47"/>
      <c r="G12" s="150"/>
      <c r="H12" s="150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  <c r="HG12" s="47"/>
      <c r="HH12" s="47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/>
      <c r="IB12" s="47"/>
      <c r="IC12" s="47"/>
      <c r="ID12" s="47"/>
      <c r="IE12" s="47"/>
      <c r="IF12" s="47"/>
      <c r="IG12" s="47"/>
    </row>
    <row r="13" spans="1:241" ht="16.5" customHeight="1">
      <c r="A13" s="57" t="s">
        <v>3</v>
      </c>
      <c r="B13" s="134" t="str">
        <f>IF(VLOOKUP(A13,过渡表!$A$3:$R$194,12,0)&lt;&gt;0,VLOOKUP(A13,过渡表!$A$3:$R$194,12,0),"")</f>
        <v/>
      </c>
      <c r="C13" s="134" t="str">
        <f>IF(VLOOKUP(A13,过渡表!$A$3:$V$194,22,0)&lt;&gt;0,VLOOKUP(A13,过渡表!$A$3:$V$194,22,0),"")</f>
        <v/>
      </c>
      <c r="D13" s="221"/>
      <c r="E13" s="124">
        <f t="shared" si="0"/>
        <v>0</v>
      </c>
      <c r="F13" s="47"/>
      <c r="G13" s="150"/>
      <c r="H13" s="150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</row>
    <row r="14" spans="1:241" ht="16.5" customHeight="1">
      <c r="A14" s="57" t="s">
        <v>175</v>
      </c>
      <c r="B14" s="147" t="str">
        <f>IF(VLOOKUP(A14,过渡表!$A$3:$R$194,12,0)&lt;&gt;0,VLOOKUP(A14,过渡表!$A$3:$R$194,12,0),"")</f>
        <v/>
      </c>
      <c r="C14" s="147" t="str">
        <f>IF(VLOOKUP(A14,过渡表!$A$3:$V$194,22,0)&lt;&gt;0,VLOOKUP(A14,过渡表!$A$3:$V$194,22,0),"")</f>
        <v/>
      </c>
      <c r="D14" s="315"/>
      <c r="E14" s="124">
        <f t="shared" si="0"/>
        <v>0</v>
      </c>
      <c r="F14" s="47"/>
      <c r="G14" s="150"/>
      <c r="H14" s="150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</row>
    <row r="15" spans="1:241" ht="16.5" customHeight="1">
      <c r="A15" s="59" t="s">
        <v>176</v>
      </c>
      <c r="B15" s="139">
        <f>SUM(B11:B14)</f>
        <v>0</v>
      </c>
      <c r="C15" s="139">
        <f>SUM(C11:C14)</f>
        <v>0</v>
      </c>
      <c r="D15" s="146">
        <f>SUM(D11:D14)</f>
        <v>0</v>
      </c>
      <c r="E15" s="124">
        <f t="shared" si="0"/>
        <v>0</v>
      </c>
      <c r="F15" s="47"/>
      <c r="G15" s="150"/>
      <c r="H15" s="150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</row>
    <row r="16" spans="1:241" ht="16.5" customHeight="1" thickBot="1">
      <c r="A16" s="60" t="s">
        <v>72</v>
      </c>
      <c r="B16" s="144">
        <f>B10-B15</f>
        <v>0</v>
      </c>
      <c r="C16" s="144">
        <f>C10-C15</f>
        <v>0</v>
      </c>
      <c r="D16" s="135">
        <f>D10-D15</f>
        <v>0</v>
      </c>
      <c r="E16" s="124">
        <f t="shared" si="0"/>
        <v>0</v>
      </c>
      <c r="F16" s="47"/>
      <c r="G16" s="150"/>
      <c r="H16" s="150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47"/>
      <c r="HH16" s="47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  <c r="IB16" s="47"/>
      <c r="IC16" s="47"/>
      <c r="ID16" s="47"/>
      <c r="IE16" s="47"/>
      <c r="IF16" s="47"/>
      <c r="IG16" s="47"/>
    </row>
    <row r="17" spans="1:241" ht="16.5" customHeight="1" thickTop="1">
      <c r="A17" s="60" t="s">
        <v>177</v>
      </c>
      <c r="B17" s="134" t="str">
        <f>IF(VLOOKUP(A17,过渡表!$A$3:$R$194,12,0)&lt;&gt;0,VLOOKUP(A17,过渡表!$A$3:$R$194,12,0),"")</f>
        <v/>
      </c>
      <c r="C17" s="134" t="str">
        <f>IF(VLOOKUP(A17,过渡表!$A$3:$V$194,22,0)&lt;&gt;0,VLOOKUP(A17,过渡表!$A$3:$V$194,22,0),"")</f>
        <v/>
      </c>
      <c r="D17" s="134"/>
      <c r="E17" s="124">
        <f t="shared" si="0"/>
        <v>0</v>
      </c>
      <c r="F17" s="47"/>
      <c r="G17" s="150"/>
      <c r="H17" s="150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  <c r="HG17" s="47"/>
      <c r="HH17" s="47"/>
      <c r="HI17" s="47"/>
      <c r="HJ17" s="47"/>
      <c r="HK17" s="47"/>
      <c r="HL17" s="47"/>
      <c r="HM17" s="47"/>
      <c r="HN17" s="47"/>
      <c r="HO17" s="47"/>
      <c r="HP17" s="47"/>
      <c r="HQ17" s="47"/>
      <c r="HR17" s="47"/>
      <c r="HS17" s="47"/>
      <c r="HT17" s="47"/>
      <c r="HU17" s="47"/>
      <c r="HV17" s="47"/>
      <c r="HW17" s="47"/>
      <c r="HX17" s="47"/>
      <c r="HY17" s="47"/>
      <c r="HZ17" s="47"/>
      <c r="IA17" s="47"/>
      <c r="IB17" s="47"/>
      <c r="IC17" s="47"/>
      <c r="ID17" s="47"/>
      <c r="IE17" s="47"/>
      <c r="IF17" s="47"/>
      <c r="IG17" s="47"/>
    </row>
    <row r="18" spans="1:241" ht="16.5" customHeight="1">
      <c r="A18" s="57" t="s">
        <v>178</v>
      </c>
      <c r="B18" s="134" t="str">
        <f>IF(VLOOKUP(A18,过渡表!$A$3:$R$194,12,0)&lt;&gt;0,VLOOKUP(A18,过渡表!$A$3:$R$194,12,0),"")</f>
        <v/>
      </c>
      <c r="C18" s="134" t="str">
        <f>IF(VLOOKUP(A18,过渡表!$A$3:$V$194,22,0)&lt;&gt;0,VLOOKUP(A18,过渡表!$A$3:$V$194,22,0),"")</f>
        <v/>
      </c>
      <c r="D18" s="134"/>
      <c r="E18" s="124">
        <f t="shared" si="0"/>
        <v>0</v>
      </c>
      <c r="F18" s="47"/>
      <c r="G18" s="150"/>
      <c r="H18" s="150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  <c r="HG18" s="47"/>
      <c r="HH18" s="47"/>
      <c r="HI18" s="47"/>
      <c r="HJ18" s="47"/>
      <c r="HK18" s="47"/>
      <c r="HL18" s="47"/>
      <c r="HM18" s="47"/>
      <c r="HN18" s="47"/>
      <c r="HO18" s="47"/>
      <c r="HP18" s="47"/>
      <c r="HQ18" s="47"/>
      <c r="HR18" s="47"/>
      <c r="HS18" s="47"/>
      <c r="HT18" s="47"/>
      <c r="HU18" s="47"/>
      <c r="HV18" s="47"/>
      <c r="HW18" s="47"/>
      <c r="HX18" s="47"/>
      <c r="HY18" s="47"/>
      <c r="HZ18" s="47"/>
      <c r="IA18" s="47"/>
      <c r="IB18" s="47"/>
      <c r="IC18" s="47"/>
      <c r="ID18" s="47"/>
      <c r="IE18" s="47"/>
      <c r="IF18" s="47"/>
      <c r="IG18" s="47"/>
    </row>
    <row r="19" spans="1:241" ht="16.5" customHeight="1">
      <c r="A19" s="57" t="s">
        <v>179</v>
      </c>
      <c r="B19" s="134" t="str">
        <f>IF(VLOOKUP(A19,过渡表!$A$3:$R$194,12,0)&lt;&gt;0,VLOOKUP(A19,过渡表!$A$3:$R$194,12,0),"")</f>
        <v/>
      </c>
      <c r="C19" s="134" t="str">
        <f>IF(VLOOKUP(A19,过渡表!$A$3:$V$194,22,0)&lt;&gt;0,VLOOKUP(A19,过渡表!$A$3:$V$194,22,0),"")</f>
        <v/>
      </c>
      <c r="D19" s="221"/>
      <c r="E19" s="124">
        <f t="shared" si="0"/>
        <v>0</v>
      </c>
      <c r="F19" s="47"/>
      <c r="G19" s="150"/>
      <c r="H19" s="150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</row>
    <row r="20" spans="1:241" ht="24">
      <c r="A20" s="70" t="s">
        <v>180</v>
      </c>
      <c r="B20" s="134" t="str">
        <f>IF(VLOOKUP(A20,过渡表!$A$3:$R$194,12,0)&lt;&gt;0,VLOOKUP(A20,过渡表!$A$3:$R$194,12,0),"")</f>
        <v/>
      </c>
      <c r="C20" s="134" t="str">
        <f>IF(VLOOKUP(A20,过渡表!$A$3:$V$194,22,0)&lt;&gt;0,VLOOKUP(A20,过渡表!$A$3:$V$194,22,0),"")</f>
        <v/>
      </c>
      <c r="D20" s="221"/>
      <c r="E20" s="124">
        <f t="shared" si="0"/>
        <v>0</v>
      </c>
      <c r="F20" s="47"/>
      <c r="G20" s="150"/>
      <c r="H20" s="150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  <c r="HV20" s="47"/>
      <c r="HW20" s="47"/>
      <c r="HX20" s="47"/>
      <c r="HY20" s="47"/>
      <c r="HZ20" s="47"/>
      <c r="IA20" s="47"/>
      <c r="IB20" s="47"/>
      <c r="IC20" s="47"/>
      <c r="ID20" s="47"/>
      <c r="IE20" s="47"/>
      <c r="IF20" s="47"/>
      <c r="IG20" s="47"/>
    </row>
    <row r="21" spans="1:241" ht="16.5" customHeight="1">
      <c r="A21" s="57" t="s">
        <v>181</v>
      </c>
      <c r="B21" s="134" t="str">
        <f>IF(VLOOKUP(A21,过渡表!$A$3:$R$194,12,0)&lt;&gt;0,VLOOKUP(A21,过渡表!$A$3:$R$194,12,0),"")</f>
        <v/>
      </c>
      <c r="C21" s="134" t="str">
        <f>IF(VLOOKUP(A21,过渡表!$A$3:$V$194,22,0)&lt;&gt;0,VLOOKUP(A21,过渡表!$A$3:$V$194,22,0),"")</f>
        <v/>
      </c>
      <c r="D21" s="134"/>
      <c r="E21" s="124">
        <f t="shared" si="0"/>
        <v>0</v>
      </c>
      <c r="F21" s="47"/>
      <c r="G21" s="150"/>
      <c r="H21" s="150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C21" s="47"/>
      <c r="ID21" s="47"/>
      <c r="IE21" s="47"/>
      <c r="IF21" s="47"/>
      <c r="IG21" s="47"/>
    </row>
    <row r="22" spans="1:241" ht="16.5" customHeight="1">
      <c r="A22" s="57" t="s">
        <v>182</v>
      </c>
      <c r="B22" s="147" t="str">
        <f>IF(VLOOKUP(A22,过渡表!$A$3:$R$194,12,0)&lt;&gt;0,VLOOKUP(A22,过渡表!$A$3:$R$194,12,0),"")</f>
        <v/>
      </c>
      <c r="C22" s="147" t="str">
        <f>IF(VLOOKUP(A22,过渡表!$A$3:$V$194,22,0)&lt;&gt;0,VLOOKUP(A22,过渡表!$A$3:$V$194,22,0),"")</f>
        <v/>
      </c>
      <c r="D22" s="147"/>
      <c r="E22" s="124">
        <f t="shared" si="0"/>
        <v>0</v>
      </c>
      <c r="F22" s="47"/>
      <c r="G22" s="150"/>
      <c r="H22" s="150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</row>
    <row r="23" spans="1:241" ht="16.5" customHeight="1">
      <c r="A23" s="59" t="s">
        <v>183</v>
      </c>
      <c r="B23" s="146">
        <f>SUM(B18:B22)</f>
        <v>0</v>
      </c>
      <c r="C23" s="146">
        <f>SUM(C18:C22)</f>
        <v>0</v>
      </c>
      <c r="D23" s="146">
        <f>SUM(D18:D22)</f>
        <v>0</v>
      </c>
      <c r="E23" s="124">
        <f t="shared" si="0"/>
        <v>0</v>
      </c>
      <c r="F23" s="47"/>
      <c r="G23" s="150"/>
      <c r="H23" s="150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/>
      <c r="IC23" s="47"/>
      <c r="ID23" s="47"/>
      <c r="IE23" s="47"/>
      <c r="IF23" s="47"/>
      <c r="IG23" s="47"/>
    </row>
    <row r="24" spans="1:241" ht="16.5" customHeight="1">
      <c r="A24" s="62" t="s">
        <v>184</v>
      </c>
      <c r="B24" s="134" t="str">
        <f>IF(VLOOKUP(A24,过渡表!$A$3:$R$194,12,0)&lt;&gt;0,VLOOKUP(A24,过渡表!$A$3:$R$194,12,0),"")</f>
        <v/>
      </c>
      <c r="C24" s="134" t="str">
        <f>IF(VLOOKUP(A24,过渡表!$A$3:$V$194,22,0)&lt;&gt;0,VLOOKUP(A24,过渡表!$A$3:$V$194,22,0),"")</f>
        <v/>
      </c>
      <c r="D24" s="221"/>
      <c r="E24" s="124">
        <f t="shared" si="0"/>
        <v>0</v>
      </c>
      <c r="F24" s="47"/>
      <c r="G24" s="150"/>
      <c r="H24" s="150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</row>
    <row r="25" spans="1:241" ht="16.5" customHeight="1">
      <c r="A25" s="57" t="s">
        <v>185</v>
      </c>
      <c r="B25" s="134" t="str">
        <f>IF(VLOOKUP(A25,过渡表!$A$3:$R$194,12,0)&lt;&gt;0,VLOOKUP(A25,过渡表!$A$3:$R$194,12,0),"")</f>
        <v/>
      </c>
      <c r="C25" s="134" t="str">
        <f>IF(VLOOKUP(A25,过渡表!$A$3:$V$194,22,0)&lt;&gt;0,VLOOKUP(A25,过渡表!$A$3:$V$194,22,0),"")</f>
        <v/>
      </c>
      <c r="D25" s="221"/>
      <c r="E25" s="124">
        <f t="shared" si="0"/>
        <v>0</v>
      </c>
      <c r="F25" s="47"/>
      <c r="G25" s="150"/>
      <c r="H25" s="150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</row>
    <row r="26" spans="1:241" ht="16.5" customHeight="1">
      <c r="A26" s="57" t="s">
        <v>186</v>
      </c>
      <c r="B26" s="134" t="str">
        <f>IF(VLOOKUP(A26,过渡表!$A$3:$R$194,12,0)&lt;&gt;0,VLOOKUP(A26,过渡表!$A$3:$R$194,12,0),"")</f>
        <v/>
      </c>
      <c r="C26" s="134" t="str">
        <f>IF(VLOOKUP(A26,过渡表!$A$3:$V$194,22,0)&lt;&gt;0,VLOOKUP(A26,过渡表!$A$3:$V$194,22,0),"")</f>
        <v/>
      </c>
      <c r="D26" s="134"/>
      <c r="E26" s="124">
        <f t="shared" si="0"/>
        <v>0</v>
      </c>
      <c r="F26" s="47"/>
      <c r="G26" s="150"/>
      <c r="H26" s="150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  <c r="HG26" s="47"/>
      <c r="HH26" s="47"/>
      <c r="HI26" s="47"/>
      <c r="HJ26" s="47"/>
      <c r="HK26" s="47"/>
      <c r="HL26" s="47"/>
      <c r="HM26" s="47"/>
      <c r="HN26" s="47"/>
      <c r="HO26" s="47"/>
      <c r="HP26" s="47"/>
      <c r="HQ26" s="47"/>
      <c r="HR26" s="47"/>
      <c r="HS26" s="47"/>
      <c r="HT26" s="47"/>
      <c r="HU26" s="47"/>
      <c r="HV26" s="47"/>
      <c r="HW26" s="47"/>
      <c r="HX26" s="47"/>
      <c r="HY26" s="47"/>
      <c r="HZ26" s="47"/>
      <c r="IA26" s="47"/>
      <c r="IB26" s="47"/>
      <c r="IC26" s="47"/>
      <c r="ID26" s="47"/>
      <c r="IE26" s="47"/>
      <c r="IF26" s="47"/>
      <c r="IG26" s="47"/>
    </row>
    <row r="27" spans="1:241" ht="16.5" customHeight="1">
      <c r="A27" s="57" t="s">
        <v>187</v>
      </c>
      <c r="B27" s="147" t="str">
        <f>IF(VLOOKUP(A27,过渡表!$A$3:$R$194,12,0)&lt;&gt;0,VLOOKUP(A27,过渡表!$A$3:$R$194,12,0),"")</f>
        <v/>
      </c>
      <c r="C27" s="147" t="str">
        <f>IF(VLOOKUP(A27,过渡表!$A$3:$V$194,22,0)&lt;&gt;0,VLOOKUP(A27,过渡表!$A$3:$V$194,22,0),"")</f>
        <v/>
      </c>
      <c r="D27" s="147"/>
      <c r="E27" s="124">
        <f t="shared" si="0"/>
        <v>0</v>
      </c>
      <c r="F27" s="47"/>
      <c r="G27" s="150"/>
      <c r="H27" s="150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  <c r="IE27" s="47"/>
      <c r="IF27" s="47"/>
      <c r="IG27" s="47"/>
    </row>
    <row r="28" spans="1:241" ht="16.5" customHeight="1">
      <c r="A28" s="59" t="s">
        <v>188</v>
      </c>
      <c r="B28" s="145">
        <f>SUM(B24:B27)</f>
        <v>0</v>
      </c>
      <c r="C28" s="145">
        <f>SUM(C24:C27)</f>
        <v>0</v>
      </c>
      <c r="D28" s="146">
        <f>SUM(D24:D27)</f>
        <v>0</v>
      </c>
      <c r="E28" s="124">
        <f t="shared" si="0"/>
        <v>0</v>
      </c>
      <c r="F28" s="47"/>
      <c r="G28" s="150"/>
      <c r="H28" s="150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  <c r="HZ28" s="47"/>
      <c r="IA28" s="47"/>
      <c r="IB28" s="47"/>
      <c r="IC28" s="47"/>
      <c r="ID28" s="47"/>
      <c r="IE28" s="47"/>
      <c r="IF28" s="47"/>
      <c r="IG28" s="47"/>
    </row>
    <row r="29" spans="1:241" ht="16.5" customHeight="1" thickBot="1">
      <c r="A29" s="60" t="s">
        <v>189</v>
      </c>
      <c r="B29" s="135">
        <f>B23-B28</f>
        <v>0</v>
      </c>
      <c r="C29" s="135">
        <f>C23-C28</f>
        <v>0</v>
      </c>
      <c r="D29" s="135">
        <f>D23-D28</f>
        <v>0</v>
      </c>
      <c r="E29" s="124">
        <f t="shared" si="0"/>
        <v>0</v>
      </c>
      <c r="F29" s="47"/>
      <c r="G29" s="150"/>
      <c r="H29" s="150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7"/>
      <c r="HL29" s="47"/>
      <c r="HM29" s="47"/>
      <c r="HN29" s="47"/>
      <c r="HO29" s="47"/>
      <c r="HP29" s="47"/>
      <c r="HQ29" s="47"/>
      <c r="HR29" s="47"/>
      <c r="HS29" s="47"/>
      <c r="HT29" s="47"/>
      <c r="HU29" s="47"/>
      <c r="HV29" s="47"/>
      <c r="HW29" s="47"/>
      <c r="HX29" s="47"/>
      <c r="HY29" s="47"/>
      <c r="HZ29" s="47"/>
      <c r="IA29" s="47"/>
      <c r="IB29" s="47"/>
      <c r="IC29" s="47"/>
      <c r="ID29" s="47"/>
      <c r="IE29" s="47"/>
      <c r="IF29" s="47"/>
      <c r="IG29" s="47"/>
    </row>
    <row r="30" spans="1:241" ht="16.5" customHeight="1" thickTop="1">
      <c r="A30" s="60" t="s">
        <v>190</v>
      </c>
      <c r="B30" s="134" t="str">
        <f>IF(VLOOKUP(A30,过渡表!$A$3:$R$194,12,0)&lt;&gt;0,VLOOKUP(A30,过渡表!$A$3:$R$194,12,0),"")</f>
        <v/>
      </c>
      <c r="C30" s="134" t="str">
        <f>IF(VLOOKUP(A30,过渡表!$A$3:$V$194,22,0)&lt;&gt;0,VLOOKUP(A30,过渡表!$A$3:$V$194,22,0),"")</f>
        <v/>
      </c>
      <c r="D30" s="134"/>
      <c r="E30" s="124">
        <f t="shared" si="0"/>
        <v>0</v>
      </c>
      <c r="F30" s="47"/>
      <c r="G30" s="150"/>
      <c r="H30" s="150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7"/>
      <c r="HL30" s="47"/>
      <c r="HM30" s="47"/>
      <c r="HN30" s="47"/>
      <c r="HO30" s="47"/>
      <c r="HP30" s="47"/>
      <c r="HQ30" s="47"/>
      <c r="HR30" s="47"/>
      <c r="HS30" s="47"/>
      <c r="HT30" s="47"/>
      <c r="HU30" s="47"/>
      <c r="HV30" s="47"/>
      <c r="HW30" s="47"/>
      <c r="HX30" s="47"/>
      <c r="HY30" s="47"/>
      <c r="HZ30" s="47"/>
      <c r="IA30" s="47"/>
      <c r="IB30" s="47"/>
      <c r="IC30" s="47"/>
      <c r="ID30" s="47"/>
      <c r="IE30" s="47"/>
      <c r="IF30" s="47"/>
      <c r="IG30" s="47"/>
    </row>
    <row r="31" spans="1:241" ht="16.5" customHeight="1">
      <c r="A31" s="57" t="s">
        <v>191</v>
      </c>
      <c r="B31" s="134" t="str">
        <f>IF(VLOOKUP(A31,过渡表!$A$3:$R$194,12,0)&lt;&gt;0,VLOOKUP(A31,过渡表!$A$3:$R$194,12,0),"")</f>
        <v/>
      </c>
      <c r="C31" s="134" t="str">
        <f>IF(VLOOKUP(A31,过渡表!$A$3:$V$194,22,0)&lt;&gt;0,VLOOKUP(A31,过渡表!$A$3:$V$194,22,0),"")</f>
        <v/>
      </c>
      <c r="D31" s="134"/>
      <c r="E31" s="124">
        <f t="shared" si="0"/>
        <v>0</v>
      </c>
      <c r="F31" s="47"/>
      <c r="G31" s="150"/>
      <c r="H31" s="150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</row>
    <row r="32" spans="1:241" ht="16.5" customHeight="1">
      <c r="A32" s="57" t="s">
        <v>192</v>
      </c>
      <c r="B32" s="134" t="str">
        <f>IF(VLOOKUP(A32,过渡表!$A$3:$R$194,12,0)&lt;&gt;0,VLOOKUP(A32,过渡表!$A$3:$R$194,12,0),"")</f>
        <v/>
      </c>
      <c r="C32" s="134" t="str">
        <f>IF(VLOOKUP(A32,过渡表!$A$3:$V$194,22,0)&lt;&gt;0,VLOOKUP(A32,过渡表!$A$3:$V$194,22,0),"")</f>
        <v/>
      </c>
      <c r="D32" s="134"/>
      <c r="E32" s="124">
        <f t="shared" si="0"/>
        <v>0</v>
      </c>
      <c r="F32" s="47"/>
      <c r="G32" s="150"/>
      <c r="H32" s="150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C32" s="47"/>
      <c r="ID32" s="47"/>
      <c r="IE32" s="47"/>
      <c r="IF32" s="47"/>
      <c r="IG32" s="47"/>
    </row>
    <row r="33" spans="1:241" ht="16.5" customHeight="1">
      <c r="A33" s="57" t="s">
        <v>656</v>
      </c>
      <c r="B33" s="134" t="str">
        <f>IF(VLOOKUP(A33,过渡表!$A$3:$R$194,12,0)&lt;&gt;0,VLOOKUP(A33,过渡表!$A$3:$R$194,12,0),"")</f>
        <v/>
      </c>
      <c r="C33" s="134" t="str">
        <f>IF(VLOOKUP(A33,过渡表!$A$3:$V$194,22,0)&lt;&gt;0,VLOOKUP(A33,过渡表!$A$3:$V$194,22,0),"")</f>
        <v/>
      </c>
      <c r="D33" s="134"/>
      <c r="E33" s="124"/>
      <c r="F33" s="47"/>
      <c r="G33" s="150"/>
      <c r="H33" s="150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7"/>
      <c r="HL33" s="47"/>
      <c r="HM33" s="47"/>
      <c r="HN33" s="47"/>
      <c r="HO33" s="47"/>
      <c r="HP33" s="47"/>
      <c r="HQ33" s="47"/>
      <c r="HR33" s="47"/>
      <c r="HS33" s="47"/>
      <c r="HT33" s="47"/>
      <c r="HU33" s="47"/>
      <c r="HV33" s="47"/>
      <c r="HW33" s="47"/>
      <c r="HX33" s="47"/>
      <c r="HY33" s="47"/>
      <c r="HZ33" s="47"/>
      <c r="IA33" s="47"/>
      <c r="IB33" s="47"/>
      <c r="IC33" s="47"/>
      <c r="ID33" s="47"/>
      <c r="IE33" s="47"/>
      <c r="IF33" s="47"/>
      <c r="IG33" s="47"/>
    </row>
    <row r="34" spans="1:241" ht="16.5" customHeight="1">
      <c r="A34" s="57" t="s">
        <v>193</v>
      </c>
      <c r="B34" s="147" t="str">
        <f>IF(VLOOKUP(A34,过渡表!$A$3:$R$194,12,0)&lt;&gt;0,VLOOKUP(A34,过渡表!$A$3:$R$194,12,0),"")</f>
        <v/>
      </c>
      <c r="C34" s="147" t="str">
        <f>IF(VLOOKUP(A34,过渡表!$A$3:$V$194,22,0)&lt;&gt;0,VLOOKUP(A34,过渡表!$A$3:$V$194,22,0),"")</f>
        <v/>
      </c>
      <c r="D34" s="147"/>
      <c r="E34" s="124">
        <f t="shared" si="0"/>
        <v>0</v>
      </c>
      <c r="F34" s="47"/>
      <c r="G34" s="150"/>
      <c r="H34" s="150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  <c r="HG34" s="47"/>
      <c r="HH34" s="47"/>
      <c r="HI34" s="47"/>
      <c r="HJ34" s="47"/>
      <c r="HK34" s="47"/>
      <c r="HL34" s="47"/>
      <c r="HM34" s="47"/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</row>
    <row r="35" spans="1:241" ht="16.5" customHeight="1">
      <c r="A35" s="59" t="s">
        <v>194</v>
      </c>
      <c r="B35" s="146">
        <f>SUM(B31:B34)</f>
        <v>0</v>
      </c>
      <c r="C35" s="146">
        <f>SUM(C31:C34)</f>
        <v>0</v>
      </c>
      <c r="D35" s="146">
        <f>SUM(D31:D34)</f>
        <v>0</v>
      </c>
      <c r="E35" s="124">
        <f t="shared" si="0"/>
        <v>0</v>
      </c>
      <c r="F35" s="47"/>
      <c r="G35" s="150"/>
      <c r="H35" s="150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L35" s="47"/>
      <c r="HM35" s="47"/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  <c r="IE35" s="47"/>
      <c r="IF35" s="47"/>
      <c r="IG35" s="47"/>
    </row>
    <row r="36" spans="1:241" ht="16.5" customHeight="1">
      <c r="A36" s="57" t="s">
        <v>195</v>
      </c>
      <c r="B36" s="134" t="str">
        <f>IF(VLOOKUP(A36,过渡表!$A$3:$R$194,12,0)&lt;&gt;0,VLOOKUP(A36,过渡表!$A$3:$R$194,12,0),"")</f>
        <v/>
      </c>
      <c r="C36" s="134" t="str">
        <f>IF(VLOOKUP(A36,过渡表!$A$3:$V$194,22,0)&lt;&gt;0,VLOOKUP(A36,过渡表!$A$3:$V$194,22,0),"")</f>
        <v/>
      </c>
      <c r="D36" s="134"/>
      <c r="E36" s="124">
        <f t="shared" si="0"/>
        <v>0</v>
      </c>
      <c r="F36" s="47"/>
      <c r="G36" s="150"/>
      <c r="H36" s="150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</row>
    <row r="37" spans="1:241" ht="16.5" customHeight="1">
      <c r="A37" s="57" t="s">
        <v>196</v>
      </c>
      <c r="B37" s="134" t="str">
        <f>IF(VLOOKUP(A37,过渡表!$A$3:$R$194,12,0)&lt;&gt;0,VLOOKUP(A37,过渡表!$A$3:$R$194,12,0),"")</f>
        <v/>
      </c>
      <c r="C37" s="134" t="str">
        <f>IF(VLOOKUP(A37,过渡表!$A$3:$V$194,22,0)&lt;&gt;0,VLOOKUP(A37,过渡表!$A$3:$V$194,22,0),"")</f>
        <v/>
      </c>
      <c r="D37" s="134"/>
      <c r="E37" s="124">
        <f t="shared" si="0"/>
        <v>0</v>
      </c>
      <c r="F37" s="47"/>
      <c r="G37" s="150"/>
      <c r="H37" s="150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</row>
    <row r="38" spans="1:241" ht="16.5" customHeight="1">
      <c r="A38" s="57" t="s">
        <v>197</v>
      </c>
      <c r="B38" s="147" t="str">
        <f>IF(VLOOKUP(A38,过渡表!$A$3:$R$194,12,0)&lt;&gt;0,VLOOKUP(A38,过渡表!$A$3:$R$194,12,0),"")</f>
        <v/>
      </c>
      <c r="C38" s="147" t="str">
        <f>IF(VLOOKUP(A38,过渡表!$A$3:$V$194,22,0)&lt;&gt;0,VLOOKUP(A38,过渡表!$A$3:$V$194,22,0),"")</f>
        <v/>
      </c>
      <c r="D38" s="147"/>
      <c r="E38" s="124">
        <f t="shared" si="0"/>
        <v>0</v>
      </c>
      <c r="F38" s="47"/>
      <c r="G38" s="150"/>
      <c r="H38" s="150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</row>
    <row r="39" spans="1:241" ht="16.5" customHeight="1">
      <c r="A39" s="59" t="s">
        <v>198</v>
      </c>
      <c r="B39" s="145">
        <f>SUM(B36:B38)</f>
        <v>0</v>
      </c>
      <c r="C39" s="145">
        <f>SUM(C36:C38)</f>
        <v>0</v>
      </c>
      <c r="D39" s="146">
        <f>SUM(D36:D38)</f>
        <v>0</v>
      </c>
      <c r="E39" s="124">
        <f t="shared" si="0"/>
        <v>0</v>
      </c>
      <c r="F39" s="47"/>
      <c r="G39" s="150"/>
      <c r="H39" s="150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</row>
    <row r="40" spans="1:241" ht="16.5" customHeight="1" thickBot="1">
      <c r="A40" s="60" t="s">
        <v>199</v>
      </c>
      <c r="B40" s="135">
        <f>B35-B39</f>
        <v>0</v>
      </c>
      <c r="C40" s="135">
        <f>C35-C39</f>
        <v>0</v>
      </c>
      <c r="D40" s="135">
        <f>D35-D39</f>
        <v>0</v>
      </c>
      <c r="E40" s="124">
        <f t="shared" si="0"/>
        <v>0</v>
      </c>
      <c r="F40" s="47"/>
      <c r="G40" s="150"/>
      <c r="H40" s="150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/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  <c r="IE40" s="47"/>
      <c r="IF40" s="47"/>
      <c r="IG40" s="47"/>
    </row>
    <row r="41" spans="1:241" ht="16.5" customHeight="1" thickTop="1">
      <c r="A41" s="60" t="s">
        <v>200</v>
      </c>
      <c r="B41" s="134"/>
      <c r="C41" s="140"/>
      <c r="D41" s="134"/>
      <c r="E41" s="124">
        <f t="shared" si="0"/>
        <v>0</v>
      </c>
      <c r="F41" s="47"/>
      <c r="G41" s="150"/>
      <c r="H41" s="150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</row>
    <row r="42" spans="1:241" ht="16.5" customHeight="1">
      <c r="A42" s="60" t="s">
        <v>201</v>
      </c>
      <c r="B42" s="159">
        <f t="shared" ref="B42:C42" si="1">ROUND(B16+B29+B40+B41,2)</f>
        <v>0</v>
      </c>
      <c r="C42" s="159">
        <f t="shared" si="1"/>
        <v>0</v>
      </c>
      <c r="D42" s="159">
        <f>ROUND(D16+D29+D40+D41,2)</f>
        <v>0</v>
      </c>
      <c r="E42" s="124">
        <f t="shared" si="0"/>
        <v>0</v>
      </c>
      <c r="F42" s="47"/>
      <c r="G42" s="150"/>
      <c r="H42" s="150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</row>
    <row r="43" spans="1:241" ht="16.5" customHeight="1">
      <c r="A43" s="57" t="s">
        <v>202</v>
      </c>
      <c r="B43" s="134">
        <f>过渡表!L162</f>
        <v>0</v>
      </c>
      <c r="C43" s="140">
        <f>过渡表!V162</f>
        <v>0</v>
      </c>
      <c r="D43" s="134"/>
      <c r="E43" s="124"/>
      <c r="F43" s="47"/>
      <c r="G43" s="150"/>
      <c r="H43" s="150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47"/>
      <c r="GY43" s="47"/>
      <c r="GZ43" s="47"/>
      <c r="HA43" s="47"/>
      <c r="HB43" s="47"/>
      <c r="HC43" s="47"/>
      <c r="HD43" s="47"/>
      <c r="HE43" s="47"/>
      <c r="HF43" s="47"/>
      <c r="HG43" s="47"/>
      <c r="HH43" s="47"/>
      <c r="HI43" s="47"/>
      <c r="HJ43" s="47"/>
      <c r="HK43" s="47"/>
      <c r="HL43" s="47"/>
      <c r="HM43" s="47"/>
      <c r="HN43" s="47"/>
      <c r="HO43" s="47"/>
      <c r="HP43" s="47"/>
      <c r="HQ43" s="47"/>
      <c r="HR43" s="47"/>
      <c r="HS43" s="47"/>
      <c r="HT43" s="47"/>
      <c r="HU43" s="47"/>
      <c r="HV43" s="47"/>
      <c r="HW43" s="47"/>
      <c r="HX43" s="47"/>
      <c r="HY43" s="47"/>
      <c r="HZ43" s="47"/>
      <c r="IA43" s="47"/>
      <c r="IB43" s="47"/>
      <c r="IC43" s="47"/>
      <c r="ID43" s="47"/>
      <c r="IE43" s="47"/>
      <c r="IF43" s="47"/>
      <c r="IG43" s="47"/>
    </row>
    <row r="44" spans="1:241" ht="16.5" customHeight="1" thickBot="1">
      <c r="A44" s="60" t="s">
        <v>203</v>
      </c>
      <c r="B44" s="135">
        <f>B42+B43</f>
        <v>0</v>
      </c>
      <c r="C44" s="144">
        <f>C42+C43</f>
        <v>0</v>
      </c>
      <c r="D44" s="135">
        <f>ROUND(D42+D43,2)</f>
        <v>0</v>
      </c>
      <c r="E44" s="124">
        <f t="shared" si="0"/>
        <v>0</v>
      </c>
      <c r="F44" s="47"/>
      <c r="G44" s="150"/>
      <c r="H44" s="150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/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</row>
    <row r="45" spans="1:241" ht="13.5" thickTop="1">
      <c r="A45" s="283"/>
      <c r="B45" s="259"/>
      <c r="C45" s="259"/>
      <c r="D45" s="259"/>
      <c r="E45" s="71"/>
      <c r="F45" s="47"/>
      <c r="G45" s="150"/>
      <c r="H45" s="150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/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</row>
    <row r="46" spans="1:241">
      <c r="A46" s="60"/>
      <c r="B46" s="65"/>
      <c r="C46" s="65"/>
      <c r="D46" s="65"/>
      <c r="E46" s="71"/>
      <c r="F46" s="47"/>
      <c r="G46" s="150"/>
      <c r="H46" s="150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7"/>
      <c r="HL46" s="47"/>
      <c r="HM46" s="47"/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7"/>
      <c r="ID46" s="47"/>
      <c r="IE46" s="47"/>
      <c r="IF46" s="47"/>
      <c r="IG46" s="47"/>
    </row>
    <row r="47" spans="1:241">
      <c r="A47" s="75"/>
      <c r="B47" s="72"/>
      <c r="C47" s="72"/>
      <c r="F47" s="47"/>
      <c r="G47" s="150"/>
      <c r="H47" s="150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  <c r="HG47" s="47"/>
      <c r="HH47" s="47"/>
      <c r="HI47" s="47"/>
      <c r="HJ47" s="47"/>
      <c r="HK47" s="47"/>
      <c r="HL47" s="47"/>
      <c r="HM47" s="47"/>
      <c r="HN47" s="47"/>
      <c r="HO47" s="47"/>
      <c r="HP47" s="47"/>
      <c r="HQ47" s="47"/>
      <c r="HR47" s="47"/>
      <c r="HS47" s="47"/>
      <c r="HT47" s="47"/>
      <c r="HU47" s="47"/>
      <c r="HV47" s="47"/>
      <c r="HW47" s="47"/>
      <c r="HX47" s="47"/>
      <c r="HY47" s="47"/>
      <c r="HZ47" s="47"/>
      <c r="IA47" s="47"/>
      <c r="IB47" s="47"/>
      <c r="IC47" s="47"/>
      <c r="ID47" s="47"/>
      <c r="IE47" s="47"/>
      <c r="IF47" s="47"/>
      <c r="IG47" s="47"/>
    </row>
    <row r="48" spans="1:241" hidden="1">
      <c r="A48" s="75" t="str">
        <f>合并现金流量表!A50</f>
        <v xml:space="preserve">    企业法定代表人：                                           主管会计工作负责人：                                        会计机构负责人： </v>
      </c>
      <c r="B48" s="72"/>
      <c r="C48" s="72"/>
      <c r="F48" s="47"/>
      <c r="G48" s="150"/>
      <c r="H48" s="150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  <c r="IE48" s="47"/>
      <c r="IF48" s="47"/>
      <c r="IG48" s="47"/>
    </row>
    <row r="49" spans="1:243">
      <c r="A49" s="64"/>
      <c r="B49" s="72"/>
      <c r="C49" s="72"/>
      <c r="F49" s="47"/>
      <c r="G49" s="150"/>
      <c r="H49" s="150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  <c r="HG49" s="47"/>
      <c r="HH49" s="47"/>
      <c r="HI49" s="47"/>
      <c r="HJ49" s="47"/>
      <c r="HK49" s="47"/>
      <c r="HL49" s="47"/>
      <c r="HM49" s="47"/>
      <c r="HN49" s="47"/>
      <c r="HO49" s="47"/>
      <c r="HP49" s="47"/>
      <c r="HQ49" s="47"/>
      <c r="HR49" s="47"/>
      <c r="HS49" s="47"/>
      <c r="HT49" s="47"/>
      <c r="HU49" s="47"/>
      <c r="HV49" s="47"/>
      <c r="HW49" s="47"/>
      <c r="HX49" s="47"/>
      <c r="HY49" s="47"/>
      <c r="HZ49" s="47"/>
      <c r="IA49" s="47"/>
      <c r="IB49" s="47"/>
      <c r="IC49" s="47"/>
      <c r="ID49" s="47"/>
      <c r="IE49" s="47"/>
      <c r="IF49" s="47"/>
      <c r="IG49" s="47"/>
    </row>
    <row r="50" spans="1:243">
      <c r="A50" s="64"/>
      <c r="B50" s="72"/>
      <c r="C50" s="72"/>
      <c r="F50" s="47"/>
      <c r="G50" s="150"/>
      <c r="H50" s="150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  <c r="HG50" s="47"/>
      <c r="HH50" s="47"/>
      <c r="HI50" s="47"/>
      <c r="HJ50" s="47"/>
      <c r="HK50" s="47"/>
      <c r="HL50" s="47"/>
      <c r="HM50" s="47"/>
      <c r="HN50" s="47"/>
      <c r="HO50" s="47"/>
      <c r="HP50" s="47"/>
      <c r="HQ50" s="47"/>
      <c r="HR50" s="47"/>
      <c r="HS50" s="47"/>
      <c r="HT50" s="47"/>
      <c r="HU50" s="47"/>
      <c r="HV50" s="47"/>
      <c r="HW50" s="47"/>
      <c r="HX50" s="47"/>
      <c r="HY50" s="47"/>
      <c r="HZ50" s="47"/>
      <c r="IA50" s="47"/>
      <c r="IB50" s="47"/>
      <c r="IC50" s="47"/>
      <c r="ID50" s="47"/>
      <c r="IE50" s="47"/>
      <c r="IF50" s="47"/>
      <c r="IG50" s="47"/>
    </row>
    <row r="51" spans="1:243">
      <c r="A51" s="64"/>
      <c r="B51" s="72"/>
      <c r="C51" s="72"/>
      <c r="F51" s="47"/>
      <c r="G51" s="150"/>
      <c r="H51" s="150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  <c r="HG51" s="47"/>
      <c r="HH51" s="47"/>
      <c r="HI51" s="47"/>
      <c r="HJ51" s="47"/>
      <c r="HK51" s="47"/>
      <c r="HL51" s="47"/>
      <c r="HM51" s="47"/>
      <c r="HN51" s="47"/>
      <c r="HO51" s="47"/>
      <c r="HP51" s="47"/>
      <c r="HQ51" s="47"/>
      <c r="HR51" s="47"/>
      <c r="HS51" s="47"/>
      <c r="HT51" s="47"/>
      <c r="HU51" s="47"/>
      <c r="HV51" s="47"/>
      <c r="HW51" s="47"/>
      <c r="HX51" s="47"/>
      <c r="HY51" s="47"/>
      <c r="HZ51" s="47"/>
      <c r="IA51" s="47"/>
      <c r="IB51" s="47"/>
      <c r="IC51" s="47"/>
      <c r="ID51" s="47"/>
      <c r="IE51" s="47"/>
      <c r="IF51" s="47"/>
      <c r="IG51" s="47"/>
    </row>
    <row r="52" spans="1:243">
      <c r="A52" s="64"/>
      <c r="B52" s="72"/>
      <c r="C52" s="72"/>
      <c r="F52" s="47"/>
      <c r="G52" s="150"/>
      <c r="H52" s="150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47"/>
      <c r="GY52" s="47"/>
      <c r="GZ52" s="47"/>
      <c r="HA52" s="47"/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7"/>
      <c r="HN52" s="47"/>
      <c r="HO52" s="47"/>
      <c r="HP52" s="47"/>
      <c r="HQ52" s="47"/>
      <c r="HR52" s="47"/>
      <c r="HS52" s="47"/>
      <c r="HT52" s="47"/>
      <c r="HU52" s="47"/>
      <c r="HV52" s="47"/>
      <c r="HW52" s="47"/>
      <c r="HX52" s="47"/>
      <c r="HY52" s="47"/>
      <c r="HZ52" s="47"/>
      <c r="IA52" s="47"/>
      <c r="IB52" s="47"/>
      <c r="IC52" s="47"/>
      <c r="ID52" s="47"/>
      <c r="IE52" s="47"/>
      <c r="IF52" s="47"/>
      <c r="IG52" s="47"/>
    </row>
    <row r="53" spans="1:243">
      <c r="A53" s="64"/>
      <c r="B53" s="72"/>
      <c r="C53" s="72"/>
      <c r="F53" s="47"/>
      <c r="G53" s="150"/>
      <c r="H53" s="150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  <c r="GP53" s="47"/>
      <c r="GQ53" s="47"/>
      <c r="GR53" s="47"/>
      <c r="GS53" s="47"/>
      <c r="GT53" s="47"/>
      <c r="GU53" s="47"/>
      <c r="GV53" s="47"/>
      <c r="GW53" s="47"/>
      <c r="GX53" s="47"/>
      <c r="GY53" s="47"/>
      <c r="GZ53" s="47"/>
      <c r="HA53" s="47"/>
      <c r="HB53" s="47"/>
      <c r="HC53" s="47"/>
      <c r="HD53" s="47"/>
      <c r="HE53" s="47"/>
      <c r="HF53" s="47"/>
      <c r="HG53" s="47"/>
      <c r="HH53" s="47"/>
      <c r="HI53" s="47"/>
      <c r="HJ53" s="47"/>
      <c r="HK53" s="47"/>
      <c r="HL53" s="47"/>
      <c r="HM53" s="47"/>
      <c r="HN53" s="47"/>
      <c r="HO53" s="47"/>
      <c r="HP53" s="47"/>
      <c r="HQ53" s="47"/>
      <c r="HR53" s="47"/>
      <c r="HS53" s="47"/>
      <c r="HT53" s="47"/>
      <c r="HU53" s="47"/>
      <c r="HV53" s="47"/>
      <c r="HW53" s="47"/>
      <c r="HX53" s="47"/>
      <c r="HY53" s="47"/>
      <c r="HZ53" s="47"/>
      <c r="IA53" s="47"/>
      <c r="IB53" s="47"/>
      <c r="IC53" s="47"/>
      <c r="ID53" s="47"/>
      <c r="IE53" s="47"/>
      <c r="IF53" s="47"/>
      <c r="IG53" s="47"/>
    </row>
    <row r="54" spans="1:243">
      <c r="A54" s="64" t="s">
        <v>204</v>
      </c>
      <c r="B54" s="73"/>
      <c r="C54" s="73"/>
      <c r="D54" s="73"/>
      <c r="E54" s="74"/>
      <c r="G54" s="150"/>
      <c r="H54" s="150"/>
      <c r="IH54" s="57"/>
      <c r="II54" s="57"/>
    </row>
    <row r="55" spans="1:243">
      <c r="A55" s="75" t="s">
        <v>205</v>
      </c>
      <c r="B55" s="76"/>
      <c r="C55" s="76"/>
      <c r="D55" s="76"/>
      <c r="E55" s="77"/>
      <c r="G55" s="150"/>
      <c r="H55" s="150"/>
      <c r="IH55" s="57"/>
      <c r="II55" s="57"/>
    </row>
    <row r="56" spans="1:243">
      <c r="A56" s="58" t="s">
        <v>170</v>
      </c>
      <c r="B56" s="68" t="str">
        <f>B5</f>
        <v>2019年9月发生额</v>
      </c>
      <c r="C56" s="68" t="str">
        <f>C5</f>
        <v>2019年1-9月发生额</v>
      </c>
      <c r="D56" s="68" t="str">
        <f>D5</f>
        <v>2018年1-9月发生额</v>
      </c>
      <c r="E56" s="151" t="s">
        <v>290</v>
      </c>
      <c r="G56" s="150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</row>
    <row r="57" spans="1:243">
      <c r="A57" s="75" t="s">
        <v>206</v>
      </c>
      <c r="B57" s="134">
        <f>利润表!B31</f>
        <v>0</v>
      </c>
      <c r="C57" s="134">
        <f>利润表!C31</f>
        <v>0</v>
      </c>
      <c r="D57" s="134">
        <f>利润表!D31</f>
        <v>0</v>
      </c>
      <c r="F57" s="150"/>
      <c r="G57" s="150"/>
      <c r="H57" s="150"/>
    </row>
    <row r="58" spans="1:243">
      <c r="A58" s="57" t="s">
        <v>207</v>
      </c>
      <c r="B58" s="134"/>
      <c r="C58" s="134"/>
      <c r="D58" s="134"/>
      <c r="F58" s="150"/>
      <c r="G58" s="150"/>
      <c r="H58" s="150"/>
    </row>
    <row r="59" spans="1:243">
      <c r="A59" s="57" t="s">
        <v>208</v>
      </c>
      <c r="B59" s="134">
        <f>-SUM(利润表!B24)</f>
        <v>0</v>
      </c>
      <c r="C59" s="134">
        <f>-SUM(利润表!C24)</f>
        <v>0</v>
      </c>
      <c r="D59" s="221">
        <f>-利润表!D24</f>
        <v>0</v>
      </c>
      <c r="F59" s="150"/>
      <c r="G59" s="150"/>
      <c r="H59" s="150"/>
    </row>
    <row r="60" spans="1:243">
      <c r="A60" s="57" t="s">
        <v>5</v>
      </c>
      <c r="B60" s="134" t="str">
        <f>IF(VLOOKUP(A60,过渡表!$A$3:$R$194,12,0)&lt;&gt;0,VLOOKUP(A60,过渡表!$A$3:$R$194,12,0),"")</f>
        <v/>
      </c>
      <c r="C60" s="134" t="str">
        <f>IF(VLOOKUP(A60,过渡表!$A$3:$V$194,22,0)&lt;&gt;0,VLOOKUP(A60,过渡表!$A$3:$V$194,22,0),"")</f>
        <v/>
      </c>
      <c r="D60" s="221"/>
      <c r="F60" s="150"/>
      <c r="G60" s="150"/>
      <c r="H60" s="150"/>
    </row>
    <row r="61" spans="1:243">
      <c r="A61" s="57" t="s">
        <v>6</v>
      </c>
      <c r="B61" s="134" t="str">
        <f>IF(VLOOKUP(A61,过渡表!$A$3:$R$194,12,0)&lt;&gt;0,VLOOKUP(A61,过渡表!$A$3:$R$194,12,0),"")</f>
        <v/>
      </c>
      <c r="C61" s="134" t="str">
        <f>IF(VLOOKUP(A61,过渡表!$A$3:$V$194,22,0)&lt;&gt;0,VLOOKUP(A61,过渡表!$A$3:$V$194,22,0),"")</f>
        <v/>
      </c>
      <c r="D61" s="221"/>
      <c r="F61" s="150"/>
      <c r="G61" s="150"/>
      <c r="H61" s="150"/>
    </row>
    <row r="62" spans="1:243">
      <c r="A62" s="57" t="s">
        <v>7</v>
      </c>
      <c r="B62" s="134" t="str">
        <f>IF(VLOOKUP(A62,过渡表!$A$3:$R$194,12,0)&lt;&gt;0,VLOOKUP(A62,过渡表!$A$3:$R$194,12,0),"")</f>
        <v/>
      </c>
      <c r="C62" s="134" t="str">
        <f>IF(VLOOKUP(A62,过渡表!$A$3:$V$194,22,0)&lt;&gt;0,VLOOKUP(A62,过渡表!$A$3:$V$194,22,0),"")</f>
        <v/>
      </c>
      <c r="D62" s="221"/>
      <c r="F62" s="150"/>
      <c r="G62" s="150"/>
      <c r="H62" s="150"/>
    </row>
    <row r="63" spans="1:243">
      <c r="A63" s="57" t="s">
        <v>8</v>
      </c>
      <c r="B63" s="134" t="str">
        <f>IF(VLOOKUP(A63,过渡表!$A$3:$R$194,12,0)&lt;&gt;0,VLOOKUP(A63,过渡表!$A$3:$R$194,12,0),"")</f>
        <v/>
      </c>
      <c r="C63" s="134" t="str">
        <f>IF(VLOOKUP(A63,过渡表!$A$3:$V$194,22,0)&lt;&gt;0,VLOOKUP(A63,过渡表!$A$3:$V$194,22,0),"")</f>
        <v/>
      </c>
      <c r="D63" s="134"/>
      <c r="F63" s="150"/>
      <c r="G63" s="150"/>
      <c r="H63" s="150"/>
    </row>
    <row r="64" spans="1:243">
      <c r="A64" s="57" t="s">
        <v>9</v>
      </c>
      <c r="B64" s="134" t="str">
        <f>IF(VLOOKUP(A64,过渡表!$A$3:$R$194,12,0)&lt;&gt;0,VLOOKUP(A64,过渡表!$A$3:$R$194,12,0),"")</f>
        <v/>
      </c>
      <c r="C64" s="134" t="str">
        <f>IF(VLOOKUP(A64,过渡表!$A$3:$V$194,22,0)&lt;&gt;0,VLOOKUP(A64,过渡表!$A$3:$V$194,22,0),"")</f>
        <v/>
      </c>
      <c r="D64" s="134"/>
      <c r="F64" s="150"/>
      <c r="G64" s="150"/>
      <c r="H64" s="150"/>
    </row>
    <row r="65" spans="1:8" ht="24">
      <c r="A65" s="62" t="s">
        <v>10</v>
      </c>
      <c r="B65" s="134" t="str">
        <f>IF(VLOOKUP(A65,过渡表!$A$3:$R$194,12,0)&lt;&gt;0,VLOOKUP(A65,过渡表!$A$3:$R$194,12,0),"")</f>
        <v/>
      </c>
      <c r="C65" s="134" t="str">
        <f>IF(VLOOKUP(A65,过渡表!$A$3:$V$194,22,0)&lt;&gt;0,VLOOKUP(A65,过渡表!$A$3:$V$194,22,0),"")</f>
        <v/>
      </c>
      <c r="D65" s="134"/>
      <c r="F65" s="150"/>
      <c r="G65" s="150"/>
      <c r="H65" s="150"/>
    </row>
    <row r="66" spans="1:8">
      <c r="A66" s="57" t="s">
        <v>11</v>
      </c>
      <c r="B66" s="134" t="str">
        <f>IF(VLOOKUP(A66,过渡表!$A$3:$R$194,12,0)&lt;&gt;0,VLOOKUP(A66,过渡表!$A$3:$R$194,12,0),"")</f>
        <v/>
      </c>
      <c r="C66" s="134" t="str">
        <f>IF(VLOOKUP(A66,过渡表!$A$3:$V$194,22,0)&lt;&gt;0,VLOOKUP(A66,过渡表!$A$3:$V$194,22,0),"")</f>
        <v/>
      </c>
      <c r="D66" s="134"/>
      <c r="F66" s="150"/>
      <c r="G66" s="150"/>
      <c r="H66" s="150"/>
    </row>
    <row r="67" spans="1:8">
      <c r="A67" s="57" t="s">
        <v>12</v>
      </c>
      <c r="B67" s="134" t="str">
        <f>IF(VLOOKUP(A67,过渡表!$A$3:$R$194,12,0)&lt;&gt;0,VLOOKUP(A67,过渡表!$A$3:$R$194,12,0),"")</f>
        <v/>
      </c>
      <c r="C67" s="134" t="str">
        <f>IF(VLOOKUP(A67,过渡表!$A$3:$V$194,22,0)&lt;&gt;0,VLOOKUP(A67,过渡表!$A$3:$V$194,22,0),"")</f>
        <v/>
      </c>
      <c r="D67" s="134"/>
      <c r="F67" s="150"/>
      <c r="G67" s="150"/>
      <c r="H67" s="150"/>
    </row>
    <row r="68" spans="1:8">
      <c r="A68" s="57" t="s">
        <v>13</v>
      </c>
      <c r="B68" s="134" t="str">
        <f>IF(VLOOKUP(A68,过渡表!$A$3:$R$194,12,0)&lt;&gt;0,VLOOKUP(A68,过渡表!$A$3:$R$194,12,0),"")</f>
        <v/>
      </c>
      <c r="C68" s="134" t="str">
        <f>IF(VLOOKUP(A68,过渡表!$A$3:$V$194,22,0)&lt;&gt;0,VLOOKUP(A68,过渡表!$A$3:$V$194,22,0),"")</f>
        <v/>
      </c>
      <c r="D68" s="134"/>
      <c r="F68" s="150"/>
      <c r="G68" s="150"/>
      <c r="H68" s="150"/>
    </row>
    <row r="69" spans="1:8">
      <c r="A69" s="57" t="s">
        <v>14</v>
      </c>
      <c r="B69" s="134" t="str">
        <f>IF(VLOOKUP(A69,过渡表!$A$3:$R$194,12,0)&lt;&gt;0,VLOOKUP(A69,过渡表!$A$3:$R$194,12,0),"")</f>
        <v/>
      </c>
      <c r="C69" s="134" t="str">
        <f>IF(VLOOKUP(A69,过渡表!$A$3:$V$194,22,0)&lt;&gt;0,VLOOKUP(A69,过渡表!$A$3:$V$194,22,0),"")</f>
        <v/>
      </c>
      <c r="D69" s="221"/>
      <c r="F69" s="150"/>
      <c r="G69" s="150"/>
      <c r="H69" s="150"/>
    </row>
    <row r="70" spans="1:8">
      <c r="A70" s="57" t="s">
        <v>15</v>
      </c>
      <c r="B70" s="134" t="str">
        <f>IF(VLOOKUP(A70,过渡表!$A$3:$R$194,12,0)&lt;&gt;0,VLOOKUP(A70,过渡表!$A$3:$R$194,12,0),"")</f>
        <v/>
      </c>
      <c r="C70" s="134" t="str">
        <f>IF(VLOOKUP(A70,过渡表!$A$3:$V$194,22,0)&lt;&gt;0,VLOOKUP(A70,过渡表!$A$3:$V$194,22,0),"")</f>
        <v/>
      </c>
      <c r="D70" s="221"/>
      <c r="F70" s="150"/>
      <c r="G70" s="150"/>
      <c r="H70" s="150"/>
    </row>
    <row r="71" spans="1:8">
      <c r="A71" s="57" t="s">
        <v>16</v>
      </c>
      <c r="B71" s="134" t="str">
        <f>IF(VLOOKUP(A71,过渡表!$A$3:$R$194,12,0)&lt;&gt;0,VLOOKUP(A71,过渡表!$A$3:$R$194,12,0),"")</f>
        <v/>
      </c>
      <c r="C71" s="134" t="str">
        <f>IF(VLOOKUP(A71,过渡表!$A$3:$V$194,22,0)&lt;&gt;0,VLOOKUP(A71,过渡表!$A$3:$V$194,22,0),"")</f>
        <v/>
      </c>
      <c r="D71" s="221"/>
      <c r="F71" s="150"/>
      <c r="G71" s="150"/>
      <c r="H71" s="150"/>
    </row>
    <row r="72" spans="1:8">
      <c r="A72" s="57" t="s">
        <v>17</v>
      </c>
      <c r="B72" s="134" t="str">
        <f>IF(VLOOKUP(A72,过渡表!$A$3:$R$194,12,0)&lt;&gt;0,VLOOKUP(A72,过渡表!$A$3:$R$194,12,0),"")</f>
        <v/>
      </c>
      <c r="C72" s="134" t="str">
        <f>IF(VLOOKUP(A72,过渡表!$A$3:$V$194,22,0)&lt;&gt;0,VLOOKUP(A72,过渡表!$A$3:$V$194,22,0),"")</f>
        <v/>
      </c>
      <c r="D72" s="221"/>
      <c r="F72" s="150"/>
      <c r="G72" s="150"/>
      <c r="H72" s="150"/>
    </row>
    <row r="73" spans="1:8">
      <c r="A73" s="57" t="s">
        <v>18</v>
      </c>
      <c r="B73" s="134" t="str">
        <f>IF(VLOOKUP(A73,过渡表!$A$3:$R$194,12,0)&lt;&gt;0,VLOOKUP(A73,过渡表!$A$3:$R$194,12,0),"")</f>
        <v/>
      </c>
      <c r="C73" s="134" t="str">
        <f>IF(VLOOKUP(A73,过渡表!$A$3:$V$194,22,0)&lt;&gt;0,VLOOKUP(A73,过渡表!$A$3:$V$194,22,0),"")</f>
        <v/>
      </c>
      <c r="D73" s="221"/>
      <c r="F73" s="150"/>
      <c r="G73" s="150"/>
      <c r="H73" s="150"/>
    </row>
    <row r="74" spans="1:8">
      <c r="A74" s="57" t="s">
        <v>209</v>
      </c>
      <c r="B74" s="139">
        <f>SUM(B57:B73)</f>
        <v>0</v>
      </c>
      <c r="C74" s="139">
        <f>SUM(C57:C73)</f>
        <v>0</v>
      </c>
      <c r="D74" s="240">
        <f>ROUND(SUM(D57:D73),2)</f>
        <v>0</v>
      </c>
      <c r="G74" s="150"/>
      <c r="H74" s="150"/>
    </row>
    <row r="75" spans="1:8">
      <c r="A75" s="57" t="s">
        <v>19</v>
      </c>
      <c r="B75" s="134"/>
      <c r="C75" s="134"/>
      <c r="D75" s="134"/>
      <c r="G75" s="150"/>
      <c r="H75" s="150"/>
    </row>
    <row r="76" spans="1:8">
      <c r="A76" s="57" t="s">
        <v>20</v>
      </c>
      <c r="B76" s="134" t="str">
        <f>IF(VLOOKUP(A76,过渡表!$A$3:$R$194,12,0)&lt;&gt;0,VLOOKUP(A76,过渡表!$A$3:$R$194,12,0),"")</f>
        <v/>
      </c>
      <c r="C76" s="134">
        <f>VLOOKUP(A76,过渡表!$A$3:$V$194,22,0)</f>
        <v>0</v>
      </c>
      <c r="D76" s="134"/>
      <c r="G76" s="150"/>
      <c r="H76" s="150"/>
    </row>
    <row r="77" spans="1:8">
      <c r="A77" s="57" t="s">
        <v>21</v>
      </c>
      <c r="B77" s="134" t="str">
        <f>IF(VLOOKUP(A77,过渡表!$A$3:$R$194,12,0)&lt;&gt;0,VLOOKUP(A77,过渡表!$A$3:$R$194,12,0),"")</f>
        <v/>
      </c>
      <c r="C77" s="134">
        <f>VLOOKUP(A77,过渡表!$A$3:$V$194,22,0)</f>
        <v>0</v>
      </c>
      <c r="D77" s="134"/>
      <c r="G77" s="150"/>
      <c r="H77" s="150"/>
    </row>
    <row r="78" spans="1:8">
      <c r="A78" s="57" t="s">
        <v>22</v>
      </c>
      <c r="B78" s="134" t="str">
        <f>IF(VLOOKUP(A78,过渡表!$A$3:$R$194,12,0)&lt;&gt;0,VLOOKUP(A78,过渡表!$A$3:$R$194,12,0),"")</f>
        <v/>
      </c>
      <c r="C78" s="134">
        <f>VLOOKUP(A78,过渡表!$A$3:$V$194,22,0)</f>
        <v>0</v>
      </c>
      <c r="D78" s="134"/>
      <c r="G78" s="150"/>
      <c r="H78" s="150"/>
    </row>
    <row r="79" spans="1:8">
      <c r="A79" s="57" t="s">
        <v>23</v>
      </c>
      <c r="B79" s="134"/>
      <c r="C79" s="134">
        <f>VLOOKUP(A79,过渡表!$A$3:$V$194,22,0)</f>
        <v>0</v>
      </c>
      <c r="D79" s="134"/>
      <c r="G79" s="150"/>
      <c r="H79" s="150"/>
    </row>
    <row r="80" spans="1:8">
      <c r="A80" s="57" t="s">
        <v>24</v>
      </c>
      <c r="B80" s="140">
        <f>过渡表!L190</f>
        <v>0</v>
      </c>
      <c r="C80" s="140">
        <f>过渡表!V190</f>
        <v>0</v>
      </c>
      <c r="D80" s="221">
        <f>D44</f>
        <v>0</v>
      </c>
      <c r="G80" s="150"/>
      <c r="H80" s="150"/>
    </row>
    <row r="81" spans="1:243">
      <c r="A81" s="57" t="s">
        <v>210</v>
      </c>
      <c r="B81" s="139">
        <f>过渡表!L191</f>
        <v>0</v>
      </c>
      <c r="C81" s="139">
        <f>过渡表!V191</f>
        <v>0</v>
      </c>
      <c r="D81" s="139"/>
      <c r="G81" s="150"/>
      <c r="H81" s="150"/>
    </row>
    <row r="82" spans="1:243" ht="13.5" thickBot="1">
      <c r="A82" s="57" t="s">
        <v>211</v>
      </c>
      <c r="B82" s="141">
        <f>ROUND(B80-B81,2)</f>
        <v>0</v>
      </c>
      <c r="C82" s="141">
        <f t="shared" ref="C82" si="2">ROUND(C80-C81,2)</f>
        <v>0</v>
      </c>
      <c r="D82" s="141">
        <f>ROUND(D80-D81,2)</f>
        <v>0</v>
      </c>
      <c r="G82" s="150"/>
      <c r="H82" s="150"/>
    </row>
    <row r="83" spans="1:243" ht="13.5" thickTop="1">
      <c r="A83" s="63"/>
      <c r="B83" s="259"/>
      <c r="C83" s="259"/>
      <c r="D83" s="259"/>
      <c r="E83" s="56"/>
      <c r="IH83" s="57"/>
      <c r="II83" s="57"/>
    </row>
    <row r="84" spans="1:243">
      <c r="A84" s="64"/>
      <c r="B84" s="65"/>
      <c r="C84" s="65"/>
      <c r="D84" s="65"/>
      <c r="E84" s="56"/>
      <c r="IH84" s="57"/>
      <c r="II84" s="57"/>
    </row>
    <row r="85" spans="1:243">
      <c r="E85" s="56"/>
      <c r="IH85" s="57"/>
      <c r="II85" s="57"/>
    </row>
    <row r="86" spans="1:243" hidden="1">
      <c r="A86" s="75" t="str">
        <f>A48</f>
        <v xml:space="preserve">    企业法定代表人：                                           主管会计工作负责人：                                        会计机构负责人： </v>
      </c>
      <c r="B86" s="72"/>
      <c r="C86" s="72"/>
    </row>
    <row r="87" spans="1:243">
      <c r="A87" s="78"/>
      <c r="B87" s="112"/>
      <c r="C87" s="112"/>
    </row>
    <row r="88" spans="1:243">
      <c r="A88" s="57" t="s">
        <v>212</v>
      </c>
      <c r="B88" s="134">
        <f>B80-B44</f>
        <v>0</v>
      </c>
      <c r="C88" s="134">
        <f>C80-C44</f>
        <v>0</v>
      </c>
      <c r="D88" s="134">
        <f>D80-D44</f>
        <v>0</v>
      </c>
      <c r="E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</row>
    <row r="89" spans="1:243">
      <c r="A89" s="57" t="s">
        <v>213</v>
      </c>
      <c r="B89" s="134">
        <f>B42-B82</f>
        <v>0</v>
      </c>
      <c r="C89" s="134">
        <f t="shared" ref="C89" si="3">C42-C82</f>
        <v>0</v>
      </c>
      <c r="D89" s="134">
        <f>D42-D82</f>
        <v>0</v>
      </c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</row>
    <row r="90" spans="1:243">
      <c r="A90" s="57" t="s">
        <v>214</v>
      </c>
      <c r="B90" s="134">
        <f>B74-B16</f>
        <v>0</v>
      </c>
      <c r="C90" s="134">
        <f>C74-C16</f>
        <v>0</v>
      </c>
      <c r="D90" s="134">
        <f>D74-D16</f>
        <v>0</v>
      </c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</row>
    <row r="91" spans="1:243">
      <c r="F91" s="47"/>
    </row>
  </sheetData>
  <mergeCells count="1">
    <mergeCell ref="A1:D1"/>
  </mergeCells>
  <phoneticPr fontId="7" type="noConversion"/>
  <pageMargins left="1.1200000000000001" right="0.5" top="0.86" bottom="0.75" header="0.3" footer="0.3"/>
  <pageSetup paperSize="9" scale="84" fitToHeight="2" orientation="portrait" r:id="rId1"/>
  <rowBreaks count="1" manualBreakCount="1">
    <brk id="48" max="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opLeftCell="A42" zoomScaleNormal="100" workbookViewId="0">
      <selection activeCell="L58" sqref="L58"/>
    </sheetView>
  </sheetViews>
  <sheetFormatPr defaultRowHeight="15" customHeight="1"/>
  <cols>
    <col min="1" max="1" width="38.85546875" style="281" customWidth="1"/>
    <col min="2" max="2" width="12.7109375" style="281" bestFit="1" customWidth="1"/>
    <col min="3" max="4" width="6.85546875" style="281" bestFit="1" customWidth="1"/>
    <col min="5" max="5" width="5.140625" style="281" bestFit="1" customWidth="1"/>
    <col min="6" max="6" width="14.140625" style="281" bestFit="1" customWidth="1"/>
    <col min="7" max="7" width="12.7109375" style="281" bestFit="1" customWidth="1"/>
    <col min="8" max="8" width="12.28515625" style="281" bestFit="1" customWidth="1"/>
    <col min="9" max="9" width="8.5703125" style="281" bestFit="1" customWidth="1"/>
    <col min="10" max="10" width="11.7109375" style="281" bestFit="1" customWidth="1"/>
    <col min="11" max="11" width="12.28515625" style="281" bestFit="1" customWidth="1"/>
    <col min="12" max="12" width="12.7109375" style="281" bestFit="1" customWidth="1"/>
    <col min="13" max="13" width="5.140625" style="281" bestFit="1" customWidth="1"/>
    <col min="14" max="14" width="14.140625" style="281" bestFit="1" customWidth="1"/>
    <col min="15" max="15" width="12.28515625" style="281" bestFit="1" customWidth="1"/>
    <col min="16" max="16" width="14.140625" style="281" bestFit="1" customWidth="1"/>
    <col min="17" max="16384" width="9.140625" style="281"/>
  </cols>
  <sheetData>
    <row r="1" spans="1:16" ht="18.75">
      <c r="A1" s="279" t="s">
        <v>570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</row>
    <row r="2" spans="1:16" ht="15" customHeight="1">
      <c r="A2" s="279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</row>
    <row r="3" spans="1:16" ht="15" customHeight="1">
      <c r="A3" s="48" t="str">
        <f>合并资产负债表!A3</f>
        <v>编制单位：</v>
      </c>
    </row>
    <row r="4" spans="1:16" ht="15" customHeight="1">
      <c r="A4" s="273" t="s">
        <v>546</v>
      </c>
    </row>
    <row r="5" spans="1:16" ht="15" customHeight="1">
      <c r="A5" s="327" t="s">
        <v>166</v>
      </c>
      <c r="B5" s="328" t="s">
        <v>571</v>
      </c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</row>
    <row r="6" spans="1:16" ht="15" customHeight="1">
      <c r="A6" s="327"/>
      <c r="B6" s="327" t="s">
        <v>547</v>
      </c>
      <c r="C6" s="327"/>
      <c r="D6" s="327"/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7" t="s">
        <v>279</v>
      </c>
      <c r="P6" s="327" t="s">
        <v>548</v>
      </c>
    </row>
    <row r="7" spans="1:16" ht="15" customHeight="1">
      <c r="A7" s="327"/>
      <c r="B7" s="327" t="s">
        <v>549</v>
      </c>
      <c r="C7" s="327" t="s">
        <v>550</v>
      </c>
      <c r="D7" s="327"/>
      <c r="E7" s="327"/>
      <c r="F7" s="327" t="s">
        <v>137</v>
      </c>
      <c r="G7" s="327" t="s">
        <v>551</v>
      </c>
      <c r="H7" s="327" t="s">
        <v>552</v>
      </c>
      <c r="I7" s="327" t="s">
        <v>553</v>
      </c>
      <c r="J7" s="327" t="s">
        <v>138</v>
      </c>
      <c r="K7" s="327" t="s">
        <v>278</v>
      </c>
      <c r="L7" s="327" t="s">
        <v>140</v>
      </c>
      <c r="M7" s="327" t="s">
        <v>71</v>
      </c>
      <c r="N7" s="327" t="s">
        <v>554</v>
      </c>
      <c r="O7" s="327"/>
      <c r="P7" s="327"/>
    </row>
    <row r="8" spans="1:16" ht="15" customHeight="1">
      <c r="A8" s="327"/>
      <c r="B8" s="327"/>
      <c r="C8" s="274" t="s">
        <v>555</v>
      </c>
      <c r="D8" s="274" t="s">
        <v>556</v>
      </c>
      <c r="E8" s="274" t="s">
        <v>71</v>
      </c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</row>
    <row r="9" spans="1:16" ht="15" customHeight="1">
      <c r="A9" s="275" t="s">
        <v>557</v>
      </c>
      <c r="B9" s="276"/>
      <c r="C9" s="277"/>
      <c r="D9" s="277"/>
      <c r="E9" s="277"/>
      <c r="F9" s="276"/>
      <c r="G9" s="276"/>
      <c r="H9" s="277"/>
      <c r="I9" s="277"/>
      <c r="J9" s="276"/>
      <c r="K9" s="277"/>
      <c r="L9" s="276"/>
      <c r="M9" s="277"/>
      <c r="N9" s="276"/>
      <c r="O9" s="277"/>
      <c r="P9" s="276"/>
    </row>
    <row r="10" spans="1:16" ht="15" customHeight="1">
      <c r="A10" s="275" t="s">
        <v>558</v>
      </c>
      <c r="B10" s="277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</row>
    <row r="11" spans="1:16" ht="15" customHeight="1">
      <c r="A11" s="275" t="s">
        <v>559</v>
      </c>
      <c r="B11" s="277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</row>
    <row r="12" spans="1:16" ht="15" customHeight="1">
      <c r="A12" s="275" t="s">
        <v>560</v>
      </c>
      <c r="B12" s="277"/>
      <c r="C12" s="277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</row>
    <row r="13" spans="1:16" ht="15" customHeight="1">
      <c r="A13" s="275" t="s">
        <v>561</v>
      </c>
      <c r="B13" s="277"/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</row>
    <row r="14" spans="1:16" ht="15" customHeight="1">
      <c r="A14" s="275" t="s">
        <v>562</v>
      </c>
      <c r="B14" s="276"/>
      <c r="C14" s="277"/>
      <c r="D14" s="277"/>
      <c r="E14" s="277"/>
      <c r="F14" s="276"/>
      <c r="G14" s="276"/>
      <c r="H14" s="277"/>
      <c r="I14" s="277"/>
      <c r="J14" s="276"/>
      <c r="K14" s="277"/>
      <c r="L14" s="276"/>
      <c r="M14" s="277"/>
      <c r="N14" s="276"/>
      <c r="O14" s="277"/>
      <c r="P14" s="276"/>
    </row>
    <row r="15" spans="1:16" ht="15" customHeight="1">
      <c r="A15" s="275" t="s">
        <v>572</v>
      </c>
      <c r="B15" s="277"/>
      <c r="C15" s="277"/>
      <c r="D15" s="277"/>
      <c r="E15" s="277"/>
      <c r="F15" s="277"/>
      <c r="G15" s="277"/>
      <c r="H15" s="277"/>
      <c r="I15" s="277"/>
      <c r="J15" s="277"/>
      <c r="K15" s="277"/>
      <c r="L15" s="276"/>
      <c r="M15" s="277"/>
      <c r="N15" s="276"/>
      <c r="O15" s="277"/>
      <c r="P15" s="276"/>
    </row>
    <row r="16" spans="1:16" ht="15" customHeight="1">
      <c r="A16" s="275" t="s">
        <v>563</v>
      </c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6"/>
      <c r="M16" s="277"/>
      <c r="N16" s="276"/>
      <c r="O16" s="277"/>
      <c r="P16" s="276"/>
    </row>
    <row r="17" spans="1:16" ht="15" customHeight="1">
      <c r="A17" s="275" t="s">
        <v>564</v>
      </c>
      <c r="B17" s="277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</row>
    <row r="18" spans="1:16" ht="15" customHeight="1">
      <c r="A18" s="278" t="s">
        <v>573</v>
      </c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</row>
    <row r="19" spans="1:16" ht="15" customHeight="1">
      <c r="A19" s="278" t="s">
        <v>574</v>
      </c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</row>
    <row r="20" spans="1:16" ht="15" customHeight="1">
      <c r="A20" s="278" t="s">
        <v>575</v>
      </c>
      <c r="B20" s="277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</row>
    <row r="21" spans="1:16" ht="15" customHeight="1">
      <c r="A21" s="278" t="s">
        <v>576</v>
      </c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</row>
    <row r="22" spans="1:16" ht="15" customHeight="1">
      <c r="A22" s="275" t="s">
        <v>565</v>
      </c>
      <c r="B22" s="277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</row>
    <row r="23" spans="1:16" ht="15" customHeight="1">
      <c r="A23" s="278" t="s">
        <v>577</v>
      </c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</row>
    <row r="24" spans="1:16" ht="15" customHeight="1">
      <c r="A24" s="278" t="s">
        <v>578</v>
      </c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</row>
    <row r="25" spans="1:16" ht="15" customHeight="1">
      <c r="A25" s="278" t="s">
        <v>579</v>
      </c>
      <c r="B25" s="27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</row>
    <row r="26" spans="1:16" ht="15" customHeight="1">
      <c r="A26" s="278" t="s">
        <v>576</v>
      </c>
      <c r="B26" s="277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</row>
    <row r="27" spans="1:16" ht="15" customHeight="1">
      <c r="A27" s="275" t="s">
        <v>566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</row>
    <row r="28" spans="1:16" ht="15" customHeight="1">
      <c r="A28" s="278" t="s">
        <v>580</v>
      </c>
      <c r="B28" s="277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</row>
    <row r="29" spans="1:16" ht="15" customHeight="1">
      <c r="A29" s="278" t="s">
        <v>581</v>
      </c>
      <c r="B29" s="277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</row>
    <row r="30" spans="1:16" ht="15" customHeight="1">
      <c r="A30" s="278" t="s">
        <v>582</v>
      </c>
      <c r="B30" s="277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</row>
    <row r="31" spans="1:16" ht="15" customHeight="1">
      <c r="A31" s="278" t="s">
        <v>583</v>
      </c>
      <c r="B31" s="277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</row>
    <row r="32" spans="1:16" ht="15" customHeight="1">
      <c r="A32" s="278" t="s">
        <v>584</v>
      </c>
      <c r="B32" s="277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7"/>
    </row>
    <row r="33" spans="1:16" ht="15" customHeight="1">
      <c r="A33" s="278" t="s">
        <v>585</v>
      </c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</row>
    <row r="34" spans="1:16" ht="15" customHeight="1">
      <c r="A34" s="275" t="s">
        <v>567</v>
      </c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</row>
    <row r="35" spans="1:16" ht="15" customHeight="1">
      <c r="A35" s="278" t="s">
        <v>586</v>
      </c>
      <c r="B35" s="277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</row>
    <row r="36" spans="1:16" ht="15" customHeight="1">
      <c r="A36" s="278" t="s">
        <v>587</v>
      </c>
      <c r="B36" s="277"/>
      <c r="C36" s="277"/>
      <c r="D36" s="277"/>
      <c r="E36" s="277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</row>
    <row r="37" spans="1:16" ht="15" customHeight="1">
      <c r="A37" s="275" t="s">
        <v>568</v>
      </c>
      <c r="B37" s="277"/>
      <c r="C37" s="277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</row>
    <row r="38" spans="1:16" ht="15" customHeight="1">
      <c r="A38" s="275" t="s">
        <v>569</v>
      </c>
      <c r="B38" s="276"/>
      <c r="C38" s="277"/>
      <c r="D38" s="277"/>
      <c r="E38" s="277"/>
      <c r="F38" s="276"/>
      <c r="G38" s="276"/>
      <c r="H38" s="277"/>
      <c r="I38" s="277"/>
      <c r="J38" s="276"/>
      <c r="K38" s="277"/>
      <c r="L38" s="276"/>
      <c r="M38" s="277"/>
      <c r="N38" s="276"/>
      <c r="O38" s="277"/>
      <c r="P38" s="276"/>
    </row>
    <row r="41" spans="1:16" ht="15" customHeight="1">
      <c r="A41" s="75" t="s">
        <v>598</v>
      </c>
    </row>
    <row r="42" spans="1:16" ht="18.75">
      <c r="A42" s="279" t="s">
        <v>591</v>
      </c>
      <c r="B42" s="28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0"/>
      <c r="N42" s="280"/>
      <c r="O42" s="280"/>
      <c r="P42" s="280"/>
    </row>
    <row r="43" spans="1:16" ht="15" customHeight="1">
      <c r="A43" s="279"/>
      <c r="B43" s="28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0"/>
      <c r="N43" s="280"/>
      <c r="O43" s="280"/>
      <c r="P43" s="280"/>
    </row>
    <row r="44" spans="1:16" ht="15" customHeight="1">
      <c r="A44" s="48" t="str">
        <f>A3</f>
        <v>编制单位：</v>
      </c>
    </row>
    <row r="45" spans="1:16" ht="15" customHeight="1">
      <c r="A45" s="273" t="s">
        <v>546</v>
      </c>
    </row>
    <row r="46" spans="1:16" ht="15" customHeight="1">
      <c r="A46" s="327" t="s">
        <v>166</v>
      </c>
      <c r="B46" s="328" t="s">
        <v>590</v>
      </c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</row>
    <row r="47" spans="1:16" ht="15" customHeight="1">
      <c r="A47" s="327"/>
      <c r="B47" s="327" t="s">
        <v>547</v>
      </c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 t="s">
        <v>279</v>
      </c>
      <c r="P47" s="327" t="s">
        <v>548</v>
      </c>
    </row>
    <row r="48" spans="1:16" ht="15" customHeight="1">
      <c r="A48" s="327"/>
      <c r="B48" s="327" t="s">
        <v>549</v>
      </c>
      <c r="C48" s="327" t="s">
        <v>550</v>
      </c>
      <c r="D48" s="327"/>
      <c r="E48" s="327"/>
      <c r="F48" s="327" t="s">
        <v>137</v>
      </c>
      <c r="G48" s="327" t="s">
        <v>551</v>
      </c>
      <c r="H48" s="327" t="s">
        <v>552</v>
      </c>
      <c r="I48" s="327" t="s">
        <v>553</v>
      </c>
      <c r="J48" s="327" t="s">
        <v>138</v>
      </c>
      <c r="K48" s="327" t="s">
        <v>278</v>
      </c>
      <c r="L48" s="327" t="s">
        <v>140</v>
      </c>
      <c r="M48" s="327" t="s">
        <v>71</v>
      </c>
      <c r="N48" s="327" t="s">
        <v>554</v>
      </c>
      <c r="O48" s="327"/>
      <c r="P48" s="327"/>
    </row>
    <row r="49" spans="1:16" ht="15" customHeight="1">
      <c r="A49" s="327"/>
      <c r="B49" s="327"/>
      <c r="C49" s="274" t="s">
        <v>555</v>
      </c>
      <c r="D49" s="274" t="s">
        <v>556</v>
      </c>
      <c r="E49" s="274" t="s">
        <v>71</v>
      </c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</row>
    <row r="50" spans="1:16" ht="15" customHeight="1">
      <c r="A50" s="275" t="s">
        <v>557</v>
      </c>
      <c r="B50" s="276"/>
      <c r="C50" s="277"/>
      <c r="D50" s="277"/>
      <c r="E50" s="277"/>
      <c r="F50" s="276"/>
      <c r="G50" s="277"/>
      <c r="H50" s="277"/>
      <c r="I50" s="277"/>
      <c r="J50" s="276"/>
      <c r="K50" s="277"/>
      <c r="L50" s="276"/>
      <c r="M50" s="277"/>
      <c r="N50" s="276"/>
      <c r="O50" s="277"/>
      <c r="P50" s="276"/>
    </row>
    <row r="51" spans="1:16" ht="15" customHeight="1">
      <c r="A51" s="275" t="s">
        <v>558</v>
      </c>
      <c r="B51" s="277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</row>
    <row r="52" spans="1:16" ht="15" customHeight="1">
      <c r="A52" s="275" t="s">
        <v>559</v>
      </c>
      <c r="B52" s="277"/>
      <c r="C52" s="277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</row>
    <row r="53" spans="1:16" ht="15" customHeight="1">
      <c r="A53" s="275" t="s">
        <v>560</v>
      </c>
      <c r="B53" s="277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</row>
    <row r="54" spans="1:16" ht="15" customHeight="1">
      <c r="A54" s="275" t="s">
        <v>561</v>
      </c>
      <c r="B54" s="277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</row>
    <row r="55" spans="1:16" ht="15" customHeight="1">
      <c r="A55" s="275" t="s">
        <v>562</v>
      </c>
      <c r="B55" s="276"/>
      <c r="C55" s="277"/>
      <c r="D55" s="277"/>
      <c r="E55" s="277"/>
      <c r="F55" s="276"/>
      <c r="G55" s="277"/>
      <c r="H55" s="277"/>
      <c r="I55" s="277"/>
      <c r="J55" s="276"/>
      <c r="K55" s="277"/>
      <c r="L55" s="276"/>
      <c r="M55" s="277"/>
      <c r="N55" s="276"/>
      <c r="O55" s="277"/>
      <c r="P55" s="276"/>
    </row>
    <row r="56" spans="1:16" ht="15" customHeight="1">
      <c r="A56" s="275" t="s">
        <v>572</v>
      </c>
      <c r="B56" s="277"/>
      <c r="C56" s="277"/>
      <c r="D56" s="277"/>
      <c r="E56" s="277"/>
      <c r="F56" s="277"/>
      <c r="G56" s="277"/>
      <c r="H56" s="277"/>
      <c r="I56" s="277"/>
      <c r="J56" s="277"/>
      <c r="K56" s="277"/>
      <c r="L56" s="276"/>
      <c r="M56" s="277"/>
      <c r="N56" s="276"/>
      <c r="O56" s="277"/>
      <c r="P56" s="276"/>
    </row>
    <row r="57" spans="1:16" ht="15" customHeight="1">
      <c r="A57" s="275" t="s">
        <v>563</v>
      </c>
      <c r="B57" s="277"/>
      <c r="C57" s="277"/>
      <c r="D57" s="277"/>
      <c r="E57" s="277"/>
      <c r="F57" s="277"/>
      <c r="G57" s="277"/>
      <c r="H57" s="277"/>
      <c r="I57" s="277"/>
      <c r="J57" s="277"/>
      <c r="K57" s="277"/>
      <c r="L57" s="276"/>
      <c r="M57" s="277"/>
      <c r="N57" s="276"/>
      <c r="O57" s="277"/>
      <c r="P57" s="276"/>
    </row>
    <row r="58" spans="1:16" ht="15" customHeight="1">
      <c r="A58" s="275" t="s">
        <v>564</v>
      </c>
      <c r="B58" s="277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</row>
    <row r="59" spans="1:16" ht="15" customHeight="1">
      <c r="A59" s="278" t="s">
        <v>573</v>
      </c>
      <c r="B59" s="277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</row>
    <row r="60" spans="1:16" ht="15" customHeight="1">
      <c r="A60" s="278" t="s">
        <v>574</v>
      </c>
      <c r="B60" s="277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7"/>
      <c r="P60" s="277"/>
    </row>
    <row r="61" spans="1:16" ht="15" customHeight="1">
      <c r="A61" s="278" t="s">
        <v>575</v>
      </c>
      <c r="B61" s="277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</row>
    <row r="62" spans="1:16" ht="15" customHeight="1">
      <c r="A62" s="278" t="s">
        <v>576</v>
      </c>
      <c r="B62" s="277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</row>
    <row r="63" spans="1:16" ht="15" customHeight="1">
      <c r="A63" s="275" t="s">
        <v>565</v>
      </c>
      <c r="B63" s="277"/>
      <c r="C63" s="277"/>
      <c r="D63" s="277"/>
      <c r="E63" s="277"/>
      <c r="F63" s="277"/>
      <c r="G63" s="277"/>
      <c r="H63" s="277"/>
      <c r="I63" s="277"/>
      <c r="J63" s="277"/>
      <c r="K63" s="277"/>
      <c r="L63" s="277"/>
      <c r="M63" s="277"/>
      <c r="N63" s="277"/>
      <c r="O63" s="277"/>
      <c r="P63" s="277"/>
    </row>
    <row r="64" spans="1:16" ht="15" customHeight="1">
      <c r="A64" s="278" t="s">
        <v>577</v>
      </c>
      <c r="B64" s="277"/>
      <c r="C64" s="277"/>
      <c r="D64" s="277"/>
      <c r="E64" s="277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</row>
    <row r="65" spans="1:16" ht="15" customHeight="1">
      <c r="A65" s="278" t="s">
        <v>578</v>
      </c>
      <c r="B65" s="277"/>
      <c r="C65" s="277"/>
      <c r="D65" s="277"/>
      <c r="E65" s="277"/>
      <c r="F65" s="277"/>
      <c r="G65" s="277"/>
      <c r="H65" s="277"/>
      <c r="I65" s="277"/>
      <c r="J65" s="277"/>
      <c r="K65" s="277"/>
      <c r="L65" s="277"/>
      <c r="M65" s="277"/>
      <c r="N65" s="277"/>
      <c r="O65" s="277"/>
      <c r="P65" s="277"/>
    </row>
    <row r="66" spans="1:16" ht="15" customHeight="1">
      <c r="A66" s="278" t="s">
        <v>579</v>
      </c>
      <c r="B66" s="277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77"/>
      <c r="P66" s="277"/>
    </row>
    <row r="67" spans="1:16" ht="15" customHeight="1">
      <c r="A67" s="278" t="s">
        <v>576</v>
      </c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77"/>
      <c r="P67" s="277"/>
    </row>
    <row r="68" spans="1:16" ht="15" customHeight="1">
      <c r="A68" s="275" t="s">
        <v>566</v>
      </c>
      <c r="B68" s="277"/>
      <c r="C68" s="277"/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</row>
    <row r="69" spans="1:16" ht="15" customHeight="1">
      <c r="A69" s="278" t="s">
        <v>580</v>
      </c>
      <c r="B69" s="277"/>
      <c r="C69" s="277"/>
      <c r="D69" s="277"/>
      <c r="E69" s="277"/>
      <c r="F69" s="277"/>
      <c r="G69" s="277"/>
      <c r="H69" s="277"/>
      <c r="I69" s="277"/>
      <c r="J69" s="277"/>
      <c r="K69" s="277"/>
      <c r="L69" s="277"/>
      <c r="M69" s="277"/>
      <c r="N69" s="277"/>
      <c r="O69" s="277"/>
      <c r="P69" s="277"/>
    </row>
    <row r="70" spans="1:16" ht="15" customHeight="1">
      <c r="A70" s="278" t="s">
        <v>581</v>
      </c>
      <c r="B70" s="277"/>
      <c r="C70" s="277"/>
      <c r="D70" s="277"/>
      <c r="E70" s="277"/>
      <c r="F70" s="277"/>
      <c r="G70" s="277"/>
      <c r="H70" s="277"/>
      <c r="I70" s="277"/>
      <c r="J70" s="277"/>
      <c r="K70" s="277"/>
      <c r="L70" s="277"/>
      <c r="M70" s="277"/>
      <c r="N70" s="277"/>
      <c r="O70" s="277"/>
      <c r="P70" s="277"/>
    </row>
    <row r="71" spans="1:16" ht="15" customHeight="1">
      <c r="A71" s="278" t="s">
        <v>582</v>
      </c>
      <c r="B71" s="277"/>
      <c r="C71" s="277"/>
      <c r="D71" s="277"/>
      <c r="E71" s="277"/>
      <c r="F71" s="277"/>
      <c r="G71" s="277"/>
      <c r="H71" s="277"/>
      <c r="I71" s="277"/>
      <c r="J71" s="277"/>
      <c r="K71" s="277"/>
      <c r="L71" s="277"/>
      <c r="M71" s="277"/>
      <c r="N71" s="277"/>
      <c r="O71" s="277"/>
      <c r="P71" s="277"/>
    </row>
    <row r="72" spans="1:16" ht="15" customHeight="1">
      <c r="A72" s="278" t="s">
        <v>583</v>
      </c>
      <c r="B72" s="277"/>
      <c r="C72" s="277"/>
      <c r="D72" s="277"/>
      <c r="E72" s="277"/>
      <c r="F72" s="277"/>
      <c r="G72" s="277"/>
      <c r="H72" s="277"/>
      <c r="I72" s="277"/>
      <c r="J72" s="277"/>
      <c r="K72" s="277"/>
      <c r="L72" s="277"/>
      <c r="M72" s="277"/>
      <c r="N72" s="277"/>
      <c r="O72" s="277"/>
      <c r="P72" s="277"/>
    </row>
    <row r="73" spans="1:16" ht="15" customHeight="1">
      <c r="A73" s="278" t="s">
        <v>584</v>
      </c>
      <c r="B73" s="277"/>
      <c r="C73" s="277"/>
      <c r="D73" s="277"/>
      <c r="E73" s="277"/>
      <c r="F73" s="277"/>
      <c r="G73" s="277"/>
      <c r="H73" s="277"/>
      <c r="I73" s="277"/>
      <c r="J73" s="277"/>
      <c r="K73" s="277"/>
      <c r="L73" s="277"/>
      <c r="M73" s="277"/>
      <c r="N73" s="277"/>
      <c r="O73" s="277"/>
      <c r="P73" s="277"/>
    </row>
    <row r="74" spans="1:16" ht="15" customHeight="1">
      <c r="A74" s="278" t="s">
        <v>585</v>
      </c>
      <c r="B74" s="277"/>
      <c r="C74" s="277"/>
      <c r="D74" s="277"/>
      <c r="E74" s="277"/>
      <c r="F74" s="277"/>
      <c r="G74" s="277"/>
      <c r="H74" s="277"/>
      <c r="I74" s="277"/>
      <c r="J74" s="277"/>
      <c r="K74" s="277"/>
      <c r="L74" s="277"/>
      <c r="M74" s="277"/>
      <c r="N74" s="277"/>
      <c r="O74" s="277"/>
      <c r="P74" s="277"/>
    </row>
    <row r="75" spans="1:16" ht="15" customHeight="1">
      <c r="A75" s="275" t="s">
        <v>567</v>
      </c>
      <c r="B75" s="277"/>
      <c r="C75" s="277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</row>
    <row r="76" spans="1:16" ht="15" customHeight="1">
      <c r="A76" s="278" t="s">
        <v>586</v>
      </c>
      <c r="B76" s="277"/>
      <c r="C76" s="277"/>
      <c r="D76" s="277"/>
      <c r="E76" s="277"/>
      <c r="F76" s="277"/>
      <c r="G76" s="277"/>
      <c r="H76" s="277"/>
      <c r="I76" s="277"/>
      <c r="J76" s="277"/>
      <c r="K76" s="277"/>
      <c r="L76" s="277"/>
      <c r="M76" s="277"/>
      <c r="N76" s="277"/>
      <c r="O76" s="277"/>
      <c r="P76" s="277"/>
    </row>
    <row r="77" spans="1:16" ht="15" customHeight="1">
      <c r="A77" s="278" t="s">
        <v>587</v>
      </c>
      <c r="B77" s="277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77"/>
      <c r="P77" s="277"/>
    </row>
    <row r="78" spans="1:16" ht="15" customHeight="1">
      <c r="A78" s="275" t="s">
        <v>568</v>
      </c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77"/>
      <c r="M78" s="277"/>
      <c r="N78" s="277"/>
      <c r="O78" s="277"/>
      <c r="P78" s="277"/>
    </row>
    <row r="79" spans="1:16" ht="15" customHeight="1">
      <c r="A79" s="275" t="s">
        <v>569</v>
      </c>
      <c r="B79" s="276"/>
      <c r="C79" s="277"/>
      <c r="D79" s="277"/>
      <c r="E79" s="277"/>
      <c r="F79" s="276"/>
      <c r="G79" s="277"/>
      <c r="H79" s="277"/>
      <c r="I79" s="277"/>
      <c r="J79" s="276"/>
      <c r="K79" s="277"/>
      <c r="L79" s="276"/>
      <c r="M79" s="277"/>
      <c r="N79" s="276"/>
      <c r="O79" s="277"/>
      <c r="P79" s="276"/>
    </row>
    <row r="82" spans="1:1" ht="15" customHeight="1">
      <c r="A82" s="75" t="s">
        <v>598</v>
      </c>
    </row>
  </sheetData>
  <mergeCells count="32">
    <mergeCell ref="N7:N8"/>
    <mergeCell ref="A5:A8"/>
    <mergeCell ref="B5:P5"/>
    <mergeCell ref="B6:N6"/>
    <mergeCell ref="O6:O8"/>
    <mergeCell ref="P6:P8"/>
    <mergeCell ref="B7:B8"/>
    <mergeCell ref="C7:E7"/>
    <mergeCell ref="F7:F8"/>
    <mergeCell ref="G7:G8"/>
    <mergeCell ref="H7:H8"/>
    <mergeCell ref="I7:I8"/>
    <mergeCell ref="J7:J8"/>
    <mergeCell ref="K7:K8"/>
    <mergeCell ref="L7:L8"/>
    <mergeCell ref="M7:M8"/>
    <mergeCell ref="A46:A49"/>
    <mergeCell ref="B46:P46"/>
    <mergeCell ref="B47:N47"/>
    <mergeCell ref="O47:O49"/>
    <mergeCell ref="P47:P49"/>
    <mergeCell ref="B48:B49"/>
    <mergeCell ref="C48:E48"/>
    <mergeCell ref="F48:F49"/>
    <mergeCell ref="G48:G49"/>
    <mergeCell ref="H48:H49"/>
    <mergeCell ref="I48:I49"/>
    <mergeCell ref="J48:J49"/>
    <mergeCell ref="K48:K49"/>
    <mergeCell ref="L48:L49"/>
    <mergeCell ref="M48:M49"/>
    <mergeCell ref="N48:N49"/>
  </mergeCells>
  <phoneticPr fontId="7" type="noConversion"/>
  <pageMargins left="0.44" right="0.2" top="0.66" bottom="0.75" header="0.3" footer="0.3"/>
  <pageSetup paperSize="9" scale="71" fitToHeight="2" orientation="landscape" r:id="rId1"/>
  <rowBreaks count="1" manualBreakCount="1">
    <brk id="4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6" zoomScaleNormal="100" workbookViewId="0">
      <selection activeCell="O57" sqref="O57"/>
    </sheetView>
  </sheetViews>
  <sheetFormatPr defaultRowHeight="15" customHeight="1"/>
  <cols>
    <col min="1" max="1" width="39" style="281" customWidth="1"/>
    <col min="2" max="2" width="12.7109375" style="281" bestFit="1" customWidth="1"/>
    <col min="3" max="4" width="6.85546875" style="281" bestFit="1" customWidth="1"/>
    <col min="5" max="5" width="5.140625" style="281" bestFit="1" customWidth="1"/>
    <col min="6" max="6" width="14.140625" style="281" bestFit="1" customWidth="1"/>
    <col min="7" max="7" width="12.7109375" style="281" bestFit="1" customWidth="1"/>
    <col min="8" max="8" width="12.28515625" style="281" bestFit="1" customWidth="1"/>
    <col min="9" max="9" width="8.5703125" style="281" bestFit="1" customWidth="1"/>
    <col min="10" max="10" width="11.7109375" style="281" bestFit="1" customWidth="1"/>
    <col min="11" max="11" width="12.42578125" style="281" bestFit="1" customWidth="1"/>
    <col min="12" max="12" width="5.140625" style="281" bestFit="1" customWidth="1"/>
    <col min="13" max="13" width="14.140625" style="281" bestFit="1" customWidth="1"/>
    <col min="14" max="16384" width="9.140625" style="281"/>
  </cols>
  <sheetData>
    <row r="1" spans="1:13" ht="18.75">
      <c r="A1" s="279" t="s">
        <v>592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3" ht="15" customHeight="1">
      <c r="A2" s="279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</row>
    <row r="3" spans="1:13" ht="15" customHeight="1">
      <c r="A3" s="48" t="s">
        <v>216</v>
      </c>
    </row>
    <row r="4" spans="1:13" ht="15" customHeight="1">
      <c r="A4" s="273" t="s">
        <v>546</v>
      </c>
    </row>
    <row r="5" spans="1:13" ht="15" customHeight="1">
      <c r="A5" s="327" t="s">
        <v>166</v>
      </c>
      <c r="B5" s="328" t="s">
        <v>571</v>
      </c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</row>
    <row r="6" spans="1:13" ht="15" customHeight="1">
      <c r="A6" s="327"/>
      <c r="B6" s="327" t="s">
        <v>549</v>
      </c>
      <c r="C6" s="327" t="s">
        <v>550</v>
      </c>
      <c r="D6" s="327"/>
      <c r="E6" s="327"/>
      <c r="F6" s="327" t="s">
        <v>137</v>
      </c>
      <c r="G6" s="327" t="s">
        <v>551</v>
      </c>
      <c r="H6" s="327" t="s">
        <v>552</v>
      </c>
      <c r="I6" s="327" t="s">
        <v>553</v>
      </c>
      <c r="J6" s="327" t="s">
        <v>138</v>
      </c>
      <c r="K6" s="327" t="s">
        <v>140</v>
      </c>
      <c r="L6" s="327" t="s">
        <v>71</v>
      </c>
      <c r="M6" s="327" t="s">
        <v>548</v>
      </c>
    </row>
    <row r="7" spans="1:13" ht="15" customHeight="1">
      <c r="A7" s="327"/>
      <c r="B7" s="327"/>
      <c r="C7" s="274" t="s">
        <v>555</v>
      </c>
      <c r="D7" s="274" t="s">
        <v>556</v>
      </c>
      <c r="E7" s="274" t="s">
        <v>71</v>
      </c>
      <c r="F7" s="327"/>
      <c r="G7" s="327"/>
      <c r="H7" s="327"/>
      <c r="I7" s="327"/>
      <c r="J7" s="327"/>
      <c r="K7" s="327"/>
      <c r="L7" s="327"/>
      <c r="M7" s="327"/>
    </row>
    <row r="8" spans="1:13" ht="15" customHeight="1">
      <c r="A8" s="275" t="s">
        <v>557</v>
      </c>
      <c r="B8" s="276"/>
      <c r="C8" s="277"/>
      <c r="D8" s="277"/>
      <c r="E8" s="277"/>
      <c r="F8" s="276"/>
      <c r="G8" s="276"/>
      <c r="H8" s="277"/>
      <c r="I8" s="277"/>
      <c r="J8" s="276"/>
      <c r="K8" s="276"/>
      <c r="L8" s="277"/>
      <c r="M8" s="276"/>
    </row>
    <row r="9" spans="1:13" ht="15" customHeight="1">
      <c r="A9" s="275" t="s">
        <v>558</v>
      </c>
      <c r="B9" s="277"/>
      <c r="C9" s="277"/>
      <c r="D9" s="277"/>
      <c r="E9" s="277"/>
      <c r="F9" s="277"/>
      <c r="G9" s="277"/>
      <c r="H9" s="277"/>
      <c r="I9" s="277"/>
      <c r="J9" s="277"/>
      <c r="K9" s="277"/>
      <c r="L9" s="277"/>
      <c r="M9" s="277"/>
    </row>
    <row r="10" spans="1:13" ht="15" customHeight="1">
      <c r="A10" s="275" t="s">
        <v>559</v>
      </c>
      <c r="B10" s="277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</row>
    <row r="11" spans="1:13" ht="15" customHeight="1">
      <c r="A11" s="275" t="s">
        <v>561</v>
      </c>
      <c r="B11" s="277"/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</row>
    <row r="12" spans="1:13" ht="15" customHeight="1">
      <c r="A12" s="275" t="s">
        <v>562</v>
      </c>
      <c r="B12" s="276"/>
      <c r="C12" s="277"/>
      <c r="D12" s="277"/>
      <c r="E12" s="277"/>
      <c r="F12" s="276"/>
      <c r="G12" s="276"/>
      <c r="H12" s="277"/>
      <c r="I12" s="277"/>
      <c r="J12" s="276"/>
      <c r="K12" s="276"/>
      <c r="L12" s="277"/>
      <c r="M12" s="276"/>
    </row>
    <row r="13" spans="1:13" ht="15" customHeight="1">
      <c r="A13" s="275" t="s">
        <v>572</v>
      </c>
      <c r="B13" s="277"/>
      <c r="C13" s="277"/>
      <c r="D13" s="277"/>
      <c r="E13" s="277"/>
      <c r="F13" s="277"/>
      <c r="G13" s="277"/>
      <c r="H13" s="277"/>
      <c r="I13" s="277"/>
      <c r="J13" s="277"/>
      <c r="K13" s="276"/>
      <c r="L13" s="277"/>
      <c r="M13" s="276"/>
    </row>
    <row r="14" spans="1:13" ht="15" customHeight="1">
      <c r="A14" s="275" t="s">
        <v>563</v>
      </c>
      <c r="B14" s="277"/>
      <c r="C14" s="277"/>
      <c r="D14" s="277"/>
      <c r="E14" s="277"/>
      <c r="F14" s="277"/>
      <c r="G14" s="277"/>
      <c r="H14" s="277"/>
      <c r="I14" s="277"/>
      <c r="J14" s="277"/>
      <c r="K14" s="276"/>
      <c r="L14" s="277"/>
      <c r="M14" s="276"/>
    </row>
    <row r="15" spans="1:13" ht="15" customHeight="1">
      <c r="A15" s="275" t="s">
        <v>564</v>
      </c>
      <c r="B15" s="277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</row>
    <row r="16" spans="1:13" ht="15" customHeight="1">
      <c r="A16" s="278" t="s">
        <v>573</v>
      </c>
      <c r="B16" s="277"/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</row>
    <row r="17" spans="1:13" ht="15" customHeight="1">
      <c r="A17" s="278" t="s">
        <v>574</v>
      </c>
      <c r="B17" s="277"/>
      <c r="C17" s="277"/>
      <c r="D17" s="277"/>
      <c r="E17" s="277"/>
      <c r="F17" s="277"/>
      <c r="G17" s="277"/>
      <c r="H17" s="277"/>
      <c r="I17" s="277"/>
      <c r="J17" s="277"/>
      <c r="K17" s="277"/>
      <c r="L17" s="277"/>
      <c r="M17" s="277"/>
    </row>
    <row r="18" spans="1:13" ht="15" customHeight="1">
      <c r="A18" s="278" t="s">
        <v>575</v>
      </c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</row>
    <row r="19" spans="1:13" ht="15" customHeight="1">
      <c r="A19" s="278" t="s">
        <v>576</v>
      </c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</row>
    <row r="20" spans="1:13" ht="15" customHeight="1">
      <c r="A20" s="275" t="s">
        <v>565</v>
      </c>
      <c r="B20" s="277"/>
      <c r="C20" s="277"/>
      <c r="D20" s="277"/>
      <c r="E20" s="277"/>
      <c r="F20" s="277"/>
      <c r="G20" s="277"/>
      <c r="H20" s="277"/>
      <c r="I20" s="277"/>
      <c r="J20" s="277"/>
      <c r="K20" s="277"/>
      <c r="L20" s="277"/>
      <c r="M20" s="277"/>
    </row>
    <row r="21" spans="1:13" ht="15" customHeight="1">
      <c r="A21" s="278" t="s">
        <v>577</v>
      </c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</row>
    <row r="22" spans="1:13" ht="15" customHeight="1">
      <c r="A22" s="278" t="s">
        <v>588</v>
      </c>
      <c r="B22" s="277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</row>
    <row r="23" spans="1:13" ht="15" customHeight="1">
      <c r="A23" s="278" t="s">
        <v>589</v>
      </c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</row>
    <row r="24" spans="1:13" ht="15" customHeight="1">
      <c r="A24" s="275" t="s">
        <v>566</v>
      </c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</row>
    <row r="25" spans="1:13" ht="15" customHeight="1">
      <c r="A25" s="278" t="s">
        <v>580</v>
      </c>
      <c r="B25" s="27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7"/>
    </row>
    <row r="26" spans="1:13" ht="15" customHeight="1">
      <c r="A26" s="278" t="s">
        <v>581</v>
      </c>
      <c r="B26" s="277"/>
      <c r="C26" s="277"/>
      <c r="D26" s="277"/>
      <c r="E26" s="277"/>
      <c r="F26" s="277"/>
      <c r="G26" s="277"/>
      <c r="H26" s="277"/>
      <c r="I26" s="277"/>
      <c r="J26" s="277"/>
      <c r="K26" s="277"/>
      <c r="L26" s="277"/>
      <c r="M26" s="277"/>
    </row>
    <row r="27" spans="1:13" ht="15" customHeight="1">
      <c r="A27" s="278" t="s">
        <v>582</v>
      </c>
      <c r="B27" s="277"/>
      <c r="C27" s="277"/>
      <c r="D27" s="277"/>
      <c r="E27" s="277"/>
      <c r="F27" s="277"/>
      <c r="G27" s="277"/>
      <c r="H27" s="277"/>
      <c r="I27" s="277"/>
      <c r="J27" s="277"/>
      <c r="K27" s="277"/>
      <c r="L27" s="277"/>
      <c r="M27" s="277"/>
    </row>
    <row r="28" spans="1:13" ht="15" customHeight="1">
      <c r="A28" s="278" t="s">
        <v>583</v>
      </c>
      <c r="B28" s="277"/>
      <c r="C28" s="277"/>
      <c r="D28" s="277"/>
      <c r="E28" s="277"/>
      <c r="F28" s="277"/>
      <c r="G28" s="277"/>
      <c r="H28" s="277"/>
      <c r="I28" s="277"/>
      <c r="J28" s="277"/>
      <c r="K28" s="277"/>
      <c r="L28" s="277"/>
      <c r="M28" s="277"/>
    </row>
    <row r="29" spans="1:13" ht="15" customHeight="1">
      <c r="A29" s="278" t="s">
        <v>584</v>
      </c>
      <c r="B29" s="277"/>
      <c r="C29" s="277"/>
      <c r="D29" s="277"/>
      <c r="E29" s="277"/>
      <c r="F29" s="277"/>
      <c r="G29" s="277"/>
      <c r="H29" s="277"/>
      <c r="I29" s="277"/>
      <c r="J29" s="277"/>
      <c r="K29" s="277"/>
      <c r="L29" s="277"/>
      <c r="M29" s="277"/>
    </row>
    <row r="30" spans="1:13" ht="15" customHeight="1">
      <c r="A30" s="278" t="s">
        <v>585</v>
      </c>
      <c r="B30" s="277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</row>
    <row r="31" spans="1:13" ht="15" customHeight="1">
      <c r="A31" s="275" t="s">
        <v>567</v>
      </c>
      <c r="B31" s="277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</row>
    <row r="32" spans="1:13" ht="15" customHeight="1">
      <c r="A32" s="278" t="s">
        <v>586</v>
      </c>
      <c r="B32" s="277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</row>
    <row r="33" spans="1:13" ht="15" customHeight="1">
      <c r="A33" s="278" t="s">
        <v>587</v>
      </c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</row>
    <row r="34" spans="1:13" ht="15" customHeight="1">
      <c r="A34" s="275" t="s">
        <v>568</v>
      </c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7"/>
    </row>
    <row r="35" spans="1:13" ht="15" customHeight="1">
      <c r="A35" s="275" t="s">
        <v>569</v>
      </c>
      <c r="B35" s="276"/>
      <c r="C35" s="277"/>
      <c r="D35" s="277"/>
      <c r="E35" s="277"/>
      <c r="F35" s="276"/>
      <c r="G35" s="276"/>
      <c r="H35" s="277"/>
      <c r="I35" s="277"/>
      <c r="J35" s="276"/>
      <c r="K35" s="276"/>
      <c r="L35" s="277"/>
      <c r="M35" s="276"/>
    </row>
    <row r="38" spans="1:13" ht="15" customHeight="1">
      <c r="A38" s="75" t="s">
        <v>596</v>
      </c>
    </row>
    <row r="39" spans="1:13" ht="18.75">
      <c r="A39" s="279" t="s">
        <v>593</v>
      </c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</row>
    <row r="40" spans="1:13" ht="15" customHeight="1">
      <c r="A40" s="279"/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</row>
    <row r="41" spans="1:13" ht="15" customHeight="1">
      <c r="A41" s="48" t="s">
        <v>216</v>
      </c>
    </row>
    <row r="42" spans="1:13" ht="15" customHeight="1">
      <c r="A42" s="273" t="s">
        <v>546</v>
      </c>
    </row>
    <row r="43" spans="1:13" ht="15" customHeight="1">
      <c r="A43" s="327" t="s">
        <v>166</v>
      </c>
      <c r="B43" s="328" t="s">
        <v>590</v>
      </c>
      <c r="C43" s="328"/>
      <c r="D43" s="328"/>
      <c r="E43" s="328"/>
      <c r="F43" s="328"/>
      <c r="G43" s="328"/>
      <c r="H43" s="328"/>
      <c r="I43" s="328"/>
      <c r="J43" s="328"/>
      <c r="K43" s="328"/>
      <c r="L43" s="328"/>
      <c r="M43" s="328"/>
    </row>
    <row r="44" spans="1:13" ht="15" customHeight="1">
      <c r="A44" s="327"/>
      <c r="B44" s="327" t="s">
        <v>549</v>
      </c>
      <c r="C44" s="327" t="s">
        <v>550</v>
      </c>
      <c r="D44" s="327"/>
      <c r="E44" s="327"/>
      <c r="F44" s="327" t="s">
        <v>137</v>
      </c>
      <c r="G44" s="327" t="s">
        <v>551</v>
      </c>
      <c r="H44" s="327" t="s">
        <v>552</v>
      </c>
      <c r="I44" s="327" t="s">
        <v>553</v>
      </c>
      <c r="J44" s="327" t="s">
        <v>138</v>
      </c>
      <c r="K44" s="327" t="s">
        <v>140</v>
      </c>
      <c r="L44" s="327" t="s">
        <v>71</v>
      </c>
      <c r="M44" s="327" t="s">
        <v>548</v>
      </c>
    </row>
    <row r="45" spans="1:13" ht="15" customHeight="1">
      <c r="A45" s="327"/>
      <c r="B45" s="327"/>
      <c r="C45" s="274" t="s">
        <v>555</v>
      </c>
      <c r="D45" s="274" t="s">
        <v>556</v>
      </c>
      <c r="E45" s="274" t="s">
        <v>71</v>
      </c>
      <c r="F45" s="327"/>
      <c r="G45" s="327"/>
      <c r="H45" s="327"/>
      <c r="I45" s="327"/>
      <c r="J45" s="327"/>
      <c r="K45" s="327"/>
      <c r="L45" s="327"/>
      <c r="M45" s="327"/>
    </row>
    <row r="46" spans="1:13" ht="15" customHeight="1">
      <c r="A46" s="275" t="s">
        <v>557</v>
      </c>
      <c r="B46" s="276"/>
      <c r="C46" s="277"/>
      <c r="D46" s="277"/>
      <c r="E46" s="277"/>
      <c r="F46" s="276"/>
      <c r="G46" s="277"/>
      <c r="H46" s="277"/>
      <c r="I46" s="277"/>
      <c r="J46" s="276"/>
      <c r="K46" s="276"/>
      <c r="L46" s="277"/>
      <c r="M46" s="276"/>
    </row>
    <row r="47" spans="1:13" ht="15" customHeight="1">
      <c r="A47" s="275" t="s">
        <v>558</v>
      </c>
      <c r="B47" s="277"/>
      <c r="C47" s="277"/>
      <c r="D47" s="277"/>
      <c r="E47" s="277"/>
      <c r="F47" s="277"/>
      <c r="G47" s="277"/>
      <c r="H47" s="277"/>
      <c r="I47" s="277"/>
      <c r="J47" s="277"/>
      <c r="K47" s="277"/>
      <c r="L47" s="277"/>
      <c r="M47" s="277"/>
    </row>
    <row r="48" spans="1:13" ht="15" customHeight="1">
      <c r="A48" s="275" t="s">
        <v>559</v>
      </c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77"/>
      <c r="M48" s="277"/>
    </row>
    <row r="49" spans="1:13" ht="15" customHeight="1">
      <c r="A49" s="275" t="s">
        <v>561</v>
      </c>
      <c r="B49" s="277"/>
      <c r="C49" s="277"/>
      <c r="D49" s="277"/>
      <c r="E49" s="277"/>
      <c r="F49" s="277"/>
      <c r="G49" s="277"/>
      <c r="H49" s="277"/>
      <c r="I49" s="277"/>
      <c r="J49" s="277"/>
      <c r="K49" s="277"/>
      <c r="L49" s="277"/>
      <c r="M49" s="277"/>
    </row>
    <row r="50" spans="1:13" ht="15" customHeight="1">
      <c r="A50" s="275" t="s">
        <v>562</v>
      </c>
      <c r="B50" s="276"/>
      <c r="C50" s="277"/>
      <c r="D50" s="277"/>
      <c r="E50" s="277"/>
      <c r="F50" s="276"/>
      <c r="G50" s="277"/>
      <c r="H50" s="277"/>
      <c r="I50" s="277"/>
      <c r="J50" s="276"/>
      <c r="K50" s="276"/>
      <c r="L50" s="277"/>
      <c r="M50" s="276"/>
    </row>
    <row r="51" spans="1:13" ht="15" customHeight="1">
      <c r="A51" s="275" t="s">
        <v>572</v>
      </c>
      <c r="B51" s="277"/>
      <c r="C51" s="277"/>
      <c r="D51" s="277"/>
      <c r="E51" s="277"/>
      <c r="F51" s="277"/>
      <c r="G51" s="277"/>
      <c r="H51" s="277"/>
      <c r="I51" s="277"/>
      <c r="J51" s="277"/>
      <c r="K51" s="276"/>
      <c r="L51" s="277"/>
      <c r="M51" s="276"/>
    </row>
    <row r="52" spans="1:13" ht="15" customHeight="1">
      <c r="A52" s="275" t="s">
        <v>563</v>
      </c>
      <c r="B52" s="277"/>
      <c r="C52" s="277"/>
      <c r="D52" s="277"/>
      <c r="E52" s="277"/>
      <c r="F52" s="277"/>
      <c r="G52" s="277"/>
      <c r="H52" s="277"/>
      <c r="I52" s="277"/>
      <c r="J52" s="277"/>
      <c r="K52" s="276"/>
      <c r="L52" s="277"/>
      <c r="M52" s="276"/>
    </row>
    <row r="53" spans="1:13" ht="15" customHeight="1">
      <c r="A53" s="275" t="s">
        <v>564</v>
      </c>
      <c r="B53" s="277"/>
      <c r="C53" s="277"/>
      <c r="D53" s="277"/>
      <c r="E53" s="277"/>
      <c r="F53" s="277"/>
      <c r="G53" s="277"/>
      <c r="H53" s="277"/>
      <c r="I53" s="277"/>
      <c r="J53" s="277"/>
      <c r="K53" s="277"/>
      <c r="L53" s="277"/>
      <c r="M53" s="277"/>
    </row>
    <row r="54" spans="1:13" ht="15" customHeight="1">
      <c r="A54" s="278" t="s">
        <v>573</v>
      </c>
      <c r="B54" s="277"/>
      <c r="C54" s="277"/>
      <c r="D54" s="277"/>
      <c r="E54" s="277"/>
      <c r="F54" s="277"/>
      <c r="G54" s="277"/>
      <c r="H54" s="277"/>
      <c r="I54" s="277"/>
      <c r="J54" s="277"/>
      <c r="K54" s="277"/>
      <c r="L54" s="277"/>
      <c r="M54" s="277"/>
    </row>
    <row r="55" spans="1:13" ht="15" customHeight="1">
      <c r="A55" s="278" t="s">
        <v>574</v>
      </c>
      <c r="B55" s="277"/>
      <c r="C55" s="277"/>
      <c r="D55" s="277"/>
      <c r="E55" s="277"/>
      <c r="F55" s="277"/>
      <c r="G55" s="277"/>
      <c r="H55" s="277"/>
      <c r="I55" s="277"/>
      <c r="J55" s="277"/>
      <c r="K55" s="277"/>
      <c r="L55" s="277"/>
      <c r="M55" s="277"/>
    </row>
    <row r="56" spans="1:13" ht="15" customHeight="1">
      <c r="A56" s="278" t="s">
        <v>575</v>
      </c>
      <c r="B56" s="277"/>
      <c r="C56" s="277"/>
      <c r="D56" s="277"/>
      <c r="E56" s="277"/>
      <c r="F56" s="277"/>
      <c r="G56" s="277"/>
      <c r="H56" s="277"/>
      <c r="I56" s="277"/>
      <c r="J56" s="277"/>
      <c r="K56" s="277"/>
      <c r="L56" s="277"/>
      <c r="M56" s="277"/>
    </row>
    <row r="57" spans="1:13" ht="15" customHeight="1">
      <c r="A57" s="278" t="s">
        <v>576</v>
      </c>
      <c r="B57" s="277"/>
      <c r="C57" s="277"/>
      <c r="D57" s="277"/>
      <c r="E57" s="277"/>
      <c r="F57" s="277"/>
      <c r="G57" s="277"/>
      <c r="H57" s="277"/>
      <c r="I57" s="277"/>
      <c r="J57" s="277"/>
      <c r="K57" s="277"/>
      <c r="L57" s="277"/>
      <c r="M57" s="277"/>
    </row>
    <row r="58" spans="1:13" ht="15" customHeight="1">
      <c r="A58" s="275" t="s">
        <v>565</v>
      </c>
      <c r="B58" s="277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</row>
    <row r="59" spans="1:13" ht="15" customHeight="1">
      <c r="A59" s="278" t="s">
        <v>577</v>
      </c>
      <c r="B59" s="277"/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</row>
    <row r="60" spans="1:13" ht="15" customHeight="1">
      <c r="A60" s="278" t="s">
        <v>588</v>
      </c>
      <c r="B60" s="277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</row>
    <row r="61" spans="1:13" ht="15" customHeight="1">
      <c r="A61" s="278" t="s">
        <v>589</v>
      </c>
      <c r="B61" s="277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</row>
    <row r="62" spans="1:13" ht="15" customHeight="1">
      <c r="A62" s="275" t="s">
        <v>566</v>
      </c>
      <c r="B62" s="277"/>
      <c r="C62" s="277"/>
      <c r="D62" s="277"/>
      <c r="E62" s="277"/>
      <c r="F62" s="277"/>
      <c r="G62" s="277"/>
      <c r="H62" s="277"/>
      <c r="I62" s="277"/>
      <c r="J62" s="277"/>
      <c r="K62" s="277"/>
      <c r="L62" s="277"/>
      <c r="M62" s="277"/>
    </row>
    <row r="63" spans="1:13" ht="15" customHeight="1">
      <c r="A63" s="278" t="s">
        <v>580</v>
      </c>
      <c r="B63" s="277"/>
      <c r="C63" s="277"/>
      <c r="D63" s="277"/>
      <c r="E63" s="277"/>
      <c r="F63" s="277"/>
      <c r="G63" s="277"/>
      <c r="H63" s="277"/>
      <c r="I63" s="277"/>
      <c r="J63" s="277"/>
      <c r="K63" s="277"/>
      <c r="L63" s="277"/>
      <c r="M63" s="277"/>
    </row>
    <row r="64" spans="1:13" ht="15" customHeight="1">
      <c r="A64" s="278" t="s">
        <v>581</v>
      </c>
      <c r="B64" s="277"/>
      <c r="C64" s="277"/>
      <c r="D64" s="277"/>
      <c r="E64" s="277"/>
      <c r="F64" s="277"/>
      <c r="G64" s="277"/>
      <c r="H64" s="277"/>
      <c r="I64" s="277"/>
      <c r="J64" s="277"/>
      <c r="K64" s="277"/>
      <c r="L64" s="277"/>
      <c r="M64" s="277"/>
    </row>
    <row r="65" spans="1:13" ht="15" customHeight="1">
      <c r="A65" s="278" t="s">
        <v>582</v>
      </c>
      <c r="B65" s="277"/>
      <c r="C65" s="277"/>
      <c r="D65" s="277"/>
      <c r="E65" s="277"/>
      <c r="F65" s="277"/>
      <c r="G65" s="277"/>
      <c r="H65" s="277"/>
      <c r="I65" s="277"/>
      <c r="J65" s="277"/>
      <c r="K65" s="277"/>
      <c r="L65" s="277"/>
      <c r="M65" s="277"/>
    </row>
    <row r="66" spans="1:13" ht="15" customHeight="1">
      <c r="A66" s="278" t="s">
        <v>583</v>
      </c>
      <c r="B66" s="277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</row>
    <row r="67" spans="1:13" ht="15" customHeight="1">
      <c r="A67" s="278" t="s">
        <v>584</v>
      </c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</row>
    <row r="68" spans="1:13" ht="15" customHeight="1">
      <c r="A68" s="278" t="s">
        <v>585</v>
      </c>
      <c r="B68" s="277"/>
      <c r="C68" s="277"/>
      <c r="D68" s="277"/>
      <c r="E68" s="277"/>
      <c r="F68" s="277"/>
      <c r="G68" s="277"/>
      <c r="H68" s="277"/>
      <c r="I68" s="277"/>
      <c r="J68" s="277"/>
      <c r="K68" s="277"/>
      <c r="L68" s="277"/>
      <c r="M68" s="277"/>
    </row>
    <row r="69" spans="1:13" ht="15" customHeight="1">
      <c r="A69" s="275" t="s">
        <v>567</v>
      </c>
      <c r="B69" s="277"/>
      <c r="C69" s="277"/>
      <c r="D69" s="277"/>
      <c r="E69" s="277"/>
      <c r="F69" s="277"/>
      <c r="G69" s="277"/>
      <c r="H69" s="277"/>
      <c r="I69" s="277"/>
      <c r="J69" s="277"/>
      <c r="K69" s="277"/>
      <c r="L69" s="277"/>
      <c r="M69" s="277"/>
    </row>
    <row r="70" spans="1:13" ht="15" customHeight="1">
      <c r="A70" s="278" t="s">
        <v>586</v>
      </c>
      <c r="B70" s="277"/>
      <c r="C70" s="277"/>
      <c r="D70" s="277"/>
      <c r="E70" s="277"/>
      <c r="F70" s="277"/>
      <c r="G70" s="277"/>
      <c r="H70" s="277"/>
      <c r="I70" s="277"/>
      <c r="J70" s="277"/>
      <c r="K70" s="277"/>
      <c r="L70" s="277"/>
      <c r="M70" s="277"/>
    </row>
    <row r="71" spans="1:13" ht="15" customHeight="1">
      <c r="A71" s="278" t="s">
        <v>587</v>
      </c>
      <c r="B71" s="277"/>
      <c r="C71" s="277"/>
      <c r="D71" s="277"/>
      <c r="E71" s="277"/>
      <c r="F71" s="277"/>
      <c r="G71" s="277"/>
      <c r="H71" s="277"/>
      <c r="I71" s="277"/>
      <c r="J71" s="277"/>
      <c r="K71" s="277"/>
      <c r="L71" s="277"/>
      <c r="M71" s="277"/>
    </row>
    <row r="72" spans="1:13" ht="15" customHeight="1">
      <c r="A72" s="275" t="s">
        <v>568</v>
      </c>
      <c r="B72" s="277"/>
      <c r="C72" s="277"/>
      <c r="D72" s="277"/>
      <c r="E72" s="277"/>
      <c r="F72" s="277"/>
      <c r="G72" s="277"/>
      <c r="H72" s="277"/>
      <c r="I72" s="277"/>
      <c r="J72" s="277"/>
      <c r="K72" s="277"/>
      <c r="L72" s="277"/>
      <c r="M72" s="277"/>
    </row>
    <row r="73" spans="1:13" ht="15" customHeight="1">
      <c r="A73" s="275" t="s">
        <v>569</v>
      </c>
      <c r="B73" s="276"/>
      <c r="C73" s="277"/>
      <c r="D73" s="277"/>
      <c r="E73" s="277"/>
      <c r="F73" s="276"/>
      <c r="G73" s="277"/>
      <c r="H73" s="277"/>
      <c r="I73" s="277"/>
      <c r="J73" s="276"/>
      <c r="K73" s="276"/>
      <c r="L73" s="277"/>
      <c r="M73" s="276"/>
    </row>
    <row r="76" spans="1:13" ht="15" customHeight="1">
      <c r="A76" s="75" t="s">
        <v>596</v>
      </c>
    </row>
  </sheetData>
  <mergeCells count="24">
    <mergeCell ref="L6:L7"/>
    <mergeCell ref="M6:M7"/>
    <mergeCell ref="A5:A7"/>
    <mergeCell ref="B5:M5"/>
    <mergeCell ref="B6:B7"/>
    <mergeCell ref="C6:E6"/>
    <mergeCell ref="F6:F7"/>
    <mergeCell ref="G6:G7"/>
    <mergeCell ref="H6:H7"/>
    <mergeCell ref="I6:I7"/>
    <mergeCell ref="J6:J7"/>
    <mergeCell ref="K6:K7"/>
    <mergeCell ref="A43:A45"/>
    <mergeCell ref="B43:M43"/>
    <mergeCell ref="B44:B45"/>
    <mergeCell ref="C44:E44"/>
    <mergeCell ref="F44:F45"/>
    <mergeCell ref="G44:G45"/>
    <mergeCell ref="H44:H45"/>
    <mergeCell ref="I44:I45"/>
    <mergeCell ref="J44:J45"/>
    <mergeCell ref="K44:K45"/>
    <mergeCell ref="L44:L45"/>
    <mergeCell ref="M44:M45"/>
  </mergeCells>
  <phoneticPr fontId="7" type="noConversion"/>
  <pageMargins left="1.25" right="0.19685039370078741" top="0.6692913385826772" bottom="0.74803149606299213" header="0.31496062992125984" footer="0.31496062992125984"/>
  <pageSetup paperSize="9" scale="76" fitToHeight="2" orientation="landscape" r:id="rId1"/>
  <rowBreaks count="1" manualBreakCount="1">
    <brk id="38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6" sqref="E6"/>
    </sheetView>
  </sheetViews>
  <sheetFormatPr defaultRowHeight="12.75"/>
  <cols>
    <col min="1" max="1" width="9.7109375" bestFit="1" customWidth="1"/>
    <col min="2" max="2" width="13" bestFit="1" customWidth="1"/>
    <col min="3" max="3" width="12.5703125" bestFit="1" customWidth="1"/>
    <col min="4" max="4" width="11.140625" bestFit="1" customWidth="1"/>
  </cols>
  <sheetData>
    <row r="1" spans="1:4">
      <c r="A1">
        <v>16259339.59</v>
      </c>
      <c r="B1">
        <v>16052990.460000001</v>
      </c>
      <c r="D1">
        <v>5106649.16</v>
      </c>
    </row>
    <row r="2" spans="1:4">
      <c r="A2">
        <v>-342262.9</v>
      </c>
      <c r="D2">
        <v>24160.3</v>
      </c>
    </row>
    <row r="3" spans="1:4">
      <c r="A3">
        <f>A1+A2</f>
        <v>15917076.689999999</v>
      </c>
      <c r="D3">
        <f>D1+D2</f>
        <v>5130809.46</v>
      </c>
    </row>
    <row r="4" spans="1:4">
      <c r="B4">
        <f>B1-A3</f>
        <v>135913.77000000142</v>
      </c>
    </row>
    <row r="6" spans="1:4" ht="13.5">
      <c r="D6" s="193">
        <v>73704.78</v>
      </c>
    </row>
    <row r="7" spans="1:4">
      <c r="B7">
        <v>1025498.19</v>
      </c>
      <c r="D7">
        <v>24160.299999999988</v>
      </c>
    </row>
    <row r="8" spans="1:4">
      <c r="B8">
        <v>85400</v>
      </c>
      <c r="D8" s="126">
        <f>D6-D7</f>
        <v>49544.48000000001</v>
      </c>
    </row>
    <row r="9" spans="1:4">
      <c r="B9">
        <v>1588254.5</v>
      </c>
    </row>
    <row r="10" spans="1:4">
      <c r="B10">
        <f>SUM(B7:B9)</f>
        <v>2699152.69</v>
      </c>
    </row>
    <row r="11" spans="1:4">
      <c r="B11">
        <f>B10*2</f>
        <v>5398305.3799999999</v>
      </c>
    </row>
    <row r="12" spans="1:4">
      <c r="C12">
        <v>-6339949.9903773665</v>
      </c>
    </row>
    <row r="13" spans="1:4">
      <c r="C13">
        <f>C12+B10</f>
        <v>-3640797.3003773666</v>
      </c>
      <c r="D13">
        <f>2672668.09+26484.6</f>
        <v>2699152.69</v>
      </c>
    </row>
    <row r="14" spans="1:4">
      <c r="B14">
        <v>2699152.69</v>
      </c>
    </row>
    <row r="15" spans="1:4">
      <c r="C15">
        <v>-9039102.6803773791</v>
      </c>
    </row>
    <row r="16" spans="1:4">
      <c r="C16">
        <f>C15-C12</f>
        <v>-2699152.6900000125</v>
      </c>
    </row>
    <row r="17" spans="3:4">
      <c r="C17">
        <f>C12-C16</f>
        <v>-3640797.300377354</v>
      </c>
      <c r="D17">
        <f>C17+D7</f>
        <v>-3616637.0003773542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130" zoomScaleNormal="130" workbookViewId="0">
      <selection activeCell="G15" sqref="G15"/>
    </sheetView>
  </sheetViews>
  <sheetFormatPr defaultRowHeight="12.75"/>
  <cols>
    <col min="1" max="1" width="13" style="47" customWidth="1"/>
    <col min="2" max="2" width="28.140625" style="47" customWidth="1"/>
    <col min="3" max="3" width="19.7109375" style="47" customWidth="1"/>
    <col min="4" max="4" width="19.140625" style="47" customWidth="1"/>
    <col min="5" max="5" width="26.7109375" style="285" bestFit="1" customWidth="1"/>
    <col min="6" max="6" width="16.28515625" style="47" customWidth="1"/>
    <col min="7" max="7" width="17.42578125" style="47" customWidth="1"/>
    <col min="8" max="8" width="9.140625" style="47"/>
    <col min="9" max="9" width="13.5703125" style="47" bestFit="1" customWidth="1"/>
    <col min="10" max="16384" width="9.140625" style="47"/>
  </cols>
  <sheetData>
    <row r="1" spans="1:9" ht="18.75">
      <c r="A1" s="303" t="s">
        <v>665</v>
      </c>
      <c r="B1" s="303"/>
      <c r="C1" s="303"/>
      <c r="D1" s="303"/>
      <c r="E1" s="303"/>
    </row>
    <row r="2" spans="1:9" ht="18.75">
      <c r="A2" s="302" t="s">
        <v>666</v>
      </c>
      <c r="B2" s="301"/>
      <c r="C2" s="301"/>
      <c r="D2" s="300" t="s">
        <v>634</v>
      </c>
      <c r="E2" s="304" t="s">
        <v>630</v>
      </c>
    </row>
    <row r="3" spans="1:9" s="299" customFormat="1" ht="13.5">
      <c r="A3" s="294" t="s">
        <v>614</v>
      </c>
      <c r="B3" s="294" t="s">
        <v>613</v>
      </c>
      <c r="C3" s="294" t="s">
        <v>631</v>
      </c>
      <c r="D3" s="294" t="s">
        <v>632</v>
      </c>
      <c r="E3" s="292" t="s">
        <v>629</v>
      </c>
    </row>
    <row r="4" spans="1:9">
      <c r="A4" s="317" t="s">
        <v>628</v>
      </c>
      <c r="B4" s="287" t="s">
        <v>627</v>
      </c>
      <c r="C4" s="305">
        <f>合并利润表!C7</f>
        <v>0</v>
      </c>
      <c r="D4" s="305">
        <f>合并利润表!D7</f>
        <v>0</v>
      </c>
      <c r="E4" s="295" t="e">
        <f>ROUND((C4-D4)/ABS(D4),4)</f>
        <v>#DIV/0!</v>
      </c>
      <c r="I4" s="297"/>
    </row>
    <row r="5" spans="1:9">
      <c r="A5" s="317"/>
      <c r="B5" s="287" t="s">
        <v>626</v>
      </c>
      <c r="C5" s="305" t="str">
        <f>合并利润表!C10</f>
        <v/>
      </c>
      <c r="D5" s="305">
        <f>合并利润表!D10</f>
        <v>0</v>
      </c>
      <c r="E5" s="295" t="e">
        <f>ROUND((C5-D5)/ABS(D5),4)</f>
        <v>#VALUE!</v>
      </c>
      <c r="I5" s="297"/>
    </row>
    <row r="6" spans="1:9">
      <c r="A6" s="317"/>
      <c r="B6" s="287" t="s">
        <v>625</v>
      </c>
      <c r="C6" s="305">
        <f>合并利润表!C33</f>
        <v>0</v>
      </c>
      <c r="D6" s="305">
        <f>合并利润表!D33</f>
        <v>0</v>
      </c>
      <c r="E6" s="295" t="e">
        <f>ROUND((C6-D6)/ABS(D6),4)</f>
        <v>#DIV/0!</v>
      </c>
      <c r="F6" s="124"/>
      <c r="I6" s="297"/>
    </row>
    <row r="7" spans="1:9">
      <c r="A7" s="317"/>
      <c r="B7" s="287" t="s">
        <v>624</v>
      </c>
      <c r="C7" s="305"/>
      <c r="D7" s="305"/>
      <c r="E7" s="295" t="e">
        <f>ROUND((C7-D7)/ABS(D7),4)</f>
        <v>#DIV/0!</v>
      </c>
      <c r="F7" s="124"/>
      <c r="I7" s="297"/>
    </row>
    <row r="8" spans="1:9">
      <c r="A8" s="317"/>
      <c r="B8" s="298" t="s">
        <v>623</v>
      </c>
      <c r="C8" s="306">
        <f>C6-C7</f>
        <v>0</v>
      </c>
      <c r="D8" s="306">
        <f>D6-D7</f>
        <v>0</v>
      </c>
      <c r="E8" s="295" t="e">
        <f>ROUND((C8-D8)/ABS(D8),4)</f>
        <v>#DIV/0!</v>
      </c>
      <c r="I8" s="297"/>
    </row>
    <row r="9" spans="1:9">
      <c r="A9" s="317"/>
      <c r="B9" s="287" t="s">
        <v>622</v>
      </c>
      <c r="C9" s="296" t="e">
        <f>ROUND((C4-C5)/C4,2)</f>
        <v>#VALUE!</v>
      </c>
      <c r="D9" s="296" t="e">
        <f>ROUND((D4-D5)/D4,2)</f>
        <v>#DIV/0!</v>
      </c>
      <c r="E9" s="295" t="e">
        <f>C9-D9</f>
        <v>#VALUE!</v>
      </c>
    </row>
    <row r="10" spans="1:9">
      <c r="A10" s="317"/>
      <c r="B10" s="287" t="s">
        <v>621</v>
      </c>
      <c r="C10" s="296" t="e">
        <f>ROUND(C6/C4,4)</f>
        <v>#DIV/0!</v>
      </c>
      <c r="D10" s="296" t="e">
        <f>ROUND(D6/D4,4)</f>
        <v>#DIV/0!</v>
      </c>
      <c r="E10" s="295" t="e">
        <f>C10-D10</f>
        <v>#DIV/0!</v>
      </c>
    </row>
    <row r="11" spans="1:9">
      <c r="A11" s="317" t="s">
        <v>620</v>
      </c>
      <c r="B11" s="287" t="s">
        <v>619</v>
      </c>
      <c r="C11" s="307">
        <f>合并现金流量表!C46</f>
        <v>0</v>
      </c>
      <c r="D11" s="307">
        <f>合并现金流量表!D46</f>
        <v>0</v>
      </c>
      <c r="E11" s="295" t="e">
        <f>ROUND((C11-D11)/ABS(D11),4)</f>
        <v>#DIV/0!</v>
      </c>
    </row>
    <row r="12" spans="1:9">
      <c r="A12" s="317"/>
      <c r="B12" s="287" t="s">
        <v>618</v>
      </c>
      <c r="C12" s="307">
        <f>合并现金流量表!C16</f>
        <v>0</v>
      </c>
      <c r="D12" s="307">
        <f>合并现金流量表!D16</f>
        <v>0</v>
      </c>
      <c r="E12" s="295" t="e">
        <f>ROUND((C12-D12)/ABS(D12),4)</f>
        <v>#DIV/0!</v>
      </c>
    </row>
    <row r="13" spans="1:9">
      <c r="A13" s="317"/>
      <c r="B13" s="287" t="s">
        <v>617</v>
      </c>
      <c r="C13" s="307">
        <f>合并现金流量表!C29</f>
        <v>0</v>
      </c>
      <c r="D13" s="307">
        <f>合并现金流量表!D29</f>
        <v>0</v>
      </c>
      <c r="E13" s="295" t="e">
        <f>ROUND((C13-D13)/ABS(D13),4)</f>
        <v>#DIV/0!</v>
      </c>
    </row>
    <row r="14" spans="1:9">
      <c r="A14" s="317"/>
      <c r="B14" s="287" t="s">
        <v>616</v>
      </c>
      <c r="C14" s="307">
        <f>合并现金流量表!C42</f>
        <v>0</v>
      </c>
      <c r="D14" s="316">
        <f>合并现金流量表!D42</f>
        <v>0</v>
      </c>
      <c r="E14" s="295" t="str">
        <f>IFERROR(ROUND((C14-D14)/ABS(D14),4),"N/A")</f>
        <v>N/A</v>
      </c>
    </row>
    <row r="15" spans="1:9">
      <c r="A15" s="317"/>
      <c r="B15" s="287" t="s">
        <v>615</v>
      </c>
      <c r="C15" s="307">
        <f>合并现金流量表!C44</f>
        <v>0</v>
      </c>
      <c r="D15" s="307">
        <f>合并现金流量表!D44</f>
        <v>0</v>
      </c>
      <c r="E15" s="295" t="e">
        <f>ROUND((C15-D15)/ABS(D15),4)</f>
        <v>#DIV/0!</v>
      </c>
    </row>
    <row r="16" spans="1:9" ht="15.6" customHeight="1">
      <c r="A16" s="294" t="s">
        <v>614</v>
      </c>
      <c r="B16" s="294" t="s">
        <v>613</v>
      </c>
      <c r="C16" s="293">
        <v>43708</v>
      </c>
      <c r="D16" s="293">
        <v>43465</v>
      </c>
      <c r="E16" s="292" t="s">
        <v>612</v>
      </c>
    </row>
    <row r="17" spans="1:7">
      <c r="A17" s="317" t="s">
        <v>611</v>
      </c>
      <c r="B17" s="287" t="s">
        <v>610</v>
      </c>
      <c r="C17" s="306">
        <f>合并资产负债表!B42</f>
        <v>0</v>
      </c>
      <c r="D17" s="306">
        <f>合并资产负债表!C42</f>
        <v>0</v>
      </c>
      <c r="E17" s="286" t="e">
        <f>ROUND(C17/D17-1,4)</f>
        <v>#DIV/0!</v>
      </c>
    </row>
    <row r="18" spans="1:7">
      <c r="A18" s="317"/>
      <c r="B18" s="287" t="s">
        <v>609</v>
      </c>
      <c r="C18" s="306">
        <f>合并资产负债表!B80</f>
        <v>0</v>
      </c>
      <c r="D18" s="306">
        <f>合并资产负债表!C80</f>
        <v>0</v>
      </c>
      <c r="E18" s="286" t="e">
        <f>ROUND(C18/D18-1,4)</f>
        <v>#DIV/0!</v>
      </c>
    </row>
    <row r="19" spans="1:7">
      <c r="A19" s="317"/>
      <c r="B19" s="287" t="s">
        <v>608</v>
      </c>
      <c r="C19" s="306">
        <f>合并资产负债表!B93</f>
        <v>0</v>
      </c>
      <c r="D19" s="306">
        <f>合并资产负债表!C93</f>
        <v>0</v>
      </c>
      <c r="E19" s="286" t="e">
        <f>ROUND(C19/D19-1,4)</f>
        <v>#DIV/0!</v>
      </c>
      <c r="F19" s="47" t="s">
        <v>635</v>
      </c>
      <c r="G19" s="55"/>
    </row>
    <row r="20" spans="1:7">
      <c r="A20" s="317"/>
      <c r="B20" s="287" t="s">
        <v>607</v>
      </c>
      <c r="C20" s="306" t="str">
        <f>合并资产负债表!B12</f>
        <v/>
      </c>
      <c r="D20" s="306">
        <f>合并资产负债表!C12</f>
        <v>0</v>
      </c>
      <c r="E20" s="286" t="e">
        <f>ROUND(C20/D20-1,4)</f>
        <v>#VALUE!</v>
      </c>
      <c r="F20" s="47" t="s">
        <v>606</v>
      </c>
      <c r="G20" s="55"/>
    </row>
    <row r="21" spans="1:7">
      <c r="A21" s="317"/>
      <c r="B21" s="287" t="s">
        <v>605</v>
      </c>
      <c r="C21" s="291" t="e">
        <f>ROUND(C18/C17,4)</f>
        <v>#DIV/0!</v>
      </c>
      <c r="D21" s="291" t="e">
        <f>ROUND(D18/D17,4)</f>
        <v>#DIV/0!</v>
      </c>
      <c r="E21" s="286" t="e">
        <f>C21-D21</f>
        <v>#DIV/0!</v>
      </c>
      <c r="G21" s="263"/>
    </row>
    <row r="22" spans="1:7">
      <c r="A22" s="317"/>
      <c r="B22" s="287" t="s">
        <v>604</v>
      </c>
      <c r="C22" s="290" t="e">
        <f>ROUND(240/(C4/AVERAGE(C20:D20)),0)</f>
        <v>#DIV/0!</v>
      </c>
      <c r="D22" s="289" t="e">
        <f>ROUND(360/(G19/AVERAGE(D20,G20)),0)</f>
        <v>#DIV/0!</v>
      </c>
      <c r="E22" s="288" t="e">
        <f>C22-D22</f>
        <v>#DIV/0!</v>
      </c>
      <c r="G22" s="55"/>
    </row>
    <row r="23" spans="1:7">
      <c r="A23" s="317"/>
      <c r="B23" s="287" t="s">
        <v>603</v>
      </c>
      <c r="C23" s="262" t="e">
        <f>ROUND(C6/C19,4)</f>
        <v>#DIV/0!</v>
      </c>
      <c r="D23" s="262" t="e">
        <f>ROUND(D6/D19,4)</f>
        <v>#DIV/0!</v>
      </c>
      <c r="E23" s="286" t="e">
        <f>C23-D23</f>
        <v>#DIV/0!</v>
      </c>
    </row>
    <row r="25" spans="1:7">
      <c r="F25" s="263"/>
    </row>
    <row r="26" spans="1:7">
      <c r="E26" s="312"/>
      <c r="F26" s="263"/>
    </row>
    <row r="27" spans="1:7">
      <c r="D27" s="55"/>
    </row>
  </sheetData>
  <mergeCells count="3">
    <mergeCell ref="A4:A10"/>
    <mergeCell ref="A17:A23"/>
    <mergeCell ref="A11:A15"/>
  </mergeCells>
  <phoneticPr fontId="7" type="noConversion"/>
  <conditionalFormatting sqref="C17:D20 C4:D8 C11:D15">
    <cfRule type="expression" dxfId="88" priority="1">
      <formula>$E$2="佰万元"</formula>
    </cfRule>
    <cfRule type="expression" dxfId="87" priority="2">
      <formula>$E$2="拾万元"</formula>
    </cfRule>
    <cfRule type="expression" dxfId="86" priority="3">
      <formula>$E$2="万元"</formula>
    </cfRule>
  </conditionalFormatting>
  <dataValidations count="1">
    <dataValidation type="list" allowBlank="1" showInputMessage="1" showErrorMessage="1" sqref="E2">
      <formula1>"元,万元,拾万元,佰万元"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  <outlinePr summaryBelow="0"/>
  </sheetPr>
  <dimension ref="A1:W203"/>
  <sheetViews>
    <sheetView zoomScaleNormal="100" workbookViewId="0">
      <pane xSplit="1" ySplit="3" topLeftCell="B112" activePane="bottomRight" state="frozen"/>
      <selection pane="topRight" activeCell="B1" sqref="B1"/>
      <selection pane="bottomLeft" activeCell="A4" sqref="A4"/>
      <selection pane="bottomRight" activeCell="I171" sqref="I171:I179"/>
    </sheetView>
  </sheetViews>
  <sheetFormatPr defaultColWidth="13.7109375" defaultRowHeight="13.5" outlineLevelCol="1"/>
  <cols>
    <col min="1" max="1" width="42.7109375" style="41" customWidth="1"/>
    <col min="2" max="2" width="15" style="20" customWidth="1" outlineLevel="1"/>
    <col min="3" max="3" width="12.5703125" style="20" customWidth="1" outlineLevel="1"/>
    <col min="4" max="4" width="13.7109375" style="4" customWidth="1"/>
    <col min="5" max="6" width="13.7109375" style="4" customWidth="1" outlineLevel="1"/>
    <col min="7" max="7" width="13.7109375" style="4" customWidth="1"/>
    <col min="8" max="9" width="13.7109375" style="4" customWidth="1" outlineLevel="1"/>
    <col min="10" max="11" width="13.7109375" style="4" customWidth="1"/>
    <col min="12" max="12" width="12.28515625" style="20" customWidth="1"/>
    <col min="13" max="13" width="11.140625" style="4" bestFit="1" customWidth="1"/>
    <col min="14" max="14" width="12.42578125" style="20" customWidth="1"/>
    <col min="15" max="15" width="12.28515625" style="20" customWidth="1"/>
    <col min="16" max="16" width="13.7109375" style="4" customWidth="1"/>
    <col min="17" max="17" width="13.85546875" style="20" bestFit="1" customWidth="1"/>
    <col min="18" max="18" width="13.7109375" style="4" customWidth="1"/>
    <col min="19" max="19" width="13.140625" style="3" bestFit="1" customWidth="1"/>
    <col min="20" max="22" width="13.7109375" style="3"/>
    <col min="23" max="23" width="14" style="3" bestFit="1" customWidth="1"/>
    <col min="24" max="255" width="13.7109375" style="3"/>
    <col min="256" max="256" width="31.5703125" style="3" customWidth="1"/>
    <col min="257" max="259" width="20.5703125" style="3" customWidth="1"/>
    <col min="260" max="260" width="18.7109375" style="3" bestFit="1" customWidth="1"/>
    <col min="261" max="261" width="18.28515625" style="3" customWidth="1"/>
    <col min="262" max="262" width="12.7109375" style="3" customWidth="1"/>
    <col min="263" max="511" width="13.7109375" style="3"/>
    <col min="512" max="512" width="31.5703125" style="3" customWidth="1"/>
    <col min="513" max="515" width="20.5703125" style="3" customWidth="1"/>
    <col min="516" max="516" width="18.7109375" style="3" bestFit="1" customWidth="1"/>
    <col min="517" max="517" width="18.28515625" style="3" customWidth="1"/>
    <col min="518" max="518" width="12.7109375" style="3" customWidth="1"/>
    <col min="519" max="767" width="13.7109375" style="3"/>
    <col min="768" max="768" width="31.5703125" style="3" customWidth="1"/>
    <col min="769" max="771" width="20.5703125" style="3" customWidth="1"/>
    <col min="772" max="772" width="18.7109375" style="3" bestFit="1" customWidth="1"/>
    <col min="773" max="773" width="18.28515625" style="3" customWidth="1"/>
    <col min="774" max="774" width="12.7109375" style="3" customWidth="1"/>
    <col min="775" max="1023" width="13.7109375" style="3"/>
    <col min="1024" max="1024" width="31.5703125" style="3" customWidth="1"/>
    <col min="1025" max="1027" width="20.5703125" style="3" customWidth="1"/>
    <col min="1028" max="1028" width="18.7109375" style="3" bestFit="1" customWidth="1"/>
    <col min="1029" max="1029" width="18.28515625" style="3" customWidth="1"/>
    <col min="1030" max="1030" width="12.7109375" style="3" customWidth="1"/>
    <col min="1031" max="1279" width="13.7109375" style="3"/>
    <col min="1280" max="1280" width="31.5703125" style="3" customWidth="1"/>
    <col min="1281" max="1283" width="20.5703125" style="3" customWidth="1"/>
    <col min="1284" max="1284" width="18.7109375" style="3" bestFit="1" customWidth="1"/>
    <col min="1285" max="1285" width="18.28515625" style="3" customWidth="1"/>
    <col min="1286" max="1286" width="12.7109375" style="3" customWidth="1"/>
    <col min="1287" max="1535" width="13.7109375" style="3"/>
    <col min="1536" max="1536" width="31.5703125" style="3" customWidth="1"/>
    <col min="1537" max="1539" width="20.5703125" style="3" customWidth="1"/>
    <col min="1540" max="1540" width="18.7109375" style="3" bestFit="1" customWidth="1"/>
    <col min="1541" max="1541" width="18.28515625" style="3" customWidth="1"/>
    <col min="1542" max="1542" width="12.7109375" style="3" customWidth="1"/>
    <col min="1543" max="1791" width="13.7109375" style="3"/>
    <col min="1792" max="1792" width="31.5703125" style="3" customWidth="1"/>
    <col min="1793" max="1795" width="20.5703125" style="3" customWidth="1"/>
    <col min="1796" max="1796" width="18.7109375" style="3" bestFit="1" customWidth="1"/>
    <col min="1797" max="1797" width="18.28515625" style="3" customWidth="1"/>
    <col min="1798" max="1798" width="12.7109375" style="3" customWidth="1"/>
    <col min="1799" max="2047" width="13.7109375" style="3"/>
    <col min="2048" max="2048" width="31.5703125" style="3" customWidth="1"/>
    <col min="2049" max="2051" width="20.5703125" style="3" customWidth="1"/>
    <col min="2052" max="2052" width="18.7109375" style="3" bestFit="1" customWidth="1"/>
    <col min="2053" max="2053" width="18.28515625" style="3" customWidth="1"/>
    <col min="2054" max="2054" width="12.7109375" style="3" customWidth="1"/>
    <col min="2055" max="2303" width="13.7109375" style="3"/>
    <col min="2304" max="2304" width="31.5703125" style="3" customWidth="1"/>
    <col min="2305" max="2307" width="20.5703125" style="3" customWidth="1"/>
    <col min="2308" max="2308" width="18.7109375" style="3" bestFit="1" customWidth="1"/>
    <col min="2309" max="2309" width="18.28515625" style="3" customWidth="1"/>
    <col min="2310" max="2310" width="12.7109375" style="3" customWidth="1"/>
    <col min="2311" max="2559" width="13.7109375" style="3"/>
    <col min="2560" max="2560" width="31.5703125" style="3" customWidth="1"/>
    <col min="2561" max="2563" width="20.5703125" style="3" customWidth="1"/>
    <col min="2564" max="2564" width="18.7109375" style="3" bestFit="1" customWidth="1"/>
    <col min="2565" max="2565" width="18.28515625" style="3" customWidth="1"/>
    <col min="2566" max="2566" width="12.7109375" style="3" customWidth="1"/>
    <col min="2567" max="2815" width="13.7109375" style="3"/>
    <col min="2816" max="2816" width="31.5703125" style="3" customWidth="1"/>
    <col min="2817" max="2819" width="20.5703125" style="3" customWidth="1"/>
    <col min="2820" max="2820" width="18.7109375" style="3" bestFit="1" customWidth="1"/>
    <col min="2821" max="2821" width="18.28515625" style="3" customWidth="1"/>
    <col min="2822" max="2822" width="12.7109375" style="3" customWidth="1"/>
    <col min="2823" max="3071" width="13.7109375" style="3"/>
    <col min="3072" max="3072" width="31.5703125" style="3" customWidth="1"/>
    <col min="3073" max="3075" width="20.5703125" style="3" customWidth="1"/>
    <col min="3076" max="3076" width="18.7109375" style="3" bestFit="1" customWidth="1"/>
    <col min="3077" max="3077" width="18.28515625" style="3" customWidth="1"/>
    <col min="3078" max="3078" width="12.7109375" style="3" customWidth="1"/>
    <col min="3079" max="3327" width="13.7109375" style="3"/>
    <col min="3328" max="3328" width="31.5703125" style="3" customWidth="1"/>
    <col min="3329" max="3331" width="20.5703125" style="3" customWidth="1"/>
    <col min="3332" max="3332" width="18.7109375" style="3" bestFit="1" customWidth="1"/>
    <col min="3333" max="3333" width="18.28515625" style="3" customWidth="1"/>
    <col min="3334" max="3334" width="12.7109375" style="3" customWidth="1"/>
    <col min="3335" max="3583" width="13.7109375" style="3"/>
    <col min="3584" max="3584" width="31.5703125" style="3" customWidth="1"/>
    <col min="3585" max="3587" width="20.5703125" style="3" customWidth="1"/>
    <col min="3588" max="3588" width="18.7109375" style="3" bestFit="1" customWidth="1"/>
    <col min="3589" max="3589" width="18.28515625" style="3" customWidth="1"/>
    <col min="3590" max="3590" width="12.7109375" style="3" customWidth="1"/>
    <col min="3591" max="3839" width="13.7109375" style="3"/>
    <col min="3840" max="3840" width="31.5703125" style="3" customWidth="1"/>
    <col min="3841" max="3843" width="20.5703125" style="3" customWidth="1"/>
    <col min="3844" max="3844" width="18.7109375" style="3" bestFit="1" customWidth="1"/>
    <col min="3845" max="3845" width="18.28515625" style="3" customWidth="1"/>
    <col min="3846" max="3846" width="12.7109375" style="3" customWidth="1"/>
    <col min="3847" max="4095" width="13.7109375" style="3"/>
    <col min="4096" max="4096" width="31.5703125" style="3" customWidth="1"/>
    <col min="4097" max="4099" width="20.5703125" style="3" customWidth="1"/>
    <col min="4100" max="4100" width="18.7109375" style="3" bestFit="1" customWidth="1"/>
    <col min="4101" max="4101" width="18.28515625" style="3" customWidth="1"/>
    <col min="4102" max="4102" width="12.7109375" style="3" customWidth="1"/>
    <col min="4103" max="4351" width="13.7109375" style="3"/>
    <col min="4352" max="4352" width="31.5703125" style="3" customWidth="1"/>
    <col min="4353" max="4355" width="20.5703125" style="3" customWidth="1"/>
    <col min="4356" max="4356" width="18.7109375" style="3" bestFit="1" customWidth="1"/>
    <col min="4357" max="4357" width="18.28515625" style="3" customWidth="1"/>
    <col min="4358" max="4358" width="12.7109375" style="3" customWidth="1"/>
    <col min="4359" max="4607" width="13.7109375" style="3"/>
    <col min="4608" max="4608" width="31.5703125" style="3" customWidth="1"/>
    <col min="4609" max="4611" width="20.5703125" style="3" customWidth="1"/>
    <col min="4612" max="4612" width="18.7109375" style="3" bestFit="1" customWidth="1"/>
    <col min="4613" max="4613" width="18.28515625" style="3" customWidth="1"/>
    <col min="4614" max="4614" width="12.7109375" style="3" customWidth="1"/>
    <col min="4615" max="4863" width="13.7109375" style="3"/>
    <col min="4864" max="4864" width="31.5703125" style="3" customWidth="1"/>
    <col min="4865" max="4867" width="20.5703125" style="3" customWidth="1"/>
    <col min="4868" max="4868" width="18.7109375" style="3" bestFit="1" customWidth="1"/>
    <col min="4869" max="4869" width="18.28515625" style="3" customWidth="1"/>
    <col min="4870" max="4870" width="12.7109375" style="3" customWidth="1"/>
    <col min="4871" max="5119" width="13.7109375" style="3"/>
    <col min="5120" max="5120" width="31.5703125" style="3" customWidth="1"/>
    <col min="5121" max="5123" width="20.5703125" style="3" customWidth="1"/>
    <col min="5124" max="5124" width="18.7109375" style="3" bestFit="1" customWidth="1"/>
    <col min="5125" max="5125" width="18.28515625" style="3" customWidth="1"/>
    <col min="5126" max="5126" width="12.7109375" style="3" customWidth="1"/>
    <col min="5127" max="5375" width="13.7109375" style="3"/>
    <col min="5376" max="5376" width="31.5703125" style="3" customWidth="1"/>
    <col min="5377" max="5379" width="20.5703125" style="3" customWidth="1"/>
    <col min="5380" max="5380" width="18.7109375" style="3" bestFit="1" customWidth="1"/>
    <col min="5381" max="5381" width="18.28515625" style="3" customWidth="1"/>
    <col min="5382" max="5382" width="12.7109375" style="3" customWidth="1"/>
    <col min="5383" max="5631" width="13.7109375" style="3"/>
    <col min="5632" max="5632" width="31.5703125" style="3" customWidth="1"/>
    <col min="5633" max="5635" width="20.5703125" style="3" customWidth="1"/>
    <col min="5636" max="5636" width="18.7109375" style="3" bestFit="1" customWidth="1"/>
    <col min="5637" max="5637" width="18.28515625" style="3" customWidth="1"/>
    <col min="5638" max="5638" width="12.7109375" style="3" customWidth="1"/>
    <col min="5639" max="5887" width="13.7109375" style="3"/>
    <col min="5888" max="5888" width="31.5703125" style="3" customWidth="1"/>
    <col min="5889" max="5891" width="20.5703125" style="3" customWidth="1"/>
    <col min="5892" max="5892" width="18.7109375" style="3" bestFit="1" customWidth="1"/>
    <col min="5893" max="5893" width="18.28515625" style="3" customWidth="1"/>
    <col min="5894" max="5894" width="12.7109375" style="3" customWidth="1"/>
    <col min="5895" max="6143" width="13.7109375" style="3"/>
    <col min="6144" max="6144" width="31.5703125" style="3" customWidth="1"/>
    <col min="6145" max="6147" width="20.5703125" style="3" customWidth="1"/>
    <col min="6148" max="6148" width="18.7109375" style="3" bestFit="1" customWidth="1"/>
    <col min="6149" max="6149" width="18.28515625" style="3" customWidth="1"/>
    <col min="6150" max="6150" width="12.7109375" style="3" customWidth="1"/>
    <col min="6151" max="6399" width="13.7109375" style="3"/>
    <col min="6400" max="6400" width="31.5703125" style="3" customWidth="1"/>
    <col min="6401" max="6403" width="20.5703125" style="3" customWidth="1"/>
    <col min="6404" max="6404" width="18.7109375" style="3" bestFit="1" customWidth="1"/>
    <col min="6405" max="6405" width="18.28515625" style="3" customWidth="1"/>
    <col min="6406" max="6406" width="12.7109375" style="3" customWidth="1"/>
    <col min="6407" max="6655" width="13.7109375" style="3"/>
    <col min="6656" max="6656" width="31.5703125" style="3" customWidth="1"/>
    <col min="6657" max="6659" width="20.5703125" style="3" customWidth="1"/>
    <col min="6660" max="6660" width="18.7109375" style="3" bestFit="1" customWidth="1"/>
    <col min="6661" max="6661" width="18.28515625" style="3" customWidth="1"/>
    <col min="6662" max="6662" width="12.7109375" style="3" customWidth="1"/>
    <col min="6663" max="6911" width="13.7109375" style="3"/>
    <col min="6912" max="6912" width="31.5703125" style="3" customWidth="1"/>
    <col min="6913" max="6915" width="20.5703125" style="3" customWidth="1"/>
    <col min="6916" max="6916" width="18.7109375" style="3" bestFit="1" customWidth="1"/>
    <col min="6917" max="6917" width="18.28515625" style="3" customWidth="1"/>
    <col min="6918" max="6918" width="12.7109375" style="3" customWidth="1"/>
    <col min="6919" max="7167" width="13.7109375" style="3"/>
    <col min="7168" max="7168" width="31.5703125" style="3" customWidth="1"/>
    <col min="7169" max="7171" width="20.5703125" style="3" customWidth="1"/>
    <col min="7172" max="7172" width="18.7109375" style="3" bestFit="1" customWidth="1"/>
    <col min="7173" max="7173" width="18.28515625" style="3" customWidth="1"/>
    <col min="7174" max="7174" width="12.7109375" style="3" customWidth="1"/>
    <col min="7175" max="7423" width="13.7109375" style="3"/>
    <col min="7424" max="7424" width="31.5703125" style="3" customWidth="1"/>
    <col min="7425" max="7427" width="20.5703125" style="3" customWidth="1"/>
    <col min="7428" max="7428" width="18.7109375" style="3" bestFit="1" customWidth="1"/>
    <col min="7429" max="7429" width="18.28515625" style="3" customWidth="1"/>
    <col min="7430" max="7430" width="12.7109375" style="3" customWidth="1"/>
    <col min="7431" max="7679" width="13.7109375" style="3"/>
    <col min="7680" max="7680" width="31.5703125" style="3" customWidth="1"/>
    <col min="7681" max="7683" width="20.5703125" style="3" customWidth="1"/>
    <col min="7684" max="7684" width="18.7109375" style="3" bestFit="1" customWidth="1"/>
    <col min="7685" max="7685" width="18.28515625" style="3" customWidth="1"/>
    <col min="7686" max="7686" width="12.7109375" style="3" customWidth="1"/>
    <col min="7687" max="7935" width="13.7109375" style="3"/>
    <col min="7936" max="7936" width="31.5703125" style="3" customWidth="1"/>
    <col min="7937" max="7939" width="20.5703125" style="3" customWidth="1"/>
    <col min="7940" max="7940" width="18.7109375" style="3" bestFit="1" customWidth="1"/>
    <col min="7941" max="7941" width="18.28515625" style="3" customWidth="1"/>
    <col min="7942" max="7942" width="12.7109375" style="3" customWidth="1"/>
    <col min="7943" max="8191" width="13.7109375" style="3"/>
    <col min="8192" max="8192" width="31.5703125" style="3" customWidth="1"/>
    <col min="8193" max="8195" width="20.5703125" style="3" customWidth="1"/>
    <col min="8196" max="8196" width="18.7109375" style="3" bestFit="1" customWidth="1"/>
    <col min="8197" max="8197" width="18.28515625" style="3" customWidth="1"/>
    <col min="8198" max="8198" width="12.7109375" style="3" customWidth="1"/>
    <col min="8199" max="8447" width="13.7109375" style="3"/>
    <col min="8448" max="8448" width="31.5703125" style="3" customWidth="1"/>
    <col min="8449" max="8451" width="20.5703125" style="3" customWidth="1"/>
    <col min="8452" max="8452" width="18.7109375" style="3" bestFit="1" customWidth="1"/>
    <col min="8453" max="8453" width="18.28515625" style="3" customWidth="1"/>
    <col min="8454" max="8454" width="12.7109375" style="3" customWidth="1"/>
    <col min="8455" max="8703" width="13.7109375" style="3"/>
    <col min="8704" max="8704" width="31.5703125" style="3" customWidth="1"/>
    <col min="8705" max="8707" width="20.5703125" style="3" customWidth="1"/>
    <col min="8708" max="8708" width="18.7109375" style="3" bestFit="1" customWidth="1"/>
    <col min="8709" max="8709" width="18.28515625" style="3" customWidth="1"/>
    <col min="8710" max="8710" width="12.7109375" style="3" customWidth="1"/>
    <col min="8711" max="8959" width="13.7109375" style="3"/>
    <col min="8960" max="8960" width="31.5703125" style="3" customWidth="1"/>
    <col min="8961" max="8963" width="20.5703125" style="3" customWidth="1"/>
    <col min="8964" max="8964" width="18.7109375" style="3" bestFit="1" customWidth="1"/>
    <col min="8965" max="8965" width="18.28515625" style="3" customWidth="1"/>
    <col min="8966" max="8966" width="12.7109375" style="3" customWidth="1"/>
    <col min="8967" max="9215" width="13.7109375" style="3"/>
    <col min="9216" max="9216" width="31.5703125" style="3" customWidth="1"/>
    <col min="9217" max="9219" width="20.5703125" style="3" customWidth="1"/>
    <col min="9220" max="9220" width="18.7109375" style="3" bestFit="1" customWidth="1"/>
    <col min="9221" max="9221" width="18.28515625" style="3" customWidth="1"/>
    <col min="9222" max="9222" width="12.7109375" style="3" customWidth="1"/>
    <col min="9223" max="9471" width="13.7109375" style="3"/>
    <col min="9472" max="9472" width="31.5703125" style="3" customWidth="1"/>
    <col min="9473" max="9475" width="20.5703125" style="3" customWidth="1"/>
    <col min="9476" max="9476" width="18.7109375" style="3" bestFit="1" customWidth="1"/>
    <col min="9477" max="9477" width="18.28515625" style="3" customWidth="1"/>
    <col min="9478" max="9478" width="12.7109375" style="3" customWidth="1"/>
    <col min="9479" max="9727" width="13.7109375" style="3"/>
    <col min="9728" max="9728" width="31.5703125" style="3" customWidth="1"/>
    <col min="9729" max="9731" width="20.5703125" style="3" customWidth="1"/>
    <col min="9732" max="9732" width="18.7109375" style="3" bestFit="1" customWidth="1"/>
    <col min="9733" max="9733" width="18.28515625" style="3" customWidth="1"/>
    <col min="9734" max="9734" width="12.7109375" style="3" customWidth="1"/>
    <col min="9735" max="9983" width="13.7109375" style="3"/>
    <col min="9984" max="9984" width="31.5703125" style="3" customWidth="1"/>
    <col min="9985" max="9987" width="20.5703125" style="3" customWidth="1"/>
    <col min="9988" max="9988" width="18.7109375" style="3" bestFit="1" customWidth="1"/>
    <col min="9989" max="9989" width="18.28515625" style="3" customWidth="1"/>
    <col min="9990" max="9990" width="12.7109375" style="3" customWidth="1"/>
    <col min="9991" max="10239" width="13.7109375" style="3"/>
    <col min="10240" max="10240" width="31.5703125" style="3" customWidth="1"/>
    <col min="10241" max="10243" width="20.5703125" style="3" customWidth="1"/>
    <col min="10244" max="10244" width="18.7109375" style="3" bestFit="1" customWidth="1"/>
    <col min="10245" max="10245" width="18.28515625" style="3" customWidth="1"/>
    <col min="10246" max="10246" width="12.7109375" style="3" customWidth="1"/>
    <col min="10247" max="10495" width="13.7109375" style="3"/>
    <col min="10496" max="10496" width="31.5703125" style="3" customWidth="1"/>
    <col min="10497" max="10499" width="20.5703125" style="3" customWidth="1"/>
    <col min="10500" max="10500" width="18.7109375" style="3" bestFit="1" customWidth="1"/>
    <col min="10501" max="10501" width="18.28515625" style="3" customWidth="1"/>
    <col min="10502" max="10502" width="12.7109375" style="3" customWidth="1"/>
    <col min="10503" max="10751" width="13.7109375" style="3"/>
    <col min="10752" max="10752" width="31.5703125" style="3" customWidth="1"/>
    <col min="10753" max="10755" width="20.5703125" style="3" customWidth="1"/>
    <col min="10756" max="10756" width="18.7109375" style="3" bestFit="1" customWidth="1"/>
    <col min="10757" max="10757" width="18.28515625" style="3" customWidth="1"/>
    <col min="10758" max="10758" width="12.7109375" style="3" customWidth="1"/>
    <col min="10759" max="11007" width="13.7109375" style="3"/>
    <col min="11008" max="11008" width="31.5703125" style="3" customWidth="1"/>
    <col min="11009" max="11011" width="20.5703125" style="3" customWidth="1"/>
    <col min="11012" max="11012" width="18.7109375" style="3" bestFit="1" customWidth="1"/>
    <col min="11013" max="11013" width="18.28515625" style="3" customWidth="1"/>
    <col min="11014" max="11014" width="12.7109375" style="3" customWidth="1"/>
    <col min="11015" max="11263" width="13.7109375" style="3"/>
    <col min="11264" max="11264" width="31.5703125" style="3" customWidth="1"/>
    <col min="11265" max="11267" width="20.5703125" style="3" customWidth="1"/>
    <col min="11268" max="11268" width="18.7109375" style="3" bestFit="1" customWidth="1"/>
    <col min="11269" max="11269" width="18.28515625" style="3" customWidth="1"/>
    <col min="11270" max="11270" width="12.7109375" style="3" customWidth="1"/>
    <col min="11271" max="11519" width="13.7109375" style="3"/>
    <col min="11520" max="11520" width="31.5703125" style="3" customWidth="1"/>
    <col min="11521" max="11523" width="20.5703125" style="3" customWidth="1"/>
    <col min="11524" max="11524" width="18.7109375" style="3" bestFit="1" customWidth="1"/>
    <col min="11525" max="11525" width="18.28515625" style="3" customWidth="1"/>
    <col min="11526" max="11526" width="12.7109375" style="3" customWidth="1"/>
    <col min="11527" max="11775" width="13.7109375" style="3"/>
    <col min="11776" max="11776" width="31.5703125" style="3" customWidth="1"/>
    <col min="11777" max="11779" width="20.5703125" style="3" customWidth="1"/>
    <col min="11780" max="11780" width="18.7109375" style="3" bestFit="1" customWidth="1"/>
    <col min="11781" max="11781" width="18.28515625" style="3" customWidth="1"/>
    <col min="11782" max="11782" width="12.7109375" style="3" customWidth="1"/>
    <col min="11783" max="12031" width="13.7109375" style="3"/>
    <col min="12032" max="12032" width="31.5703125" style="3" customWidth="1"/>
    <col min="12033" max="12035" width="20.5703125" style="3" customWidth="1"/>
    <col min="12036" max="12036" width="18.7109375" style="3" bestFit="1" customWidth="1"/>
    <col min="12037" max="12037" width="18.28515625" style="3" customWidth="1"/>
    <col min="12038" max="12038" width="12.7109375" style="3" customWidth="1"/>
    <col min="12039" max="12287" width="13.7109375" style="3"/>
    <col min="12288" max="12288" width="31.5703125" style="3" customWidth="1"/>
    <col min="12289" max="12291" width="20.5703125" style="3" customWidth="1"/>
    <col min="12292" max="12292" width="18.7109375" style="3" bestFit="1" customWidth="1"/>
    <col min="12293" max="12293" width="18.28515625" style="3" customWidth="1"/>
    <col min="12294" max="12294" width="12.7109375" style="3" customWidth="1"/>
    <col min="12295" max="12543" width="13.7109375" style="3"/>
    <col min="12544" max="12544" width="31.5703125" style="3" customWidth="1"/>
    <col min="12545" max="12547" width="20.5703125" style="3" customWidth="1"/>
    <col min="12548" max="12548" width="18.7109375" style="3" bestFit="1" customWidth="1"/>
    <col min="12549" max="12549" width="18.28515625" style="3" customWidth="1"/>
    <col min="12550" max="12550" width="12.7109375" style="3" customWidth="1"/>
    <col min="12551" max="12799" width="13.7109375" style="3"/>
    <col min="12800" max="12800" width="31.5703125" style="3" customWidth="1"/>
    <col min="12801" max="12803" width="20.5703125" style="3" customWidth="1"/>
    <col min="12804" max="12804" width="18.7109375" style="3" bestFit="1" customWidth="1"/>
    <col min="12805" max="12805" width="18.28515625" style="3" customWidth="1"/>
    <col min="12806" max="12806" width="12.7109375" style="3" customWidth="1"/>
    <col min="12807" max="13055" width="13.7109375" style="3"/>
    <col min="13056" max="13056" width="31.5703125" style="3" customWidth="1"/>
    <col min="13057" max="13059" width="20.5703125" style="3" customWidth="1"/>
    <col min="13060" max="13060" width="18.7109375" style="3" bestFit="1" customWidth="1"/>
    <col min="13061" max="13061" width="18.28515625" style="3" customWidth="1"/>
    <col min="13062" max="13062" width="12.7109375" style="3" customWidth="1"/>
    <col min="13063" max="13311" width="13.7109375" style="3"/>
    <col min="13312" max="13312" width="31.5703125" style="3" customWidth="1"/>
    <col min="13313" max="13315" width="20.5703125" style="3" customWidth="1"/>
    <col min="13316" max="13316" width="18.7109375" style="3" bestFit="1" customWidth="1"/>
    <col min="13317" max="13317" width="18.28515625" style="3" customWidth="1"/>
    <col min="13318" max="13318" width="12.7109375" style="3" customWidth="1"/>
    <col min="13319" max="13567" width="13.7109375" style="3"/>
    <col min="13568" max="13568" width="31.5703125" style="3" customWidth="1"/>
    <col min="13569" max="13571" width="20.5703125" style="3" customWidth="1"/>
    <col min="13572" max="13572" width="18.7109375" style="3" bestFit="1" customWidth="1"/>
    <col min="13573" max="13573" width="18.28515625" style="3" customWidth="1"/>
    <col min="13574" max="13574" width="12.7109375" style="3" customWidth="1"/>
    <col min="13575" max="13823" width="13.7109375" style="3"/>
    <col min="13824" max="13824" width="31.5703125" style="3" customWidth="1"/>
    <col min="13825" max="13827" width="20.5703125" style="3" customWidth="1"/>
    <col min="13828" max="13828" width="18.7109375" style="3" bestFit="1" customWidth="1"/>
    <col min="13829" max="13829" width="18.28515625" style="3" customWidth="1"/>
    <col min="13830" max="13830" width="12.7109375" style="3" customWidth="1"/>
    <col min="13831" max="14079" width="13.7109375" style="3"/>
    <col min="14080" max="14080" width="31.5703125" style="3" customWidth="1"/>
    <col min="14081" max="14083" width="20.5703125" style="3" customWidth="1"/>
    <col min="14084" max="14084" width="18.7109375" style="3" bestFit="1" customWidth="1"/>
    <col min="14085" max="14085" width="18.28515625" style="3" customWidth="1"/>
    <col min="14086" max="14086" width="12.7109375" style="3" customWidth="1"/>
    <col min="14087" max="14335" width="13.7109375" style="3"/>
    <col min="14336" max="14336" width="31.5703125" style="3" customWidth="1"/>
    <col min="14337" max="14339" width="20.5703125" style="3" customWidth="1"/>
    <col min="14340" max="14340" width="18.7109375" style="3" bestFit="1" customWidth="1"/>
    <col min="14341" max="14341" width="18.28515625" style="3" customWidth="1"/>
    <col min="14342" max="14342" width="12.7109375" style="3" customWidth="1"/>
    <col min="14343" max="14591" width="13.7109375" style="3"/>
    <col min="14592" max="14592" width="31.5703125" style="3" customWidth="1"/>
    <col min="14593" max="14595" width="20.5703125" style="3" customWidth="1"/>
    <col min="14596" max="14596" width="18.7109375" style="3" bestFit="1" customWidth="1"/>
    <col min="14597" max="14597" width="18.28515625" style="3" customWidth="1"/>
    <col min="14598" max="14598" width="12.7109375" style="3" customWidth="1"/>
    <col min="14599" max="14847" width="13.7109375" style="3"/>
    <col min="14848" max="14848" width="31.5703125" style="3" customWidth="1"/>
    <col min="14849" max="14851" width="20.5703125" style="3" customWidth="1"/>
    <col min="14852" max="14852" width="18.7109375" style="3" bestFit="1" customWidth="1"/>
    <col min="14853" max="14853" width="18.28515625" style="3" customWidth="1"/>
    <col min="14854" max="14854" width="12.7109375" style="3" customWidth="1"/>
    <col min="14855" max="15103" width="13.7109375" style="3"/>
    <col min="15104" max="15104" width="31.5703125" style="3" customWidth="1"/>
    <col min="15105" max="15107" width="20.5703125" style="3" customWidth="1"/>
    <col min="15108" max="15108" width="18.7109375" style="3" bestFit="1" customWidth="1"/>
    <col min="15109" max="15109" width="18.28515625" style="3" customWidth="1"/>
    <col min="15110" max="15110" width="12.7109375" style="3" customWidth="1"/>
    <col min="15111" max="15359" width="13.7109375" style="3"/>
    <col min="15360" max="15360" width="31.5703125" style="3" customWidth="1"/>
    <col min="15361" max="15363" width="20.5703125" style="3" customWidth="1"/>
    <col min="15364" max="15364" width="18.7109375" style="3" bestFit="1" customWidth="1"/>
    <col min="15365" max="15365" width="18.28515625" style="3" customWidth="1"/>
    <col min="15366" max="15366" width="12.7109375" style="3" customWidth="1"/>
    <col min="15367" max="15615" width="13.7109375" style="3"/>
    <col min="15616" max="15616" width="31.5703125" style="3" customWidth="1"/>
    <col min="15617" max="15619" width="20.5703125" style="3" customWidth="1"/>
    <col min="15620" max="15620" width="18.7109375" style="3" bestFit="1" customWidth="1"/>
    <col min="15621" max="15621" width="18.28515625" style="3" customWidth="1"/>
    <col min="15622" max="15622" width="12.7109375" style="3" customWidth="1"/>
    <col min="15623" max="15871" width="13.7109375" style="3"/>
    <col min="15872" max="15872" width="31.5703125" style="3" customWidth="1"/>
    <col min="15873" max="15875" width="20.5703125" style="3" customWidth="1"/>
    <col min="15876" max="15876" width="18.7109375" style="3" bestFit="1" customWidth="1"/>
    <col min="15877" max="15877" width="18.28515625" style="3" customWidth="1"/>
    <col min="15878" max="15878" width="12.7109375" style="3" customWidth="1"/>
    <col min="15879" max="16127" width="13.7109375" style="3"/>
    <col min="16128" max="16128" width="31.5703125" style="3" customWidth="1"/>
    <col min="16129" max="16131" width="20.5703125" style="3" customWidth="1"/>
    <col min="16132" max="16132" width="18.7109375" style="3" bestFit="1" customWidth="1"/>
    <col min="16133" max="16133" width="18.28515625" style="3" customWidth="1"/>
    <col min="16134" max="16134" width="12.7109375" style="3" customWidth="1"/>
    <col min="16135" max="16384" width="13.7109375" style="3"/>
  </cols>
  <sheetData>
    <row r="1" spans="1:23" ht="18.75">
      <c r="A1" s="42" t="s">
        <v>678</v>
      </c>
      <c r="D1" s="20"/>
      <c r="E1" s="20"/>
      <c r="F1" s="20"/>
      <c r="G1" s="20"/>
      <c r="H1" s="20"/>
      <c r="I1" s="20"/>
      <c r="J1" s="20"/>
      <c r="K1" s="20"/>
    </row>
    <row r="2" spans="1:23">
      <c r="A2" s="48" t="s">
        <v>679</v>
      </c>
      <c r="B2" s="20">
        <v>2</v>
      </c>
      <c r="C2" s="20">
        <v>3</v>
      </c>
      <c r="D2" s="20">
        <v>4</v>
      </c>
      <c r="E2" s="20">
        <v>5</v>
      </c>
      <c r="F2" s="20">
        <v>6</v>
      </c>
      <c r="G2" s="20">
        <v>7</v>
      </c>
      <c r="H2" s="20">
        <v>8</v>
      </c>
      <c r="I2" s="20">
        <v>9</v>
      </c>
      <c r="J2" s="20">
        <v>10</v>
      </c>
      <c r="K2" s="20">
        <v>11</v>
      </c>
      <c r="L2" s="20">
        <v>12</v>
      </c>
      <c r="M2" s="4">
        <v>13</v>
      </c>
      <c r="N2" s="20">
        <v>14</v>
      </c>
      <c r="O2" s="20">
        <v>15</v>
      </c>
      <c r="P2" s="20">
        <v>16</v>
      </c>
      <c r="Q2" s="20">
        <v>17</v>
      </c>
      <c r="R2" s="20">
        <v>18</v>
      </c>
      <c r="S2" s="20">
        <v>19</v>
      </c>
      <c r="T2" s="20">
        <v>20</v>
      </c>
      <c r="U2" s="20">
        <v>21</v>
      </c>
      <c r="V2" s="20">
        <v>22</v>
      </c>
    </row>
    <row r="3" spans="1:23" s="2" customFormat="1">
      <c r="A3" s="34" t="s">
        <v>134</v>
      </c>
      <c r="B3" s="46" t="s">
        <v>667</v>
      </c>
      <c r="C3" s="46" t="s">
        <v>668</v>
      </c>
      <c r="D3" s="46" t="s">
        <v>669</v>
      </c>
      <c r="E3" s="46" t="s">
        <v>670</v>
      </c>
      <c r="F3" s="46" t="s">
        <v>671</v>
      </c>
      <c r="G3" s="46" t="s">
        <v>672</v>
      </c>
      <c r="H3" s="46" t="s">
        <v>673</v>
      </c>
      <c r="I3" s="46" t="s">
        <v>674</v>
      </c>
      <c r="J3" s="46" t="s">
        <v>675</v>
      </c>
      <c r="K3" s="46" t="s">
        <v>676</v>
      </c>
      <c r="L3" s="18" t="s">
        <v>677</v>
      </c>
      <c r="M3" s="46" t="s">
        <v>676</v>
      </c>
      <c r="N3" s="18" t="s">
        <v>677</v>
      </c>
      <c r="O3" s="46" t="s">
        <v>676</v>
      </c>
      <c r="P3" s="17" t="s">
        <v>86</v>
      </c>
      <c r="Q3" s="18" t="s">
        <v>520</v>
      </c>
      <c r="R3" s="17" t="s">
        <v>133</v>
      </c>
      <c r="S3" s="18" t="s">
        <v>544</v>
      </c>
      <c r="T3" s="231" t="s">
        <v>545</v>
      </c>
      <c r="U3" s="232" t="s">
        <v>522</v>
      </c>
      <c r="V3" s="233" t="s">
        <v>523</v>
      </c>
    </row>
    <row r="4" spans="1:23">
      <c r="A4" s="9" t="s">
        <v>87</v>
      </c>
      <c r="B4" s="116"/>
      <c r="C4" s="116"/>
      <c r="D4" s="5"/>
      <c r="E4" s="127"/>
      <c r="F4" s="127"/>
      <c r="G4" s="5"/>
      <c r="H4" s="127"/>
      <c r="I4" s="127"/>
      <c r="J4" s="5"/>
      <c r="K4" s="127"/>
      <c r="L4" s="116"/>
      <c r="M4" s="116"/>
      <c r="N4" s="116"/>
      <c r="O4" s="116"/>
      <c r="P4" s="5"/>
      <c r="Q4" s="116"/>
      <c r="R4" s="5" t="s">
        <v>0</v>
      </c>
      <c r="S4" s="7"/>
      <c r="T4" s="7"/>
      <c r="U4" s="7"/>
      <c r="V4" s="7"/>
    </row>
    <row r="5" spans="1:23">
      <c r="A5" s="182" t="s">
        <v>419</v>
      </c>
      <c r="B5" s="196"/>
      <c r="C5" s="6">
        <f>IF(ISERROR(GETPIVOTDATA(抵消分录!$I:$K,"货币资金 1 求和项:借方金额")),0,GETPIVOTDATA(抵消分录!$I:$K,"货币资金 1 求和项:借方金额")-GETPIVOTDATA(抵消分录!$I:$K,"货币资金 1 求和项:贷方金额"))</f>
        <v>0</v>
      </c>
      <c r="D5" s="7">
        <f t="shared" ref="D5:D17" si="0">B5+C5</f>
        <v>0</v>
      </c>
      <c r="E5" s="196"/>
      <c r="F5" s="196">
        <f>IF(ISERROR(GETPIVOTDATA(抵消分录!$I:$K,"货币资金 4 求和项:借方金额")),0,GETPIVOTDATA(抵消分录!$I:$K,"货币资金 4 求和项:借方金额")-GETPIVOTDATA(抵消分录!$I:$K,"货币资金 4 求和项:贷方金额"))</f>
        <v>0</v>
      </c>
      <c r="G5" s="7">
        <f>E5+F5</f>
        <v>0</v>
      </c>
      <c r="H5" s="196"/>
      <c r="I5" s="196">
        <f>IF(ISERROR(GETPIVOTDATA(抵消分录!$I:$K,"货币资金 5 求和项:借方金额")),0,GETPIVOTDATA(抵消分录!$I:$K,"货币资金 5 求和项:借方金额")-GETPIVOTDATA(抵消分录!$I:$K,"货币资金 5 求和项:贷方金额"))</f>
        <v>0</v>
      </c>
      <c r="J5" s="7">
        <f>H5+I5</f>
        <v>0</v>
      </c>
      <c r="K5" s="196"/>
      <c r="L5" s="196"/>
      <c r="M5" s="196"/>
      <c r="N5" s="6"/>
      <c r="O5" s="196"/>
      <c r="P5" s="7">
        <f>SUM(J5:O5)+D5+G5</f>
        <v>0</v>
      </c>
      <c r="Q5" s="6">
        <f>IF(ISERROR(GETPIVOTDATA(抵消分录!$I:$K,"货币资金 2 求和项:借方金额")),0,GETPIVOTDATA(抵消分录!$I:$K,"货币资金 2 求和项:借方金额")-GETPIVOTDATA(抵消分录!$I:$K,"货币资金 2 求和项:贷方金额"))</f>
        <v>0</v>
      </c>
      <c r="R5" s="7">
        <f>P5+Q5</f>
        <v>0</v>
      </c>
      <c r="S5" s="128"/>
      <c r="T5" s="128"/>
      <c r="U5" s="7">
        <f>ROUND(R5,2)</f>
        <v>0</v>
      </c>
      <c r="V5" s="7">
        <f>L5</f>
        <v>0</v>
      </c>
      <c r="W5" s="248"/>
    </row>
    <row r="6" spans="1:23">
      <c r="A6" s="182" t="s">
        <v>420</v>
      </c>
      <c r="B6" s="196"/>
      <c r="C6" s="6">
        <f>IF(ISERROR(GETPIVOTDATA(抵消分录!$I:$K,"交易性金融资产 1 求和项:借方金额")),0,GETPIVOTDATA(抵消分录!$I:$K,"交易性金融资产 1 求和项:借方金额")-GETPIVOTDATA(抵消分录!$I:$K,"交易性金融资产 1 求和项:贷方金额"))</f>
        <v>0</v>
      </c>
      <c r="D6" s="7">
        <f>B6+C6</f>
        <v>0</v>
      </c>
      <c r="E6" s="196"/>
      <c r="F6" s="196">
        <f>IF(ISERROR(GETPIVOTDATA(抵消分录!$I:$K,"交易性金融资产 4 求和项:借方金额")),0,GETPIVOTDATA(抵消分录!$I:$K,"交易性金融资产 4 求和项:借方金额")-GETPIVOTDATA(抵消分录!$I:$K,"交易性金融资产 4 求和项:贷方金额"))</f>
        <v>0</v>
      </c>
      <c r="G6" s="7">
        <f t="shared" ref="G6:G17" si="1">E6+F6</f>
        <v>0</v>
      </c>
      <c r="H6" s="196"/>
      <c r="I6" s="196">
        <f>IF(ISERROR(GETPIVOTDATA(抵消分录!$I:$K,"交易性金融资产 5 求和项:借方金额")),0,GETPIVOTDATA(抵消分录!$I:$K,"交易性金融资产 5 求和项:借方金额")-GETPIVOTDATA(抵消分录!$I:$K,"交易性金融资产 5 求和项:贷方金额"))</f>
        <v>0</v>
      </c>
      <c r="J6" s="7">
        <f>H6+I6</f>
        <v>0</v>
      </c>
      <c r="K6" s="196"/>
      <c r="L6" s="196"/>
      <c r="M6" s="196"/>
      <c r="N6" s="6"/>
      <c r="O6" s="196"/>
      <c r="P6" s="7">
        <f t="shared" ref="P6:P17" si="2">SUM(J6:O6)+D6+G6</f>
        <v>0</v>
      </c>
      <c r="Q6" s="6">
        <f>IF(ISERROR(GETPIVOTDATA(抵消分录!$I:$K,"交易性金融资产 2 求和项:借方金额")),0,GETPIVOTDATA(抵消分录!$I:$K,"交易性金融资产 2 求和项:借方金额")-GETPIVOTDATA(抵消分录!$I:$K,"交易性金融资产 2 求和项:贷方金额"))</f>
        <v>0</v>
      </c>
      <c r="R6" s="7">
        <f t="shared" ref="R6:R57" si="3">P6+Q6</f>
        <v>0</v>
      </c>
      <c r="S6" s="7"/>
      <c r="T6" s="7"/>
      <c r="U6" s="7"/>
      <c r="V6" s="7"/>
      <c r="W6" s="248"/>
    </row>
    <row r="7" spans="1:23">
      <c r="A7" s="182" t="s">
        <v>502</v>
      </c>
      <c r="B7" s="197"/>
      <c r="C7" s="6">
        <f>IF(ISERROR(GETPIVOTDATA(抵消分录!$I:$K,"衍生金融资产 1 求和项:借方金额")),0,GETPIVOTDATA(抵消分录!$I:$K,"衍生金融资产 1 求和项:借方金额")-GETPIVOTDATA(抵消分录!$I:$K,"衍生金融资产 1 求和项:贷方金额"))</f>
        <v>0</v>
      </c>
      <c r="D7" s="7">
        <f t="shared" si="0"/>
        <v>0</v>
      </c>
      <c r="E7" s="197"/>
      <c r="F7" s="197">
        <f>IF(ISERROR(GETPIVOTDATA(抵消分录!$I:$K,"衍生金融资产 4 求和项:借方金额")),0,GETPIVOTDATA(抵消分录!$I:$K,"衍生金融资产 4 求和项:借方金额")-GETPIVOTDATA(抵消分录!$I:$K,"衍生金融资产 4 求和项:贷方金额"))</f>
        <v>0</v>
      </c>
      <c r="G7" s="7">
        <f>E7+F7</f>
        <v>0</v>
      </c>
      <c r="H7" s="196"/>
      <c r="I7" s="197">
        <f>IF(ISERROR(GETPIVOTDATA(抵消分录!$I:$K,"衍生金融资产 5 求和项:借方金额")),0,GETPIVOTDATA(抵消分录!$I:$K,"衍生金融资产 5 求和项:借方金额")-GETPIVOTDATA(抵消分录!$I:$K,"衍生金融资产 5 求和项:贷方金额"))</f>
        <v>0</v>
      </c>
      <c r="J7" s="7">
        <f>H7+I7</f>
        <v>0</v>
      </c>
      <c r="K7" s="197"/>
      <c r="L7" s="197"/>
      <c r="M7" s="197"/>
      <c r="N7" s="6"/>
      <c r="O7" s="197"/>
      <c r="P7" s="7">
        <f t="shared" si="2"/>
        <v>0</v>
      </c>
      <c r="Q7" s="6">
        <f>IF(ISERROR(GETPIVOTDATA(抵消分录!$I:$K,"衍生金融资产 2 求和项:借方金额")),0,GETPIVOTDATA(抵消分录!$I:$K,"衍生金融资产 2 求和项:借方金额")-GETPIVOTDATA(抵消分录!$I:$K,"衍生金融资产 2 求和项:贷方金额"))</f>
        <v>0</v>
      </c>
      <c r="R7" s="7">
        <f t="shared" si="3"/>
        <v>0</v>
      </c>
      <c r="S7" s="7"/>
      <c r="T7" s="7"/>
      <c r="U7" s="7"/>
      <c r="V7" s="7"/>
      <c r="W7" s="248"/>
    </row>
    <row r="8" spans="1:23">
      <c r="A8" s="182" t="s">
        <v>371</v>
      </c>
      <c r="B8" s="196"/>
      <c r="C8" s="6">
        <f>IF(ISERROR(GETPIVOTDATA(抵消分录!$I:$K,"衍生金融资产 1 求和项:借方金额")),0,GETPIVOTDATA(抵消分录!$I:$K,"衍生金融资产 1 求和项:借方金额")-GETPIVOTDATA(抵消分录!$I:$K,"衍生金融资产 1 求和项:贷方金额"))</f>
        <v>0</v>
      </c>
      <c r="D8" s="7">
        <f>B8+C8</f>
        <v>0</v>
      </c>
      <c r="E8" s="196"/>
      <c r="F8" s="196">
        <f>IF(ISERROR(GETPIVOTDATA(抵消分录!$I:$K,"衍生金融资产 4 求和项:借方金额")),0,GETPIVOTDATA(抵消分录!$I:$K,"衍生金融资产 4 求和项:借方金额")-GETPIVOTDATA(抵消分录!$I:$K,"衍生金融资产 4 求和项:贷方金额"))</f>
        <v>0</v>
      </c>
      <c r="G8" s="7">
        <f t="shared" si="1"/>
        <v>0</v>
      </c>
      <c r="H8" s="196"/>
      <c r="I8" s="196">
        <f>IF(ISERROR(GETPIVOTDATA(抵消分录!$I:$K,"衍生金融资产 5 求和项:借方金额")),0,GETPIVOTDATA(抵消分录!$I:$K,"衍生金融资产 5 求和项:借方金额")-GETPIVOTDATA(抵消分录!$I:$K,"衍生金融资产 5 求和项:贷方金额"))</f>
        <v>0</v>
      </c>
      <c r="J8" s="7">
        <f t="shared" ref="J8:J14" si="4">H8+I8</f>
        <v>0</v>
      </c>
      <c r="K8" s="196"/>
      <c r="L8" s="196"/>
      <c r="M8" s="196"/>
      <c r="N8" s="6"/>
      <c r="O8" s="196"/>
      <c r="P8" s="7">
        <f t="shared" si="2"/>
        <v>0</v>
      </c>
      <c r="Q8" s="6">
        <f>IF(ISERROR(GETPIVOTDATA(抵消分录!$I:$K,"衍生金融资产 2 求和项:借方金额")),0,GETPIVOTDATA(抵消分录!$I:$K,"衍生金融资产 2 求和项:借方金额")-GETPIVOTDATA(抵消分录!$I:$K,"衍生金融资产 2 求和项:贷方金额"))</f>
        <v>0</v>
      </c>
      <c r="R8" s="7">
        <f>P8+Q8</f>
        <v>0</v>
      </c>
      <c r="S8" s="7"/>
      <c r="T8" s="7"/>
      <c r="U8" s="7"/>
      <c r="V8" s="7"/>
      <c r="W8" s="248"/>
    </row>
    <row r="9" spans="1:23">
      <c r="A9" s="182" t="s">
        <v>527</v>
      </c>
      <c r="B9" s="194"/>
      <c r="C9" s="6">
        <f>IF(ISERROR(GETPIVOTDATA(抵消分录!$I:$K,"应收票据及应收账款 1 求和项:借方金额")),0,GETPIVOTDATA(抵消分录!$I:$K,"应收票据及应收账款 1 求和项:借方金额")-GETPIVOTDATA(抵消分录!$I:$K,"应收票据及应收账款 1 求和项:贷方金额"))</f>
        <v>0</v>
      </c>
      <c r="D9" s="7">
        <f>B9+C9</f>
        <v>0</v>
      </c>
      <c r="E9" s="194"/>
      <c r="F9" s="194">
        <f>IF(ISERROR(GETPIVOTDATA(抵消分录!$I:$K,"应收票据及应收账款 4 求和项:借方金额")),0,GETPIVOTDATA(抵消分录!$I:$K,"应收票据及应收账款 4 求和项:借方金额")-GETPIVOTDATA(抵消分录!$I:$K,"应收票据及应收账款 4 求和项:贷方金额"))</f>
        <v>0</v>
      </c>
      <c r="G9" s="7">
        <f t="shared" si="1"/>
        <v>0</v>
      </c>
      <c r="H9" s="217"/>
      <c r="I9" s="194">
        <f>IF(ISERROR(GETPIVOTDATA(抵消分录!$I:$K,"应收票据及应收账款 5 求和项:借方金额")),0,GETPIVOTDATA(抵消分录!$I:$K,"应收票据及应收账款 5 求和项:借方金额")-GETPIVOTDATA(抵消分录!$I:$K,"应收票据及应收账款 5 求和项:贷方金额"))</f>
        <v>0</v>
      </c>
      <c r="J9" s="7">
        <f t="shared" si="4"/>
        <v>0</v>
      </c>
      <c r="K9" s="194"/>
      <c r="L9" s="194"/>
      <c r="M9" s="194"/>
      <c r="N9" s="6"/>
      <c r="O9" s="194"/>
      <c r="P9" s="7">
        <f t="shared" si="2"/>
        <v>0</v>
      </c>
      <c r="Q9" s="6">
        <f>IF(ISERROR(GETPIVOTDATA(抵消分录!$I:$K,"应收票据 2 求和项:借方金额")),0,GETPIVOTDATA(抵消分录!$I:$K,"应收票据 2 求和项:借方金额")-GETPIVOTDATA(抵消分录!$I:$K,"应收票据 2 求和项:贷方金额"))</f>
        <v>0</v>
      </c>
      <c r="R9" s="7">
        <f t="shared" si="3"/>
        <v>0</v>
      </c>
      <c r="S9" s="7"/>
      <c r="T9" s="7"/>
      <c r="U9" s="7"/>
      <c r="V9" s="7"/>
      <c r="W9" s="248"/>
    </row>
    <row r="10" spans="1:23">
      <c r="A10" s="182" t="s">
        <v>528</v>
      </c>
      <c r="B10" s="196"/>
      <c r="C10" s="6">
        <f>IF(ISERROR(GETPIVOTDATA(抵消分录!$I:$K,"应收票据及应收账款 1 求和项:借方金额")),0,GETPIVOTDATA(抵消分录!$I:$K,"应收票据及应收账款 1 求和项:借方金额")-GETPIVOTDATA(抵消分录!$I:$K,"应收票据及应收账款 1 求和项:贷方金额"))</f>
        <v>0</v>
      </c>
      <c r="D10" s="7">
        <f>B10+C10</f>
        <v>0</v>
      </c>
      <c r="E10" s="196"/>
      <c r="F10" s="194">
        <f>IF(ISERROR(GETPIVOTDATA(抵消分录!$I:$K,"应收票据及应收账款 4 求和项:借方金额")),0,GETPIVOTDATA(抵消分录!$I:$K,"应收票据及应收账款 4 求和项:借方金额")-GETPIVOTDATA(抵消分录!$I:$K,"应收票据及应收账款 4 求和项:贷方金额"))</f>
        <v>0</v>
      </c>
      <c r="G10" s="7">
        <f t="shared" si="1"/>
        <v>0</v>
      </c>
      <c r="H10" s="308"/>
      <c r="I10" s="194">
        <f>IF(ISERROR(GETPIVOTDATA(抵消分录!$I:$K,"应收票据及应收账款 5 求和项:借方金额")),0,GETPIVOTDATA(抵消分录!$I:$K,"应收票据及应收账款 5 求和项:借方金额")-GETPIVOTDATA(抵消分录!$I:$K,"应收票据及应收账款 5 求和项:贷方金额"))</f>
        <v>0</v>
      </c>
      <c r="J10" s="7">
        <f t="shared" si="4"/>
        <v>0</v>
      </c>
      <c r="K10" s="196"/>
      <c r="L10" s="194"/>
      <c r="M10" s="194"/>
      <c r="N10" s="6"/>
      <c r="O10" s="194"/>
      <c r="P10" s="7">
        <f t="shared" si="2"/>
        <v>0</v>
      </c>
      <c r="Q10" s="6">
        <f>IF(ISERROR(GETPIVOTDATA(抵消分录!$I:$K,"应收账款 2 求和项:借方金额")),0,GETPIVOTDATA(抵消分录!$I:$K,"应收账款 2 求和项:借方金额")-GETPIVOTDATA(抵消分录!$I:$K,"应收账款 2 求和项:贷方金额"))</f>
        <v>0</v>
      </c>
      <c r="R10" s="7">
        <f t="shared" si="3"/>
        <v>0</v>
      </c>
      <c r="S10" s="7"/>
      <c r="T10" s="7"/>
      <c r="U10" s="7"/>
      <c r="V10" s="7"/>
      <c r="W10" s="248"/>
    </row>
    <row r="11" spans="1:23">
      <c r="A11" s="182" t="s">
        <v>421</v>
      </c>
      <c r="B11" s="196"/>
      <c r="C11" s="6">
        <f>IF(ISERROR(GETPIVOTDATA(抵消分录!$I:$K,"预付账款 1 求和项:借方金额")),0,GETPIVOTDATA(抵消分录!$I:$K,"预付账款 1 求和项:借方金额")-GETPIVOTDATA(抵消分录!$I:$K,"预付账款 1 求和项:贷方金额"))</f>
        <v>0</v>
      </c>
      <c r="D11" s="7">
        <f t="shared" si="0"/>
        <v>0</v>
      </c>
      <c r="E11" s="196"/>
      <c r="F11" s="196">
        <f>IF(ISERROR(GETPIVOTDATA(抵消分录!$I:$K,"预付账款 4 求和项:借方金额")),0,GETPIVOTDATA(抵消分录!$I:$K,"预付账款 4 求和项:借方金额")-GETPIVOTDATA(抵消分录!$I:$K,"预付账款 4 求和项:贷方金额"))</f>
        <v>0</v>
      </c>
      <c r="G11" s="7">
        <f t="shared" si="1"/>
        <v>0</v>
      </c>
      <c r="H11" s="196"/>
      <c r="I11" s="196">
        <f>IF(ISERROR(GETPIVOTDATA(抵消分录!$I:$K,"预付账款 5 求和项:借方金额")),0,GETPIVOTDATA(抵消分录!$I:$K,"预付账款 5 求和项:借方金额")-GETPIVOTDATA(抵消分录!$I:$K,"预付账款 5 求和项:贷方金额"))</f>
        <v>0</v>
      </c>
      <c r="J11" s="7">
        <f t="shared" si="4"/>
        <v>0</v>
      </c>
      <c r="K11" s="196"/>
      <c r="L11" s="196"/>
      <c r="M11" s="196"/>
      <c r="N11" s="6"/>
      <c r="O11" s="196"/>
      <c r="P11" s="7">
        <f t="shared" si="2"/>
        <v>0</v>
      </c>
      <c r="Q11" s="6">
        <f>IF(ISERROR(GETPIVOTDATA(抵消分录!$I:$K,"预付账款 2 求和项:借方金额")),0,GETPIVOTDATA(抵消分录!$I:$K,"预付账款 2 求和项:借方金额")-GETPIVOTDATA(抵消分录!$I:$K,"预付账款 2 求和项:贷方金额"))</f>
        <v>0</v>
      </c>
      <c r="R11" s="7">
        <f t="shared" si="3"/>
        <v>0</v>
      </c>
      <c r="S11" s="7"/>
      <c r="T11" s="7"/>
      <c r="U11" s="7"/>
      <c r="V11" s="7"/>
      <c r="W11" s="248"/>
    </row>
    <row r="12" spans="1:23">
      <c r="A12" s="182" t="s">
        <v>518</v>
      </c>
      <c r="B12" s="196"/>
      <c r="C12" s="6">
        <f>IF(ISERROR(GETPIVOTDATA(抵消分录!$I:$K,"其他应收款 1 求和项:借方金额")),0,GETPIVOTDATA(抵消分录!$I:$K,"其他应收款 1 求和项:借方金额")-GETPIVOTDATA(抵消分录!$I:$K,"其他应收款 1 求和项:贷方金额"))</f>
        <v>0</v>
      </c>
      <c r="D12" s="7">
        <f t="shared" si="0"/>
        <v>0</v>
      </c>
      <c r="E12" s="196"/>
      <c r="F12" s="196">
        <f>IF(ISERROR(GETPIVOTDATA(抵消分录!$I:$K,"其他应收款 4 求和项:借方金额")),0,GETPIVOTDATA(抵消分录!$I:$K,"其他应收款 4 求和项:借方金额")-GETPIVOTDATA(抵消分录!$I:$K,"其他应收款 4 求和项:贷方金额"))</f>
        <v>0</v>
      </c>
      <c r="G12" s="7">
        <f t="shared" si="1"/>
        <v>0</v>
      </c>
      <c r="H12" s="196"/>
      <c r="I12" s="196">
        <f>IF(ISERROR(GETPIVOTDATA(抵消分录!$I:$K,"其他应收款 5 求和项:借方金额")),0,GETPIVOTDATA(抵消分录!$I:$K,"其他应收款 5 求和项:借方金额")-GETPIVOTDATA(抵消分录!$I:$K,"其他应收款 5 求和项:贷方金额"))</f>
        <v>0</v>
      </c>
      <c r="J12" s="7">
        <f t="shared" si="4"/>
        <v>0</v>
      </c>
      <c r="K12" s="196"/>
      <c r="L12" s="196"/>
      <c r="M12" s="196"/>
      <c r="N12" s="6"/>
      <c r="O12" s="196"/>
      <c r="P12" s="7">
        <f>SUM(J12:O12)+D12+G12</f>
        <v>0</v>
      </c>
      <c r="Q12" s="128">
        <f>IF(ISERROR(GETPIVOTDATA(抵消分录!$I:$K,"其他应收款 2 求和项:借方金额")),0,GETPIVOTDATA(抵消分录!$I:$K,"其他应收款 2 求和项:借方金额")-GETPIVOTDATA(抵消分录!$I:$K,"其他应收款 2 求和项:贷方金额"))</f>
        <v>0</v>
      </c>
      <c r="R12" s="7">
        <f t="shared" si="3"/>
        <v>0</v>
      </c>
      <c r="S12" s="7"/>
      <c r="T12" s="7"/>
      <c r="U12" s="7"/>
      <c r="V12" s="7"/>
      <c r="W12" s="248"/>
    </row>
    <row r="13" spans="1:23">
      <c r="A13" s="182" t="s">
        <v>422</v>
      </c>
      <c r="B13" s="196"/>
      <c r="C13" s="6">
        <f>IF(ISERROR(GETPIVOTDATA(抵消分录!$I:$K,"存货 1 求和项:借方金额")),0,GETPIVOTDATA(抵消分录!$I:$K,"存货 1 求和项:借方金额")-GETPIVOTDATA(抵消分录!$I:$K,"存货 1 求和项:贷方金额"))</f>
        <v>0</v>
      </c>
      <c r="D13" s="7">
        <f t="shared" si="0"/>
        <v>0</v>
      </c>
      <c r="E13" s="198"/>
      <c r="F13" s="198">
        <f>IF(ISERROR(GETPIVOTDATA(抵消分录!$I:$K,"存货 4 求和项:借方金额")),0,GETPIVOTDATA(抵消分录!$I:$K,"存货 4 求和项:借方金额")-GETPIVOTDATA(抵消分录!$I:$K,"存货 4 求和项:贷方金额"))</f>
        <v>0</v>
      </c>
      <c r="G13" s="7">
        <f t="shared" si="1"/>
        <v>0</v>
      </c>
      <c r="H13" s="196"/>
      <c r="I13" s="198">
        <f>IF(ISERROR(GETPIVOTDATA(抵消分录!$I:$K,"存货 5 求和项:借方金额")),0,GETPIVOTDATA(抵消分录!$I:$K,"存货 5 求和项:借方金额")-GETPIVOTDATA(抵消分录!$I:$K,"存货 5 求和项:贷方金额"))</f>
        <v>0</v>
      </c>
      <c r="J13" s="7">
        <f t="shared" si="4"/>
        <v>0</v>
      </c>
      <c r="K13" s="196"/>
      <c r="L13" s="196"/>
      <c r="M13" s="6"/>
      <c r="N13" s="6"/>
      <c r="O13" s="6"/>
      <c r="P13" s="7">
        <f t="shared" si="2"/>
        <v>0</v>
      </c>
      <c r="Q13" s="6">
        <f>IF(ISERROR(GETPIVOTDATA(抵消分录!$I:$K,"存货 2 求和项:借方金额")),0,GETPIVOTDATA(抵消分录!$I:$K,"存货 2 求和项:借方金额")-GETPIVOTDATA(抵消分录!$I:$K,"存货 2 求和项:贷方金额"))</f>
        <v>0</v>
      </c>
      <c r="R13" s="7">
        <f t="shared" si="3"/>
        <v>0</v>
      </c>
      <c r="S13" s="7"/>
      <c r="T13" s="7"/>
      <c r="U13" s="7"/>
      <c r="V13" s="7"/>
      <c r="W13" s="248"/>
    </row>
    <row r="14" spans="1:23">
      <c r="A14" s="182" t="s">
        <v>372</v>
      </c>
      <c r="B14" s="6"/>
      <c r="C14" s="6">
        <f>IF(ISERROR(GETPIVOTDATA(抵消分录!$I:$K,"合同资产 1 求和项:借方金额")),0,GETPIVOTDATA(抵消分录!$I:$K,"合同资产 1 求和项:借方金额")-GETPIVOTDATA(抵消分录!$I:$K,"合同资产 1 求和项:贷方金额"))</f>
        <v>0</v>
      </c>
      <c r="D14" s="7">
        <f>B14+C14</f>
        <v>0</v>
      </c>
      <c r="E14" s="196"/>
      <c r="F14" s="128">
        <f>IF(ISERROR(GETPIVOTDATA(抵消分录!$I:$K,"合同资产 4 求和项:借方金额")),0,GETPIVOTDATA(抵消分录!$I:$K,"合同资产 4 求和项:借方金额")-GETPIVOTDATA(抵消分录!$I:$K,"合同资产 4 求和项:贷方金额"))</f>
        <v>0</v>
      </c>
      <c r="G14" s="7">
        <f t="shared" si="1"/>
        <v>0</v>
      </c>
      <c r="H14" s="128"/>
      <c r="I14" s="128">
        <f>IF(ISERROR(GETPIVOTDATA(抵消分录!$I:$K,"合同资产 5 求和项:借方金额")),0,GETPIVOTDATA(抵消分录!$I:$K,"合同资产 5 求和项:借方金额")-GETPIVOTDATA(抵消分录!$I:$K,"合同资产 5 求和项:贷方金额"))</f>
        <v>0</v>
      </c>
      <c r="J14" s="7">
        <f t="shared" si="4"/>
        <v>0</v>
      </c>
      <c r="K14" s="128"/>
      <c r="L14" s="6"/>
      <c r="M14" s="6"/>
      <c r="N14" s="6"/>
      <c r="O14" s="6"/>
      <c r="P14" s="7">
        <f t="shared" si="2"/>
        <v>0</v>
      </c>
      <c r="Q14" s="6">
        <f>IF(ISERROR(GETPIVOTDATA(抵消分录!$I:$K,"合同资产 2 求和项:借方金额")),0,GETPIVOTDATA(抵消分录!$I:$K,"合同资产 2 求和项:借方金额")-GETPIVOTDATA(抵消分录!$I:$K,"合同资产 2 求和项:贷方金额"))</f>
        <v>0</v>
      </c>
      <c r="R14" s="7">
        <f>P14+Q14</f>
        <v>0</v>
      </c>
      <c r="S14" s="7"/>
      <c r="T14" s="7"/>
      <c r="U14" s="7"/>
      <c r="V14" s="7"/>
      <c r="W14" s="248"/>
    </row>
    <row r="15" spans="1:23">
      <c r="A15" s="182" t="s">
        <v>380</v>
      </c>
      <c r="B15" s="6"/>
      <c r="C15" s="6">
        <f>IF(ISERROR(GETPIVOTDATA(抵消分录!$I:$K,"  持有待售资产 1 求和项:借方金额")),0,GETPIVOTDATA(抵消分录!$I:$K,"持有待售资产 1 求和项:借方金额")-GETPIVOTDATA(抵消分录!$I:$K,"持有待售资产 1 求和项:贷方金额"))</f>
        <v>0</v>
      </c>
      <c r="D15" s="7">
        <f>B15+C15</f>
        <v>0</v>
      </c>
      <c r="E15" s="196"/>
      <c r="F15" s="128">
        <f>IF(ISERROR(GETPIVOTDATA(抵消分录!$I:$K,"持有待售资产 4 求和项:借方金额")),0,GETPIVOTDATA(抵消分录!$I:$K,"持有待售资产 4 求和项:借方金额")-GETPIVOTDATA(抵消分录!$I:$K,"持有待售资产 4 求和项:贷方金额"))</f>
        <v>0</v>
      </c>
      <c r="G15" s="7">
        <f>E15+F15</f>
        <v>0</v>
      </c>
      <c r="H15" s="128"/>
      <c r="I15" s="128">
        <f>IF(ISERROR(GETPIVOTDATA(抵消分录!$I:$K,"持有待售资产 5 求和项:借方金额")),0,GETPIVOTDATA(抵消分录!$I:$K,"持有待售资产 5 求和项:借方金额")-GETPIVOTDATA(抵消分录!$I:$K,"持有待售资产 5 求和项:贷方金额"))</f>
        <v>0</v>
      </c>
      <c r="J15" s="7">
        <f>H15+I15</f>
        <v>0</v>
      </c>
      <c r="K15" s="128"/>
      <c r="L15" s="6"/>
      <c r="M15" s="6"/>
      <c r="N15" s="6"/>
      <c r="O15" s="6"/>
      <c r="P15" s="7">
        <f t="shared" si="2"/>
        <v>0</v>
      </c>
      <c r="Q15" s="6">
        <f>IF(ISERROR(GETPIVOTDATA(抵消分录!$I:$K,"持有待售资产 2 求和项:借方金额")),0,GETPIVOTDATA(抵消分录!$I:$K,"持有待售资产 2 求和项:借方金额")-GETPIVOTDATA(抵消分录!$I:$K,"持有待售资产 2 求和项:贷方金额"))</f>
        <v>0</v>
      </c>
      <c r="R15" s="7">
        <f>P15+Q15</f>
        <v>0</v>
      </c>
      <c r="S15" s="7"/>
      <c r="T15" s="7"/>
      <c r="U15" s="7"/>
      <c r="V15" s="7"/>
      <c r="W15" s="248"/>
    </row>
    <row r="16" spans="1:23">
      <c r="A16" s="182" t="s">
        <v>425</v>
      </c>
      <c r="B16" s="6"/>
      <c r="C16" s="6">
        <f>IF(ISERROR(GETPIVOTDATA(抵消分录!$I:$K,"一年内到期的非流动资产 1 求和项:借方金额")),0,GETPIVOTDATA(抵消分录!$I:$K,"一年内到期的非流动资产 1 求和项:借方金额")-GETPIVOTDATA(抵消分录!$I:$K,"一年内到期的非流动资产 1 求和项:贷方金额"))</f>
        <v>0</v>
      </c>
      <c r="D16" s="7">
        <f t="shared" si="0"/>
        <v>0</v>
      </c>
      <c r="E16" s="194"/>
      <c r="F16" s="128">
        <f>IF(ISERROR(GETPIVOTDATA(抵消分录!$I:$K,"一年内到期的非流动资产 4 求和项:借方金额")),0,GETPIVOTDATA(抵消分录!$I:$K,"一年内到期的非流动资产 4 求和项:借方金额")-GETPIVOTDATA(抵消分录!$I:$K,"一年内到期的非流动资产 4 求和项:贷方金额"))</f>
        <v>0</v>
      </c>
      <c r="G16" s="7">
        <f t="shared" si="1"/>
        <v>0</v>
      </c>
      <c r="H16" s="128"/>
      <c r="I16" s="128">
        <f>IF(ISERROR(GETPIVOTDATA(抵消分录!$I:$K,"一年内到期的非流动资产 5 求和项:借方金额")),0,GETPIVOTDATA(抵消分录!$I:$K,"一年内到期的非流动资产 5 求和项:借方金额")-GETPIVOTDATA(抵消分录!$I:$K,"一年内到期的非流动资产 5 求和项:贷方金额"))</f>
        <v>0</v>
      </c>
      <c r="J16" s="7">
        <f>H16+I16</f>
        <v>0</v>
      </c>
      <c r="K16" s="128"/>
      <c r="L16" s="6"/>
      <c r="M16" s="6"/>
      <c r="N16" s="6"/>
      <c r="O16" s="6"/>
      <c r="P16" s="7">
        <f t="shared" si="2"/>
        <v>0</v>
      </c>
      <c r="Q16" s="6">
        <f>IF(ISERROR(GETPIVOTDATA(抵消分录!$I:$K,"一年内到期的非流动资产 2 求和项:借方金额")),0,GETPIVOTDATA(抵消分录!$I:$K,"一年内到期的非流动资产 2 求和项:借方金额")-GETPIVOTDATA(抵消分录!$I:$K,"一年内到期的非流动资产 2 求和项:贷方金额"))</f>
        <v>0</v>
      </c>
      <c r="R16" s="7">
        <f t="shared" si="3"/>
        <v>0</v>
      </c>
      <c r="S16" s="7"/>
      <c r="T16" s="7"/>
      <c r="U16" s="7"/>
      <c r="V16" s="7"/>
      <c r="W16" s="248"/>
    </row>
    <row r="17" spans="1:23">
      <c r="A17" s="182" t="s">
        <v>424</v>
      </c>
      <c r="B17" s="6"/>
      <c r="C17" s="6">
        <f>IF(ISERROR(GETPIVOTDATA(抵消分录!$I:$K,"其他流动资产 1 求和项:借方金额")),0,GETPIVOTDATA(抵消分录!$I:$K,"其他流动资产 1 求和项:借方金额")-GETPIVOTDATA(抵消分录!$I:$K,"其他流动资产 1 求和项:贷方金额"))</f>
        <v>0</v>
      </c>
      <c r="D17" s="7">
        <f t="shared" si="0"/>
        <v>0</v>
      </c>
      <c r="E17" s="128"/>
      <c r="F17" s="128">
        <f>IF(ISERROR(GETPIVOTDATA(抵消分录!$I:$K,"其他流动资产 4 求和项:借方金额")),0,GETPIVOTDATA(抵消分录!$I:$K,"其他流动资产 4 求和项:借方金额")-GETPIVOTDATA(抵消分录!$I:$K,"其他流动资产 4 求和项:贷方金额"))</f>
        <v>0</v>
      </c>
      <c r="G17" s="7">
        <f t="shared" si="1"/>
        <v>0</v>
      </c>
      <c r="H17" s="128"/>
      <c r="I17" s="128">
        <f>IF(ISERROR(GETPIVOTDATA(抵消分录!$I:$K,"其他流动资产 5 求和项:借方金额")),0,GETPIVOTDATA(抵消分录!$I:$K,"其他流动资产 5 求和项:借方金额")-GETPIVOTDATA(抵消分录!$I:$K,"其他流动资产 5 求和项:贷方金额"))</f>
        <v>0</v>
      </c>
      <c r="J17" s="7">
        <f>H17+I17</f>
        <v>0</v>
      </c>
      <c r="K17" s="128"/>
      <c r="L17" s="6"/>
      <c r="M17" s="6"/>
      <c r="N17" s="6"/>
      <c r="O17" s="6"/>
      <c r="P17" s="7">
        <f t="shared" si="2"/>
        <v>0</v>
      </c>
      <c r="Q17" s="6">
        <f>IF(ISERROR(GETPIVOTDATA(抵消分录!$I:$K,"其他流动资产 2 求和项:借方金额")),0,GETPIVOTDATA(抵消分录!$I:$K,"其他流动资产 2 求和项:借方金额")-GETPIVOTDATA(抵消分录!$I:$K,"其他流动资产 2 求和项:贷方金额"))</f>
        <v>0</v>
      </c>
      <c r="R17" s="7">
        <f t="shared" si="3"/>
        <v>0</v>
      </c>
      <c r="S17" s="7"/>
      <c r="T17" s="7"/>
      <c r="U17" s="7"/>
      <c r="V17" s="7"/>
      <c r="W17" s="248"/>
    </row>
    <row r="18" spans="1:23">
      <c r="A18" s="35" t="s">
        <v>88</v>
      </c>
      <c r="B18" s="8">
        <f>B5+B6+B7+B8+B9+B10+B11+B12+B13+B14+B15+B16+B17</f>
        <v>0</v>
      </c>
      <c r="C18" s="8">
        <f t="shared" ref="C18:R18" si="5">C5+C6+C7+C8+C9+C10+C11+C12+C13+C14+C15+C16+C17</f>
        <v>0</v>
      </c>
      <c r="D18" s="8">
        <f t="shared" si="5"/>
        <v>0</v>
      </c>
      <c r="E18" s="8">
        <f t="shared" si="5"/>
        <v>0</v>
      </c>
      <c r="F18" s="8">
        <f t="shared" si="5"/>
        <v>0</v>
      </c>
      <c r="G18" s="8">
        <f t="shared" si="5"/>
        <v>0</v>
      </c>
      <c r="H18" s="8">
        <f t="shared" si="5"/>
        <v>0</v>
      </c>
      <c r="I18" s="8">
        <f t="shared" si="5"/>
        <v>0</v>
      </c>
      <c r="J18" s="8">
        <f t="shared" si="5"/>
        <v>0</v>
      </c>
      <c r="K18" s="8">
        <f t="shared" si="5"/>
        <v>0</v>
      </c>
      <c r="L18" s="8">
        <f t="shared" si="5"/>
        <v>0</v>
      </c>
      <c r="M18" s="8">
        <f t="shared" si="5"/>
        <v>0</v>
      </c>
      <c r="N18" s="8">
        <f t="shared" si="5"/>
        <v>0</v>
      </c>
      <c r="O18" s="8">
        <f t="shared" si="5"/>
        <v>0</v>
      </c>
      <c r="P18" s="8">
        <f t="shared" si="5"/>
        <v>0</v>
      </c>
      <c r="Q18" s="8">
        <f t="shared" si="5"/>
        <v>0</v>
      </c>
      <c r="R18" s="8">
        <f t="shared" si="5"/>
        <v>0</v>
      </c>
      <c r="S18" s="7"/>
      <c r="T18" s="7"/>
      <c r="U18" s="7"/>
      <c r="V18" s="7"/>
      <c r="W18" s="248"/>
    </row>
    <row r="19" spans="1:23">
      <c r="A19" s="9" t="s">
        <v>89</v>
      </c>
      <c r="B19" s="116"/>
      <c r="C19" s="116"/>
      <c r="D19" s="7"/>
      <c r="E19" s="128"/>
      <c r="F19" s="128"/>
      <c r="G19" s="7"/>
      <c r="H19" s="128"/>
      <c r="I19" s="128"/>
      <c r="J19" s="7"/>
      <c r="K19" s="128"/>
      <c r="L19" s="116"/>
      <c r="M19" s="116"/>
      <c r="N19" s="116"/>
      <c r="O19" s="116"/>
      <c r="P19" s="7">
        <f t="shared" ref="P19:P37" si="6">SUM(J19:O19)+D19+G19</f>
        <v>0</v>
      </c>
      <c r="Q19" s="116"/>
      <c r="R19" s="7">
        <f t="shared" si="3"/>
        <v>0</v>
      </c>
      <c r="S19" s="7"/>
      <c r="T19" s="7"/>
      <c r="U19" s="7"/>
      <c r="V19" s="7"/>
    </row>
    <row r="20" spans="1:23">
      <c r="A20" s="182" t="s">
        <v>447</v>
      </c>
      <c r="B20" s="6"/>
      <c r="C20" s="6">
        <f>IF(ISERROR(GETPIVOTDATA(抵消分录!$I:$K,"债权投资 1 求和项:借方金额")),0,GETPIVOTDATA(抵消分录!$I:$K,"债权投资 1 求和项:借方金额")-GETPIVOTDATA(抵消分录!$I:$K,"债权投资 1 求和项:贷方金额"))</f>
        <v>0</v>
      </c>
      <c r="D20" s="7">
        <f t="shared" ref="D20:D37" si="7">B20+C20</f>
        <v>0</v>
      </c>
      <c r="E20" s="128"/>
      <c r="F20" s="128">
        <f>IF(ISERROR(GETPIVOTDATA(抵消分录!$I:$K,"债权投资 4 求和项:借方金额")),0,GETPIVOTDATA(抵消分录!$I:$K,"债权投资 4 求和项:借方金额")-GETPIVOTDATA(抵消分录!$I:$K,"债权投资 4 求和项:贷方金额"))</f>
        <v>0</v>
      </c>
      <c r="G20" s="7">
        <f t="shared" ref="G20:G37" si="8">E20+F20</f>
        <v>0</v>
      </c>
      <c r="H20" s="128"/>
      <c r="I20" s="128">
        <f>IF(ISERROR(GETPIVOTDATA(抵消分录!$I:$K,"债权投资 5 求和项:借方金额")),0,GETPIVOTDATA(抵消分录!$I:$K,"债权投资 5 求和项:借方金额")-GETPIVOTDATA(抵消分录!$I:$K,"债权投资 5 求和项:贷方金额"))</f>
        <v>0</v>
      </c>
      <c r="J20" s="7">
        <f>H20+I20</f>
        <v>0</v>
      </c>
      <c r="K20" s="128"/>
      <c r="L20" s="6"/>
      <c r="M20" s="6"/>
      <c r="N20" s="6"/>
      <c r="O20" s="6"/>
      <c r="P20" s="7">
        <f t="shared" si="6"/>
        <v>0</v>
      </c>
      <c r="Q20" s="6">
        <f>IF(ISERROR(GETPIVOTDATA(抵消分录!$I:$K,"债权投资 2 求和项:借方金额")),0,GETPIVOTDATA(抵消分录!$I:$K,"债权投资 2 求和项:借方金额")-GETPIVOTDATA(抵消分录!$I:$K,"债权投资 2 求和项:贷方金额"))</f>
        <v>0</v>
      </c>
      <c r="R20" s="7">
        <f t="shared" si="3"/>
        <v>0</v>
      </c>
      <c r="S20" s="7"/>
      <c r="T20" s="7"/>
      <c r="U20" s="7"/>
      <c r="V20" s="7"/>
    </row>
    <row r="21" spans="1:23">
      <c r="A21" s="182" t="s">
        <v>538</v>
      </c>
      <c r="B21" s="6"/>
      <c r="C21" s="6">
        <f>IF(ISERROR(GETPIVOTDATA(抵消分录!$I:$K,"债权投资 1 求和项:借方金额")),0,GETPIVOTDATA(抵消分录!$I:$K,"债权投资 1 求和项:借方金额")-GETPIVOTDATA(抵消分录!$I:$K,"债权投资 1 求和项:贷方金额"))</f>
        <v>0</v>
      </c>
      <c r="D21" s="7">
        <f>B21+C21</f>
        <v>0</v>
      </c>
      <c r="E21" s="128"/>
      <c r="F21" s="128">
        <f>IF(ISERROR(GETPIVOTDATA(抵消分录!$I:$K,"债权投资 4 求和项:借方金额")),0,GETPIVOTDATA(抵消分录!$I:$K,"债权投资 4 求和项:借方金额")-GETPIVOTDATA(抵消分录!$I:$K,"债权投资 4 求和项:贷方金额"))</f>
        <v>0</v>
      </c>
      <c r="G21" s="7">
        <f>E21+F21</f>
        <v>0</v>
      </c>
      <c r="H21" s="128"/>
      <c r="I21" s="128">
        <f>IF(ISERROR(GETPIVOTDATA(抵消分录!$I:$K,"债权投资 5 求和项:借方金额")),0,GETPIVOTDATA(抵消分录!$I:$K,"债权投资 5 求和项:借方金额")-GETPIVOTDATA(抵消分录!$I:$K,"债权投资 5 求和项:贷方金额"))</f>
        <v>0</v>
      </c>
      <c r="J21" s="7">
        <f>H21+I21</f>
        <v>0</v>
      </c>
      <c r="K21" s="128"/>
      <c r="L21" s="6"/>
      <c r="M21" s="6"/>
      <c r="N21" s="6"/>
      <c r="O21" s="6"/>
      <c r="P21" s="7">
        <f t="shared" si="6"/>
        <v>0</v>
      </c>
      <c r="Q21" s="6">
        <f>IF(ISERROR(GETPIVOTDATA(抵消分录!$I:$K,"债权投资 2 求和项:借方金额")),0,GETPIVOTDATA(抵消分录!$I:$K,"债权投资 2 求和项:借方金额")-GETPIVOTDATA(抵消分录!$I:$K,"债权投资 2 求和项:贷方金额"))</f>
        <v>0</v>
      </c>
      <c r="R21" s="7">
        <f>P21+Q21</f>
        <v>0</v>
      </c>
      <c r="S21" s="7"/>
      <c r="T21" s="7"/>
      <c r="U21" s="7"/>
      <c r="V21" s="7"/>
    </row>
    <row r="22" spans="1:23">
      <c r="A22" s="182" t="s">
        <v>539</v>
      </c>
      <c r="B22" s="6"/>
      <c r="C22" s="6">
        <f>IF(ISERROR(GETPIVOTDATA(抵消分录!$I:$K,"其他债权投资 1 求和项:借方金额")),0,GETPIVOTDATA(抵消分录!$I:$K,"其他债权投资 1 求和项:借方金额")-GETPIVOTDATA(抵消分录!$I:$K,"其他债权投资 1 求和项:贷方金额"))</f>
        <v>0</v>
      </c>
      <c r="D22" s="7">
        <f t="shared" si="7"/>
        <v>0</v>
      </c>
      <c r="E22" s="128"/>
      <c r="F22" s="128">
        <f>IF(ISERROR(GETPIVOTDATA(抵消分录!$I:$K,"其他债权投资 4 求和项:借方金额")),0,GETPIVOTDATA(抵消分录!$I:$K,"其他债权投资 4 求和项:借方金额")-GETPIVOTDATA(抵消分录!$I:$K,"其他债权投资 4 求和项:贷方金额"))</f>
        <v>0</v>
      </c>
      <c r="G22" s="7">
        <f t="shared" si="8"/>
        <v>0</v>
      </c>
      <c r="H22" s="128"/>
      <c r="I22" s="128">
        <f>IF(ISERROR(GETPIVOTDATA(抵消分录!$I:$K,"其他债权投资 5 求和项:借方金额")),0,GETPIVOTDATA(抵消分录!$I:$K,"其他债权投资 5 求和项:借方金额")-GETPIVOTDATA(抵消分录!$I:$K,"其他债权投资 5 求和项:贷方金额"))</f>
        <v>0</v>
      </c>
      <c r="J22" s="7">
        <f>H22+I22</f>
        <v>0</v>
      </c>
      <c r="K22" s="128"/>
      <c r="L22" s="6"/>
      <c r="M22" s="6"/>
      <c r="N22" s="6"/>
      <c r="O22" s="6"/>
      <c r="P22" s="7">
        <f t="shared" si="6"/>
        <v>0</v>
      </c>
      <c r="Q22" s="6">
        <f>IF(ISERROR(GETPIVOTDATA(抵消分录!$I:$K,"其他债权投资 2 求和项:借方金额")),0,GETPIVOTDATA(抵消分录!$I:$K,"其他债权投资 2 求和项:借方金额")-GETPIVOTDATA(抵消分录!$I:$K,"其他债权投资 2 求和项:贷方金额"))</f>
        <v>0</v>
      </c>
      <c r="R22" s="7">
        <f t="shared" si="3"/>
        <v>0</v>
      </c>
      <c r="S22" s="7"/>
      <c r="T22" s="7"/>
      <c r="U22" s="7"/>
      <c r="V22" s="7"/>
    </row>
    <row r="23" spans="1:23">
      <c r="A23" s="182" t="s">
        <v>540</v>
      </c>
      <c r="B23" s="6"/>
      <c r="C23" s="6">
        <f>IF(ISERROR(GETPIVOTDATA(抵消分录!$I:$K,"长期股权投资 1 求和项:借方金额")),0,GETPIVOTDATA(抵消分录!$I:$K,"长期股权投资 1 求和项:借方金额")-GETPIVOTDATA(抵消分录!$I:$K,"长期股权投资 1 求和项:贷方金额"))</f>
        <v>0</v>
      </c>
      <c r="D23" s="7">
        <f t="shared" si="7"/>
        <v>0</v>
      </c>
      <c r="E23" s="196"/>
      <c r="F23" s="196">
        <f>IF(ISERROR(GETPIVOTDATA(抵消分录!$I:$K,"长期股权投资 4 求和项:借方金额")),0,GETPIVOTDATA(抵消分录!$I:$K,"长期股权投资 4 求和项:借方金额")-GETPIVOTDATA(抵消分录!$I:$K,"长期股权投资 4 求和项:贷方金额"))</f>
        <v>0</v>
      </c>
      <c r="G23" s="7">
        <f t="shared" si="8"/>
        <v>0</v>
      </c>
      <c r="H23" s="244"/>
      <c r="I23" s="196">
        <f>IF(ISERROR(GETPIVOTDATA(抵消分录!$I:$K,"长期股权投资 5 求和项:借方金额")),0,GETPIVOTDATA(抵消分录!$I:$K,"长期股权投资 5 求和项:借方金额")-GETPIVOTDATA(抵消分录!$I:$K,"长期股权投资 5 求和项:贷方金额"))</f>
        <v>0</v>
      </c>
      <c r="J23" s="7">
        <f t="shared" ref="J23:J37" si="9">H23+I23</f>
        <v>0</v>
      </c>
      <c r="K23" s="128"/>
      <c r="L23" s="194"/>
      <c r="M23" s="6"/>
      <c r="N23" s="6"/>
      <c r="O23" s="6"/>
      <c r="P23" s="7">
        <f t="shared" si="6"/>
        <v>0</v>
      </c>
      <c r="Q23" s="128">
        <f>IF(ISERROR(GETPIVOTDATA(抵消分录!$I:$K,"长期股权投资 2 求和项:借方金额")),0,GETPIVOTDATA(抵消分录!$I:$K,"长期股权投资 2 求和项:借方金额")-GETPIVOTDATA(抵消分录!$I:$K,"长期股权投资 2 求和项:贷方金额"))</f>
        <v>0</v>
      </c>
      <c r="R23" s="7">
        <f>ROUND(P23+Q23,2)</f>
        <v>0</v>
      </c>
      <c r="S23" s="7"/>
      <c r="T23" s="7"/>
      <c r="U23" s="7"/>
      <c r="V23" s="7"/>
    </row>
    <row r="24" spans="1:23">
      <c r="A24" s="182" t="s">
        <v>375</v>
      </c>
      <c r="B24" s="6"/>
      <c r="C24" s="6">
        <f>IF(ISERROR(GETPIVOTDATA(抵消分录!$I:$K,"其他权益工具投资 1 求和项:借方金额")),0,GETPIVOTDATA(抵消分录!$I:$K,"其他权益工具投资 1 求和项:借方金额")-GETPIVOTDATA(抵消分录!$I:$K,"其他权益工具投资 1 求和项:贷方金额"))</f>
        <v>0</v>
      </c>
      <c r="D24" s="7">
        <f>B24+C24</f>
        <v>0</v>
      </c>
      <c r="E24" s="128"/>
      <c r="F24" s="128">
        <f>IF(ISERROR(GETPIVOTDATA(抵消分录!$I:$K,"其他权益工具投资 4 求和项:借方金额")),0,GETPIVOTDATA(抵消分录!$I:$K,"其他权益工具投资 4 求和项:借方金额")-GETPIVOTDATA(抵消分录!$I:$K,"其他权益工具投资 4 求和项:贷方金额"))</f>
        <v>0</v>
      </c>
      <c r="G24" s="7">
        <f t="shared" si="8"/>
        <v>0</v>
      </c>
      <c r="H24" s="194"/>
      <c r="I24" s="128">
        <f>IF(ISERROR(GETPIVOTDATA(抵消分录!$I:$K,"其他权益工具投资 5 求和项:借方金额")),0,GETPIVOTDATA(抵消分录!$I:$K,"其他权益工具投资 5 求和项:借方金额")-GETPIVOTDATA(抵消分录!$I:$K,"其他权益工具投资 5 求和项:贷方金额"))</f>
        <v>0</v>
      </c>
      <c r="J24" s="7">
        <f t="shared" si="9"/>
        <v>0</v>
      </c>
      <c r="K24" s="128"/>
      <c r="L24" s="194"/>
      <c r="M24" s="6"/>
      <c r="N24" s="6"/>
      <c r="O24" s="196"/>
      <c r="P24" s="7">
        <f t="shared" si="6"/>
        <v>0</v>
      </c>
      <c r="Q24" s="6">
        <f>IF(ISERROR(GETPIVOTDATA(抵消分录!$I:$K,"其他权益工具投资 2 求和项:借方金额")),0,GETPIVOTDATA(抵消分录!$I:$K,"其他权益工具投资 2 求和项:借方金额")-GETPIVOTDATA(抵消分录!$I:$K,"其他权益工具投资 2 求和项:贷方金额"))</f>
        <v>0</v>
      </c>
      <c r="R24" s="7">
        <f>P24+Q24</f>
        <v>0</v>
      </c>
      <c r="S24" s="7"/>
      <c r="T24" s="7"/>
      <c r="U24" s="7"/>
      <c r="V24" s="7"/>
    </row>
    <row r="25" spans="1:23">
      <c r="A25" s="182" t="s">
        <v>376</v>
      </c>
      <c r="B25" s="6"/>
      <c r="C25" s="6">
        <f>IF(ISERROR(GETPIVOTDATA(抵消分录!$I:$K,"其他非流动金融资产 1 求和项:借方金额")),0,GETPIVOTDATA(抵消分录!$I:$K,"其他非流动金融资产 1 求和项:借方金额")-GETPIVOTDATA(抵消分录!$I:$K,"其他非流动金融资产 1 求和项:贷方金额"))</f>
        <v>0</v>
      </c>
      <c r="D25" s="7">
        <f>B25+C25</f>
        <v>0</v>
      </c>
      <c r="E25" s="128"/>
      <c r="F25" s="128">
        <f>IF(ISERROR(GETPIVOTDATA(抵消分录!$I:$K,"其他非流动金融资产 4 求和项:借方金额")),0,GETPIVOTDATA(抵消分录!$I:$K,"其他非流动金融资产 4 求和项:借方金额")-GETPIVOTDATA(抵消分录!$I:$K,"其他非流动金融资产 4 求和项:贷方金额"))</f>
        <v>0</v>
      </c>
      <c r="G25" s="7">
        <f t="shared" si="8"/>
        <v>0</v>
      </c>
      <c r="H25" s="194"/>
      <c r="I25" s="128">
        <f>IF(ISERROR(GETPIVOTDATA(抵消分录!$I:$K,"其他非流动金融资产 5 求和项:借方金额")),0,GETPIVOTDATA(抵消分录!$I:$K,"其他非流动金融资产 5 求和项:借方金额")-GETPIVOTDATA(抵消分录!$I:$K,"其他非流动金融资产 5 求和项:贷方金额"))</f>
        <v>0</v>
      </c>
      <c r="J25" s="7">
        <f t="shared" si="9"/>
        <v>0</v>
      </c>
      <c r="K25" s="128"/>
      <c r="L25" s="194"/>
      <c r="M25" s="6"/>
      <c r="N25" s="6"/>
      <c r="O25" s="6"/>
      <c r="P25" s="7">
        <f t="shared" si="6"/>
        <v>0</v>
      </c>
      <c r="Q25" s="6">
        <f>IF(ISERROR(GETPIVOTDATA(抵消分录!$I:$K,"其他非流动金融资产 2 求和项:借方金额")),0,GETPIVOTDATA(抵消分录!$I:$K,"其他非流动金融资产 2 求和项:借方金额")-GETPIVOTDATA(抵消分录!$I:$K,"其他非流动金融资产 2 求和项:贷方金额"))</f>
        <v>0</v>
      </c>
      <c r="R25" s="7">
        <f>P25+Q25</f>
        <v>0</v>
      </c>
      <c r="S25" s="7"/>
      <c r="T25" s="7"/>
      <c r="U25" s="7"/>
      <c r="V25" s="7"/>
    </row>
    <row r="26" spans="1:23">
      <c r="A26" s="182" t="s">
        <v>448</v>
      </c>
      <c r="B26" s="6"/>
      <c r="C26" s="6">
        <f>IF(ISERROR(GETPIVOTDATA(抵消分录!$I:$K,"投资性房地产 1 求和项:借方金额")),0,GETPIVOTDATA(抵消分录!$I:$K,"投资性房地产 1 求和项:借方金额")-GETPIVOTDATA(抵消分录!$I:$K,"投资性房地产 1 求和项:贷方金额"))</f>
        <v>0</v>
      </c>
      <c r="D26" s="7">
        <f t="shared" si="7"/>
        <v>0</v>
      </c>
      <c r="E26" s="128"/>
      <c r="F26" s="128">
        <f>IF(ISERROR(GETPIVOTDATA(抵消分录!$I:$K,"投资性房地产 4 求和项:借方金额")),0,GETPIVOTDATA(抵消分录!$I:$K,"投资性房地产 4 求和项:借方金额")-GETPIVOTDATA(抵消分录!$I:$K,"投资性房地产 4 求和项:贷方金额"))</f>
        <v>0</v>
      </c>
      <c r="G26" s="7">
        <f t="shared" si="8"/>
        <v>0</v>
      </c>
      <c r="H26" s="194"/>
      <c r="I26" s="128">
        <f>IF(ISERROR(GETPIVOTDATA(抵消分录!$I:$K,"投资性房地产 5 求和项:借方金额")),0,GETPIVOTDATA(抵消分录!$I:$K,"投资性房地产 5 求和项:借方金额")-GETPIVOTDATA(抵消分录!$I:$K,"投资性房地产 5 求和项:贷方金额"))</f>
        <v>0</v>
      </c>
      <c r="J26" s="7">
        <f t="shared" si="9"/>
        <v>0</v>
      </c>
      <c r="K26" s="128"/>
      <c r="L26" s="194"/>
      <c r="M26" s="6"/>
      <c r="N26" s="6"/>
      <c r="O26" s="6"/>
      <c r="P26" s="7">
        <f t="shared" si="6"/>
        <v>0</v>
      </c>
      <c r="Q26" s="6">
        <f>IF(ISERROR(GETPIVOTDATA(抵消分录!$I:$K,"投资性房地产 2 求和项:借方金额")),0,GETPIVOTDATA(抵消分录!$I:$K,"投资性房地产 2 求和项:借方金额")-GETPIVOTDATA(抵消分录!$I:$K,"投资性房地产 2 求和项:贷方金额"))</f>
        <v>0</v>
      </c>
      <c r="R26" s="7">
        <f t="shared" si="3"/>
        <v>0</v>
      </c>
      <c r="S26" s="7"/>
      <c r="T26" s="7"/>
      <c r="U26" s="7"/>
      <c r="V26" s="7"/>
    </row>
    <row r="27" spans="1:23">
      <c r="A27" s="182" t="s">
        <v>449</v>
      </c>
      <c r="B27" s="195"/>
      <c r="C27" s="195">
        <f>IF(ISERROR(GETPIVOTDATA(抵消分录!$I:$K,"固定资产 1 求和项:借方金额")),0,GETPIVOTDATA(抵消分录!$I:$K,"固定资产 1 求和项:借方金额")-GETPIVOTDATA(抵消分录!$I:$K,"固定资产 1 求和项:贷方金额"))</f>
        <v>0</v>
      </c>
      <c r="D27" s="7">
        <f t="shared" si="7"/>
        <v>0</v>
      </c>
      <c r="E27" s="194"/>
      <c r="F27" s="194">
        <f>IF(ISERROR(GETPIVOTDATA(抵消分录!$I:$K,"固定资产 4 求和项:借方金额")),0,GETPIVOTDATA(抵消分录!$I:$K,"固定资产 4 求和项:借方金额")-GETPIVOTDATA(抵消分录!$I:$K,"固定资产 4 求和项:贷方金额"))</f>
        <v>0</v>
      </c>
      <c r="G27" s="7">
        <f t="shared" si="8"/>
        <v>0</v>
      </c>
      <c r="H27" s="194"/>
      <c r="I27" s="194">
        <f>IF(ISERROR(GETPIVOTDATA(抵消分录!$I:$K,"固定资产 5 求和项:借方金额")),0,GETPIVOTDATA(抵消分录!$I:$K,"固定资产 5 求和项:借方金额")-GETPIVOTDATA(抵消分录!$I:$K,"固定资产 5 求和项:贷方金额"))</f>
        <v>0</v>
      </c>
      <c r="J27" s="7">
        <f t="shared" si="9"/>
        <v>0</v>
      </c>
      <c r="K27" s="194"/>
      <c r="L27" s="194"/>
      <c r="M27" s="194"/>
      <c r="N27" s="6"/>
      <c r="O27" s="194"/>
      <c r="P27" s="7">
        <f t="shared" si="6"/>
        <v>0</v>
      </c>
      <c r="Q27" s="6">
        <f>IF(ISERROR(GETPIVOTDATA(抵消分录!$I:$K,"固定资产 2 求和项:借方金额")),0,GETPIVOTDATA(抵消分录!$I:$K,"固定资产 2 求和项:借方金额")-GETPIVOTDATA(抵消分录!$I:$K,"固定资产 2 求和项:贷方金额"))</f>
        <v>0</v>
      </c>
      <c r="R27" s="7">
        <f t="shared" si="3"/>
        <v>0</v>
      </c>
      <c r="S27" s="7"/>
      <c r="T27" s="7"/>
      <c r="U27" s="7"/>
      <c r="V27" s="7"/>
    </row>
    <row r="28" spans="1:23">
      <c r="A28" s="182" t="s">
        <v>450</v>
      </c>
      <c r="B28" s="194"/>
      <c r="C28" s="194">
        <f>IF(ISERROR(GETPIVOTDATA(抵消分录!$I:$K,"在建工程 1 求和项:借方金额")),0,GETPIVOTDATA(抵消分录!$I:$K,"在建工程 1 求和项:借方金额")-GETPIVOTDATA(抵消分录!$I:$K,"在建工程 1 求和项:贷方金额"))</f>
        <v>0</v>
      </c>
      <c r="D28" s="7">
        <f t="shared" si="7"/>
        <v>0</v>
      </c>
      <c r="E28" s="194"/>
      <c r="F28" s="194">
        <f>IF(ISERROR(GETPIVOTDATA(抵消分录!$I:$K,"在建工程 4 求和项:借方金额")),0,GETPIVOTDATA(抵消分录!$I:$K,"在建工程 4 求和项:借方金额")-GETPIVOTDATA(抵消分录!$I:$K,"在建工程 4 求和项:贷方金额"))</f>
        <v>0</v>
      </c>
      <c r="G28" s="7">
        <f t="shared" si="8"/>
        <v>0</v>
      </c>
      <c r="H28" s="194"/>
      <c r="I28" s="194">
        <f>IF(ISERROR(GETPIVOTDATA(抵消分录!$I:$K,"在建工程 5 求和项:借方金额")),0,GETPIVOTDATA(抵消分录!$I:$K,"在建工程 5 求和项:借方金额")-GETPIVOTDATA(抵消分录!$I:$K,"在建工程 5 求和项:贷方金额"))</f>
        <v>0</v>
      </c>
      <c r="J28" s="7">
        <f t="shared" si="9"/>
        <v>0</v>
      </c>
      <c r="K28" s="194"/>
      <c r="L28" s="194"/>
      <c r="M28" s="194"/>
      <c r="N28" s="6"/>
      <c r="O28" s="194"/>
      <c r="P28" s="7">
        <f t="shared" si="6"/>
        <v>0</v>
      </c>
      <c r="Q28" s="6">
        <f>IF(ISERROR(GETPIVOTDATA(抵消分录!$I:$K,"在建工程 2 求和项:借方金额")),0,GETPIVOTDATA(抵消分录!$I:$K,"在建工程 2 求和项:借方金额")-GETPIVOTDATA(抵消分录!$I:$K,"在建工程 2 求和项:贷方金额"))</f>
        <v>0</v>
      </c>
      <c r="R28" s="7">
        <f t="shared" si="3"/>
        <v>0</v>
      </c>
      <c r="S28" s="7"/>
      <c r="T28" s="7"/>
      <c r="U28" s="7"/>
      <c r="V28" s="7"/>
    </row>
    <row r="29" spans="1:23">
      <c r="A29" s="182" t="s">
        <v>451</v>
      </c>
      <c r="B29" s="194"/>
      <c r="C29" s="194">
        <f>IF(ISERROR(GETPIVOTDATA(抵消分录!$I:$K,"生产性生物资产 1 求和项:借方金额")),0,GETPIVOTDATA(抵消分录!$I:$K,"生产性生物资产 1 求和项:借方金额")-GETPIVOTDATA(抵消分录!$I:$K,"生产性生物资产 1 求和项:贷方金额"))</f>
        <v>0</v>
      </c>
      <c r="D29" s="7">
        <f t="shared" si="7"/>
        <v>0</v>
      </c>
      <c r="E29" s="194"/>
      <c r="F29" s="194">
        <f>IF(ISERROR(GETPIVOTDATA(抵消分录!$I:$K,"生产性生物资产 4 求和项:借方金额")),0,GETPIVOTDATA(抵消分录!$I:$K,"生产性生物资产 4 求和项:借方金额")-GETPIVOTDATA(抵消分录!$I:$K,"生产性生物资产 4 求和项:贷方金额"))</f>
        <v>0</v>
      </c>
      <c r="G29" s="7">
        <f t="shared" si="8"/>
        <v>0</v>
      </c>
      <c r="H29" s="194"/>
      <c r="I29" s="194">
        <f>IF(ISERROR(GETPIVOTDATA(抵消分录!$I:$K,"生产性生物资产 5 求和项:借方金额")),0,GETPIVOTDATA(抵消分录!$I:$K,"生产性生物资产 5 求和项:借方金额")-GETPIVOTDATA(抵消分录!$I:$K,"生产性生物资产 5 求和项:贷方金额"))</f>
        <v>0</v>
      </c>
      <c r="J29" s="7">
        <f t="shared" si="9"/>
        <v>0</v>
      </c>
      <c r="K29" s="194"/>
      <c r="L29" s="194"/>
      <c r="M29" s="194"/>
      <c r="N29" s="6"/>
      <c r="O29" s="194"/>
      <c r="P29" s="7">
        <f t="shared" si="6"/>
        <v>0</v>
      </c>
      <c r="Q29" s="6">
        <f>IF(ISERROR(GETPIVOTDATA(抵消分录!$I:$K,"生产性生物资产 2 求和项:借方金额")),0,GETPIVOTDATA(抵消分录!$I:$K,"生产性生物资产 2 求和项:借方金额")-GETPIVOTDATA(抵消分录!$I:$K,"生产性生物资产 2 求和项:贷方金额"))</f>
        <v>0</v>
      </c>
      <c r="R29" s="7">
        <f t="shared" si="3"/>
        <v>0</v>
      </c>
      <c r="S29" s="7"/>
      <c r="T29" s="7"/>
      <c r="U29" s="7"/>
      <c r="V29" s="7"/>
    </row>
    <row r="30" spans="1:23">
      <c r="A30" s="182" t="s">
        <v>452</v>
      </c>
      <c r="B30" s="194"/>
      <c r="C30" s="194">
        <f>IF(ISERROR(GETPIVOTDATA(抵消分录!$I:$K,"油气资产 1 求和项:借方金额")),0,GETPIVOTDATA(抵消分录!$I:$K,"油气资产 1 求和项:借方金额")-GETPIVOTDATA(抵消分录!$I:$K,"油气资产 1 求和项:贷方金额"))</f>
        <v>0</v>
      </c>
      <c r="D30" s="7">
        <f t="shared" si="7"/>
        <v>0</v>
      </c>
      <c r="E30" s="194"/>
      <c r="F30" s="194">
        <f>IF(ISERROR(GETPIVOTDATA(抵消分录!$I:$K,"油气资产 4 求和项:借方金额")),0,GETPIVOTDATA(抵消分录!$I:$K,"油气资产 4 求和项:借方金额")-GETPIVOTDATA(抵消分录!$I:$K,"油气资产 4 求和项:贷方金额"))</f>
        <v>0</v>
      </c>
      <c r="G30" s="7">
        <f t="shared" si="8"/>
        <v>0</v>
      </c>
      <c r="H30" s="194"/>
      <c r="I30" s="194">
        <f>IF(ISERROR(GETPIVOTDATA(抵消分录!$I:$K,"油气资产 5 求和项:借方金额")),0,GETPIVOTDATA(抵消分录!$I:$K,"油气资产 5 求和项:借方金额")-GETPIVOTDATA(抵消分录!$I:$K,"油气资产 5 求和项:贷方金额"))</f>
        <v>0</v>
      </c>
      <c r="J30" s="7">
        <f t="shared" si="9"/>
        <v>0</v>
      </c>
      <c r="K30" s="194"/>
      <c r="L30" s="194"/>
      <c r="M30" s="194"/>
      <c r="N30" s="6"/>
      <c r="O30" s="194"/>
      <c r="P30" s="7">
        <f t="shared" si="6"/>
        <v>0</v>
      </c>
      <c r="Q30" s="6">
        <f>IF(ISERROR(GETPIVOTDATA(抵消分录!$I:$K,"油气资产 2 求和项:借方金额")),0,GETPIVOTDATA(抵消分录!$I:$K,"油气资产 2 求和项:借方金额")-GETPIVOTDATA(抵消分录!$I:$K,"油气资产 2 求和项:贷方金额"))</f>
        <v>0</v>
      </c>
      <c r="R30" s="7">
        <f t="shared" si="3"/>
        <v>0</v>
      </c>
      <c r="S30" s="7"/>
      <c r="T30" s="7"/>
      <c r="U30" s="7"/>
      <c r="V30" s="7"/>
    </row>
    <row r="31" spans="1:23">
      <c r="A31" s="182" t="s">
        <v>541</v>
      </c>
      <c r="B31" s="194"/>
      <c r="C31" s="194"/>
      <c r="D31" s="7"/>
      <c r="E31" s="194"/>
      <c r="F31" s="194"/>
      <c r="G31" s="7"/>
      <c r="H31" s="194"/>
      <c r="I31" s="194"/>
      <c r="J31" s="7"/>
      <c r="K31" s="194"/>
      <c r="L31" s="194"/>
      <c r="M31" s="194"/>
      <c r="N31" s="6"/>
      <c r="O31" s="194"/>
      <c r="P31" s="7"/>
      <c r="Q31" s="6"/>
      <c r="R31" s="7"/>
      <c r="S31" s="7"/>
      <c r="T31" s="7"/>
      <c r="U31" s="7"/>
      <c r="V31" s="7"/>
    </row>
    <row r="32" spans="1:23">
      <c r="A32" s="182" t="s">
        <v>453</v>
      </c>
      <c r="B32" s="194"/>
      <c r="C32" s="194">
        <f>IF(ISERROR(GETPIVOTDATA(抵消分录!$I:$K,"无形资产 1 求和项:借方金额")),0,GETPIVOTDATA(抵消分录!$I:$K,"无形资产 1 求和项:借方金额")-GETPIVOTDATA(抵消分录!$I:$K,"无形资产 1 求和项:贷方金额"))</f>
        <v>0</v>
      </c>
      <c r="D32" s="7">
        <f t="shared" si="7"/>
        <v>0</v>
      </c>
      <c r="E32" s="194"/>
      <c r="F32" s="194">
        <f>IF(ISERROR(GETPIVOTDATA(抵消分录!$I:$K,"无形资产 4 求和项:借方金额")),0,GETPIVOTDATA(抵消分录!$I:$K,"无形资产 4 求和项:借方金额")-GETPIVOTDATA(抵消分录!$I:$K,"无形资产 4 求和项:贷方金额"))</f>
        <v>0</v>
      </c>
      <c r="G32" s="7">
        <f t="shared" si="8"/>
        <v>0</v>
      </c>
      <c r="H32" s="194"/>
      <c r="I32" s="194">
        <f>IF(ISERROR(GETPIVOTDATA(抵消分录!$I:$K,"无形资产 5 求和项:借方金额")),0,GETPIVOTDATA(抵消分录!$I:$K,"无形资产 5 求和项:借方金额")-GETPIVOTDATA(抵消分录!$I:$K,"无形资产 5 求和项:贷方金额"))</f>
        <v>0</v>
      </c>
      <c r="J32" s="7">
        <f t="shared" si="9"/>
        <v>0</v>
      </c>
      <c r="K32" s="194"/>
      <c r="L32" s="194"/>
      <c r="M32" s="194"/>
      <c r="N32" s="6"/>
      <c r="O32" s="194"/>
      <c r="P32" s="7">
        <f t="shared" si="6"/>
        <v>0</v>
      </c>
      <c r="Q32" s="6">
        <f>IF(ISERROR(GETPIVOTDATA(抵消分录!$I:$K,"无形资产 2 求和项:借方金额")),0,GETPIVOTDATA(抵消分录!$I:$K,"无形资产 2 求和项:借方金额")-GETPIVOTDATA(抵消分录!$I:$K,"无形资产 2 求和项:贷方金额"))</f>
        <v>0</v>
      </c>
      <c r="R32" s="7">
        <f t="shared" si="3"/>
        <v>0</v>
      </c>
      <c r="S32" s="7"/>
      <c r="T32" s="7"/>
      <c r="U32" s="7"/>
      <c r="V32" s="7"/>
    </row>
    <row r="33" spans="1:22">
      <c r="A33" s="182" t="s">
        <v>454</v>
      </c>
      <c r="B33" s="194"/>
      <c r="C33" s="194">
        <f>IF(ISERROR(GETPIVOTDATA(抵消分录!$I:$K,"开发支出 1 求和项:借方金额")),0,GETPIVOTDATA(抵消分录!$I:$K,"开发支出 1 求和项:借方金额")-GETPIVOTDATA(抵消分录!$I:$K,"开发支出 1 求和项:贷方金额"))</f>
        <v>0</v>
      </c>
      <c r="D33" s="7">
        <f t="shared" si="7"/>
        <v>0</v>
      </c>
      <c r="E33" s="194"/>
      <c r="F33" s="194">
        <f>IF(ISERROR(GETPIVOTDATA(抵消分录!$I:$K,"开发支出 4 求和项:借方金额")),0,GETPIVOTDATA(抵消分录!$I:$K,"开发支出 4 求和项:借方金额")-GETPIVOTDATA(抵消分录!$I:$K,"开发支出 4 求和项:贷方金额"))</f>
        <v>0</v>
      </c>
      <c r="G33" s="7">
        <f t="shared" si="8"/>
        <v>0</v>
      </c>
      <c r="H33" s="194"/>
      <c r="I33" s="194">
        <f>IF(ISERROR(GETPIVOTDATA(抵消分录!$I:$K,"开发支出 5 求和项:借方金额")),0,GETPIVOTDATA(抵消分录!$I:$K,"开发支出 5 求和项:借方金额")-GETPIVOTDATA(抵消分录!$I:$K,"开发支出 5 求和项:贷方金额"))</f>
        <v>0</v>
      </c>
      <c r="J33" s="7">
        <f t="shared" si="9"/>
        <v>0</v>
      </c>
      <c r="K33" s="194"/>
      <c r="L33" s="194"/>
      <c r="M33" s="194"/>
      <c r="N33" s="6"/>
      <c r="O33" s="194"/>
      <c r="P33" s="7">
        <f t="shared" si="6"/>
        <v>0</v>
      </c>
      <c r="Q33" s="6">
        <f>IF(ISERROR(GETPIVOTDATA(抵消分录!$I:$K,"开发支出 2 求和项:借方金额")),0,GETPIVOTDATA(抵消分录!$I:$K,"开发支出 2 求和项:借方金额")-GETPIVOTDATA(抵消分录!$I:$K,"开发支出 2 求和项:贷方金额"))</f>
        <v>0</v>
      </c>
      <c r="R33" s="7">
        <f t="shared" si="3"/>
        <v>0</v>
      </c>
      <c r="S33" s="7"/>
      <c r="T33" s="7"/>
      <c r="U33" s="7"/>
      <c r="V33" s="7"/>
    </row>
    <row r="34" spans="1:22">
      <c r="A34" s="182" t="s">
        <v>455</v>
      </c>
      <c r="B34" s="194"/>
      <c r="C34" s="194">
        <f>IF(ISERROR(GETPIVOTDATA(抵消分录!$I:$K,"商誉 1 求和项:借方金额")),0,GETPIVOTDATA(抵消分录!$I:$K,"商誉 1 求和项:借方金额")-GETPIVOTDATA(抵消分录!$I:$K,"商誉 1 求和项:贷方金额"))</f>
        <v>0</v>
      </c>
      <c r="D34" s="7">
        <f t="shared" si="7"/>
        <v>0</v>
      </c>
      <c r="E34" s="194"/>
      <c r="F34" s="194">
        <f>IF(ISERROR(GETPIVOTDATA(抵消分录!$I:$K,"商誉 4 求和项:借方金额")),0,GETPIVOTDATA(抵消分录!$I:$K,"商誉 4 求和项:借方金额")-GETPIVOTDATA(抵消分录!$I:$K,"商誉 4 求和项:贷方金额"))</f>
        <v>0</v>
      </c>
      <c r="G34" s="7">
        <f t="shared" si="8"/>
        <v>0</v>
      </c>
      <c r="H34" s="194"/>
      <c r="I34" s="194">
        <f>IF(ISERROR(GETPIVOTDATA(抵消分录!$I:$K,"商誉 5 求和项:借方金额")),0,GETPIVOTDATA(抵消分录!$I:$K,"商誉 5 求和项:借方金额")-GETPIVOTDATA(抵消分录!$I:$K,"商誉 5 求和项:贷方金额"))</f>
        <v>0</v>
      </c>
      <c r="J34" s="7">
        <f t="shared" si="9"/>
        <v>0</v>
      </c>
      <c r="K34" s="194"/>
      <c r="L34" s="194"/>
      <c r="M34" s="194"/>
      <c r="N34" s="6"/>
      <c r="O34" s="194"/>
      <c r="P34" s="7">
        <f>SUM(J34:O34)+D34+G34</f>
        <v>0</v>
      </c>
      <c r="Q34" s="6">
        <f>IF(ISERROR(GETPIVOTDATA(抵消分录!$I:$K,"商誉 2 求和项:借方金额")),0,GETPIVOTDATA(抵消分录!$I:$K,"商誉 2 求和项:借方金额")-GETPIVOTDATA(抵消分录!$I:$K,"商誉 2 求和项:贷方金额"))</f>
        <v>0</v>
      </c>
      <c r="R34" s="7">
        <f t="shared" si="3"/>
        <v>0</v>
      </c>
      <c r="S34" s="7"/>
      <c r="T34" s="7"/>
      <c r="U34" s="7"/>
      <c r="V34" s="7"/>
    </row>
    <row r="35" spans="1:22">
      <c r="A35" s="182" t="s">
        <v>456</v>
      </c>
      <c r="B35" s="194"/>
      <c r="C35" s="194">
        <f>IF(ISERROR(GETPIVOTDATA(抵消分录!$I:$K,"长期待摊费用 1 求和项:借方金额")),0,GETPIVOTDATA(抵消分录!$I:$K,"长期待摊费用 1 求和项:借方金额")-GETPIVOTDATA(抵消分录!$I:$K,"长期待摊费用 1 求和项:贷方金额"))</f>
        <v>0</v>
      </c>
      <c r="D35" s="7">
        <f t="shared" si="7"/>
        <v>0</v>
      </c>
      <c r="E35" s="194"/>
      <c r="F35" s="194">
        <f>IF(ISERROR(GETPIVOTDATA(抵消分录!$I:$K,"长期待摊费用 4 求和项:借方金额")),0,GETPIVOTDATA(抵消分录!$I:$K,"长期待摊费用 4 求和项:借方金额")-GETPIVOTDATA(抵消分录!$I:$K,"长期待摊费用 4 求和项:贷方金额"))</f>
        <v>0</v>
      </c>
      <c r="G35" s="7">
        <f t="shared" si="8"/>
        <v>0</v>
      </c>
      <c r="H35" s="194"/>
      <c r="I35" s="194">
        <f>IF(ISERROR(GETPIVOTDATA(抵消分录!$I:$K,"长期待摊费用 5 求和项:借方金额")),0,GETPIVOTDATA(抵消分录!$I:$K,"长期待摊费用 5 求和项:借方金额")-GETPIVOTDATA(抵消分录!$I:$K,"长期待摊费用 5 求和项:贷方金额"))</f>
        <v>0</v>
      </c>
      <c r="J35" s="7">
        <f t="shared" si="9"/>
        <v>0</v>
      </c>
      <c r="K35" s="194"/>
      <c r="L35" s="194"/>
      <c r="M35" s="194"/>
      <c r="N35" s="6"/>
      <c r="O35" s="194"/>
      <c r="P35" s="7">
        <f t="shared" si="6"/>
        <v>0</v>
      </c>
      <c r="Q35" s="6">
        <f>IF(ISERROR(GETPIVOTDATA(抵消分录!$I:$K,"长期待摊费用 2 求和项:借方金额")),0,GETPIVOTDATA(抵消分录!$I:$K,"长期待摊费用 2 求和项:借方金额")-GETPIVOTDATA(抵消分录!$I:$K,"长期待摊费用 2 求和项:贷方金额"))</f>
        <v>0</v>
      </c>
      <c r="R35" s="7">
        <f t="shared" si="3"/>
        <v>0</v>
      </c>
      <c r="S35" s="7"/>
      <c r="T35" s="7"/>
      <c r="U35" s="7"/>
      <c r="V35" s="7"/>
    </row>
    <row r="36" spans="1:22">
      <c r="A36" s="182" t="s">
        <v>457</v>
      </c>
      <c r="B36" s="194"/>
      <c r="C36" s="194">
        <f>IF(ISERROR(GETPIVOTDATA(抵消分录!$I:$K,"递延所得税资产 1 求和项:借方金额")),0,GETPIVOTDATA(抵消分录!$I:$K,"递延所得税资产 1 求和项:借方金额")-GETPIVOTDATA(抵消分录!$I:$K,"递延所得税资产 1 求和项:贷方金额"))</f>
        <v>0</v>
      </c>
      <c r="D36" s="7">
        <f t="shared" si="7"/>
        <v>0</v>
      </c>
      <c r="E36" s="194"/>
      <c r="F36" s="194">
        <f>IF(ISERROR(GETPIVOTDATA(抵消分录!$I:$K,"递延所得税资产 4 求和项:借方金额")),0,GETPIVOTDATA(抵消分录!$I:$K,"递延所得税资产 4 求和项:借方金额")-GETPIVOTDATA(抵消分录!$I:$K,"递延所得税资产 4 求和项:贷方金额"))</f>
        <v>0</v>
      </c>
      <c r="G36" s="7">
        <f t="shared" si="8"/>
        <v>0</v>
      </c>
      <c r="H36" s="194"/>
      <c r="I36" s="194">
        <f>IF(ISERROR(GETPIVOTDATA(抵消分录!$I:$K,"递延所得税资产 5 求和项:借方金额")),0,GETPIVOTDATA(抵消分录!$I:$K,"递延所得税资产 5 求和项:借方金额")-GETPIVOTDATA(抵消分录!$I:$K,"递延所得税资产 5 求和项:贷方金额"))</f>
        <v>0</v>
      </c>
      <c r="J36" s="7">
        <f t="shared" si="9"/>
        <v>0</v>
      </c>
      <c r="K36" s="194"/>
      <c r="L36" s="194"/>
      <c r="M36" s="194"/>
      <c r="N36" s="6"/>
      <c r="O36" s="194"/>
      <c r="P36" s="7">
        <f t="shared" si="6"/>
        <v>0</v>
      </c>
      <c r="Q36" s="6">
        <f>IF(ISERROR(GETPIVOTDATA(抵消分录!$I:$K,"递延所得税资产 2 求和项:借方金额")),0,GETPIVOTDATA(抵消分录!$I:$K,"递延所得税资产 2 求和项:借方金额")-GETPIVOTDATA(抵消分录!$I:$K,"递延所得税资产 2 求和项:贷方金额"))</f>
        <v>0</v>
      </c>
      <c r="R36" s="7">
        <f t="shared" si="3"/>
        <v>0</v>
      </c>
      <c r="S36" s="7"/>
      <c r="T36" s="7"/>
      <c r="U36" s="7"/>
      <c r="V36" s="7"/>
    </row>
    <row r="37" spans="1:22">
      <c r="A37" s="182" t="s">
        <v>458</v>
      </c>
      <c r="B37" s="6"/>
      <c r="C37" s="6">
        <f>IF(ISERROR(GETPIVOTDATA(抵消分录!$I:$K,"其他非流动资产 1 求和项:借方金额")),0,GETPIVOTDATA(抵消分录!$I:$K,"其他非流动资产 1 求和项:借方金额")-GETPIVOTDATA(抵消分录!$I:$K,"其他非流动资产 1 求和项:贷方金额"))</f>
        <v>0</v>
      </c>
      <c r="D37" s="7">
        <f t="shared" si="7"/>
        <v>0</v>
      </c>
      <c r="E37" s="195"/>
      <c r="F37" s="128">
        <f>IF(ISERROR(GETPIVOTDATA(抵消分录!$I:$K,"其他非流动资产 4 求和项:借方金额")),0,GETPIVOTDATA(抵消分录!$I:$K,"其他非流动资产 4 求和项:借方金额")-GETPIVOTDATA(抵消分录!$I:$K,"其他非流动资产 4 求和项:贷方金额"))</f>
        <v>0</v>
      </c>
      <c r="G37" s="7">
        <f t="shared" si="8"/>
        <v>0</v>
      </c>
      <c r="H37" s="128"/>
      <c r="I37" s="128">
        <f>IF(ISERROR(GETPIVOTDATA(抵消分录!$I:$K,"其他非流动资产 5 求和项:借方金额")),0,GETPIVOTDATA(抵消分录!$I:$K,"其他非流动资产 5 求和项:借方金额")-GETPIVOTDATA(抵消分录!$I:$K,"其他非流动资产 5 求和项:贷方金额"))</f>
        <v>0</v>
      </c>
      <c r="J37" s="7">
        <f t="shared" si="9"/>
        <v>0</v>
      </c>
      <c r="K37" s="194"/>
      <c r="L37" s="128"/>
      <c r="M37" s="217"/>
      <c r="N37" s="6"/>
      <c r="O37" s="194"/>
      <c r="P37" s="7">
        <f t="shared" si="6"/>
        <v>0</v>
      </c>
      <c r="Q37" s="6">
        <f>IF(ISERROR(GETPIVOTDATA(抵消分录!$I:$K,"其他非流动资产 2 求和项:借方金额")),0,GETPIVOTDATA(抵消分录!$I:$K,"其他非流动资产 2 求和项:借方金额")-GETPIVOTDATA(抵消分录!$I:$K,"其他非流动资产 2 求和项:贷方金额"))</f>
        <v>0</v>
      </c>
      <c r="R37" s="7">
        <f t="shared" si="3"/>
        <v>0</v>
      </c>
      <c r="S37" s="7"/>
      <c r="T37" s="7"/>
      <c r="U37" s="7"/>
      <c r="V37" s="7"/>
    </row>
    <row r="38" spans="1:22">
      <c r="A38" s="35" t="s">
        <v>90</v>
      </c>
      <c r="B38" s="8">
        <f t="shared" ref="B38:R38" si="10">SUM(B20:B37)</f>
        <v>0</v>
      </c>
      <c r="C38" s="8">
        <f t="shared" si="10"/>
        <v>0</v>
      </c>
      <c r="D38" s="8">
        <f t="shared" si="10"/>
        <v>0</v>
      </c>
      <c r="E38" s="8">
        <f t="shared" si="10"/>
        <v>0</v>
      </c>
      <c r="F38" s="8">
        <f t="shared" si="10"/>
        <v>0</v>
      </c>
      <c r="G38" s="8">
        <f t="shared" si="10"/>
        <v>0</v>
      </c>
      <c r="H38" s="8">
        <f t="shared" si="10"/>
        <v>0</v>
      </c>
      <c r="I38" s="8">
        <f t="shared" si="10"/>
        <v>0</v>
      </c>
      <c r="J38" s="8">
        <f t="shared" si="10"/>
        <v>0</v>
      </c>
      <c r="K38" s="8">
        <f t="shared" si="10"/>
        <v>0</v>
      </c>
      <c r="L38" s="8">
        <f t="shared" si="10"/>
        <v>0</v>
      </c>
      <c r="M38" s="8">
        <f t="shared" si="10"/>
        <v>0</v>
      </c>
      <c r="N38" s="8">
        <f t="shared" si="10"/>
        <v>0</v>
      </c>
      <c r="O38" s="8">
        <f t="shared" si="10"/>
        <v>0</v>
      </c>
      <c r="P38" s="8">
        <f t="shared" si="10"/>
        <v>0</v>
      </c>
      <c r="Q38" s="8">
        <f t="shared" si="10"/>
        <v>0</v>
      </c>
      <c r="R38" s="8">
        <f t="shared" si="10"/>
        <v>0</v>
      </c>
      <c r="S38" s="7"/>
      <c r="T38" s="7"/>
      <c r="U38" s="7"/>
      <c r="V38" s="7"/>
    </row>
    <row r="39" spans="1:22">
      <c r="A39" s="35" t="s">
        <v>91</v>
      </c>
      <c r="B39" s="8">
        <f t="shared" ref="B39:R39" si="11">B38+B18</f>
        <v>0</v>
      </c>
      <c r="C39" s="8">
        <f t="shared" si="11"/>
        <v>0</v>
      </c>
      <c r="D39" s="8">
        <f t="shared" si="11"/>
        <v>0</v>
      </c>
      <c r="E39" s="8">
        <f t="shared" si="11"/>
        <v>0</v>
      </c>
      <c r="F39" s="8">
        <f t="shared" si="11"/>
        <v>0</v>
      </c>
      <c r="G39" s="8">
        <f t="shared" si="11"/>
        <v>0</v>
      </c>
      <c r="H39" s="8">
        <f t="shared" si="11"/>
        <v>0</v>
      </c>
      <c r="I39" s="8">
        <f t="shared" si="11"/>
        <v>0</v>
      </c>
      <c r="J39" s="8">
        <f t="shared" si="11"/>
        <v>0</v>
      </c>
      <c r="K39" s="8">
        <f t="shared" si="11"/>
        <v>0</v>
      </c>
      <c r="L39" s="8">
        <f t="shared" si="11"/>
        <v>0</v>
      </c>
      <c r="M39" s="8">
        <f t="shared" si="11"/>
        <v>0</v>
      </c>
      <c r="N39" s="8">
        <f t="shared" si="11"/>
        <v>0</v>
      </c>
      <c r="O39" s="8">
        <f t="shared" si="11"/>
        <v>0</v>
      </c>
      <c r="P39" s="8">
        <f t="shared" si="11"/>
        <v>0</v>
      </c>
      <c r="Q39" s="8">
        <f t="shared" si="11"/>
        <v>0</v>
      </c>
      <c r="R39" s="8">
        <f t="shared" si="11"/>
        <v>0</v>
      </c>
      <c r="S39" s="7"/>
      <c r="T39" s="7"/>
      <c r="U39" s="7"/>
      <c r="V39" s="7"/>
    </row>
    <row r="40" spans="1:22">
      <c r="A40" s="9" t="s">
        <v>92</v>
      </c>
      <c r="B40" s="116"/>
      <c r="C40" s="116"/>
      <c r="D40" s="7">
        <f t="shared" ref="D40:D54" si="12">B40+C40</f>
        <v>0</v>
      </c>
      <c r="E40" s="128"/>
      <c r="F40" s="128"/>
      <c r="G40" s="7">
        <f t="shared" ref="G40:G54" si="13">E40+F40</f>
        <v>0</v>
      </c>
      <c r="H40" s="128"/>
      <c r="I40" s="128"/>
      <c r="J40" s="7">
        <f>H40+I40</f>
        <v>0</v>
      </c>
      <c r="K40" s="128"/>
      <c r="L40" s="116"/>
      <c r="M40" s="116"/>
      <c r="N40" s="116"/>
      <c r="O40" s="116"/>
      <c r="P40" s="7">
        <f t="shared" ref="P40:P54" si="14">SUM(J40:O40)+D40+G40</f>
        <v>0</v>
      </c>
      <c r="Q40" s="116"/>
      <c r="R40" s="7">
        <f>P40+Q40</f>
        <v>0</v>
      </c>
      <c r="S40" s="7"/>
      <c r="T40" s="7"/>
      <c r="U40" s="7"/>
      <c r="V40" s="7"/>
    </row>
    <row r="41" spans="1:22">
      <c r="A41" s="182" t="s">
        <v>468</v>
      </c>
      <c r="B41" s="6"/>
      <c r="C41" s="6">
        <f>IF(ISERROR(GETPIVOTDATA(抵消分录!$I:$K,"短期借款 1 求和项:借方金额")),0,-GETPIVOTDATA(抵消分录!$I:$K,"短期借款 1 求和项:借方金额")+GETPIVOTDATA(抵消分录!$I:$K,"短期借款 1 求和项:贷方金额"))</f>
        <v>0</v>
      </c>
      <c r="D41" s="7">
        <f t="shared" si="12"/>
        <v>0</v>
      </c>
      <c r="E41" s="128"/>
      <c r="F41" s="128">
        <f>IF(ISERROR(GETPIVOTDATA(抵消分录!$I:$K,"短期借款 4 求和项:借方金额")),0,-GETPIVOTDATA(抵消分录!$I:$K,"短期借款 4 求和项:借方金额")+GETPIVOTDATA(抵消分录!$I:$K,"短期借款 4 求和项:贷方金额"))</f>
        <v>0</v>
      </c>
      <c r="G41" s="7">
        <f t="shared" si="13"/>
        <v>0</v>
      </c>
      <c r="H41" s="128"/>
      <c r="I41" s="128">
        <f>IF(ISERROR(GETPIVOTDATA(抵消分录!$I:$K,"短期借款 5 求和项:借方金额")),0,-GETPIVOTDATA(抵消分录!$I:$K,"短期借款 5 求和项:借方金额")+GETPIVOTDATA(抵消分录!$I:$K,"短期借款 5 求和项:贷方金额"))</f>
        <v>0</v>
      </c>
      <c r="J41" s="7">
        <f>H41+I41</f>
        <v>0</v>
      </c>
      <c r="K41" s="128"/>
      <c r="M41" s="6"/>
      <c r="N41" s="6"/>
      <c r="O41" s="6"/>
      <c r="P41" s="7">
        <f t="shared" si="14"/>
        <v>0</v>
      </c>
      <c r="Q41" s="6">
        <f>IF(ISERROR(GETPIVOTDATA(抵消分录!$I:$K,"短期借款 2 求和项:借方金额")),0,-GETPIVOTDATA(抵消分录!$I:$K,"短期借款 2 求和项:借方金额")+GETPIVOTDATA(抵消分录!$I:$K,"短期借款 2 求和项:贷方金额"))</f>
        <v>0</v>
      </c>
      <c r="R41" s="7">
        <f t="shared" si="3"/>
        <v>0</v>
      </c>
      <c r="S41" s="7"/>
      <c r="T41" s="7"/>
      <c r="U41" s="7"/>
      <c r="V41" s="7"/>
    </row>
    <row r="42" spans="1:22">
      <c r="A42" s="182" t="s">
        <v>469</v>
      </c>
      <c r="B42" s="6"/>
      <c r="C42" s="6">
        <f>IF(ISERROR(GETPIVOTDATA(抵消分录!$I:$K,"交易性金融负债 1 求和项:借方金额")),0,-GETPIVOTDATA(抵消分录!$I:$K,"交易性金融负债 1 求和项:借方金额")+GETPIVOTDATA(抵消分录!$I:$K,"交易性金融负债 1 求和项:贷方金额"))</f>
        <v>0</v>
      </c>
      <c r="D42" s="7">
        <f t="shared" si="12"/>
        <v>0</v>
      </c>
      <c r="E42" s="128"/>
      <c r="F42" s="128">
        <f>IF(ISERROR(GETPIVOTDATA(抵消分录!$I:$K,"交易性金融负债 4 求和项:借方金额")),0,-GETPIVOTDATA(抵消分录!$I:$K,"交易性金融负债 4 求和项:借方金额")+GETPIVOTDATA(抵消分录!$I:$K,"交易性金融负债 4 求和项:贷方金额"))</f>
        <v>0</v>
      </c>
      <c r="G42" s="7">
        <f t="shared" si="13"/>
        <v>0</v>
      </c>
      <c r="H42" s="128"/>
      <c r="I42" s="128">
        <f>IF(ISERROR(GETPIVOTDATA(抵消分录!$I:$K,"交易性金融负债 5 求和项:借方金额")),0,-GETPIVOTDATA(抵消分录!$I:$K,"交易性金融负债 5 求和项:借方金额")+GETPIVOTDATA(抵消分录!$I:$K,"交易性金融负债 5 求和项:贷方金额"))</f>
        <v>0</v>
      </c>
      <c r="J42" s="7">
        <f>H42+I42</f>
        <v>0</v>
      </c>
      <c r="K42" s="128"/>
      <c r="L42" s="194"/>
      <c r="M42" s="6"/>
      <c r="N42" s="6"/>
      <c r="O42" s="6"/>
      <c r="P42" s="7">
        <f t="shared" si="14"/>
        <v>0</v>
      </c>
      <c r="Q42" s="6">
        <f>IF(ISERROR(GETPIVOTDATA(抵消分录!$I:$K,"交易性金融负债 2 求和项:借方金额")),0,-GETPIVOTDATA(抵消分录!$I:$K,"交易性金融负债 2 求和项:借方金额")+GETPIVOTDATA(抵消分录!$I:$K,"交易性金融负债 2 求和项:贷方金额"))</f>
        <v>0</v>
      </c>
      <c r="R42" s="7">
        <f t="shared" si="3"/>
        <v>0</v>
      </c>
      <c r="S42" s="7"/>
      <c r="T42" s="7"/>
      <c r="U42" s="7"/>
      <c r="V42" s="7"/>
    </row>
    <row r="43" spans="1:22">
      <c r="A43" s="182" t="s">
        <v>503</v>
      </c>
      <c r="B43" s="6"/>
      <c r="C43" s="6">
        <f>IF(ISERROR(GETPIVOTDATA(抵消分录!$I:$K,"交易性金融负债 1 求和项:借方金额")),0,-GETPIVOTDATA(抵消分录!$I:$K,"交易性金融负债 1 求和项:借方金额")+GETPIVOTDATA(抵消分录!$I:$K,"交易性金融负债 1 求和项:贷方金额"))</f>
        <v>0</v>
      </c>
      <c r="D43" s="7">
        <f>B43+C43</f>
        <v>0</v>
      </c>
      <c r="E43" s="128"/>
      <c r="F43" s="128">
        <f>IF(ISERROR(GETPIVOTDATA(抵消分录!$I:$K,"交易性金融负债 4 求和项:借方金额")),0,-GETPIVOTDATA(抵消分录!$I:$K,"交易性金融负债 4 求和项:借方金额")+GETPIVOTDATA(抵消分录!$I:$K,"交易性金融负债 4 求和项:贷方金额"))</f>
        <v>0</v>
      </c>
      <c r="G43" s="7">
        <f>E43+F43</f>
        <v>0</v>
      </c>
      <c r="H43" s="128"/>
      <c r="I43" s="128">
        <f>IF(ISERROR(GETPIVOTDATA(抵消分录!$I:$K,"交易性金融负债 5 求和项:借方金额")),0,-GETPIVOTDATA(抵消分录!$I:$K,"交易性金融负债 5 求和项:借方金额")+GETPIVOTDATA(抵消分录!$I:$K,"交易性金融负债 5 求和项:贷方金额"))</f>
        <v>0</v>
      </c>
      <c r="J43" s="7">
        <f>H43+I43</f>
        <v>0</v>
      </c>
      <c r="K43" s="128"/>
      <c r="L43" s="236"/>
      <c r="M43" s="6"/>
      <c r="N43" s="6"/>
      <c r="O43" s="6"/>
      <c r="P43" s="7">
        <f t="shared" si="14"/>
        <v>0</v>
      </c>
      <c r="Q43" s="6">
        <f>IF(ISERROR(GETPIVOTDATA(抵消分录!$I:$K,"交易性金融负债 2 求和项:借方金额")),0,-GETPIVOTDATA(抵消分录!$I:$K,"交易性金融负债 2 求和项:借方金额")+GETPIVOTDATA(抵消分录!$I:$K,"交易性金融负债 2 求和项:贷方金额"))</f>
        <v>0</v>
      </c>
      <c r="R43" s="7">
        <f>P43+Q43</f>
        <v>0</v>
      </c>
      <c r="S43" s="7"/>
      <c r="T43" s="7"/>
      <c r="U43" s="7"/>
      <c r="V43" s="7"/>
    </row>
    <row r="44" spans="1:22">
      <c r="A44" s="182" t="s">
        <v>378</v>
      </c>
      <c r="B44" s="6"/>
      <c r="C44" s="6">
        <f>IF(ISERROR(GETPIVOTDATA(抵消分录!$I:$K,"衍生金融负债 1 求和项:借方金额")),0,-GETPIVOTDATA(抵消分录!$I:$K,"衍生金融负债 1 求和项:借方金额")+GETPIVOTDATA(抵消分录!$I:$K,"衍生金融负债 1 求和项:贷方金额"))</f>
        <v>0</v>
      </c>
      <c r="D44" s="7">
        <f>B44+C44</f>
        <v>0</v>
      </c>
      <c r="E44" s="128"/>
      <c r="F44" s="128">
        <f>IF(ISERROR(GETPIVOTDATA(抵消分录!$I:$K,"衍生金融负债 4 求和项:借方金额")),0,-GETPIVOTDATA(抵消分录!$I:$K,"衍生金融负债 4 求和项:借方金额")+GETPIVOTDATA(抵消分录!$I:$K,"衍生金融负债 4 求和项:贷方金额"))</f>
        <v>0</v>
      </c>
      <c r="G44" s="7">
        <f t="shared" si="13"/>
        <v>0</v>
      </c>
      <c r="H44" s="128"/>
      <c r="I44" s="128">
        <f>IF(ISERROR(GETPIVOTDATA(抵消分录!$I:$K,"衍生金融负债 5 求和项:借方金额")),0,-GETPIVOTDATA(抵消分录!$I:$K,"衍生金融负债 5 求和项:借方金额")+GETPIVOTDATA(抵消分录!$I:$K,"衍生金融负债 5 求和项:贷方金额"))</f>
        <v>0</v>
      </c>
      <c r="J44" s="7">
        <f t="shared" ref="J44:J51" si="15">H44+I44</f>
        <v>0</v>
      </c>
      <c r="K44" s="128"/>
      <c r="L44" s="194"/>
      <c r="M44" s="6"/>
      <c r="N44" s="6"/>
      <c r="O44" s="6"/>
      <c r="P44" s="7">
        <f t="shared" si="14"/>
        <v>0</v>
      </c>
      <c r="Q44" s="6">
        <f>IF(ISERROR(GETPIVOTDATA(抵消分录!$I:$K,"衍生金融负债 2 求和项:借方金额")),0,-GETPIVOTDATA(抵消分录!$I:$K,"衍生金融负债 2 求和项:借方金额")+GETPIVOTDATA(抵消分录!$I:$K,"衍生金融负债 2 求和项:贷方金额"))</f>
        <v>0</v>
      </c>
      <c r="R44" s="7">
        <f>P44+Q44</f>
        <v>0</v>
      </c>
      <c r="S44" s="7"/>
      <c r="T44" s="7"/>
      <c r="U44" s="7"/>
      <c r="V44" s="7"/>
    </row>
    <row r="45" spans="1:22">
      <c r="A45" s="182" t="s">
        <v>529</v>
      </c>
      <c r="B45" s="6"/>
      <c r="C45" s="6"/>
      <c r="D45" s="7"/>
      <c r="E45" s="128"/>
      <c r="F45" s="128"/>
      <c r="G45" s="7"/>
      <c r="H45" s="128"/>
      <c r="I45" s="128"/>
      <c r="J45" s="7">
        <f t="shared" si="15"/>
        <v>0</v>
      </c>
      <c r="K45" s="128"/>
      <c r="L45" s="194"/>
      <c r="M45" s="6"/>
      <c r="N45" s="6"/>
      <c r="O45" s="6"/>
      <c r="P45" s="7">
        <f t="shared" si="14"/>
        <v>0</v>
      </c>
      <c r="Q45" s="6">
        <f>IF(ISERROR(GETPIVOTDATA(抵消分录!$I:$K,"应付票据 2 求和项:借方金额")),0,-GETPIVOTDATA(抵消分录!$I:$K,"应付票据 2 求和项:借方金额")+GETPIVOTDATA(抵消分录!$I:$K,"应付票据 2 求和项:贷方金额"))</f>
        <v>0</v>
      </c>
      <c r="R45" s="7">
        <f>P45+Q45</f>
        <v>0</v>
      </c>
      <c r="S45" s="7"/>
      <c r="T45" s="7"/>
      <c r="U45" s="7"/>
      <c r="V45" s="7"/>
    </row>
    <row r="46" spans="1:22">
      <c r="A46" s="182" t="s">
        <v>530</v>
      </c>
      <c r="B46" s="194"/>
      <c r="C46" s="6">
        <f>IF(ISERROR(GETPIVOTDATA(抵消分录!$I:$K,"应付票据及应付账款 1 求和项:借方金额")),0,-GETPIVOTDATA(抵消分录!$I:$K,"应付票据及应付账款 1 求和项:借方金额")+GETPIVOTDATA(抵消分录!$I:$K,"应付票据及应付账款 1 求和项:贷方金额"))</f>
        <v>0</v>
      </c>
      <c r="D46" s="7">
        <f t="shared" si="12"/>
        <v>0</v>
      </c>
      <c r="E46" s="194"/>
      <c r="F46" s="194">
        <f>IF(ISERROR(GETPIVOTDATA(抵消分录!$I:$K,"应付票据及应付账款 4 求和项:借方金额")),0,-GETPIVOTDATA(抵消分录!$I:$K,"应付票据及应付账款 4 求和项:借方金额")+GETPIVOTDATA(抵消分录!$I:$K,"应付票据及应付账款 4 求和项:贷方金额"))</f>
        <v>0</v>
      </c>
      <c r="G46" s="7">
        <f t="shared" si="13"/>
        <v>0</v>
      </c>
      <c r="H46" s="194"/>
      <c r="I46" s="128">
        <f>IF(ISERROR(GETPIVOTDATA(抵消分录!$I:$K,"应付票据及应付账款 5 求和项:借方金额")),0,-GETPIVOTDATA(抵消分录!$I:$K,"应付票据及应付账款 5 求和项:借方金额")+GETPIVOTDATA(抵消分录!$I:$K,"应付票据及应付账款 5 求和项:贷方金额"))</f>
        <v>0</v>
      </c>
      <c r="J46" s="7">
        <f t="shared" si="15"/>
        <v>0</v>
      </c>
      <c r="K46" s="194"/>
      <c r="L46" s="194"/>
      <c r="M46" s="194"/>
      <c r="N46" s="6"/>
      <c r="O46" s="6"/>
      <c r="P46" s="7">
        <f t="shared" si="14"/>
        <v>0</v>
      </c>
      <c r="Q46" s="6">
        <f>IF(ISERROR(GETPIVOTDATA(抵消分录!$I:$K,"应付账款 2 求和项:借方金额")),0,-GETPIVOTDATA(抵消分录!$I:$K,"应付账款 2 求和项:借方金额")+GETPIVOTDATA(抵消分录!$I:$K,"应付账款 2 求和项:贷方金额"))</f>
        <v>0</v>
      </c>
      <c r="R46" s="7">
        <f t="shared" si="3"/>
        <v>0</v>
      </c>
      <c r="S46" s="7"/>
      <c r="T46" s="7"/>
      <c r="U46" s="7"/>
      <c r="V46" s="7"/>
    </row>
    <row r="47" spans="1:22">
      <c r="A47" s="182" t="s">
        <v>470</v>
      </c>
      <c r="B47" s="194"/>
      <c r="C47" s="6">
        <f>IF(ISERROR(GETPIVOTDATA(抵消分录!$I:$K,"预收款项 1 求和项:借方金额")),0,-GETPIVOTDATA(抵消分录!$I:$K,"预收款项 1 求和项:借方金额")+GETPIVOTDATA(抵消分录!$I:$K,"预收款项 1 求和项:贷方金额"))</f>
        <v>0</v>
      </c>
      <c r="D47" s="7">
        <f t="shared" si="12"/>
        <v>0</v>
      </c>
      <c r="E47" s="194"/>
      <c r="F47" s="194">
        <f>IF(ISERROR(GETPIVOTDATA(抵消分录!$I:$K,"预收款项 4 求和项:借方金额")),0,-GETPIVOTDATA(抵消分录!$I:$K,"预收款项 4 求和项:借方金额")+GETPIVOTDATA(抵消分录!$I:$K,"预收款项 4 求和项:贷方金额"))</f>
        <v>0</v>
      </c>
      <c r="G47" s="7">
        <f t="shared" si="13"/>
        <v>0</v>
      </c>
      <c r="H47" s="194"/>
      <c r="I47" s="128">
        <f>IF(ISERROR(GETPIVOTDATA(抵消分录!$I:$K,"预收款项 5 求和项:借方金额")),0,-GETPIVOTDATA(抵消分录!$I:$K,"预收款项 5 求和项:借方金额")+GETPIVOTDATA(抵消分录!$I:$K,"预收款项 5 求和项:贷方金额"))</f>
        <v>0</v>
      </c>
      <c r="J47" s="7">
        <f t="shared" si="15"/>
        <v>0</v>
      </c>
      <c r="K47" s="194"/>
      <c r="L47" s="194"/>
      <c r="M47" s="194"/>
      <c r="N47" s="6"/>
      <c r="O47" s="6"/>
      <c r="P47" s="7">
        <f t="shared" si="14"/>
        <v>0</v>
      </c>
      <c r="Q47" s="6">
        <f>IF(ISERROR(GETPIVOTDATA(抵消分录!$I:$K,"预收款项 2 求和项:借方金额")),0,-GETPIVOTDATA(抵消分录!$I:$K,"预收款项 2 求和项:借方金额")+GETPIVOTDATA(抵消分录!$I:$K,"预收款项 2 求和项:贷方金额"))</f>
        <v>0</v>
      </c>
      <c r="R47" s="7">
        <f t="shared" si="3"/>
        <v>0</v>
      </c>
      <c r="S47" s="7"/>
      <c r="T47" s="7"/>
      <c r="U47" s="7"/>
      <c r="V47" s="7"/>
    </row>
    <row r="48" spans="1:22">
      <c r="A48" s="182" t="s">
        <v>471</v>
      </c>
      <c r="B48" s="194"/>
      <c r="C48" s="6">
        <f>IF(ISERROR(GETPIVOTDATA(抵消分录!$I:$K,"合同负债 1 求和项:借方金额")),0,-GETPIVOTDATA(抵消分录!$I:$K,"合同负债 1 求和项:借方金额")+GETPIVOTDATA(抵消分录!$I:$K,"合同负债 1 求和项:贷方金额"))</f>
        <v>0</v>
      </c>
      <c r="D48" s="7">
        <f t="shared" si="12"/>
        <v>0</v>
      </c>
      <c r="E48" s="194"/>
      <c r="F48" s="128">
        <f>IF(ISERROR(GETPIVOTDATA(抵消分录!$I:$K,"合同负债 4 求和项:借方金额")),0,-GETPIVOTDATA(抵消分录!$I:$K,"合同负债 4 求和项:借方金额")+GETPIVOTDATA(抵消分录!$I:$K,"合同负债 4 求和项:贷方金额"))</f>
        <v>0</v>
      </c>
      <c r="G48" s="7">
        <f t="shared" si="13"/>
        <v>0</v>
      </c>
      <c r="H48" s="194"/>
      <c r="I48" s="128">
        <f>IF(ISERROR(GETPIVOTDATA(抵消分录!$I:$K,"合同负债 5 求和项:借方金额")),0,-GETPIVOTDATA(抵消分录!$I:$K,"合同负债 5 求和项:借方金额")+GETPIVOTDATA(抵消分录!$I:$K,"合同负债 5 求和项:贷方金额"))</f>
        <v>0</v>
      </c>
      <c r="J48" s="7">
        <f t="shared" si="15"/>
        <v>0</v>
      </c>
      <c r="K48" s="47"/>
      <c r="L48" s="194"/>
      <c r="M48" s="194"/>
      <c r="N48" s="6"/>
      <c r="O48" s="6"/>
      <c r="P48" s="7">
        <f t="shared" si="14"/>
        <v>0</v>
      </c>
      <c r="Q48" s="6">
        <f>IF(ISERROR(GETPIVOTDATA(抵消分录!$I:$K,"合同负债 2 求和项:借方金额")),0,-GETPIVOTDATA(抵消分录!$I:$K,"合同负债 2 求和项:借方金额")+GETPIVOTDATA(抵消分录!$I:$K,"合同负债 2 求和项:贷方金额"))</f>
        <v>0</v>
      </c>
      <c r="R48" s="7">
        <f t="shared" si="3"/>
        <v>0</v>
      </c>
      <c r="S48" s="7"/>
      <c r="T48" s="7"/>
      <c r="U48" s="7"/>
      <c r="V48" s="7"/>
    </row>
    <row r="49" spans="1:22">
      <c r="A49" s="182" t="s">
        <v>472</v>
      </c>
      <c r="B49" s="194"/>
      <c r="C49" s="6">
        <f>IF(ISERROR(GETPIVOTDATA(抵消分录!$I:$K,"应付职工薪酬 1 求和项:借方金额")),0,-GETPIVOTDATA(抵消分录!$I:$K,"应付职工薪酬 1 求和项:借方金额")+GETPIVOTDATA(抵消分录!$I:$K,"应付职工薪酬 1 求和项:贷方金额"))</f>
        <v>0</v>
      </c>
      <c r="D49" s="7">
        <f t="shared" si="12"/>
        <v>0</v>
      </c>
      <c r="E49" s="194"/>
      <c r="F49" s="128">
        <f>IF(ISERROR(GETPIVOTDATA(抵消分录!$I:$K,"应付职工薪酬 4 求和项:借方金额")),0,-GETPIVOTDATA(抵消分录!$I:$K,"应付职工薪酬 4 求和项:借方金额")+GETPIVOTDATA(抵消分录!$I:$K,"应付职工薪酬 4 求和项:贷方金额"))</f>
        <v>0</v>
      </c>
      <c r="G49" s="7">
        <f t="shared" si="13"/>
        <v>0</v>
      </c>
      <c r="H49" s="194"/>
      <c r="I49" s="128">
        <f>IF(ISERROR(GETPIVOTDATA(抵消分录!$I:$K,"应付职工薪酬 5 求和项:借方金额")),0,-GETPIVOTDATA(抵消分录!$I:$K,"应付职工薪酬 5 求和项:借方金额")+GETPIVOTDATA(抵消分录!$I:$K,"应付职工薪酬 5 求和项:贷方金额"))</f>
        <v>0</v>
      </c>
      <c r="J49" s="7">
        <f t="shared" si="15"/>
        <v>0</v>
      </c>
      <c r="K49" s="194"/>
      <c r="L49" s="194"/>
      <c r="M49" s="194"/>
      <c r="N49" s="6"/>
      <c r="O49" s="194"/>
      <c r="P49" s="7">
        <f t="shared" si="14"/>
        <v>0</v>
      </c>
      <c r="Q49" s="6">
        <f>IF(ISERROR(GETPIVOTDATA(抵消分录!$I:$K,"应付职工薪酬 2 求和项:借方金额")),0,-GETPIVOTDATA(抵消分录!$I:$K,"应付职工薪酬 2 求和项:借方金额")+GETPIVOTDATA(抵消分录!$I:$K,"应付职工薪酬 2 求和项:贷方金额"))</f>
        <v>0</v>
      </c>
      <c r="R49" s="7">
        <f>P49+Q49</f>
        <v>0</v>
      </c>
      <c r="S49" s="7"/>
      <c r="T49" s="7"/>
      <c r="U49" s="7"/>
      <c r="V49" s="7"/>
    </row>
    <row r="50" spans="1:22">
      <c r="A50" s="182" t="s">
        <v>473</v>
      </c>
      <c r="B50" s="194"/>
      <c r="C50" s="6">
        <f>IF(ISERROR(GETPIVOTDATA(抵消分录!$I:$K,"应交税费 1 求和项:借方金额")),0,-GETPIVOTDATA(抵消分录!$I:$K,"应交税费 1 求和项:借方金额")+GETPIVOTDATA(抵消分录!$I:$K,"应交税费 1 求和项:贷方金额"))</f>
        <v>0</v>
      </c>
      <c r="D50" s="7">
        <f t="shared" si="12"/>
        <v>0</v>
      </c>
      <c r="E50" s="201"/>
      <c r="F50" s="128">
        <f>IF(ISERROR(GETPIVOTDATA(抵消分录!$I:$K,"应交税费 4 求和项:借方金额")),0,-GETPIVOTDATA(抵消分录!$I:$K,"应交税费 4 求和项:借方金额")+GETPIVOTDATA(抵消分录!$I:$K,"应交税费 4 求和项:贷方金额"))</f>
        <v>0</v>
      </c>
      <c r="G50" s="7">
        <f t="shared" si="13"/>
        <v>0</v>
      </c>
      <c r="H50" s="194"/>
      <c r="I50" s="128">
        <f>IF(ISERROR(GETPIVOTDATA(抵消分录!$I:$K,"应交税费 5 求和项:借方金额")),0,-GETPIVOTDATA(抵消分录!$I:$K,"应交税费 5 求和项:借方金额")+GETPIVOTDATA(抵消分录!$I:$K,"应交税费 5 求和项:贷方金额"))</f>
        <v>0</v>
      </c>
      <c r="J50" s="7">
        <f t="shared" si="15"/>
        <v>0</v>
      </c>
      <c r="K50" s="194"/>
      <c r="L50" s="194"/>
      <c r="M50" s="194"/>
      <c r="N50" s="6"/>
      <c r="O50" s="194"/>
      <c r="P50" s="7">
        <f t="shared" si="14"/>
        <v>0</v>
      </c>
      <c r="Q50" s="6">
        <f>IF(ISERROR(GETPIVOTDATA(抵消分录!$I:$K,"应交税费 2 求和项:借方金额")),0,-GETPIVOTDATA(抵消分录!$I:$K,"应交税费 2 求和项:借方金额")+GETPIVOTDATA(抵消分录!$I:$K,"应交税费 2 求和项:贷方金额"))</f>
        <v>0</v>
      </c>
      <c r="R50" s="7">
        <f t="shared" si="3"/>
        <v>0</v>
      </c>
      <c r="S50" s="7"/>
      <c r="T50" s="7"/>
      <c r="U50" s="7"/>
      <c r="V50" s="7"/>
    </row>
    <row r="51" spans="1:22">
      <c r="A51" s="182" t="s">
        <v>474</v>
      </c>
      <c r="B51" s="194"/>
      <c r="C51" s="6">
        <f>IF(ISERROR(GETPIVOTDATA(抵消分录!$I:$K,"其他应付款 1 求和项:借方金额")),0,-GETPIVOTDATA(抵消分录!$I:$K,"其他应付款 1 求和项:借方金额")+GETPIVOTDATA(抵消分录!$I:$K,"其他应付款 1 求和项:贷方金额"))</f>
        <v>0</v>
      </c>
      <c r="D51" s="7">
        <f t="shared" si="12"/>
        <v>0</v>
      </c>
      <c r="E51" s="194"/>
      <c r="F51" s="128">
        <f>IF(ISERROR(GETPIVOTDATA(抵消分录!$I:$K,"其他应付款 4 求和项:借方金额")),0,-GETPIVOTDATA(抵消分录!$I:$K,"其他应付款 4 求和项:借方金额")+GETPIVOTDATA(抵消分录!$I:$K,"其他应付款 4 求和项:贷方金额"))</f>
        <v>0</v>
      </c>
      <c r="G51" s="7">
        <f t="shared" si="13"/>
        <v>0</v>
      </c>
      <c r="H51" s="194"/>
      <c r="I51" s="128">
        <f>IF(ISERROR(GETPIVOTDATA(抵消分录!$I:$K,"其他应付款 5 求和项:借方金额")),0,-GETPIVOTDATA(抵消分录!$I:$K,"其他应付款 5 求和项:借方金额")+GETPIVOTDATA(抵消分录!$I:$K,"其他应付款 5 求和项:贷方金额"))</f>
        <v>0</v>
      </c>
      <c r="J51" s="7">
        <f t="shared" si="15"/>
        <v>0</v>
      </c>
      <c r="K51" s="194"/>
      <c r="L51" s="194"/>
      <c r="M51" s="194"/>
      <c r="N51" s="6"/>
      <c r="O51" s="194"/>
      <c r="P51" s="7">
        <f t="shared" si="14"/>
        <v>0</v>
      </c>
      <c r="Q51" s="128">
        <f>IF(ISERROR(GETPIVOTDATA(抵消分录!$I:$K,"其他应付款 2 求和项:借方金额")),0,-GETPIVOTDATA(抵消分录!$I:$K,"其他应付款 2 求和项:借方金额")+GETPIVOTDATA(抵消分录!$I:$K,"其他应付款 2 求和项:贷方金额"))</f>
        <v>0</v>
      </c>
      <c r="R51" s="7">
        <f t="shared" si="3"/>
        <v>0</v>
      </c>
      <c r="S51" s="7"/>
      <c r="T51" s="7"/>
      <c r="U51" s="7"/>
      <c r="V51" s="7"/>
    </row>
    <row r="52" spans="1:22">
      <c r="A52" s="182" t="s">
        <v>475</v>
      </c>
      <c r="B52" s="6"/>
      <c r="C52" s="6">
        <f>IF(ISERROR(GETPIVOTDATA(抵消分录!$I:$K,"持有待售负债 1 求和项:借方金额")),0,-GETPIVOTDATA(抵消分录!$I:$K,"持有待售负债 1 求和项:借方金额")+GETPIVOTDATA(抵消分录!$I:$K,"持有待售负债 1 求和项:贷方金额"))</f>
        <v>0</v>
      </c>
      <c r="D52" s="7">
        <f>B52+C52</f>
        <v>0</v>
      </c>
      <c r="E52" s="194"/>
      <c r="F52" s="128">
        <f>IF(ISERROR(GETPIVOTDATA(抵消分录!$I:$K,"持有待售负债 4 求和项:借方金额")),0,-GETPIVOTDATA(抵消分录!$I:$K,"持有待售负债 4 求和项:借方金额")+GETPIVOTDATA(抵消分录!$I:$K,"持有待售负债 4 求和项:贷方金额"))</f>
        <v>0</v>
      </c>
      <c r="G52" s="7">
        <f>E52+F52</f>
        <v>0</v>
      </c>
      <c r="H52" s="128"/>
      <c r="I52" s="128">
        <f>IF(ISERROR(GETPIVOTDATA(抵消分录!$I:$K,"持有待售负债 5 求和项:借方金额")),0,-GETPIVOTDATA(抵消分录!$I:$K,"持有待售负债 5 求和项:借方金额")+GETPIVOTDATA(抵消分录!$I:$K,"持有待售负债 5 求和项:贷方金额"))</f>
        <v>0</v>
      </c>
      <c r="J52" s="7">
        <f>H52+I52</f>
        <v>0</v>
      </c>
      <c r="K52" s="128"/>
      <c r="L52" s="6"/>
      <c r="M52" s="6"/>
      <c r="N52" s="6"/>
      <c r="O52" s="194"/>
      <c r="P52" s="7">
        <f t="shared" si="14"/>
        <v>0</v>
      </c>
      <c r="Q52" s="6">
        <f>IF(ISERROR(GETPIVOTDATA(抵消分录!$I:$K,"持有待售负债 2 求和项:借方金额")),0,-GETPIVOTDATA(抵消分录!$I:$K,"持有待售负债 2 求和项:借方金额")+GETPIVOTDATA(抵消分录!$I:$K,"持有待售负债 2 求和项:贷方金额"))</f>
        <v>0</v>
      </c>
      <c r="R52" s="7">
        <f>P52+Q52</f>
        <v>0</v>
      </c>
      <c r="S52" s="7"/>
      <c r="T52" s="7"/>
      <c r="U52" s="7"/>
      <c r="V52" s="7"/>
    </row>
    <row r="53" spans="1:22">
      <c r="A53" s="182" t="s">
        <v>476</v>
      </c>
      <c r="B53" s="6"/>
      <c r="C53" s="6">
        <f>IF(ISERROR(GETPIVOTDATA(抵消分录!$I:$K,"一年内到期的非流动负债 1 求和项:借方金额")),0,-GETPIVOTDATA(抵消分录!$I:$K,"一年内到期的非流动负债 1 求和项:借方金额")+GETPIVOTDATA(抵消分录!$I:$K,"一年内到期的非流动负债 1 求和项:贷方金额"))</f>
        <v>0</v>
      </c>
      <c r="D53" s="7">
        <f t="shared" si="12"/>
        <v>0</v>
      </c>
      <c r="E53" s="128"/>
      <c r="F53" s="128">
        <f>IF(ISERROR(GETPIVOTDATA(抵消分录!$I:$K,"一年内到期的非流动负债 4 求和项:借方金额")),0,-GETPIVOTDATA(抵消分录!$I:$K,"一年内到期的非流动负债 4 求和项:借方金额")+GETPIVOTDATA(抵消分录!$I:$K,"一年内到期的非流动负债 4 求和项:贷方金额"))</f>
        <v>0</v>
      </c>
      <c r="G53" s="7">
        <f t="shared" si="13"/>
        <v>0</v>
      </c>
      <c r="H53" s="128"/>
      <c r="I53" s="128">
        <f>IF(ISERROR(GETPIVOTDATA(抵消分录!$I:$K,"一年内到期的非流动负债 5 求和项:借方金额")),0,-GETPIVOTDATA(抵消分录!$I:$K,"一年内到期的非流动负债 5 求和项:借方金额")+GETPIVOTDATA(抵消分录!$I:$K,"一年内到期的非流动负债 5 求和项:贷方金额"))</f>
        <v>0</v>
      </c>
      <c r="J53" s="7">
        <f>H53+I53</f>
        <v>0</v>
      </c>
      <c r="K53" s="128"/>
      <c r="L53" s="194"/>
      <c r="M53" s="6"/>
      <c r="N53" s="6"/>
      <c r="O53" s="6"/>
      <c r="P53" s="7">
        <f t="shared" si="14"/>
        <v>0</v>
      </c>
      <c r="Q53" s="6">
        <f>IF(ISERROR(GETPIVOTDATA(抵消分录!$I:$K,"一年内到期的非流动负债 2 求和项:借方金额")),0,-GETPIVOTDATA(抵消分录!$I:$K,"一年内到期的非流动负债 2 求和项:借方金额")+GETPIVOTDATA(抵消分录!$I:$K,"一年内到期的非流动负债 2 求和项:贷方金额"))</f>
        <v>0</v>
      </c>
      <c r="R53" s="7">
        <f t="shared" si="3"/>
        <v>0</v>
      </c>
      <c r="S53" s="7"/>
      <c r="T53" s="7"/>
      <c r="U53" s="7"/>
      <c r="V53" s="7"/>
    </row>
    <row r="54" spans="1:22">
      <c r="A54" s="182" t="s">
        <v>477</v>
      </c>
      <c r="B54" s="6"/>
      <c r="C54" s="6">
        <f>IF(ISERROR(GETPIVOTDATA(抵消分录!$I:$K,"其他流动负债 1 求和项:借方金额")),0,-GETPIVOTDATA(抵消分录!$I:$K,"其他流动负债 1 求和项:借方金额")+GETPIVOTDATA(抵消分录!$I:$K,"其他流动负债 1 求和项:贷方金额"))</f>
        <v>0</v>
      </c>
      <c r="D54" s="7">
        <f t="shared" si="12"/>
        <v>0</v>
      </c>
      <c r="E54" s="128"/>
      <c r="F54" s="128">
        <f>IF(ISERROR(GETPIVOTDATA(抵消分录!$I:$K,"其他流动负债 4 求和项:借方金额")),0,-GETPIVOTDATA(抵消分录!$I:$K,"其他流动负债 4 求和项:借方金额")+GETPIVOTDATA(抵消分录!$I:$K,"其他流动负债 4 求和项:贷方金额"))</f>
        <v>0</v>
      </c>
      <c r="G54" s="7">
        <f t="shared" si="13"/>
        <v>0</v>
      </c>
      <c r="H54" s="128"/>
      <c r="I54" s="128">
        <f>IF(ISERROR(GETPIVOTDATA(抵消分录!$I:$K,"其他流动负债 5 求和项:借方金额")),0,-GETPIVOTDATA(抵消分录!$I:$K,"其他流动负债 5 求和项:借方金额")+GETPIVOTDATA(抵消分录!$I:$K,"其他流动负债 5 求和项:贷方金额"))</f>
        <v>0</v>
      </c>
      <c r="J54" s="7">
        <f>H54+I54</f>
        <v>0</v>
      </c>
      <c r="K54" s="128"/>
      <c r="L54" s="6"/>
      <c r="M54" s="6"/>
      <c r="N54" s="6"/>
      <c r="O54" s="6"/>
      <c r="P54" s="7">
        <f t="shared" si="14"/>
        <v>0</v>
      </c>
      <c r="Q54" s="6">
        <f>IF(ISERROR(GETPIVOTDATA(抵消分录!$I:$K,"其他流动负债 2 求和项:借方金额")),0,-GETPIVOTDATA(抵消分录!$I:$K,"其他流动负债 2 求和项:借方金额")+GETPIVOTDATA(抵消分录!$I:$K,"其他流动负债 2 求和项:贷方金额"))</f>
        <v>0</v>
      </c>
      <c r="R54" s="7">
        <f t="shared" si="3"/>
        <v>0</v>
      </c>
      <c r="S54" s="7"/>
      <c r="T54" s="7"/>
      <c r="U54" s="7"/>
      <c r="V54" s="7"/>
    </row>
    <row r="55" spans="1:22">
      <c r="A55" s="35" t="s">
        <v>93</v>
      </c>
      <c r="B55" s="8">
        <f t="shared" ref="B55:R55" si="16">SUM(B41:B54)</f>
        <v>0</v>
      </c>
      <c r="C55" s="8">
        <f t="shared" si="16"/>
        <v>0</v>
      </c>
      <c r="D55" s="8">
        <f t="shared" si="16"/>
        <v>0</v>
      </c>
      <c r="E55" s="8">
        <f t="shared" si="16"/>
        <v>0</v>
      </c>
      <c r="F55" s="8">
        <f t="shared" si="16"/>
        <v>0</v>
      </c>
      <c r="G55" s="8">
        <f t="shared" si="16"/>
        <v>0</v>
      </c>
      <c r="H55" s="8">
        <f t="shared" si="16"/>
        <v>0</v>
      </c>
      <c r="I55" s="8">
        <f t="shared" si="16"/>
        <v>0</v>
      </c>
      <c r="J55" s="8">
        <f t="shared" si="16"/>
        <v>0</v>
      </c>
      <c r="K55" s="8">
        <f t="shared" si="16"/>
        <v>0</v>
      </c>
      <c r="L55" s="8">
        <f>SUM(L41:L54)</f>
        <v>0</v>
      </c>
      <c r="M55" s="8">
        <f t="shared" si="16"/>
        <v>0</v>
      </c>
      <c r="N55" s="8">
        <f>SUM(N41:N54)</f>
        <v>0</v>
      </c>
      <c r="O55" s="8">
        <f t="shared" si="16"/>
        <v>0</v>
      </c>
      <c r="P55" s="8">
        <f t="shared" si="16"/>
        <v>0</v>
      </c>
      <c r="Q55" s="8">
        <f t="shared" si="16"/>
        <v>0</v>
      </c>
      <c r="R55" s="8">
        <f t="shared" si="16"/>
        <v>0</v>
      </c>
      <c r="S55" s="7"/>
      <c r="T55" s="7"/>
      <c r="U55" s="7"/>
      <c r="V55" s="7"/>
    </row>
    <row r="56" spans="1:22">
      <c r="A56" s="9" t="s">
        <v>94</v>
      </c>
      <c r="B56" s="116"/>
      <c r="C56" s="116"/>
      <c r="D56" s="7"/>
      <c r="E56" s="128"/>
      <c r="F56" s="128"/>
      <c r="G56" s="7"/>
      <c r="H56" s="128"/>
      <c r="I56" s="128"/>
      <c r="J56" s="7"/>
      <c r="K56" s="128"/>
      <c r="L56" s="116"/>
      <c r="M56" s="116"/>
      <c r="N56" s="116"/>
      <c r="O56" s="116"/>
      <c r="P56" s="7">
        <f t="shared" ref="P56:P65" si="17">SUM(J56:O56)+D56+G56</f>
        <v>0</v>
      </c>
      <c r="Q56" s="116"/>
      <c r="R56" s="7">
        <f t="shared" si="3"/>
        <v>0</v>
      </c>
      <c r="S56" s="7"/>
      <c r="T56" s="7"/>
      <c r="U56" s="7"/>
      <c r="V56" s="7"/>
    </row>
    <row r="57" spans="1:22">
      <c r="A57" s="182" t="s">
        <v>485</v>
      </c>
      <c r="B57" s="6"/>
      <c r="C57" s="6">
        <f>IF(ISERROR(GETPIVOTDATA(抵消分录!$I:$K,"长期借款 1 求和项:借方金额")),0,-GETPIVOTDATA(抵消分录!$I:$K,"长期借款 1 求和项:借方金额")+GETPIVOTDATA(抵消分录!$I:$K,"长期借款 1 求和项:贷方金额"))</f>
        <v>0</v>
      </c>
      <c r="D57" s="7">
        <f t="shared" ref="D57:D65" si="18">B57+C57</f>
        <v>0</v>
      </c>
      <c r="E57" s="128"/>
      <c r="F57" s="128">
        <f>IF(ISERROR(GETPIVOTDATA(抵消分录!$I:$K,"长期借款 4 求和项:借方金额")),0,-GETPIVOTDATA(抵消分录!$I:$K,"长期借款 4 求和项:借方金额")+GETPIVOTDATA(抵消分录!$I:$K,"长期借款 4 求和项:贷方金额"))</f>
        <v>0</v>
      </c>
      <c r="G57" s="7">
        <f t="shared" ref="G57:G65" si="19">E57+F57</f>
        <v>0</v>
      </c>
      <c r="H57" s="128"/>
      <c r="I57" s="128">
        <f>IF(ISERROR(GETPIVOTDATA(抵消分录!$I:$K,"长期借款 5 求和项:借方金额")),0,-GETPIVOTDATA(抵消分录!$I:$K,"长期借款 5 求和项:借方金额")+GETPIVOTDATA(抵消分录!$I:$K,"长期借款 5 求和项:贷方金额"))</f>
        <v>0</v>
      </c>
      <c r="J57" s="7">
        <f>H57+I57</f>
        <v>0</v>
      </c>
      <c r="K57" s="128"/>
      <c r="L57" s="194"/>
      <c r="M57" s="6"/>
      <c r="N57" s="6"/>
      <c r="O57" s="6"/>
      <c r="P57" s="7">
        <f t="shared" si="17"/>
        <v>0</v>
      </c>
      <c r="Q57" s="6">
        <f>IF(ISERROR(GETPIVOTDATA(抵消分录!$I:$K,"长期借款 2 求和项:借方金额")),0,-GETPIVOTDATA(抵消分录!$I:$K,"长期借款 2 求和项:借方金额")+GETPIVOTDATA(抵消分录!$I:$K,"长期借款 2 求和项:贷方金额"))</f>
        <v>0</v>
      </c>
      <c r="R57" s="7">
        <f t="shared" si="3"/>
        <v>0</v>
      </c>
      <c r="S57" s="7"/>
      <c r="T57" s="7"/>
      <c r="U57" s="7"/>
      <c r="V57" s="7"/>
    </row>
    <row r="58" spans="1:22">
      <c r="A58" s="182" t="s">
        <v>486</v>
      </c>
      <c r="B58" s="6"/>
      <c r="C58" s="6">
        <f>IF(ISERROR(GETPIVOTDATA(抵消分录!$I:$K,"应付债券 1 求和项:借方金额")),0,-GETPIVOTDATA(抵消分录!$I:$K,"应付债券 1 求和项:借方金额")+GETPIVOTDATA(抵消分录!$I:$K,"应付债券 1 求和项:贷方金额"))</f>
        <v>0</v>
      </c>
      <c r="D58" s="7">
        <f t="shared" si="18"/>
        <v>0</v>
      </c>
      <c r="E58" s="128"/>
      <c r="F58" s="128">
        <f>IF(ISERROR(GETPIVOTDATA(抵消分录!$I:$K,"应付债券 4 求和项:借方金额")),0,-GETPIVOTDATA(抵消分录!$I:$K,"应付债券 4 求和项:借方金额")+GETPIVOTDATA(抵消分录!$I:$K,"应付债券 4 求和项:贷方金额"))</f>
        <v>0</v>
      </c>
      <c r="G58" s="7">
        <f t="shared" si="19"/>
        <v>0</v>
      </c>
      <c r="H58" s="128"/>
      <c r="I58" s="128">
        <f>IF(ISERROR(GETPIVOTDATA(抵消分录!$I:$K,"应付债券 5 求和项:借方金额")),0,-GETPIVOTDATA(抵消分录!$I:$K,"应付债券 5 求和项:借方金额")+GETPIVOTDATA(抵消分录!$I:$K,"应付债券 5 求和项:贷方金额"))</f>
        <v>0</v>
      </c>
      <c r="J58" s="7">
        <f>H58+I58</f>
        <v>0</v>
      </c>
      <c r="K58" s="128"/>
      <c r="L58" s="194"/>
      <c r="M58" s="6"/>
      <c r="N58" s="6"/>
      <c r="O58" s="6"/>
      <c r="P58" s="7">
        <f t="shared" si="17"/>
        <v>0</v>
      </c>
      <c r="Q58" s="6">
        <f>IF(ISERROR(GETPIVOTDATA(抵消分录!$I:$K,"应付债券 2 求和项:借方金额")),0,-GETPIVOTDATA(抵消分录!$I:$K,"应付债券 2 求和项:借方金额")+GETPIVOTDATA(抵消分录!$I:$K,"应付债券 2 求和项:贷方金额"))</f>
        <v>0</v>
      </c>
      <c r="R58" s="7">
        <f t="shared" ref="R58:R121" si="20">P58+Q58</f>
        <v>0</v>
      </c>
      <c r="S58" s="7"/>
      <c r="T58" s="7"/>
      <c r="U58" s="7"/>
      <c r="V58" s="7"/>
    </row>
    <row r="59" spans="1:22">
      <c r="A59" s="181" t="s">
        <v>406</v>
      </c>
      <c r="B59" s="6"/>
      <c r="C59" s="6"/>
      <c r="D59" s="7"/>
      <c r="E59" s="128"/>
      <c r="F59" s="128"/>
      <c r="G59" s="7"/>
      <c r="H59" s="128"/>
      <c r="I59" s="128"/>
      <c r="J59" s="7"/>
      <c r="K59" s="128"/>
      <c r="L59" s="194"/>
      <c r="M59" s="6"/>
      <c r="N59" s="6"/>
      <c r="O59" s="6"/>
      <c r="P59" s="7">
        <f t="shared" si="17"/>
        <v>0</v>
      </c>
      <c r="Q59" s="6"/>
      <c r="R59" s="7"/>
      <c r="S59" s="7"/>
      <c r="T59" s="7"/>
      <c r="U59" s="7"/>
      <c r="V59" s="7"/>
    </row>
    <row r="60" spans="1:22">
      <c r="A60" s="183" t="s">
        <v>408</v>
      </c>
      <c r="B60" s="6"/>
      <c r="C60" s="6"/>
      <c r="D60" s="7"/>
      <c r="E60" s="128"/>
      <c r="F60" s="128"/>
      <c r="G60" s="7"/>
      <c r="H60" s="128"/>
      <c r="I60" s="128"/>
      <c r="J60" s="7"/>
      <c r="K60" s="128"/>
      <c r="L60" s="194"/>
      <c r="M60" s="6"/>
      <c r="N60" s="6"/>
      <c r="O60" s="6"/>
      <c r="P60" s="7">
        <f t="shared" si="17"/>
        <v>0</v>
      </c>
      <c r="Q60" s="6"/>
      <c r="R60" s="7"/>
      <c r="S60" s="7"/>
      <c r="T60" s="7"/>
      <c r="U60" s="7"/>
      <c r="V60" s="7"/>
    </row>
    <row r="61" spans="1:22">
      <c r="A61" s="182" t="s">
        <v>487</v>
      </c>
      <c r="B61" s="6"/>
      <c r="C61" s="6">
        <f>IF(ISERROR(GETPIVOTDATA(抵消分录!$I:$K,"长期应付款 1 求和项:借方金额")),0,-GETPIVOTDATA(抵消分录!$I:$K,"长期应付款 1 求和项:借方金额")+GETPIVOTDATA(抵消分录!$I:$K,"长期应付款 1 求和项:贷方金额"))</f>
        <v>0</v>
      </c>
      <c r="D61" s="7">
        <f t="shared" si="18"/>
        <v>0</v>
      </c>
      <c r="E61" s="128"/>
      <c r="F61" s="128">
        <f>IF(ISERROR(GETPIVOTDATA(抵消分录!$I:$K,"长期应付款 4 求和项:借方金额")),0,-GETPIVOTDATA(抵消分录!$I:$K,"长期应付款 4 求和项:借方金额")+GETPIVOTDATA(抵消分录!$I:$K,"长期应付款 4 求和项:贷方金额"))</f>
        <v>0</v>
      </c>
      <c r="G61" s="7">
        <f t="shared" si="19"/>
        <v>0</v>
      </c>
      <c r="H61" s="128"/>
      <c r="I61" s="128">
        <f>IF(ISERROR(GETPIVOTDATA(抵消分录!$I:$K,"长期应付款 5 求和项:借方金额")),0,-GETPIVOTDATA(抵消分录!$I:$K,"长期应付款 5 求和项:借方金额")+GETPIVOTDATA(抵消分录!$I:$K,"长期应付款 5 求和项:贷方金额"))</f>
        <v>0</v>
      </c>
      <c r="J61" s="7">
        <f>H61+I61</f>
        <v>0</v>
      </c>
      <c r="K61" s="128"/>
      <c r="L61" s="194"/>
      <c r="M61" s="6"/>
      <c r="N61" s="6"/>
      <c r="O61" s="6"/>
      <c r="P61" s="7">
        <f t="shared" si="17"/>
        <v>0</v>
      </c>
      <c r="Q61" s="6">
        <f>IF(ISERROR(GETPIVOTDATA(抵消分录!$I:$K,"长期应付款 2 求和项:借方金额")),0,-GETPIVOTDATA(抵消分录!$I:$K,"长期应付款 2 求和项:借方金额")+GETPIVOTDATA(抵消分录!$I:$K,"长期应付款 2 求和项:贷方金额"))</f>
        <v>0</v>
      </c>
      <c r="R61" s="7">
        <f t="shared" si="20"/>
        <v>0</v>
      </c>
      <c r="S61" s="7"/>
      <c r="T61" s="7"/>
      <c r="U61" s="7"/>
      <c r="V61" s="7"/>
    </row>
    <row r="62" spans="1:22">
      <c r="A62" s="182" t="s">
        <v>488</v>
      </c>
      <c r="B62" s="6"/>
      <c r="C62" s="6">
        <f>IF(ISERROR(GETPIVOTDATA(抵消分录!$I:$K,"预计负债 1 求和项:借方金额")),0,-GETPIVOTDATA(抵消分录!$I:$K,"预计负债 1 求和项:借方金额")+GETPIVOTDATA(抵消分录!$I:$K,"预计负债 1 求和项:贷方金额"))</f>
        <v>0</v>
      </c>
      <c r="D62" s="7">
        <f t="shared" si="18"/>
        <v>0</v>
      </c>
      <c r="E62" s="128"/>
      <c r="F62" s="128">
        <f>IF(ISERROR(GETPIVOTDATA(抵消分录!$I:$K,"预计负债 4 求和项:借方金额")),0,-GETPIVOTDATA(抵消分录!$I:$K,"预计负债 4 求和项:借方金额")+GETPIVOTDATA(抵消分录!$I:$K,"预计负债 4 求和项:贷方金额"))</f>
        <v>0</v>
      </c>
      <c r="G62" s="7">
        <f t="shared" si="19"/>
        <v>0</v>
      </c>
      <c r="H62" s="128"/>
      <c r="I62" s="128">
        <f>IF(ISERROR(GETPIVOTDATA(抵消分录!$I:$K,"预计负债 5 求和项:借方金额")),0,-GETPIVOTDATA(抵消分录!$I:$K,"预计负债 5 求和项:借方金额")+GETPIVOTDATA(抵消分录!$I:$K,"预计负债 5 求和项:贷方金额"))</f>
        <v>0</v>
      </c>
      <c r="J62" s="7">
        <f>H62+I62</f>
        <v>0</v>
      </c>
      <c r="K62" s="128"/>
      <c r="L62" s="194"/>
      <c r="M62" s="6"/>
      <c r="N62" s="6"/>
      <c r="O62" s="6"/>
      <c r="P62" s="7">
        <f t="shared" si="17"/>
        <v>0</v>
      </c>
      <c r="Q62" s="6">
        <f>IF(ISERROR(GETPIVOTDATA(抵消分录!$I:$K,"预计负债 2 求和项:借方金额")),0,-GETPIVOTDATA(抵消分录!$I:$K,"预计负债 2 求和项:借方金额")+GETPIVOTDATA(抵消分录!$I:$K,"预计负债 2 求和项:贷方金额"))</f>
        <v>0</v>
      </c>
      <c r="R62" s="7">
        <f t="shared" si="20"/>
        <v>0</v>
      </c>
      <c r="S62" s="7"/>
      <c r="T62" s="7"/>
      <c r="U62" s="7"/>
      <c r="V62" s="7"/>
    </row>
    <row r="63" spans="1:22">
      <c r="A63" s="182" t="s">
        <v>382</v>
      </c>
      <c r="B63" s="6"/>
      <c r="C63" s="6">
        <f>IF(ISERROR(GETPIVOTDATA(抵消分录!$I:$K,"递延收益 1 求和项:借方金额")),0,-GETPIVOTDATA(抵消分录!$I:$K,"递延收益 1 求和项:借方金额")+GETPIVOTDATA(抵消分录!$I:$K,"递延收益 1 求和项:贷方金额"))</f>
        <v>0</v>
      </c>
      <c r="D63" s="7">
        <f>B63+C63</f>
        <v>0</v>
      </c>
      <c r="E63" s="128"/>
      <c r="F63" s="128">
        <f>IF(ISERROR(GETPIVOTDATA(抵消分录!$I:$K,"递延收益 4 求和项:借方金额")),0,-GETPIVOTDATA(抵消分录!$I:$K,"递延收益 4 求和项:借方金额")+GETPIVOTDATA(抵消分录!$I:$K,"递延收益 4 求和项:贷方金额"))</f>
        <v>0</v>
      </c>
      <c r="G63" s="7">
        <f>E63+F63</f>
        <v>0</v>
      </c>
      <c r="H63" s="128"/>
      <c r="I63" s="128">
        <f>IF(ISERROR(GETPIVOTDATA(抵消分录!$I:$K,"递延收益 5 求和项:借方金额")),0,-GETPIVOTDATA(抵消分录!$I:$K,"递延收益 5 求和项:借方金额")+GETPIVOTDATA(抵消分录!$I:$K,"递延收益 5 求和项:贷方金额"))</f>
        <v>0</v>
      </c>
      <c r="J63" s="7">
        <f>H63+I63</f>
        <v>0</v>
      </c>
      <c r="K63" s="128"/>
      <c r="L63" s="194"/>
      <c r="M63" s="6"/>
      <c r="N63" s="6"/>
      <c r="O63" s="6"/>
      <c r="P63" s="7">
        <f t="shared" si="17"/>
        <v>0</v>
      </c>
      <c r="Q63" s="6">
        <f>IF(ISERROR(GETPIVOTDATA(抵消分录!$I:$K,"递延收益 2 求和项:借方金额")),0,-GETPIVOTDATA(抵消分录!$I:$K,"递延收益 2 求和项:借方金额")+GETPIVOTDATA(抵消分录!$I:$K,"递延收益 2 求和项:贷方金额"))</f>
        <v>0</v>
      </c>
      <c r="R63" s="7">
        <f>P63+Q63</f>
        <v>0</v>
      </c>
      <c r="S63" s="7"/>
      <c r="T63" s="7"/>
      <c r="U63" s="7"/>
      <c r="V63" s="7"/>
    </row>
    <row r="64" spans="1:22">
      <c r="A64" s="182" t="s">
        <v>489</v>
      </c>
      <c r="B64" s="6"/>
      <c r="C64" s="6">
        <f>IF(ISERROR(GETPIVOTDATA(抵消分录!$I:$K,"递延所得税负债 1 求和项:借方金额")),0,-GETPIVOTDATA(抵消分录!$I:$K,"递延所得税负债 1 求和项:借方金额")+GETPIVOTDATA(抵消分录!$I:$K,"递延所得税负债 1 求和项:贷方金额"))</f>
        <v>0</v>
      </c>
      <c r="D64" s="7">
        <f t="shared" si="18"/>
        <v>0</v>
      </c>
      <c r="E64" s="128"/>
      <c r="F64" s="128">
        <f>IF(ISERROR(GETPIVOTDATA(抵消分录!$I:$K,"递延所得税负债 4 求和项:借方金额")),0,-GETPIVOTDATA(抵消分录!$I:$K,"递延所得税负债 4 求和项:借方金额")+GETPIVOTDATA(抵消分录!$I:$K,"递延所得税负债 4 求和项:贷方金额"))</f>
        <v>0</v>
      </c>
      <c r="G64" s="7">
        <f t="shared" si="19"/>
        <v>0</v>
      </c>
      <c r="H64" s="128"/>
      <c r="I64" s="128">
        <f>IF(ISERROR(GETPIVOTDATA(抵消分录!$I:$K,"递延所得税负债 5 求和项:借方金额")),0,-GETPIVOTDATA(抵消分录!$I:$K,"递延所得税负债 5 求和项:借方金额")+GETPIVOTDATA(抵消分录!$I:$K,"递延所得税负债 5 求和项:贷方金额"))</f>
        <v>0</v>
      </c>
      <c r="J64" s="7">
        <f>H64+I64</f>
        <v>0</v>
      </c>
      <c r="K64" s="128"/>
      <c r="L64" s="6"/>
      <c r="M64" s="6"/>
      <c r="N64" s="6"/>
      <c r="O64" s="6"/>
      <c r="P64" s="7">
        <f t="shared" si="17"/>
        <v>0</v>
      </c>
      <c r="Q64" s="6">
        <f>IF(ISERROR(GETPIVOTDATA(抵消分录!$I:$K,"递延所得税负债 2 求和项:借方金额")),0,-GETPIVOTDATA(抵消分录!$I:$K,"递延所得税负债 2 求和项:借方金额")+GETPIVOTDATA(抵消分录!$I:$K,"递延所得税负债 2 求和项:贷方金额"))</f>
        <v>0</v>
      </c>
      <c r="R64" s="7">
        <f t="shared" si="20"/>
        <v>0</v>
      </c>
      <c r="S64" s="7"/>
      <c r="T64" s="7"/>
      <c r="U64" s="7"/>
      <c r="V64" s="7"/>
    </row>
    <row r="65" spans="1:23">
      <c r="A65" s="182" t="s">
        <v>490</v>
      </c>
      <c r="B65" s="6"/>
      <c r="C65" s="6">
        <f>IF(ISERROR(GETPIVOTDATA(抵消分录!$I:$K,"其他非流动负债 1 求和项:借方金额")),0,-GETPIVOTDATA(抵消分录!$I:$K,"其他非流动负债 1 求和项:借方金额")+GETPIVOTDATA(抵消分录!$I:$K,"其他非流动负债 1 求和项:贷方金额"))</f>
        <v>0</v>
      </c>
      <c r="D65" s="7">
        <f t="shared" si="18"/>
        <v>0</v>
      </c>
      <c r="E65" s="128"/>
      <c r="F65" s="128">
        <f>IF(ISERROR(GETPIVOTDATA(抵消分录!$I:$K,"其他非流动负债 4 求和项:借方金额")),0,-GETPIVOTDATA(抵消分录!$I:$K,"其他非流动负债 4 求和项:借方金额")+GETPIVOTDATA(抵消分录!$I:$K,"其他非流动负债 4 求和项:贷方金额"))</f>
        <v>0</v>
      </c>
      <c r="G65" s="7">
        <f t="shared" si="19"/>
        <v>0</v>
      </c>
      <c r="H65" s="128"/>
      <c r="I65" s="128">
        <f>IF(ISERROR(GETPIVOTDATA(抵消分录!$I:$K,"其他非流动负债 5 求和项:借方金额")),0,-GETPIVOTDATA(抵消分录!$I:$K,"其他非流动负债 5 求和项:借方金额")+GETPIVOTDATA(抵消分录!$I:$K,"其他非流动负债 5 求和项:贷方金额"))</f>
        <v>0</v>
      </c>
      <c r="J65" s="7">
        <f>H65+I65</f>
        <v>0</v>
      </c>
      <c r="K65" s="128"/>
      <c r="L65" s="6"/>
      <c r="M65" s="6"/>
      <c r="N65" s="6"/>
      <c r="O65" s="6"/>
      <c r="P65" s="7">
        <f t="shared" si="17"/>
        <v>0</v>
      </c>
      <c r="Q65" s="6">
        <f>IF(ISERROR(GETPIVOTDATA(抵消分录!$I:$K,"其他非流动负债 2 求和项:借方金额")),0,-GETPIVOTDATA(抵消分录!$I:$K,"其他非流动负债 2 求和项:借方金额")+GETPIVOTDATA(抵消分录!$I:$K,"其他非流动负债 2 求和项:贷方金额"))</f>
        <v>0</v>
      </c>
      <c r="R65" s="7">
        <f t="shared" si="20"/>
        <v>0</v>
      </c>
      <c r="S65" s="7"/>
      <c r="T65" s="7"/>
      <c r="U65" s="7"/>
      <c r="V65" s="7"/>
    </row>
    <row r="66" spans="1:23">
      <c r="A66" s="35" t="s">
        <v>105</v>
      </c>
      <c r="B66" s="8">
        <f>SUM(B57:B65)</f>
        <v>0</v>
      </c>
      <c r="C66" s="8">
        <f t="shared" ref="C66:R66" si="21">SUM(C57:C65)</f>
        <v>0</v>
      </c>
      <c r="D66" s="8">
        <f t="shared" si="21"/>
        <v>0</v>
      </c>
      <c r="E66" s="8">
        <f t="shared" si="21"/>
        <v>0</v>
      </c>
      <c r="F66" s="8">
        <f t="shared" si="21"/>
        <v>0</v>
      </c>
      <c r="G66" s="8">
        <f t="shared" si="21"/>
        <v>0</v>
      </c>
      <c r="H66" s="8">
        <f t="shared" si="21"/>
        <v>0</v>
      </c>
      <c r="I66" s="8">
        <f t="shared" si="21"/>
        <v>0</v>
      </c>
      <c r="J66" s="8">
        <f t="shared" si="21"/>
        <v>0</v>
      </c>
      <c r="K66" s="8">
        <f t="shared" si="21"/>
        <v>0</v>
      </c>
      <c r="L66" s="8">
        <f t="shared" si="21"/>
        <v>0</v>
      </c>
      <c r="M66" s="8">
        <f t="shared" si="21"/>
        <v>0</v>
      </c>
      <c r="N66" s="8">
        <f t="shared" si="21"/>
        <v>0</v>
      </c>
      <c r="O66" s="8">
        <f t="shared" si="21"/>
        <v>0</v>
      </c>
      <c r="P66" s="8">
        <f t="shared" si="21"/>
        <v>0</v>
      </c>
      <c r="Q66" s="8">
        <f t="shared" si="21"/>
        <v>0</v>
      </c>
      <c r="R66" s="8">
        <f t="shared" si="21"/>
        <v>0</v>
      </c>
      <c r="S66" s="7"/>
      <c r="T66" s="7"/>
      <c r="U66" s="7"/>
      <c r="V66" s="7"/>
    </row>
    <row r="67" spans="1:23">
      <c r="A67" s="35" t="s">
        <v>95</v>
      </c>
      <c r="B67" s="8">
        <f>B66+B55</f>
        <v>0</v>
      </c>
      <c r="C67" s="8">
        <f t="shared" ref="C67:R67" si="22">C66+C55</f>
        <v>0</v>
      </c>
      <c r="D67" s="8">
        <f t="shared" si="22"/>
        <v>0</v>
      </c>
      <c r="E67" s="8">
        <f t="shared" si="22"/>
        <v>0</v>
      </c>
      <c r="F67" s="8">
        <f t="shared" si="22"/>
        <v>0</v>
      </c>
      <c r="G67" s="8">
        <f t="shared" si="22"/>
        <v>0</v>
      </c>
      <c r="H67" s="8">
        <f t="shared" si="22"/>
        <v>0</v>
      </c>
      <c r="I67" s="8">
        <f t="shared" si="22"/>
        <v>0</v>
      </c>
      <c r="J67" s="8">
        <f t="shared" si="22"/>
        <v>0</v>
      </c>
      <c r="K67" s="8">
        <f t="shared" si="22"/>
        <v>0</v>
      </c>
      <c r="L67" s="8">
        <f t="shared" si="22"/>
        <v>0</v>
      </c>
      <c r="M67" s="8">
        <f t="shared" si="22"/>
        <v>0</v>
      </c>
      <c r="N67" s="8">
        <f t="shared" si="22"/>
        <v>0</v>
      </c>
      <c r="O67" s="8">
        <f t="shared" si="22"/>
        <v>0</v>
      </c>
      <c r="P67" s="8">
        <f t="shared" si="22"/>
        <v>0</v>
      </c>
      <c r="Q67" s="8">
        <f t="shared" si="22"/>
        <v>0</v>
      </c>
      <c r="R67" s="8">
        <f t="shared" si="22"/>
        <v>0</v>
      </c>
      <c r="S67" s="7"/>
      <c r="T67" s="7"/>
      <c r="U67" s="7"/>
      <c r="V67" s="7"/>
    </row>
    <row r="68" spans="1:23">
      <c r="A68" s="9" t="s">
        <v>96</v>
      </c>
      <c r="B68" s="116"/>
      <c r="C68" s="116"/>
      <c r="D68" s="7"/>
      <c r="E68" s="128"/>
      <c r="F68" s="128"/>
      <c r="G68" s="7"/>
      <c r="H68" s="128"/>
      <c r="I68" s="128"/>
      <c r="J68" s="7"/>
      <c r="K68" s="128"/>
      <c r="L68" s="116"/>
      <c r="M68" s="116"/>
      <c r="N68" s="116"/>
      <c r="O68" s="116"/>
      <c r="P68" s="7">
        <f t="shared" ref="P68:P77" si="23">SUM(J68:O68)+D68+G68</f>
        <v>0</v>
      </c>
      <c r="Q68" s="116"/>
      <c r="R68" s="7">
        <f t="shared" si="20"/>
        <v>0</v>
      </c>
      <c r="S68" s="7"/>
      <c r="T68" s="7"/>
      <c r="U68" s="7"/>
      <c r="V68" s="7"/>
    </row>
    <row r="69" spans="1:23">
      <c r="A69" s="182" t="s">
        <v>600</v>
      </c>
      <c r="B69" s="194"/>
      <c r="C69" s="6">
        <f>IF(ISERROR(GETPIVOTDATA(抵消分录!$I:$K,"实收资本（或股本） 1 求和项:借方金额")),0,-GETPIVOTDATA(抵消分录!$I:$K,"实收资本（或股本） 1 求和项:借方金额")+GETPIVOTDATA(抵消分录!$I:$K,"实收资本（或股本） 1 求和项:贷方金额"))</f>
        <v>0</v>
      </c>
      <c r="D69" s="7">
        <f t="shared" ref="D69:D77" si="24">B69+C69</f>
        <v>0</v>
      </c>
      <c r="E69" s="194"/>
      <c r="F69" s="194">
        <f>IF(ISERROR(GETPIVOTDATA(抵消分录!$I:$K,"实收资本（或股本） 4 求和项:借方金额")),0,-GETPIVOTDATA(抵消分录!$I:$K,"实收资本（或股本） 4 求和项:借方金额")+GETPIVOTDATA(抵消分录!$I:$K,"实收资本（或股本） 4 求和项:贷方金额"))</f>
        <v>0</v>
      </c>
      <c r="G69" s="7">
        <f t="shared" ref="G69:G77" si="25">E69+F69</f>
        <v>0</v>
      </c>
      <c r="H69" s="194"/>
      <c r="I69" s="128">
        <f>IF(ISERROR(GETPIVOTDATA(抵消分录!$I:$K,"实收资本（或股本） 5 求和项:借方金额")),0,-GETPIVOTDATA(抵消分录!$I:$K,"实收资本（或股本） 5 求和项:借方金额")+GETPIVOTDATA(抵消分录!$I:$K,"实收资本（或股本） 5 求和项:贷方金额"))</f>
        <v>0</v>
      </c>
      <c r="J69" s="7">
        <f>H69+I69</f>
        <v>0</v>
      </c>
      <c r="K69" s="194"/>
      <c r="L69" s="194"/>
      <c r="M69" s="194"/>
      <c r="N69" s="6"/>
      <c r="O69" s="194"/>
      <c r="P69" s="7">
        <f t="shared" si="23"/>
        <v>0</v>
      </c>
      <c r="Q69" s="128">
        <f>IF(ISERROR(GETPIVOTDATA(抵消分录!$I:$K,"实收资本（或股本） 2 求和项:借方金额")),0,-GETPIVOTDATA(抵消分录!$I:$K,"实收资本（或股本） 2 求和项:借方金额")+GETPIVOTDATA(抵消分录!$I:$K,"实收资本（或股本） 2 求和项:贷方金额"))</f>
        <v>0</v>
      </c>
      <c r="R69" s="7">
        <f>P69+Q69</f>
        <v>0</v>
      </c>
      <c r="S69" s="7"/>
      <c r="T69" s="7"/>
      <c r="U69" s="7"/>
      <c r="V69" s="7"/>
      <c r="W69" s="248"/>
    </row>
    <row r="70" spans="1:23">
      <c r="A70" s="182" t="s">
        <v>383</v>
      </c>
      <c r="B70" s="194"/>
      <c r="C70" s="6">
        <f>IF(ISERROR(GETPIVOTDATA(抵消分录!$I:$K,"其他权益工具 1 求和项:借方金额")),0,-GETPIVOTDATA(抵消分录!$I:$K,"其他权益工具 1 求和项:借方金额")+GETPIVOTDATA(抵消分录!$I:$K,"其他权益工具 1 求和项:贷方金额"))</f>
        <v>0</v>
      </c>
      <c r="D70" s="7">
        <f>B70+C70</f>
        <v>0</v>
      </c>
      <c r="E70" s="194"/>
      <c r="F70" s="128">
        <f>IF(ISERROR(GETPIVOTDATA(抵消分录!$I:$K,"其他权益工具 4 求和项:借方金额")),0,-GETPIVOTDATA(抵消分录!$I:$K,"其他权益工具 4 求和项:借方金额")+GETPIVOTDATA(抵消分录!$I:$K,"其他权益工具 4 求和项:贷方金额"))</f>
        <v>0</v>
      </c>
      <c r="G70" s="7">
        <f t="shared" si="25"/>
        <v>0</v>
      </c>
      <c r="H70" s="194"/>
      <c r="I70" s="128">
        <f>IF(ISERROR(GETPIVOTDATA(抵消分录!$I:$K,"其他权益工具 5 求和项:借方金额")),0,-GETPIVOTDATA(抵消分录!$I:$K,"其他权益工具 5 求和项:借方金额")+GETPIVOTDATA(抵消分录!$I:$K,"其他权益工具 5 求和项:贷方金额"))</f>
        <v>0</v>
      </c>
      <c r="J70" s="7">
        <f>H70+I70</f>
        <v>0</v>
      </c>
      <c r="K70" s="194"/>
      <c r="L70" s="194"/>
      <c r="M70" s="194"/>
      <c r="N70" s="6"/>
      <c r="O70" s="194"/>
      <c r="P70" s="7">
        <f t="shared" si="23"/>
        <v>0</v>
      </c>
      <c r="Q70" s="6">
        <f>IF(ISERROR(GETPIVOTDATA(抵消分录!$I:$K,"其他权益工具 2 求和项:借方金额")),0,-GETPIVOTDATA(抵消分录!$I:$K,"其他权益工具 2 求和项:借方金额")+GETPIVOTDATA(抵消分录!$I:$K,"其他权益工具 2 求和项:贷方金额"))</f>
        <v>0</v>
      </c>
      <c r="R70" s="7">
        <f>P70+Q70</f>
        <v>0</v>
      </c>
      <c r="S70" s="7"/>
      <c r="T70" s="7"/>
      <c r="U70" s="7"/>
      <c r="V70" s="7"/>
      <c r="W70" s="248"/>
    </row>
    <row r="71" spans="1:23">
      <c r="A71" s="181" t="s">
        <v>406</v>
      </c>
      <c r="B71" s="194"/>
      <c r="C71" s="6"/>
      <c r="D71" s="7"/>
      <c r="E71" s="194"/>
      <c r="F71" s="128"/>
      <c r="G71" s="7"/>
      <c r="H71" s="194"/>
      <c r="I71" s="128"/>
      <c r="J71" s="7"/>
      <c r="K71" s="194"/>
      <c r="L71" s="194"/>
      <c r="M71" s="194"/>
      <c r="N71" s="6"/>
      <c r="O71" s="194"/>
      <c r="P71" s="7">
        <f t="shared" si="23"/>
        <v>0</v>
      </c>
      <c r="Q71" s="6"/>
      <c r="R71" s="7">
        <f>P71+Q71</f>
        <v>0</v>
      </c>
      <c r="S71" s="7"/>
      <c r="T71" s="7"/>
      <c r="U71" s="7"/>
      <c r="V71" s="7"/>
      <c r="W71" s="248"/>
    </row>
    <row r="72" spans="1:23">
      <c r="A72" s="183" t="s">
        <v>408</v>
      </c>
      <c r="B72" s="194"/>
      <c r="C72" s="6"/>
      <c r="D72" s="7"/>
      <c r="E72" s="194"/>
      <c r="F72" s="128"/>
      <c r="G72" s="7"/>
      <c r="H72" s="194"/>
      <c r="I72" s="128"/>
      <c r="J72" s="7"/>
      <c r="K72" s="194"/>
      <c r="L72" s="194"/>
      <c r="M72" s="194"/>
      <c r="N72" s="6"/>
      <c r="O72" s="194"/>
      <c r="P72" s="7">
        <f t="shared" si="23"/>
        <v>0</v>
      </c>
      <c r="Q72" s="6"/>
      <c r="R72" s="7">
        <f>P72+Q72</f>
        <v>0</v>
      </c>
      <c r="S72" s="7"/>
      <c r="T72" s="7"/>
      <c r="U72" s="7"/>
      <c r="V72" s="7"/>
      <c r="W72" s="248"/>
    </row>
    <row r="73" spans="1:23">
      <c r="A73" s="182" t="s">
        <v>498</v>
      </c>
      <c r="B73" s="194"/>
      <c r="C73" s="6">
        <f>IF(ISERROR(GETPIVOTDATA(抵消分录!$I:$K,"资本公积 1 求和项:借方金额")),0,-GETPIVOTDATA(抵消分录!$I:$K,"资本公积 1 求和项:借方金额")+GETPIVOTDATA(抵消分录!$I:$K,"资本公积 1 求和项:贷方金额"))</f>
        <v>0</v>
      </c>
      <c r="D73" s="7">
        <f t="shared" si="24"/>
        <v>0</v>
      </c>
      <c r="E73" s="194"/>
      <c r="F73" s="128">
        <f>IF(ISERROR(GETPIVOTDATA(抵消分录!$I:$K,"资本公积 4 求和项:借方金额")),0,-GETPIVOTDATA(抵消分录!$I:$K,"资本公积 4 求和项:借方金额")+GETPIVOTDATA(抵消分录!$I:$K,"资本公积 4 求和项:贷方金额"))</f>
        <v>0</v>
      </c>
      <c r="G73" s="7">
        <f t="shared" si="25"/>
        <v>0</v>
      </c>
      <c r="H73" s="194"/>
      <c r="I73" s="128">
        <f>IF(ISERROR(GETPIVOTDATA(抵消分录!$I:$K,"资本公积 5 求和项:借方金额")),0,-GETPIVOTDATA(抵消分录!$I:$K,"资本公积 5 求和项:借方金额")+GETPIVOTDATA(抵消分录!$I:$K,"资本公积 5 求和项:贷方金额"))</f>
        <v>0</v>
      </c>
      <c r="J73" s="7">
        <f>H73+I73</f>
        <v>0</v>
      </c>
      <c r="K73" s="194"/>
      <c r="L73" s="194"/>
      <c r="M73" s="194"/>
      <c r="N73" s="6"/>
      <c r="O73" s="194"/>
      <c r="P73" s="7">
        <f t="shared" si="23"/>
        <v>0</v>
      </c>
      <c r="Q73" s="6">
        <f>IF(ISERROR(GETPIVOTDATA(抵消分录!$I:$K,"资本公积 2 求和项:借方金额")),0,-GETPIVOTDATA(抵消分录!$I:$K,"资本公积 2 求和项:借方金额")+GETPIVOTDATA(抵消分录!$I:$K,"资本公积 2 求和项:贷方金额"))</f>
        <v>0</v>
      </c>
      <c r="R73" s="7">
        <f>P73+Q73</f>
        <v>0</v>
      </c>
      <c r="S73" s="7"/>
      <c r="T73" s="7"/>
      <c r="U73" s="7"/>
      <c r="V73" s="7"/>
      <c r="W73" s="248"/>
    </row>
    <row r="74" spans="1:23">
      <c r="A74" s="181" t="s">
        <v>499</v>
      </c>
      <c r="B74" s="194"/>
      <c r="C74" s="6">
        <f>IF(ISERROR(GETPIVOTDATA(抵消分录!$I:$K,"库存股 1 求和项:借方金额")),0,-GETPIVOTDATA(抵消分录!$I:$K,"库存股 1 求和项:借方金额")+GETPIVOTDATA(抵消分录!$I:$K,"库存股 1 求和项:贷方金额"))</f>
        <v>0</v>
      </c>
      <c r="D74" s="7">
        <f t="shared" si="24"/>
        <v>0</v>
      </c>
      <c r="E74" s="194"/>
      <c r="F74" s="128">
        <f>IF(ISERROR(GETPIVOTDATA(抵消分录!$I:$K,"库存股 4 求和项:借方金额")),0,-GETPIVOTDATA(抵消分录!$I:$K,"库存股 4 求和项:借方金额")+GETPIVOTDATA(抵消分录!$I:$K,"库存股 4 求和项:贷方金额"))</f>
        <v>0</v>
      </c>
      <c r="G74" s="7">
        <f t="shared" si="25"/>
        <v>0</v>
      </c>
      <c r="H74" s="194"/>
      <c r="I74" s="128">
        <f>IF(ISERROR(GETPIVOTDATA(抵消分录!$I:$K,"库存股 5 求和项:借方金额")),0,-GETPIVOTDATA(抵消分录!$I:$K,"库存股 5 求和项:借方金额")+GETPIVOTDATA(抵消分录!$I:$K,"库存股 5 求和项:贷方金额"))</f>
        <v>0</v>
      </c>
      <c r="J74" s="7">
        <f>H74+I74</f>
        <v>0</v>
      </c>
      <c r="K74" s="194"/>
      <c r="L74" s="194"/>
      <c r="M74" s="194"/>
      <c r="N74" s="6"/>
      <c r="O74" s="194"/>
      <c r="P74" s="7">
        <f t="shared" si="23"/>
        <v>0</v>
      </c>
      <c r="Q74" s="6">
        <f>IF(ISERROR(GETPIVOTDATA(抵消分录!$I:$K,"库存股 2 求和项:借方金额")),0,-GETPIVOTDATA(抵消分录!$I:$K,"库存股 2 求和项:借方金额")+GETPIVOTDATA(抵消分录!$I:$K,"库存股 2 求和项:贷方金额"))</f>
        <v>0</v>
      </c>
      <c r="R74" s="7">
        <f t="shared" si="20"/>
        <v>0</v>
      </c>
      <c r="S74" s="7"/>
      <c r="T74" s="7"/>
      <c r="U74" s="7"/>
      <c r="V74" s="7"/>
      <c r="W74" s="248"/>
    </row>
    <row r="75" spans="1:23">
      <c r="A75" s="182" t="s">
        <v>500</v>
      </c>
      <c r="B75" s="195"/>
      <c r="C75" s="128">
        <f>IF(ISERROR(GETPIVOTDATA(抵消分录!$I:$K,"其他综合收益 1 求和项:借方金额")),0,-GETPIVOTDATA(抵消分录!$I:$K,"其他综合收益 1 求和项:借方金额")+GETPIVOTDATA(抵消分录!$I:$K,"其他综合收益 1 求和项:贷方金额"))</f>
        <v>0</v>
      </c>
      <c r="D75" s="7">
        <f t="shared" si="24"/>
        <v>0</v>
      </c>
      <c r="E75" s="195"/>
      <c r="F75" s="128">
        <f>IF(ISERROR(GETPIVOTDATA(抵消分录!$I:$K,"其他综合收益 4 求和项:借方金额")),0,-GETPIVOTDATA(抵消分录!$I:$K,"其他综合收益 4 求和项:借方金额")+GETPIVOTDATA(抵消分录!$I:$K,"其他综合收益 4 求和项:贷方金额"))</f>
        <v>0</v>
      </c>
      <c r="G75" s="7">
        <f t="shared" si="25"/>
        <v>0</v>
      </c>
      <c r="H75" s="195"/>
      <c r="I75" s="128">
        <f>IF(ISERROR(GETPIVOTDATA(抵消分录!$I:$K,"其他综合收益 5 求和项:借方金额")),0,-GETPIVOTDATA(抵消分录!$I:$K,"其他综合收益 5 求和项:借方金额")+GETPIVOTDATA(抵消分录!$I:$K,"其他综合收益 5 求和项:贷方金额"))</f>
        <v>0</v>
      </c>
      <c r="J75" s="7">
        <f>H75+I75</f>
        <v>0</v>
      </c>
      <c r="K75" s="195"/>
      <c r="L75" s="195"/>
      <c r="M75" s="195"/>
      <c r="N75" s="6"/>
      <c r="O75" s="195"/>
      <c r="P75" s="7">
        <f t="shared" si="23"/>
        <v>0</v>
      </c>
      <c r="Q75" s="6">
        <f>IF(ISERROR(GETPIVOTDATA(抵消分录!$I:$K,"其他综合收益 2 求和项:借方金额")),0,-GETPIVOTDATA(抵消分录!$I:$K,"其他综合收益 2 求和项:借方金额")+GETPIVOTDATA(抵消分录!$I:$K,"其他综合收益 2 求和项:贷方金额"))</f>
        <v>0</v>
      </c>
      <c r="R75" s="7">
        <f t="shared" si="20"/>
        <v>0</v>
      </c>
      <c r="S75" s="7"/>
      <c r="T75" s="7"/>
      <c r="U75" s="7"/>
      <c r="V75" s="7"/>
      <c r="W75" s="248"/>
    </row>
    <row r="76" spans="1:23">
      <c r="A76" s="182" t="s">
        <v>517</v>
      </c>
      <c r="B76" s="195"/>
      <c r="C76" s="6">
        <f>IF(ISERROR(GETPIVOTDATA(抵消分录!$I:$K,"盈余公积 1 求和项:借方金额")),0,-GETPIVOTDATA(抵消分录!$I:$K,"盈余公积 1 求和项:借方金额")+GETPIVOTDATA(抵消分录!$I:$K,"盈余公积 1 求和项:贷方金额"))</f>
        <v>0</v>
      </c>
      <c r="D76" s="7">
        <f t="shared" si="24"/>
        <v>0</v>
      </c>
      <c r="E76" s="195"/>
      <c r="F76" s="195">
        <f>IF(ISERROR(GETPIVOTDATA(抵消分录!$I:$K,"盈余公积 4 求和项:借方金额")),0,-GETPIVOTDATA(抵消分录!$I:$K,"盈余公积 4 求和项:借方金额")+GETPIVOTDATA(抵消分录!$I:$K,"盈余公积 4 求和项:贷方金额"))</f>
        <v>0</v>
      </c>
      <c r="G76" s="7">
        <f t="shared" si="25"/>
        <v>0</v>
      </c>
      <c r="H76" s="195"/>
      <c r="I76" s="128">
        <f>IF(ISERROR(GETPIVOTDATA(抵消分录!$I:$K,"盈余公积 5 求和项:借方金额")),0,-GETPIVOTDATA(抵消分录!$I:$K,"盈余公积 5 求和项:借方金额")+GETPIVOTDATA(抵消分录!$I:$K,"盈余公积 5 求和项:贷方金额"))</f>
        <v>0</v>
      </c>
      <c r="J76" s="7">
        <f>H76+I76</f>
        <v>0</v>
      </c>
      <c r="K76" s="195"/>
      <c r="L76" s="195"/>
      <c r="M76" s="195"/>
      <c r="N76" s="6"/>
      <c r="O76" s="195"/>
      <c r="P76" s="7">
        <f t="shared" si="23"/>
        <v>0</v>
      </c>
      <c r="Q76" s="6">
        <f>IF(ISERROR(GETPIVOTDATA(抵消分录!$I:$K,"盈余公积 2 求和项:借方金额")),0,-GETPIVOTDATA(抵消分录!$I:$K,"盈余公积 2 求和项:借方金额")+GETPIVOTDATA(抵消分录!$I:$K,"盈余公积 2 求和项:贷方金额"))</f>
        <v>0</v>
      </c>
      <c r="R76" s="7">
        <f>P76+Q76</f>
        <v>0</v>
      </c>
      <c r="S76" s="7"/>
      <c r="T76" s="7"/>
      <c r="U76" s="7"/>
      <c r="V76" s="7"/>
      <c r="W76" s="248"/>
    </row>
    <row r="77" spans="1:23">
      <c r="A77" s="182" t="s">
        <v>516</v>
      </c>
      <c r="B77" s="195"/>
      <c r="C77" s="6">
        <f>IF(ISERROR(GETPIVOTDATA(抵消分录!$I:$K,"未分配利润 1 求和项:借方金额")),0,-GETPIVOTDATA(抵消分录!$I:$K,"未分配利润 1 求和项:借方金额")+IF(ISERROR(GETPIVOTDATA(抵消分录!$I:$K,"未分配利润 1 求和项:贷方金额")),0,GETPIVOTDATA(抵消分录!$I:$K,"未分配利润 1 求和项:贷方金额")))+C123</f>
        <v>0</v>
      </c>
      <c r="D77" s="7">
        <f t="shared" si="24"/>
        <v>0</v>
      </c>
      <c r="E77" s="201"/>
      <c r="F77" s="201">
        <f>IF(ISERROR(GETPIVOTDATA(抵消分录!$I:$K,"未分配利润 4 求和项:借方金额")),0,-GETPIVOTDATA(抵消分录!$I:$K,"未分配利润 4 求和项:借方金额")+IF(ISERROR(GETPIVOTDATA(抵消分录!$I:$K,"未分配利润 4 求和项:贷方金额")),0,GETPIVOTDATA(抵消分录!$I:$K,"未分配利润 4 求和项:贷方金额")))+F123</f>
        <v>0</v>
      </c>
      <c r="G77" s="7">
        <f t="shared" si="25"/>
        <v>0</v>
      </c>
      <c r="H77" s="195"/>
      <c r="I77" s="128">
        <f>IF(ISERROR(GETPIVOTDATA(抵消分录!$I:$K,"未分配利润 5 求和项:借方金额")),0,-GETPIVOTDATA(抵消分录!$I:$K,"未分配利润 5 求和项:借方金额")+IF(ISERROR(GETPIVOTDATA(抵消分录!$I:$K,"未分配利润 5 求和项:贷方金额")),0,GETPIVOTDATA(抵消分录!$I:$K,"未分配利润 5 求和项:贷方金额")))+I123</f>
        <v>0</v>
      </c>
      <c r="J77" s="7">
        <f>H77+I77</f>
        <v>0</v>
      </c>
      <c r="K77" s="195"/>
      <c r="L77" s="195"/>
      <c r="M77" s="195"/>
      <c r="N77" s="6"/>
      <c r="O77" s="195"/>
      <c r="P77" s="7">
        <f t="shared" si="23"/>
        <v>0</v>
      </c>
      <c r="Q77" s="6">
        <f>IF(ISERROR(GETPIVOTDATA(抵消分录!$I:$K,"未分配利润 2 求和项:借方金额")),0,GETPIVOTDATA(抵消分录!$I:$K,"未分配利润 2 求和项:借方金额")+GETPIVOTDATA(抵消分录!$I:$K,"未分配利润 2 求和项:贷方金额"))+Q123</f>
        <v>0</v>
      </c>
      <c r="R77" s="7">
        <f>ROUND(P77+Q77,2)</f>
        <v>0</v>
      </c>
      <c r="S77" s="128"/>
      <c r="T77" s="128"/>
      <c r="U77" s="7">
        <f>R77</f>
        <v>0</v>
      </c>
      <c r="V77" s="7">
        <f>L77</f>
        <v>0</v>
      </c>
      <c r="W77" s="248"/>
    </row>
    <row r="78" spans="1:23">
      <c r="A78" s="35" t="s">
        <v>97</v>
      </c>
      <c r="B78" s="8">
        <f>B77+B75+B73+B69+B70+B76</f>
        <v>0</v>
      </c>
      <c r="C78" s="8">
        <f t="shared" ref="C78" si="26">C77+C75+C73+C69+C70+C76</f>
        <v>0</v>
      </c>
      <c r="D78" s="8">
        <f>D77+D75+D73+D69+D70+D76-D74</f>
        <v>0</v>
      </c>
      <c r="E78" s="8">
        <f t="shared" ref="E78:R78" si="27">E77+E75+E73+E69+E70+E76-E74</f>
        <v>0</v>
      </c>
      <c r="F78" s="8">
        <f t="shared" si="27"/>
        <v>0</v>
      </c>
      <c r="G78" s="8">
        <f t="shared" si="27"/>
        <v>0</v>
      </c>
      <c r="H78" s="8">
        <f t="shared" si="27"/>
        <v>0</v>
      </c>
      <c r="I78" s="8">
        <f t="shared" si="27"/>
        <v>0</v>
      </c>
      <c r="J78" s="8">
        <f t="shared" si="27"/>
        <v>0</v>
      </c>
      <c r="K78" s="8">
        <f t="shared" si="27"/>
        <v>0</v>
      </c>
      <c r="L78" s="8">
        <f t="shared" si="27"/>
        <v>0</v>
      </c>
      <c r="M78" s="8">
        <f t="shared" si="27"/>
        <v>0</v>
      </c>
      <c r="N78" s="8">
        <f t="shared" si="27"/>
        <v>0</v>
      </c>
      <c r="O78" s="8">
        <f t="shared" si="27"/>
        <v>0</v>
      </c>
      <c r="P78" s="8">
        <f t="shared" si="27"/>
        <v>0</v>
      </c>
      <c r="Q78" s="8">
        <f t="shared" si="27"/>
        <v>0</v>
      </c>
      <c r="R78" s="8">
        <f t="shared" si="27"/>
        <v>0</v>
      </c>
      <c r="S78" s="7"/>
      <c r="T78" s="7"/>
      <c r="U78" s="7"/>
      <c r="V78" s="7"/>
    </row>
    <row r="79" spans="1:23">
      <c r="A79" s="182" t="s">
        <v>501</v>
      </c>
      <c r="B79" s="6"/>
      <c r="C79" s="6">
        <f>IF(ISERROR(GETPIVOTDATA(抵消分录!$I:$K,"少数股东权益 1 求和项:借方金额")),0,-GETPIVOTDATA(抵消分录!$I:$K,"少数股东权益 1 求和项:借方金额")+GETPIVOTDATA(抵消分录!$I:$K,"少数股东权益 1 求和项:贷方金额"))</f>
        <v>0</v>
      </c>
      <c r="D79" s="7">
        <f>B79+C79</f>
        <v>0</v>
      </c>
      <c r="E79" s="128"/>
      <c r="F79" s="128">
        <f>IF(ISERROR(GETPIVOTDATA(抵消分录!$I:$K,"少数股东权益 4 求和项:借方金额")),0,-GETPIVOTDATA(抵消分录!$I:$K,"少数股东权益 4 求和项:借方金额")+GETPIVOTDATA(抵消分录!$I:$K,"少数股东权益 4 求和项:贷方金额"))</f>
        <v>0</v>
      </c>
      <c r="G79" s="7">
        <f>E79+F79</f>
        <v>0</v>
      </c>
      <c r="H79" s="128"/>
      <c r="I79" s="128">
        <f>IF(ISERROR(GETPIVOTDATA(抵消分录!$I:$K,"少数股东权益 5 求和项:借方金额")),0,-GETPIVOTDATA(抵消分录!$I:$K,"少数股东权益 5 求和项:借方金额")+GETPIVOTDATA(抵消分录!$I:$K,"少数股东权益 5 求和项:贷方金额"))</f>
        <v>0</v>
      </c>
      <c r="J79" s="7">
        <f>H79+I79</f>
        <v>0</v>
      </c>
      <c r="K79" s="128"/>
      <c r="L79" s="7">
        <f>C79+D79</f>
        <v>0</v>
      </c>
      <c r="M79" s="7">
        <f>D79+L79</f>
        <v>0</v>
      </c>
      <c r="N79" s="7">
        <f t="shared" ref="N79:R79" si="28">E79+M79</f>
        <v>0</v>
      </c>
      <c r="O79" s="7">
        <f t="shared" si="28"/>
        <v>0</v>
      </c>
      <c r="P79" s="7">
        <f t="shared" si="28"/>
        <v>0</v>
      </c>
      <c r="Q79" s="7">
        <f t="shared" si="28"/>
        <v>0</v>
      </c>
      <c r="R79" s="7">
        <f t="shared" si="28"/>
        <v>0</v>
      </c>
      <c r="S79" s="7"/>
      <c r="T79" s="7"/>
      <c r="U79" s="7"/>
      <c r="V79" s="7"/>
    </row>
    <row r="80" spans="1:23">
      <c r="A80" s="35" t="s">
        <v>98</v>
      </c>
      <c r="B80" s="8">
        <f>SUM(B78:B79)</f>
        <v>0</v>
      </c>
      <c r="C80" s="8">
        <f t="shared" ref="C80:O80" si="29">SUM(C78:C79)</f>
        <v>0</v>
      </c>
      <c r="D80" s="8">
        <f t="shared" si="29"/>
        <v>0</v>
      </c>
      <c r="E80" s="8">
        <f t="shared" si="29"/>
        <v>0</v>
      </c>
      <c r="F80" s="8">
        <f t="shared" si="29"/>
        <v>0</v>
      </c>
      <c r="G80" s="8">
        <f t="shared" si="29"/>
        <v>0</v>
      </c>
      <c r="H80" s="8">
        <f t="shared" si="29"/>
        <v>0</v>
      </c>
      <c r="I80" s="8">
        <f t="shared" si="29"/>
        <v>0</v>
      </c>
      <c r="J80" s="8">
        <f t="shared" si="29"/>
        <v>0</v>
      </c>
      <c r="K80" s="8">
        <f t="shared" si="29"/>
        <v>0</v>
      </c>
      <c r="L80" s="8">
        <f t="shared" si="29"/>
        <v>0</v>
      </c>
      <c r="M80" s="8">
        <f t="shared" si="29"/>
        <v>0</v>
      </c>
      <c r="N80" s="8">
        <f t="shared" si="29"/>
        <v>0</v>
      </c>
      <c r="O80" s="8">
        <f t="shared" si="29"/>
        <v>0</v>
      </c>
      <c r="P80" s="8">
        <f t="shared" ref="P80:R80" si="30">SUM(P78:P79)</f>
        <v>0</v>
      </c>
      <c r="Q80" s="8">
        <f t="shared" si="30"/>
        <v>0</v>
      </c>
      <c r="R80" s="8">
        <f t="shared" si="30"/>
        <v>0</v>
      </c>
      <c r="S80" s="7"/>
      <c r="T80" s="7"/>
      <c r="U80" s="7"/>
      <c r="V80" s="7"/>
    </row>
    <row r="81" spans="1:22">
      <c r="A81" s="35" t="s">
        <v>99</v>
      </c>
      <c r="B81" s="8">
        <f>B80+B67</f>
        <v>0</v>
      </c>
      <c r="C81" s="8">
        <f t="shared" ref="C81:O81" si="31">C80+C67</f>
        <v>0</v>
      </c>
      <c r="D81" s="8">
        <f t="shared" si="31"/>
        <v>0</v>
      </c>
      <c r="E81" s="8">
        <f t="shared" si="31"/>
        <v>0</v>
      </c>
      <c r="F81" s="8">
        <f>F80+F67</f>
        <v>0</v>
      </c>
      <c r="G81" s="8">
        <f t="shared" si="31"/>
        <v>0</v>
      </c>
      <c r="H81" s="8">
        <f t="shared" si="31"/>
        <v>0</v>
      </c>
      <c r="I81" s="8">
        <f t="shared" si="31"/>
        <v>0</v>
      </c>
      <c r="J81" s="8">
        <f t="shared" si="31"/>
        <v>0</v>
      </c>
      <c r="K81" s="8">
        <f t="shared" si="31"/>
        <v>0</v>
      </c>
      <c r="L81" s="8">
        <f t="shared" si="31"/>
        <v>0</v>
      </c>
      <c r="M81" s="8">
        <f t="shared" si="31"/>
        <v>0</v>
      </c>
      <c r="N81" s="8">
        <f t="shared" si="31"/>
        <v>0</v>
      </c>
      <c r="O81" s="8">
        <f t="shared" si="31"/>
        <v>0</v>
      </c>
      <c r="P81" s="8">
        <f t="shared" ref="P81:R81" si="32">P80+P67</f>
        <v>0</v>
      </c>
      <c r="Q81" s="8">
        <f>Q80+Q67</f>
        <v>0</v>
      </c>
      <c r="R81" s="8">
        <f t="shared" si="32"/>
        <v>0</v>
      </c>
      <c r="S81" s="7"/>
      <c r="T81" s="7"/>
      <c r="U81" s="7"/>
      <c r="V81" s="7"/>
    </row>
    <row r="82" spans="1:22" s="33" customFormat="1">
      <c r="A82" s="37" t="s">
        <v>122</v>
      </c>
      <c r="B82" s="16">
        <f t="shared" ref="B82:V82" si="33">B81-B39</f>
        <v>0</v>
      </c>
      <c r="C82" s="16">
        <f t="shared" si="33"/>
        <v>0</v>
      </c>
      <c r="D82" s="16">
        <f t="shared" si="33"/>
        <v>0</v>
      </c>
      <c r="E82" s="16">
        <f t="shared" si="33"/>
        <v>0</v>
      </c>
      <c r="F82" s="16">
        <f t="shared" si="33"/>
        <v>0</v>
      </c>
      <c r="G82" s="16">
        <f t="shared" si="33"/>
        <v>0</v>
      </c>
      <c r="H82" s="16">
        <f t="shared" si="33"/>
        <v>0</v>
      </c>
      <c r="I82" s="16">
        <f t="shared" si="33"/>
        <v>0</v>
      </c>
      <c r="J82" s="16">
        <f t="shared" si="33"/>
        <v>0</v>
      </c>
      <c r="K82" s="16">
        <f t="shared" si="33"/>
        <v>0</v>
      </c>
      <c r="L82" s="16">
        <f t="shared" si="33"/>
        <v>0</v>
      </c>
      <c r="M82" s="16">
        <f t="shared" si="33"/>
        <v>0</v>
      </c>
      <c r="N82" s="16">
        <f t="shared" si="33"/>
        <v>0</v>
      </c>
      <c r="O82" s="16">
        <f t="shared" si="33"/>
        <v>0</v>
      </c>
      <c r="P82" s="16">
        <f t="shared" si="33"/>
        <v>0</v>
      </c>
      <c r="Q82" s="16">
        <f t="shared" si="33"/>
        <v>0</v>
      </c>
      <c r="R82" s="16">
        <f t="shared" si="33"/>
        <v>0</v>
      </c>
      <c r="S82" s="16">
        <f t="shared" si="33"/>
        <v>0</v>
      </c>
      <c r="T82" s="16">
        <f t="shared" si="33"/>
        <v>0</v>
      </c>
      <c r="U82" s="16">
        <f t="shared" si="33"/>
        <v>0</v>
      </c>
      <c r="V82" s="16">
        <f t="shared" si="33"/>
        <v>0</v>
      </c>
    </row>
    <row r="83" spans="1:22">
      <c r="A83" s="165" t="s">
        <v>391</v>
      </c>
      <c r="B83" s="256"/>
      <c r="C83" s="256">
        <f>IF(ISERROR(GETPIVOTDATA(抵消分录!$I:$K,"营业收入 1 求和项:借方金额")),0,GETPIVOTDATA(抵消分录!$I:$K,"营业收入 1 求和项:借方金额")-GETPIVOTDATA(抵消分录!$I:$K,"营业收入 1 求和项:贷方金额"))</f>
        <v>0</v>
      </c>
      <c r="D83" s="8">
        <f>B83+C83</f>
        <v>0</v>
      </c>
      <c r="E83" s="256"/>
      <c r="F83" s="256">
        <f>IF(ISERROR(GETPIVOTDATA(抵消分录!$I:$K,"营业收入 4 求和项:借方金额")),0,GETPIVOTDATA(抵消分录!$I:$K,"营业收入 4 求和项:借方金额")-GETPIVOTDATA(抵消分录!$I:$K,"营业收入 4 求和项:贷方金额"))</f>
        <v>0</v>
      </c>
      <c r="G83" s="8">
        <f>E83+F83</f>
        <v>0</v>
      </c>
      <c r="H83" s="256"/>
      <c r="I83" s="256">
        <f>IF(ISERROR(GETPIVOTDATA(抵消分录!$I:$K,"营业收入 5 求和项:借方金额")),0,GETPIVOTDATA(抵消分录!$I:$K,"营业收入 5 求和项:借方金额")-GETPIVOTDATA(抵消分录!$I:$K,"营业收入 5 求和项:贷方金额"))</f>
        <v>0</v>
      </c>
      <c r="J83" s="8">
        <f>H83+I83</f>
        <v>0</v>
      </c>
      <c r="K83" s="256"/>
      <c r="L83" s="256"/>
      <c r="M83" s="256"/>
      <c r="N83" s="117"/>
      <c r="O83" s="256"/>
      <c r="P83" s="7">
        <f t="shared" ref="P83:P101" si="34">SUM(J83:O83)+D83+G83</f>
        <v>0</v>
      </c>
      <c r="Q83" s="8">
        <f>IF(ISERROR(GETPIVOTDATA(抵消分录!$I:$K,"营业收入 2 求和项:借方金额")),0,GETPIVOTDATA(抵消分录!$I:$K,"营业收入 2 求和项:贷方金额")-GETPIVOTDATA(抵消分录!$I:$K,"营业收入 2 求和项:借方金额"))</f>
        <v>0</v>
      </c>
      <c r="R83" s="8">
        <f>P83+Q83</f>
        <v>0</v>
      </c>
      <c r="S83" s="117"/>
      <c r="T83" s="117"/>
      <c r="U83" s="8">
        <f>S83+R83</f>
        <v>0</v>
      </c>
      <c r="V83" s="8">
        <f>T83+L83</f>
        <v>0</v>
      </c>
    </row>
    <row r="84" spans="1:22" s="10" customFormat="1">
      <c r="A84" s="171" t="s">
        <v>392</v>
      </c>
      <c r="B84" s="194"/>
      <c r="C84" s="194">
        <f>IF(ISERROR(GETPIVOTDATA(抵消分录!$I:$K,"营业成本 1 求和项:借方金额")),0,GETPIVOTDATA(抵消分录!$I:$K,"营业成本 1 求和项:借方金额")-GETPIVOTDATA(抵消分录!$I:$K,"营业成本 1 求和项:贷方金额"))</f>
        <v>0</v>
      </c>
      <c r="D84" s="7">
        <f t="shared" ref="D84:D101" si="35">B84+C84</f>
        <v>0</v>
      </c>
      <c r="E84" s="201"/>
      <c r="F84" s="201">
        <f>IF(ISERROR(GETPIVOTDATA(抵消分录!$I:$K,"营业成本 4 求和项:借方金额")),0,GETPIVOTDATA(抵消分录!$I:$K,"营业成本 4 求和项:借方金额")-GETPIVOTDATA(抵消分录!$I:$K,"营业成本 4 求和项:贷方金额"))</f>
        <v>0</v>
      </c>
      <c r="G84" s="7">
        <f>E84+F84</f>
        <v>0</v>
      </c>
      <c r="H84" s="194"/>
      <c r="I84" s="128">
        <f>IF(ISERROR(GETPIVOTDATA(抵消分录!$I:$K,"营业成本 5 求和项:借方金额")),0,GETPIVOTDATA(抵消分录!$I:$K,"营业成本 5 求和项:借方金额")-GETPIVOTDATA(抵消分录!$I:$K,"营业成本 5 求和项:贷方金额"))</f>
        <v>0</v>
      </c>
      <c r="J84" s="7">
        <f>H84+I84</f>
        <v>0</v>
      </c>
      <c r="K84" s="194"/>
      <c r="L84" s="194"/>
      <c r="M84" s="194"/>
      <c r="N84" s="15"/>
      <c r="O84" s="194"/>
      <c r="P84" s="7">
        <f t="shared" si="34"/>
        <v>0</v>
      </c>
      <c r="Q84" s="15">
        <f>IF(ISERROR(GETPIVOTDATA(抵消分录!$I:$K,"营业成本 2 求和项:借方金额")),0,GETPIVOTDATA(抵消分录!$I:$K,"营业成本 2 求和项:借方金额")-GETPIVOTDATA(抵消分录!$I:$K,"营业成本 2 求和项:贷方金额"))</f>
        <v>0</v>
      </c>
      <c r="R84" s="7">
        <f t="shared" si="20"/>
        <v>0</v>
      </c>
      <c r="S84" s="6"/>
      <c r="T84" s="6"/>
      <c r="U84" s="7">
        <f>S84+R84</f>
        <v>0</v>
      </c>
      <c r="V84" s="7">
        <f>T84+L84</f>
        <v>0</v>
      </c>
    </row>
    <row r="85" spans="1:22" s="10" customFormat="1">
      <c r="A85" s="170" t="s">
        <v>642</v>
      </c>
      <c r="B85" s="194"/>
      <c r="C85" s="194">
        <f>IF(ISERROR(GETPIVOTDATA(抵消分录!$I:$K,"税金及附加 1 求和项:借方金额")),0,GETPIVOTDATA(抵消分录!$I:$K,"税金及附加 1 求和项:借方金额")-GETPIVOTDATA(抵消分录!$I:$K,"税金及附加 1 求和项:贷方金额"))</f>
        <v>0</v>
      </c>
      <c r="D85" s="7">
        <f t="shared" si="35"/>
        <v>0</v>
      </c>
      <c r="E85" s="194"/>
      <c r="F85" s="194">
        <f>IF(ISERROR(GETPIVOTDATA(抵消分录!$I:$K,"税金及附加 4 求和项:借方金额")),0,GETPIVOTDATA(抵消分录!$I:$K,"税金及附加 4 求和项:借方金额")-GETPIVOTDATA(抵消分录!$I:$K,"税金及附加 4 求和项:贷方金额"))</f>
        <v>0</v>
      </c>
      <c r="G85" s="7">
        <f t="shared" ref="G85:G93" si="36">E85+F85</f>
        <v>0</v>
      </c>
      <c r="H85" s="194"/>
      <c r="I85" s="128">
        <f>IF(ISERROR(GETPIVOTDATA(抵消分录!$I:$K,"税金及附加 5 求和项:借方金额")),0,GETPIVOTDATA(抵消分录!$I:$K,"税金及附加 5 求和项:借方金额")-GETPIVOTDATA(抵消分录!$I:$K,"税金及附加 5 求和项:贷方金额"))</f>
        <v>0</v>
      </c>
      <c r="J85" s="7">
        <f t="shared" ref="J85:J93" si="37">H85+I85</f>
        <v>0</v>
      </c>
      <c r="K85" s="194"/>
      <c r="L85" s="194"/>
      <c r="M85" s="194"/>
      <c r="N85" s="15"/>
      <c r="O85" s="194"/>
      <c r="P85" s="7">
        <f t="shared" si="34"/>
        <v>0</v>
      </c>
      <c r="Q85" s="15">
        <f>IF(ISERROR(GETPIVOTDATA(抵消分录!$I:$K,"税金及附加 2 求和项:借方金额")),0,GETPIVOTDATA(抵消分录!$I:$K,"税金及附加 2 求和项:借方金额")-GETPIVOTDATA(抵消分录!$I:$K,"税金及附加 2 求和项:贷方金额"))</f>
        <v>0</v>
      </c>
      <c r="R85" s="7">
        <f t="shared" si="20"/>
        <v>0</v>
      </c>
      <c r="S85" s="6"/>
      <c r="T85" s="6"/>
      <c r="U85" s="7">
        <f t="shared" ref="U85:U149" si="38">S85+R85</f>
        <v>0</v>
      </c>
      <c r="V85" s="7">
        <f t="shared" ref="V85:V149" si="39">T85+L85</f>
        <v>0</v>
      </c>
    </row>
    <row r="86" spans="1:22" s="10" customFormat="1">
      <c r="A86" s="170" t="s">
        <v>393</v>
      </c>
      <c r="B86" s="194"/>
      <c r="C86" s="194">
        <f>IF(ISERROR(GETPIVOTDATA(抵消分录!$I:$K,"销售费用 1 求和项:借方金额")),0,GETPIVOTDATA(抵消分录!$I:$K,"销售费用 1 求和项:借方金额")-GETPIVOTDATA(抵消分录!$I:$K,"销售费用 1 求和项:贷方金额"))</f>
        <v>0</v>
      </c>
      <c r="D86" s="7">
        <f t="shared" si="35"/>
        <v>0</v>
      </c>
      <c r="E86" s="194"/>
      <c r="F86" s="194">
        <f>IF(ISERROR(GETPIVOTDATA(抵消分录!$I:$K,"销售费用 4 求和项:借方金额")),0,GETPIVOTDATA(抵消分录!$I:$K,"销售费用 4 求和项:借方金额")-GETPIVOTDATA(抵消分录!$I:$K,"销售费用 4 求和项:贷方金额"))</f>
        <v>0</v>
      </c>
      <c r="G86" s="7">
        <f t="shared" si="36"/>
        <v>0</v>
      </c>
      <c r="H86" s="194"/>
      <c r="I86" s="128">
        <f>IF(ISERROR(GETPIVOTDATA(抵消分录!$I:$K,"销售费用 5 求和项:借方金额")),0,GETPIVOTDATA(抵消分录!$I:$K,"销售费用 5 求和项:借方金额")-GETPIVOTDATA(抵消分录!$I:$K,"销售费用 5 求和项:贷方金额"))</f>
        <v>0</v>
      </c>
      <c r="J86" s="7">
        <f t="shared" si="37"/>
        <v>0</v>
      </c>
      <c r="K86" s="194"/>
      <c r="L86" s="194"/>
      <c r="M86" s="194"/>
      <c r="N86" s="15"/>
      <c r="O86" s="194"/>
      <c r="P86" s="7">
        <f t="shared" si="34"/>
        <v>0</v>
      </c>
      <c r="Q86" s="15">
        <f>IF(ISERROR(GETPIVOTDATA(抵消分录!$I:$K,"销售费用 2 求和项:借方金额")),0,GETPIVOTDATA(抵消分录!$I:$K,"销售费用 2 求和项:借方金额")-GETPIVOTDATA(抵消分录!$I:$K,"销售费用 2 求和项:贷方金额"))</f>
        <v>0</v>
      </c>
      <c r="R86" s="7">
        <f t="shared" si="20"/>
        <v>0</v>
      </c>
      <c r="S86" s="6"/>
      <c r="T86" s="6"/>
      <c r="U86" s="7">
        <f t="shared" si="38"/>
        <v>0</v>
      </c>
      <c r="V86" s="7">
        <f t="shared" si="39"/>
        <v>0</v>
      </c>
    </row>
    <row r="87" spans="1:22" s="10" customFormat="1">
      <c r="A87" s="170" t="s">
        <v>394</v>
      </c>
      <c r="B87" s="195"/>
      <c r="C87" s="195">
        <f>IF(ISERROR(GETPIVOTDATA(抵消分录!$I:$K,"管理费用 1 求和项:借方金额")),0,GETPIVOTDATA(抵消分录!$I:$K,"管理费用 1 求和项:借方金额")-GETPIVOTDATA(抵消分录!$I:$K,"管理费用 1 求和项:贷方金额"))</f>
        <v>0</v>
      </c>
      <c r="D87" s="7">
        <f>B87+C87</f>
        <v>0</v>
      </c>
      <c r="E87" s="194"/>
      <c r="F87" s="194">
        <f>IF(ISERROR(GETPIVOTDATA(抵消分录!$I:$K,"管理费用 4 求和项:借方金额")),0,GETPIVOTDATA(抵消分录!$I:$K,"管理费用 4 求和项:借方金额")-GETPIVOTDATA(抵消分录!$I:$K,"管理费用 4 求和项:贷方金额"))</f>
        <v>0</v>
      </c>
      <c r="G87" s="7">
        <f t="shared" si="36"/>
        <v>0</v>
      </c>
      <c r="H87" s="194"/>
      <c r="I87" s="186">
        <f>IF(ISERROR(GETPIVOTDATA(抵消分录!$I:$K,"管理费用 5 求和项:借方金额")),0,GETPIVOTDATA(抵消分录!$I:$K,"管理费用 5 求和项:借方金额")-GETPIVOTDATA(抵消分录!$I:$K,"管理费用 5 求和项:贷方金额"))</f>
        <v>0</v>
      </c>
      <c r="J87" s="7">
        <f t="shared" si="37"/>
        <v>0</v>
      </c>
      <c r="K87" s="194"/>
      <c r="L87" s="194"/>
      <c r="M87" s="245"/>
      <c r="N87" s="15"/>
      <c r="O87" s="194"/>
      <c r="P87" s="7">
        <f t="shared" si="34"/>
        <v>0</v>
      </c>
      <c r="Q87" s="15">
        <f>IF(ISERROR(GETPIVOTDATA(抵消分录!$I:$K,"管理费用 2 求和项:借方金额")),0,GETPIVOTDATA(抵消分录!$I:$K,"管理费用 2 求和项:借方金额")-GETPIVOTDATA(抵消分录!$I:$K,"管理费用 2 求和项:贷方金额"))</f>
        <v>0</v>
      </c>
      <c r="R87" s="7">
        <f t="shared" si="20"/>
        <v>0</v>
      </c>
      <c r="S87" s="6"/>
      <c r="T87" s="6"/>
      <c r="U87" s="7">
        <f t="shared" si="38"/>
        <v>0</v>
      </c>
      <c r="V87" s="7">
        <f t="shared" si="39"/>
        <v>0</v>
      </c>
    </row>
    <row r="88" spans="1:22" s="10" customFormat="1">
      <c r="A88" s="170" t="s">
        <v>395</v>
      </c>
      <c r="B88" s="195"/>
      <c r="C88" s="195">
        <f>IF(ISERROR(GETPIVOTDATA(抵消分录!$I:$K,"研发费用 1 求和项:借方金额")),0,GETPIVOTDATA(抵消分录!$I:$K,"研发费用 1 求和项:借方金额")-GETPIVOTDATA(抵消分录!$I:$K,"研发费用 1 求和项:贷方金额"))</f>
        <v>0</v>
      </c>
      <c r="D88" s="7">
        <f>B88+C88</f>
        <v>0</v>
      </c>
      <c r="E88" s="194"/>
      <c r="F88" s="194">
        <f>IF(ISERROR(GETPIVOTDATA(抵消分录!$I:$K,"研发费用 4 求和项:借方金额")),0,GETPIVOTDATA(抵消分录!$I:$K,"研发费用 4 求和项:借方金额")-GETPIVOTDATA(抵消分录!$I:$K,"研发费用 4 求和项:贷方金额"))</f>
        <v>0</v>
      </c>
      <c r="G88" s="7">
        <f t="shared" si="36"/>
        <v>0</v>
      </c>
      <c r="H88" s="234"/>
      <c r="I88" s="186">
        <f>IF(ISERROR(GETPIVOTDATA(抵消分录!$I:$K,"研发费用 5 求和项:借方金额")),0,GETPIVOTDATA(抵消分录!$I:$K,"研发费用 5 求和项:借方金额")-GETPIVOTDATA(抵消分录!$I:$K,"研发费用 5 求和项:贷方金额"))</f>
        <v>0</v>
      </c>
      <c r="J88" s="7">
        <f t="shared" si="37"/>
        <v>0</v>
      </c>
      <c r="K88" s="194"/>
      <c r="L88" s="234"/>
      <c r="M88" s="245"/>
      <c r="N88" s="15"/>
      <c r="O88" s="194"/>
      <c r="P88" s="7">
        <f t="shared" si="34"/>
        <v>0</v>
      </c>
      <c r="Q88" s="15">
        <f>IF(ISERROR(GETPIVOTDATA(抵消分录!$I:$K,"研发费用 2 求和项:借方金额")),0,GETPIVOTDATA(抵消分录!$I:$K,"研发费用 2 求和项:借方金额")-GETPIVOTDATA(抵消分录!$I:$K,"研发费用 2 求和项:贷方金额"))</f>
        <v>0</v>
      </c>
      <c r="R88" s="7">
        <f>P88+Q88</f>
        <v>0</v>
      </c>
      <c r="S88" s="6"/>
      <c r="T88" s="6"/>
      <c r="U88" s="7">
        <f t="shared" si="38"/>
        <v>0</v>
      </c>
      <c r="V88" s="7">
        <f t="shared" si="39"/>
        <v>0</v>
      </c>
    </row>
    <row r="89" spans="1:22" s="10" customFormat="1">
      <c r="A89" s="170" t="s">
        <v>396</v>
      </c>
      <c r="B89" s="195"/>
      <c r="C89" s="194">
        <f>IF(ISERROR(GETPIVOTDATA(抵消分录!$I:$K,"财务费用 1 求和项:借方金额")),0,GETPIVOTDATA(抵消分录!$I:$K,"财务费用 1 求和项:借方金额")-GETPIVOTDATA(抵消分录!$I:$K,"财务费用 1 求和项:贷方金额"))</f>
        <v>0</v>
      </c>
      <c r="D89" s="7">
        <f>B89+C89</f>
        <v>0</v>
      </c>
      <c r="E89" s="194"/>
      <c r="F89" s="194">
        <f>IF(ISERROR(GETPIVOTDATA(抵消分录!$I:$K,"财务费用 4 求和项:借方金额")),0,GETPIVOTDATA(抵消分录!$I:$K,"财务费用 4 求和项:借方金额")-GETPIVOTDATA(抵消分录!$I:$K,"财务费用 4 求和项:贷方金额"))</f>
        <v>0</v>
      </c>
      <c r="G89" s="7">
        <f t="shared" si="36"/>
        <v>0</v>
      </c>
      <c r="H89" s="194"/>
      <c r="I89" s="128">
        <f>IF(ISERROR(GETPIVOTDATA(抵消分录!$I:$K,"财务费用 5 求和项:借方金额")),0,GETPIVOTDATA(抵消分录!$I:$K,"财务费用 5 求和项:借方金额")-GETPIVOTDATA(抵消分录!$I:$K,"财务费用 5 求和项:贷方金额"))</f>
        <v>0</v>
      </c>
      <c r="J89" s="7">
        <f t="shared" si="37"/>
        <v>0</v>
      </c>
      <c r="K89" s="194"/>
      <c r="L89" s="194"/>
      <c r="M89" s="194"/>
      <c r="N89" s="15"/>
      <c r="O89" s="194"/>
      <c r="P89" s="7">
        <f t="shared" si="34"/>
        <v>0</v>
      </c>
      <c r="Q89" s="15">
        <f>IF(ISERROR(GETPIVOTDATA(抵消分录!$I:$K,"财务费用 2 求和项:借方金额")),0,GETPIVOTDATA(抵消分录!$I:$K,"财务费用 2 求和项:借方金额")-GETPIVOTDATA(抵消分录!$I:$K,"财务费用 2 求和项:贷方金额"))</f>
        <v>0</v>
      </c>
      <c r="R89" s="7">
        <f t="shared" si="20"/>
        <v>0</v>
      </c>
      <c r="S89" s="6"/>
      <c r="T89" s="6"/>
      <c r="U89" s="7">
        <f t="shared" si="38"/>
        <v>0</v>
      </c>
      <c r="V89" s="7">
        <f t="shared" si="39"/>
        <v>0</v>
      </c>
    </row>
    <row r="90" spans="1:22" s="10" customFormat="1" ht="13.5" customHeight="1">
      <c r="A90" s="176" t="s">
        <v>404</v>
      </c>
      <c r="B90" s="194"/>
      <c r="C90" s="194"/>
      <c r="D90" s="7">
        <f t="shared" si="35"/>
        <v>0</v>
      </c>
      <c r="E90" s="194"/>
      <c r="F90" s="128"/>
      <c r="G90" s="7">
        <f t="shared" si="36"/>
        <v>0</v>
      </c>
      <c r="H90" s="194"/>
      <c r="I90" s="128"/>
      <c r="J90" s="7">
        <f t="shared" si="37"/>
        <v>0</v>
      </c>
      <c r="K90" s="194"/>
      <c r="L90" s="194"/>
      <c r="M90" s="194"/>
      <c r="N90" s="15"/>
      <c r="O90" s="194"/>
      <c r="P90" s="7">
        <f t="shared" si="34"/>
        <v>0</v>
      </c>
      <c r="Q90" s="15"/>
      <c r="R90" s="7">
        <f t="shared" si="20"/>
        <v>0</v>
      </c>
      <c r="S90" s="6"/>
      <c r="T90" s="6"/>
      <c r="U90" s="7">
        <f t="shared" si="38"/>
        <v>0</v>
      </c>
      <c r="V90" s="7">
        <f t="shared" si="39"/>
        <v>0</v>
      </c>
    </row>
    <row r="91" spans="1:22" s="10" customFormat="1">
      <c r="A91" s="177" t="s">
        <v>405</v>
      </c>
      <c r="B91" s="195"/>
      <c r="C91" s="194"/>
      <c r="D91" s="7">
        <f t="shared" si="35"/>
        <v>0</v>
      </c>
      <c r="E91" s="194"/>
      <c r="F91" s="128"/>
      <c r="G91" s="7">
        <f t="shared" si="36"/>
        <v>0</v>
      </c>
      <c r="H91" s="194"/>
      <c r="I91" s="128"/>
      <c r="J91" s="7">
        <f t="shared" si="37"/>
        <v>0</v>
      </c>
      <c r="K91" s="194"/>
      <c r="L91" s="194"/>
      <c r="M91" s="194"/>
      <c r="N91" s="15"/>
      <c r="O91" s="194"/>
      <c r="P91" s="7">
        <f t="shared" si="34"/>
        <v>0</v>
      </c>
      <c r="Q91" s="15"/>
      <c r="R91" s="7">
        <f t="shared" si="20"/>
        <v>0</v>
      </c>
      <c r="S91" s="6"/>
      <c r="T91" s="6"/>
      <c r="U91" s="7">
        <f t="shared" si="38"/>
        <v>0</v>
      </c>
      <c r="V91" s="7">
        <f t="shared" si="39"/>
        <v>0</v>
      </c>
    </row>
    <row r="92" spans="1:22" s="10" customFormat="1">
      <c r="A92" s="171" t="s">
        <v>409</v>
      </c>
      <c r="B92" s="194"/>
      <c r="C92" s="194">
        <f>IF(ISERROR(GETPIVOTDATA(抵消分录!$I:$K,"其他收益 1 求和项:借方金额")),0,-GETPIVOTDATA(抵消分录!$I:$K,"其他收益 1 求和项:借方金额")-GETPIVOTDATA(抵消分录!$I:$K,"其他收益 1 求和项:贷方金额"))</f>
        <v>0</v>
      </c>
      <c r="D92" s="7">
        <f t="shared" si="35"/>
        <v>0</v>
      </c>
      <c r="E92" s="194"/>
      <c r="F92" s="128">
        <f>IF(ISERROR(GETPIVOTDATA(抵消分录!$I:$K,"公允价值变动损益 4 求和项:借方金额")),0,-GETPIVOTDATA(抵消分录!$I:$K,"公允价值变动损益 4 求和项:借方金额")-GETPIVOTDATA(抵消分录!$I:$K,"公允价值变动损益 4 求和项:贷方金额"))</f>
        <v>0</v>
      </c>
      <c r="G92" s="7">
        <f t="shared" si="36"/>
        <v>0</v>
      </c>
      <c r="H92" s="194"/>
      <c r="I92" s="128">
        <f>IF(ISERROR(GETPIVOTDATA(抵消分录!$I:$K,"公允价值变动损益 5 求和项:借方金额")),0,-GETPIVOTDATA(抵消分录!$I:$K,"公允价值变动损益 5 求和项:借方金额")-GETPIVOTDATA(抵消分录!$I:$K,"公允价值变动损益 5 求和项:贷方金额"))</f>
        <v>0</v>
      </c>
      <c r="J92" s="7">
        <f t="shared" si="37"/>
        <v>0</v>
      </c>
      <c r="K92" s="128"/>
      <c r="L92" s="194"/>
      <c r="M92" s="194"/>
      <c r="N92" s="15"/>
      <c r="O92" s="15"/>
      <c r="P92" s="7">
        <f t="shared" si="34"/>
        <v>0</v>
      </c>
      <c r="Q92" s="15">
        <f>IF(ISERROR(GETPIVOTDATA(抵消分录!$I:$K,"其他收益 2 求和项:借方金额")),0,-GETPIVOTDATA(抵消分录!$I:$K,"其他收益 2 求和项:借方金额")-GETPIVOTDATA(抵消分录!$I:$K,"其他收益 2 求和项:贷方金额"))</f>
        <v>0</v>
      </c>
      <c r="R92" s="7">
        <f>P92+Q92</f>
        <v>0</v>
      </c>
      <c r="S92" s="6"/>
      <c r="T92" s="6"/>
      <c r="U92" s="7">
        <f t="shared" si="38"/>
        <v>0</v>
      </c>
      <c r="V92" s="7">
        <f t="shared" si="39"/>
        <v>0</v>
      </c>
    </row>
    <row r="93" spans="1:22" s="10" customFormat="1">
      <c r="A93" s="170" t="s">
        <v>410</v>
      </c>
      <c r="B93" s="15"/>
      <c r="C93" s="15">
        <f>IF(ISERROR(GETPIVOTDATA(抵消分录!$I:$K,"投资收益 1 求和项:借方金额")),0,-GETPIVOTDATA(抵消分录!$I:$K,"投资收益 1 求和项:借方金额")-GETPIVOTDATA(抵消分录!$I:$K,"投资收益 1 求和项:贷方金额"))</f>
        <v>0</v>
      </c>
      <c r="D93" s="7">
        <f t="shared" si="35"/>
        <v>0</v>
      </c>
      <c r="E93" s="128"/>
      <c r="F93" s="128">
        <f>IF(ISERROR(GETPIVOTDATA(抵消分录!$I:$K,"投资收益 4 求和项:借方金额")),0,-GETPIVOTDATA(抵消分录!$I:$K,"投资收益 4 求和项:借方金额")-GETPIVOTDATA(抵消分录!$I:$K,"投资收益 4 求和项:贷方金额"))</f>
        <v>0</v>
      </c>
      <c r="G93" s="7">
        <f t="shared" si="36"/>
        <v>0</v>
      </c>
      <c r="H93" s="128"/>
      <c r="I93" s="128">
        <f>IF(ISERROR(GETPIVOTDATA(抵消分录!$I:$K,"投资收益 5 求和项:借方金额")),0,-GETPIVOTDATA(抵消分录!$I:$K,"投资收益 5 求和项:借方金额")-GETPIVOTDATA(抵消分录!$I:$K,"投资收益 5 求和项:贷方金额"))</f>
        <v>0</v>
      </c>
      <c r="J93" s="7">
        <f t="shared" si="37"/>
        <v>0</v>
      </c>
      <c r="K93" s="128"/>
      <c r="L93" s="15"/>
      <c r="M93" s="15"/>
      <c r="N93" s="15"/>
      <c r="O93" s="15"/>
      <c r="P93" s="7">
        <f t="shared" si="34"/>
        <v>0</v>
      </c>
      <c r="Q93" s="15">
        <f>IF(ISERROR(GETPIVOTDATA(抵消分录!$I:$K,"投资收益 2 求和项:借方金额")),0,GETPIVOTDATA(抵消分录!$I:$K,"投资收益 2 求和项:借方金额")+GETPIVOTDATA(抵消分录!$I:$K,"投资收益 2 求和项:贷方金额"))</f>
        <v>0</v>
      </c>
      <c r="R93" s="7">
        <f t="shared" si="20"/>
        <v>0</v>
      </c>
      <c r="S93" s="6"/>
      <c r="T93" s="6"/>
      <c r="U93" s="7">
        <f t="shared" si="38"/>
        <v>0</v>
      </c>
      <c r="V93" s="7">
        <f t="shared" si="39"/>
        <v>0</v>
      </c>
    </row>
    <row r="94" spans="1:22" s="10" customFormat="1">
      <c r="A94" s="176" t="s">
        <v>411</v>
      </c>
      <c r="B94" s="15"/>
      <c r="C94" s="15"/>
      <c r="D94" s="7"/>
      <c r="E94" s="128"/>
      <c r="F94" s="128"/>
      <c r="G94" s="7"/>
      <c r="H94" s="128"/>
      <c r="I94" s="128"/>
      <c r="J94" s="7"/>
      <c r="K94" s="128"/>
      <c r="L94" s="15"/>
      <c r="M94" s="15"/>
      <c r="N94" s="15"/>
      <c r="O94" s="15"/>
      <c r="P94" s="7">
        <f t="shared" si="34"/>
        <v>0</v>
      </c>
      <c r="Q94" s="15"/>
      <c r="R94" s="7">
        <f t="shared" si="20"/>
        <v>0</v>
      </c>
      <c r="S94" s="6"/>
      <c r="T94" s="6"/>
      <c r="U94" s="7">
        <f t="shared" si="38"/>
        <v>0</v>
      </c>
      <c r="V94" s="7">
        <f t="shared" si="39"/>
        <v>0</v>
      </c>
    </row>
    <row r="95" spans="1:22" s="10" customFormat="1" ht="22.5">
      <c r="A95" s="313" t="s">
        <v>641</v>
      </c>
      <c r="B95" s="15"/>
      <c r="C95" s="15"/>
      <c r="D95" s="7"/>
      <c r="E95" s="128"/>
      <c r="F95" s="128"/>
      <c r="G95" s="7"/>
      <c r="H95" s="128"/>
      <c r="I95" s="128"/>
      <c r="J95" s="7"/>
      <c r="K95" s="128"/>
      <c r="L95" s="15"/>
      <c r="M95" s="15"/>
      <c r="N95" s="15"/>
      <c r="O95" s="15"/>
      <c r="P95" s="7">
        <f t="shared" si="34"/>
        <v>0</v>
      </c>
      <c r="Q95" s="15"/>
      <c r="R95" s="7">
        <f t="shared" si="20"/>
        <v>0</v>
      </c>
      <c r="S95" s="6"/>
      <c r="T95" s="6"/>
      <c r="U95" s="7">
        <f t="shared" ref="U95" si="40">S95+R95</f>
        <v>0</v>
      </c>
      <c r="V95" s="7">
        <f t="shared" ref="V95" si="41">T95+L95</f>
        <v>0</v>
      </c>
    </row>
    <row r="96" spans="1:22" s="10" customFormat="1">
      <c r="A96" s="170" t="s">
        <v>640</v>
      </c>
      <c r="B96" s="15"/>
      <c r="C96" s="15"/>
      <c r="D96" s="7"/>
      <c r="E96" s="128"/>
      <c r="F96" s="128"/>
      <c r="G96" s="7"/>
      <c r="H96" s="128"/>
      <c r="I96" s="128"/>
      <c r="J96" s="7"/>
      <c r="K96" s="128"/>
      <c r="L96" s="15"/>
      <c r="M96" s="15"/>
      <c r="N96" s="15"/>
      <c r="O96" s="15"/>
      <c r="P96" s="7"/>
      <c r="Q96" s="15"/>
      <c r="R96" s="7"/>
      <c r="S96" s="6"/>
      <c r="T96" s="6"/>
      <c r="U96" s="7"/>
      <c r="V96" s="7"/>
    </row>
    <row r="97" spans="1:22" s="10" customFormat="1">
      <c r="A97" s="170" t="s">
        <v>643</v>
      </c>
      <c r="B97" s="15"/>
      <c r="C97" s="15">
        <f>IF(ISERROR(GETPIVOTDATA(抵消分录!$I:$K,"净敞口套期收益 1 求和项:借方金额")),0,-GETPIVOTDATA(抵消分录!$I:$K,"净敞口套期收益 1 求和项:借方金额")-GETPIVOTDATA(抵消分录!$I:$K,"净敞口套期收益 1 求和项:贷方金额"))</f>
        <v>0</v>
      </c>
      <c r="D97" s="7">
        <f>B97+C97</f>
        <v>0</v>
      </c>
      <c r="E97" s="128"/>
      <c r="F97" s="128">
        <f>IF(ISERROR(GETPIVOTDATA(抵消分录!$I:$K,"净敞口套期收益 4 求和项:借方金额")),0,-GETPIVOTDATA(抵消分录!$I:$K,"净敞口套期收益 4 求和项:借方金额")-GETPIVOTDATA(抵消分录!$I:$K,"净敞口套期收益 4 求和项:贷方金额"))</f>
        <v>0</v>
      </c>
      <c r="G97" s="7">
        <f>E97+F97</f>
        <v>0</v>
      </c>
      <c r="H97" s="128"/>
      <c r="I97" s="128">
        <f>IF(ISERROR(GETPIVOTDATA(抵消分录!$I:$K,"净敞口套期收益 5 求和项:借方金额")),0,-GETPIVOTDATA(抵消分录!$I:$K,"净敞口套期收益 5 求和项:借方金额")-GETPIVOTDATA(抵消分录!$I:$K,"净敞口套期收益 5 求和项:贷方金额"))</f>
        <v>0</v>
      </c>
      <c r="J97" s="7">
        <f>H97+I97</f>
        <v>0</v>
      </c>
      <c r="K97" s="128"/>
      <c r="L97" s="15"/>
      <c r="M97" s="15"/>
      <c r="N97" s="15"/>
      <c r="O97" s="15"/>
      <c r="P97" s="7">
        <f t="shared" si="34"/>
        <v>0</v>
      </c>
      <c r="Q97" s="15">
        <f>IF(ISERROR(GETPIVOTDATA(抵消分录!$I:$K,"净敞口套期收益 2 求和项:借方金额")),0,-GETPIVOTDATA(抵消分录!$I:$K,"净敞口套期收益 2 求和项:借方金额")-GETPIVOTDATA(抵消分录!$I:$K,"净敞口套期收益 2 求和项:贷方金额"))</f>
        <v>0</v>
      </c>
      <c r="R97" s="7">
        <f t="shared" si="20"/>
        <v>0</v>
      </c>
      <c r="S97" s="6"/>
      <c r="T97" s="6"/>
      <c r="U97" s="7">
        <f t="shared" si="38"/>
        <v>0</v>
      </c>
      <c r="V97" s="7">
        <f t="shared" si="39"/>
        <v>0</v>
      </c>
    </row>
    <row r="98" spans="1:22" s="10" customFormat="1">
      <c r="A98" s="170" t="s">
        <v>644</v>
      </c>
      <c r="B98" s="15"/>
      <c r="C98" s="15">
        <f>IF(ISERROR(GETPIVOTDATA(抵消分录!$I:$K,"公允价值变动收益 1 求和项:借方金额")),0,-GETPIVOTDATA(抵消分录!$I:$K,"公允价值变动收益 1 求和项:借方金额")-GETPIVOTDATA(抵消分录!$I:$K,"公允价值变动收益 1 求和项:贷方金额"))</f>
        <v>0</v>
      </c>
      <c r="D98" s="7">
        <f>B98+C98</f>
        <v>0</v>
      </c>
      <c r="E98" s="128"/>
      <c r="F98" s="128">
        <f>IF(ISERROR(GETPIVOTDATA(抵消分录!$I:$K,"公允价值变动收益 4 求和项:借方金额")),0,-GETPIVOTDATA(抵消分录!$I:$K,"公允价值变动收益 4 求和项:借方金额")-GETPIVOTDATA(抵消分录!$I:$K,"公允价值变动收益 4 求和项:贷方金额"))</f>
        <v>0</v>
      </c>
      <c r="G98" s="7">
        <f>E98+F98</f>
        <v>0</v>
      </c>
      <c r="H98" s="128"/>
      <c r="I98" s="128">
        <f>IF(ISERROR(GETPIVOTDATA(抵消分录!$I:$K,"公允价值变动收益 5 求和项:借方金额")),0,-GETPIVOTDATA(抵消分录!$I:$K,"公允价值变动收益 5 求和项:借方金额")-GETPIVOTDATA(抵消分录!$I:$K,"公允价值变动收益 5 求和项:贷方金额"))</f>
        <v>0</v>
      </c>
      <c r="J98" s="7">
        <f>H98+I98</f>
        <v>0</v>
      </c>
      <c r="K98" s="128"/>
      <c r="L98" s="15"/>
      <c r="M98" s="15"/>
      <c r="N98" s="15"/>
      <c r="O98" s="15"/>
      <c r="P98" s="7">
        <f t="shared" si="34"/>
        <v>0</v>
      </c>
      <c r="Q98" s="15">
        <f>IF(ISERROR(GETPIVOTDATA(抵消分录!$I:$K,"公允价值变动收益 2 求和项:借方金额")),0,-GETPIVOTDATA(抵消分录!$I:$K,"公允价值变动收益 2 求和项:借方金额")-GETPIVOTDATA(抵消分录!$I:$K,"公允价值变动收益 2 求和项:贷方金额"))</f>
        <v>0</v>
      </c>
      <c r="R98" s="7">
        <f t="shared" si="20"/>
        <v>0</v>
      </c>
      <c r="S98" s="6"/>
      <c r="T98" s="6"/>
      <c r="U98" s="7">
        <f t="shared" si="38"/>
        <v>0</v>
      </c>
      <c r="V98" s="7">
        <f t="shared" si="39"/>
        <v>0</v>
      </c>
    </row>
    <row r="99" spans="1:22" s="10" customFormat="1">
      <c r="A99" s="170" t="s">
        <v>645</v>
      </c>
      <c r="B99" s="194"/>
      <c r="C99" s="194">
        <f>IF(ISERROR(GETPIVOTDATA(抵消分录!$I:$K,"信用减值损失 1 求和项:借方金额")),0,GETPIVOTDATA(抵消分录!$I:$K,"信用减值损失 1 求和项:借方金额")-GETPIVOTDATA(抵消分录!$I:$K,"信用减值损失 1 求和项:贷方金额"))</f>
        <v>0</v>
      </c>
      <c r="D99" s="7">
        <f>B99+C99</f>
        <v>0</v>
      </c>
      <c r="E99" s="194"/>
      <c r="F99" s="128">
        <f>IF(ISERROR(GETPIVOTDATA(抵消分录!$I:$K,"信用减值损失 4 求和项:借方金额")),0,GETPIVOTDATA(抵消分录!$I:$K,"信用减值损失 4 求和项:借方金额")-GETPIVOTDATA(抵消分录!$I:$K,"信用减值损失 4 求和项:贷方金额"))</f>
        <v>0</v>
      </c>
      <c r="G99" s="7">
        <f>E99+F99</f>
        <v>0</v>
      </c>
      <c r="H99" s="194"/>
      <c r="I99" s="128">
        <f>IF(ISERROR(GETPIVOTDATA(抵消分录!$I:$K,"信用减值损失 5 求和项:借方金额")),0,GETPIVOTDATA(抵消分录!$I:$K,"信用减值损失 5 求和项:借方金额")-GETPIVOTDATA(抵消分录!$I:$K,"信用减值损失 5 求和项:贷方金额"))</f>
        <v>0</v>
      </c>
      <c r="J99" s="7">
        <f>H99+I99</f>
        <v>0</v>
      </c>
      <c r="K99" s="128"/>
      <c r="L99" s="194"/>
      <c r="M99" s="194"/>
      <c r="N99" s="15"/>
      <c r="O99" s="15"/>
      <c r="P99" s="7">
        <f>SUM(J99:O99)+D99+G99</f>
        <v>0</v>
      </c>
      <c r="Q99" s="15">
        <f>IF(ISERROR(GETPIVOTDATA(抵消分录!$I:$K,"信用减值损失 2 求和项:借方金额")),0,GETPIVOTDATA(抵消分录!$I:$K,"信用减值损失 2 求和项:借方金额")-GETPIVOTDATA(抵消分录!$I:$K,"信用减值损失 2 求和项:贷方金额"))</f>
        <v>0</v>
      </c>
      <c r="R99" s="7">
        <f>P99+Q99</f>
        <v>0</v>
      </c>
      <c r="S99" s="6"/>
      <c r="T99" s="6"/>
      <c r="U99" s="7">
        <f>S99+R99</f>
        <v>0</v>
      </c>
      <c r="V99" s="7">
        <f>T99+L99</f>
        <v>0</v>
      </c>
    </row>
    <row r="100" spans="1:22" s="10" customFormat="1">
      <c r="A100" s="170" t="s">
        <v>646</v>
      </c>
      <c r="B100" s="194"/>
      <c r="C100" s="194">
        <f>IF(ISERROR(GETPIVOTDATA(抵消分录!$I:$K,"资产减值损失 1 求和项:借方金额")),0,GETPIVOTDATA(抵消分录!$I:$K,"资产减值损失 1 求和项:借方金额")-GETPIVOTDATA(抵消分录!$I:$K,"资产减值损失 1 求和项:贷方金额"))</f>
        <v>0</v>
      </c>
      <c r="D100" s="7">
        <f>B100+C100</f>
        <v>0</v>
      </c>
      <c r="E100" s="194"/>
      <c r="F100" s="128">
        <f>IF(ISERROR(GETPIVOTDATA(抵消分录!$I:$K,"资产减值损失 4 求和项:借方金额")),0,GETPIVOTDATA(抵消分录!$I:$K,"资产减值损失 4 求和项:借方金额")-GETPIVOTDATA(抵消分录!$I:$K,"资产减值损失 4 求和项:贷方金额"))</f>
        <v>0</v>
      </c>
      <c r="G100" s="7">
        <f>E100+F100</f>
        <v>0</v>
      </c>
      <c r="H100" s="194"/>
      <c r="I100" s="128">
        <f>IF(ISERROR(GETPIVOTDATA(抵消分录!$I:$K,"资产减值损失 5 求和项:借方金额")),0,GETPIVOTDATA(抵消分录!$I:$K,"资产减值损失 5 求和项:借方金额")-GETPIVOTDATA(抵消分录!$I:$K,"资产减值损失 5 求和项:贷方金额"))</f>
        <v>0</v>
      </c>
      <c r="J100" s="7">
        <f>H100+I100</f>
        <v>0</v>
      </c>
      <c r="K100" s="194"/>
      <c r="L100" s="194"/>
      <c r="M100" s="194"/>
      <c r="N100" s="15"/>
      <c r="O100" s="194"/>
      <c r="P100" s="7">
        <f>SUM(J100:O100)+D100+G100</f>
        <v>0</v>
      </c>
      <c r="Q100" s="15">
        <f>IF(ISERROR(GETPIVOTDATA(抵消分录!$I:$K,"资产减值损失 2 求和项:借方金额")),0,GETPIVOTDATA(抵消分录!$I:$K,"资产减值损失 2 求和项:借方金额")-GETPIVOTDATA(抵消分录!$I:$K,"资产减值损失 2 求和项:贷方金额"))</f>
        <v>0</v>
      </c>
      <c r="R100" s="7">
        <f>P100+Q100</f>
        <v>0</v>
      </c>
      <c r="S100" s="6"/>
      <c r="T100" s="6"/>
      <c r="U100" s="7">
        <f>S100+R100</f>
        <v>0</v>
      </c>
      <c r="V100" s="7">
        <f>T100+L100</f>
        <v>0</v>
      </c>
    </row>
    <row r="101" spans="1:22" s="10" customFormat="1">
      <c r="A101" s="170" t="s">
        <v>647</v>
      </c>
      <c r="B101" s="15"/>
      <c r="C101" s="15">
        <f>IF(ISERROR(GETPIVOTDATA(抵消分录!$I:$K,"资产处置收益 1 求和项:借方金额")),0,-GETPIVOTDATA(抵消分录!$I:$K,"资产处置收益 1 求和项:借方金额")-GETPIVOTDATA(抵消分录!$I:$K,"资产处置收益 1 求和项:贷方金额"))</f>
        <v>0</v>
      </c>
      <c r="D101" s="7">
        <f t="shared" si="35"/>
        <v>0</v>
      </c>
      <c r="E101" s="128"/>
      <c r="F101" s="128">
        <f>IF(ISERROR(GETPIVOTDATA(抵消分录!$I:$K,"资产处置收益 4 求和项:借方金额")),0,-GETPIVOTDATA(抵消分录!$I:$K,"资产处置收益 4 求和项:借方金额")-GETPIVOTDATA(抵消分录!$I:$K,"资产处置收益 4 求和项:贷方金额"))</f>
        <v>0</v>
      </c>
      <c r="G101" s="7">
        <f>E101+F101</f>
        <v>0</v>
      </c>
      <c r="H101" s="128"/>
      <c r="I101" s="128">
        <f>IF(ISERROR(GETPIVOTDATA(抵消分录!$I:$K,"资产处置收益 5 求和项:借方金额")),0,-GETPIVOTDATA(抵消分录!$I:$K,"资产处置收益 5 求和项:借方金额")-GETPIVOTDATA(抵消分录!$I:$K,"资产处置收益 5 求和项:贷方金额"))</f>
        <v>0</v>
      </c>
      <c r="J101" s="7">
        <f>H101+I101</f>
        <v>0</v>
      </c>
      <c r="K101" s="128"/>
      <c r="L101" s="15"/>
      <c r="M101" s="15"/>
      <c r="N101" s="15"/>
      <c r="O101" s="15"/>
      <c r="P101" s="7">
        <f t="shared" si="34"/>
        <v>0</v>
      </c>
      <c r="Q101" s="15">
        <f>IF(ISERROR(GETPIVOTDATA(抵消分录!$I:$K,"资产处置收益 2 求和项:借方金额")),0,-GETPIVOTDATA(抵消分录!$I:$K,"资产处置收益 2 求和项:借方金额")-GETPIVOTDATA(抵消分录!$I:$K,"资产处置收益 2 求和项:贷方金额"))</f>
        <v>0</v>
      </c>
      <c r="R101" s="7">
        <f>P101+Q101</f>
        <v>0</v>
      </c>
      <c r="S101" s="6"/>
      <c r="T101" s="6"/>
      <c r="U101" s="7">
        <f t="shared" si="38"/>
        <v>0</v>
      </c>
      <c r="V101" s="7">
        <f t="shared" si="39"/>
        <v>0</v>
      </c>
    </row>
    <row r="102" spans="1:22" s="10" customFormat="1">
      <c r="A102" s="166" t="s">
        <v>648</v>
      </c>
      <c r="B102" s="8">
        <f>ROUND(B83-SUM(B84:B89)+SUM(B92:B93,B96:B101),2)</f>
        <v>0</v>
      </c>
      <c r="C102" s="8">
        <f t="shared" ref="C102:V102" si="42">ROUND(C83-SUM(C84:C89)+SUM(C92:C93,C96:C101),2)</f>
        <v>0</v>
      </c>
      <c r="D102" s="8">
        <f t="shared" si="42"/>
        <v>0</v>
      </c>
      <c r="E102" s="8">
        <f t="shared" si="42"/>
        <v>0</v>
      </c>
      <c r="F102" s="8">
        <f t="shared" si="42"/>
        <v>0</v>
      </c>
      <c r="G102" s="8">
        <f t="shared" si="42"/>
        <v>0</v>
      </c>
      <c r="H102" s="8">
        <f t="shared" si="42"/>
        <v>0</v>
      </c>
      <c r="I102" s="8">
        <f t="shared" si="42"/>
        <v>0</v>
      </c>
      <c r="J102" s="8">
        <f t="shared" si="42"/>
        <v>0</v>
      </c>
      <c r="K102" s="8">
        <f t="shared" si="42"/>
        <v>0</v>
      </c>
      <c r="L102" s="8">
        <f t="shared" si="42"/>
        <v>0</v>
      </c>
      <c r="M102" s="8">
        <f t="shared" si="42"/>
        <v>0</v>
      </c>
      <c r="N102" s="8">
        <f t="shared" si="42"/>
        <v>0</v>
      </c>
      <c r="O102" s="8">
        <f t="shared" si="42"/>
        <v>0</v>
      </c>
      <c r="P102" s="8">
        <f t="shared" si="42"/>
        <v>0</v>
      </c>
      <c r="Q102" s="8">
        <f t="shared" si="42"/>
        <v>0</v>
      </c>
      <c r="R102" s="8">
        <f t="shared" si="42"/>
        <v>0</v>
      </c>
      <c r="S102" s="8">
        <f t="shared" si="42"/>
        <v>0</v>
      </c>
      <c r="T102" s="8">
        <f t="shared" si="42"/>
        <v>0</v>
      </c>
      <c r="U102" s="8">
        <f t="shared" si="42"/>
        <v>0</v>
      </c>
      <c r="V102" s="8">
        <f t="shared" si="42"/>
        <v>0</v>
      </c>
    </row>
    <row r="103" spans="1:22" s="10" customFormat="1">
      <c r="A103" s="92" t="s">
        <v>338</v>
      </c>
      <c r="B103" s="194"/>
      <c r="C103" s="15">
        <f>IF(ISERROR(GETPIVOTDATA(抵消分录!$I:$K,"营业外收入 1 求和项:借方金额")),0,-GETPIVOTDATA(抵消分录!$I:$K,"营业外收入 1 求和项:借方金额")-GETPIVOTDATA(抵消分录!$I:$K,"营业外收入 1 求和项:贷方金额"))</f>
        <v>0</v>
      </c>
      <c r="D103" s="7">
        <f>B103+C103</f>
        <v>0</v>
      </c>
      <c r="E103" s="194"/>
      <c r="F103" s="194">
        <f>IF(ISERROR(GETPIVOTDATA(抵消分录!$I:$K,"营业外收入 4 求和项:借方金额")),0,-GETPIVOTDATA(抵消分录!$I:$K,"营业外收入 4 求和项:借方金额")-GETPIVOTDATA(抵消分录!$I:$K,"营业外收入 4 求和项:贷方金额"))</f>
        <v>0</v>
      </c>
      <c r="G103" s="7">
        <f>E103+F103</f>
        <v>0</v>
      </c>
      <c r="H103" s="194"/>
      <c r="I103" s="194">
        <f>IF(ISERROR(GETPIVOTDATA(抵消分录!$I:$K,"营业外收入 5 求和项:借方金额")),0,-GETPIVOTDATA(抵消分录!$I:$K,"营业外收入 5 求和项:借方金额")-GETPIVOTDATA(抵消分录!$I:$K,"营业外收入 5 求和项:贷方金额"))</f>
        <v>0</v>
      </c>
      <c r="J103" s="7">
        <f>H103+I103</f>
        <v>0</v>
      </c>
      <c r="K103" s="128"/>
      <c r="L103" s="194"/>
      <c r="M103" s="15"/>
      <c r="N103" s="15"/>
      <c r="O103" s="15"/>
      <c r="P103" s="7">
        <f>SUM(J103:O103)+D103+G103</f>
        <v>0</v>
      </c>
      <c r="Q103" s="15">
        <f>IF(ISERROR(GETPIVOTDATA(抵消分录!$I:$K,"营业外收入 2 求和项:借方金额")),0,-GETPIVOTDATA(抵消分录!$I:$K,"营业外收入 2 求和项:借方金额")+GETPIVOTDATA(抵消分录!$I:$K,"营业外收入 2 求和项:贷方金额"))</f>
        <v>0</v>
      </c>
      <c r="R103" s="7">
        <f>P103+Q103</f>
        <v>0</v>
      </c>
      <c r="S103" s="15"/>
      <c r="T103" s="15"/>
      <c r="U103" s="7">
        <f t="shared" si="38"/>
        <v>0</v>
      </c>
      <c r="V103" s="7">
        <f t="shared" si="39"/>
        <v>0</v>
      </c>
    </row>
    <row r="104" spans="1:22" s="10" customFormat="1">
      <c r="A104" s="92" t="s">
        <v>339</v>
      </c>
      <c r="B104" s="194"/>
      <c r="C104" s="194">
        <f>IF(ISERROR(GETPIVOTDATA(抵消分录!$I:$K,"营业外支出 1 求和项:借方金额")),0,GETPIVOTDATA(抵消分录!$I:$K,"营业外支出 1 求和项:借方金额")-GETPIVOTDATA(抵消分录!$I:$K,"营业外支出 1 求和项:贷方金额"))</f>
        <v>0</v>
      </c>
      <c r="D104" s="7">
        <f>B104+C104</f>
        <v>0</v>
      </c>
      <c r="E104" s="194"/>
      <c r="F104" s="128">
        <f>IF(ISERROR(GETPIVOTDATA(抵消分录!$I:$K,"营业外支出 4 求和项:借方金额")),0,GETPIVOTDATA(抵消分录!$I:$K,"营业外支出 4 求和项:借方金额")-GETPIVOTDATA(抵消分录!$I:$K,"营业外支出 4 求和项:贷方金额"))</f>
        <v>0</v>
      </c>
      <c r="G104" s="7">
        <f>E104+F104</f>
        <v>0</v>
      </c>
      <c r="H104" s="128"/>
      <c r="I104" s="128">
        <f>IF(ISERROR(GETPIVOTDATA(抵消分录!$I:$K,"营业外支出 5 求和项:借方金额")),0,GETPIVOTDATA(抵消分录!$I:$K,"营业外支出 5 求和项:借方金额")-GETPIVOTDATA(抵消分录!$I:$K,"营业外支出 5 求和项:贷方金额"))</f>
        <v>0</v>
      </c>
      <c r="J104" s="7">
        <f>H104+I104</f>
        <v>0</v>
      </c>
      <c r="K104" s="194"/>
      <c r="L104" s="15"/>
      <c r="M104" s="15"/>
      <c r="N104" s="15"/>
      <c r="O104" s="15"/>
      <c r="P104" s="7">
        <f>SUM(J104:O104)+D104+G104</f>
        <v>0</v>
      </c>
      <c r="Q104" s="15">
        <f>IF(ISERROR(GETPIVOTDATA(抵消分录!$I:$K,"营业外支出 2 求和项:借方金额")),0,GETPIVOTDATA(抵消分录!$I:$K,"营业外支出 2 求和项:借方金额")-GETPIVOTDATA(抵消分录!$I:$K,"营业外支出 2 求和项:贷方金额"))</f>
        <v>0</v>
      </c>
      <c r="R104" s="7">
        <f t="shared" si="20"/>
        <v>0</v>
      </c>
      <c r="S104" s="15"/>
      <c r="T104" s="15"/>
      <c r="U104" s="7">
        <f t="shared" si="38"/>
        <v>0</v>
      </c>
      <c r="V104" s="7">
        <f t="shared" si="39"/>
        <v>0</v>
      </c>
    </row>
    <row r="105" spans="1:22" s="10" customFormat="1">
      <c r="A105" s="166" t="s">
        <v>340</v>
      </c>
      <c r="B105" s="8">
        <f>ROUND(B102+B103-B104,2)</f>
        <v>0</v>
      </c>
      <c r="C105" s="8">
        <f t="shared" ref="C105:T105" si="43">ROUND(C102+C103-C104,2)</f>
        <v>0</v>
      </c>
      <c r="D105" s="8">
        <f t="shared" si="43"/>
        <v>0</v>
      </c>
      <c r="E105" s="8">
        <f t="shared" si="43"/>
        <v>0</v>
      </c>
      <c r="F105" s="8">
        <f t="shared" si="43"/>
        <v>0</v>
      </c>
      <c r="G105" s="8">
        <f t="shared" si="43"/>
        <v>0</v>
      </c>
      <c r="H105" s="8">
        <f t="shared" si="43"/>
        <v>0</v>
      </c>
      <c r="I105" s="8">
        <f t="shared" si="43"/>
        <v>0</v>
      </c>
      <c r="J105" s="8">
        <f t="shared" si="43"/>
        <v>0</v>
      </c>
      <c r="K105" s="8">
        <f>ROUND(K102+K103-K104,2)</f>
        <v>0</v>
      </c>
      <c r="L105" s="8">
        <f t="shared" si="43"/>
        <v>0</v>
      </c>
      <c r="M105" s="8">
        <f t="shared" si="43"/>
        <v>0</v>
      </c>
      <c r="N105" s="8">
        <f t="shared" si="43"/>
        <v>0</v>
      </c>
      <c r="O105" s="8">
        <f t="shared" si="43"/>
        <v>0</v>
      </c>
      <c r="P105" s="8">
        <f t="shared" si="43"/>
        <v>0</v>
      </c>
      <c r="Q105" s="8">
        <f t="shared" si="43"/>
        <v>0</v>
      </c>
      <c r="R105" s="8">
        <f t="shared" si="43"/>
        <v>0</v>
      </c>
      <c r="S105" s="8">
        <f t="shared" si="43"/>
        <v>0</v>
      </c>
      <c r="T105" s="8">
        <f t="shared" si="43"/>
        <v>0</v>
      </c>
      <c r="U105" s="8">
        <f>S105+R105</f>
        <v>0</v>
      </c>
      <c r="V105" s="8">
        <f t="shared" si="39"/>
        <v>0</v>
      </c>
    </row>
    <row r="106" spans="1:22" s="10" customFormat="1">
      <c r="A106" s="92" t="s">
        <v>234</v>
      </c>
      <c r="B106" s="194"/>
      <c r="C106" s="15">
        <f>IF(ISERROR(GETPIVOTDATA(抵消分录!$I:$K,"所得税费用 1 求和项:借方金额")),0,GETPIVOTDATA(抵消分录!$I:$K,"所得税费用 1 求和项:借方金额")-GETPIVOTDATA(抵消分录!$I:$K,"所得税费用 1 求和项:贷方金额"))</f>
        <v>0</v>
      </c>
      <c r="D106" s="120">
        <f>B106+C106</f>
        <v>0</v>
      </c>
      <c r="E106" s="201"/>
      <c r="F106" s="201">
        <f>IF(ISERROR(GETPIVOTDATA(抵消分录!$I:$K,"所得税费用 4 求和项:借方金额")),0,GETPIVOTDATA(抵消分录!$I:$K,"所得税费用 4 求和项:借方金额")-GETPIVOTDATA(抵消分录!$I:$K,"所得税费用 4 求和项:贷方金额"))</f>
        <v>0</v>
      </c>
      <c r="G106" s="120">
        <f>E106+F106</f>
        <v>0</v>
      </c>
      <c r="H106" s="194"/>
      <c r="I106" s="129"/>
      <c r="J106" s="120">
        <f>H106+I106</f>
        <v>0</v>
      </c>
      <c r="K106" s="194"/>
      <c r="L106" s="194"/>
      <c r="M106" s="15"/>
      <c r="N106" s="15"/>
      <c r="O106" s="194"/>
      <c r="P106" s="7">
        <f>SUM(J106:O106)+D106+G106</f>
        <v>0</v>
      </c>
      <c r="Q106" s="15">
        <f>IF(ISERROR(GETPIVOTDATA(抵消分录!$I:$K,"所得税费用 2 求和项:借方金额")),0,GETPIVOTDATA(抵消分录!$I:$K,"所得税费用 2 求和项:借方金额")-GETPIVOTDATA(抵消分录!$I:$K,"所得税费用 2 求和项:贷方金额"))</f>
        <v>0</v>
      </c>
      <c r="R106" s="7">
        <f t="shared" si="20"/>
        <v>0</v>
      </c>
      <c r="S106" s="15"/>
      <c r="T106" s="15"/>
      <c r="U106" s="7">
        <f t="shared" si="38"/>
        <v>0</v>
      </c>
      <c r="V106" s="7">
        <f t="shared" si="39"/>
        <v>0</v>
      </c>
    </row>
    <row r="107" spans="1:22" s="10" customFormat="1">
      <c r="A107" s="36" t="s">
        <v>341</v>
      </c>
      <c r="B107" s="8">
        <f>ROUND(B105-B106,2)</f>
        <v>0</v>
      </c>
      <c r="C107" s="8">
        <f>ROUND(C105-C106,2)</f>
        <v>0</v>
      </c>
      <c r="D107" s="8">
        <f t="shared" ref="D107:T107" si="44">ROUND(D105-D106,2)</f>
        <v>0</v>
      </c>
      <c r="E107" s="8">
        <f t="shared" si="44"/>
        <v>0</v>
      </c>
      <c r="F107" s="8">
        <f t="shared" si="44"/>
        <v>0</v>
      </c>
      <c r="G107" s="8">
        <f t="shared" si="44"/>
        <v>0</v>
      </c>
      <c r="H107" s="8">
        <f t="shared" si="44"/>
        <v>0</v>
      </c>
      <c r="I107" s="8">
        <f t="shared" si="44"/>
        <v>0</v>
      </c>
      <c r="J107" s="8">
        <f t="shared" si="44"/>
        <v>0</v>
      </c>
      <c r="K107" s="8">
        <f t="shared" si="44"/>
        <v>0</v>
      </c>
      <c r="L107" s="8">
        <f t="shared" si="44"/>
        <v>0</v>
      </c>
      <c r="M107" s="8">
        <f t="shared" si="44"/>
        <v>0</v>
      </c>
      <c r="N107" s="8">
        <f t="shared" si="44"/>
        <v>0</v>
      </c>
      <c r="O107" s="8">
        <f t="shared" si="44"/>
        <v>0</v>
      </c>
      <c r="P107" s="8">
        <f t="shared" si="44"/>
        <v>0</v>
      </c>
      <c r="Q107" s="8">
        <f t="shared" si="44"/>
        <v>0</v>
      </c>
      <c r="R107" s="8">
        <f t="shared" si="44"/>
        <v>0</v>
      </c>
      <c r="S107" s="8">
        <f t="shared" si="44"/>
        <v>0</v>
      </c>
      <c r="T107" s="8">
        <f t="shared" si="44"/>
        <v>0</v>
      </c>
      <c r="U107" s="8">
        <f>S107+R107</f>
        <v>0</v>
      </c>
      <c r="V107" s="8">
        <f>T107+L107</f>
        <v>0</v>
      </c>
    </row>
    <row r="108" spans="1:22" s="10" customFormat="1">
      <c r="A108" s="92" t="s">
        <v>342</v>
      </c>
      <c r="B108" s="117"/>
      <c r="C108" s="117"/>
      <c r="D108" s="8"/>
      <c r="E108" s="117"/>
      <c r="F108" s="117"/>
      <c r="G108" s="8"/>
      <c r="H108" s="117"/>
      <c r="I108" s="117"/>
      <c r="J108" s="8"/>
      <c r="K108" s="117"/>
      <c r="L108" s="117"/>
      <c r="M108" s="117"/>
      <c r="N108" s="117"/>
      <c r="O108" s="117"/>
      <c r="P108" s="8"/>
      <c r="Q108" s="117"/>
      <c r="R108" s="8"/>
      <c r="S108" s="15">
        <v>0</v>
      </c>
      <c r="T108" s="15">
        <v>0</v>
      </c>
      <c r="U108" s="7">
        <f t="shared" si="38"/>
        <v>0</v>
      </c>
      <c r="V108" s="7">
        <f t="shared" si="39"/>
        <v>0</v>
      </c>
    </row>
    <row r="109" spans="1:22" s="10" customFormat="1">
      <c r="A109" s="92" t="s">
        <v>343</v>
      </c>
      <c r="B109" s="117"/>
      <c r="C109" s="117"/>
      <c r="D109" s="8"/>
      <c r="E109" s="117"/>
      <c r="F109" s="117"/>
      <c r="G109" s="8"/>
      <c r="H109" s="117"/>
      <c r="I109" s="117"/>
      <c r="J109" s="8"/>
      <c r="K109" s="117"/>
      <c r="L109" s="117"/>
      <c r="M109" s="117"/>
      <c r="N109" s="117"/>
      <c r="O109" s="117"/>
      <c r="P109" s="8"/>
      <c r="Q109" s="117"/>
      <c r="R109" s="8"/>
      <c r="S109" s="15">
        <v>0</v>
      </c>
      <c r="T109" s="15">
        <v>0</v>
      </c>
      <c r="U109" s="7">
        <f t="shared" si="38"/>
        <v>0</v>
      </c>
      <c r="V109" s="7">
        <f t="shared" si="39"/>
        <v>0</v>
      </c>
    </row>
    <row r="110" spans="1:22" s="11" customFormat="1">
      <c r="A110" s="92" t="s">
        <v>331</v>
      </c>
      <c r="B110" s="117">
        <f>B107-B111</f>
        <v>0</v>
      </c>
      <c r="C110" s="117">
        <f>C107-C111</f>
        <v>0</v>
      </c>
      <c r="D110" s="8">
        <f t="shared" ref="D110:R110" si="45">D107-D111</f>
        <v>0</v>
      </c>
      <c r="E110" s="117">
        <f t="shared" si="45"/>
        <v>0</v>
      </c>
      <c r="F110" s="117">
        <f t="shared" si="45"/>
        <v>0</v>
      </c>
      <c r="G110" s="8">
        <f t="shared" si="45"/>
        <v>0</v>
      </c>
      <c r="H110" s="117">
        <f t="shared" si="45"/>
        <v>0</v>
      </c>
      <c r="I110" s="117">
        <f t="shared" si="45"/>
        <v>0</v>
      </c>
      <c r="J110" s="8">
        <f t="shared" si="45"/>
        <v>0</v>
      </c>
      <c r="K110" s="117">
        <f>K107-K111</f>
        <v>0</v>
      </c>
      <c r="L110" s="117">
        <f t="shared" si="45"/>
        <v>0</v>
      </c>
      <c r="M110" s="117">
        <f t="shared" si="45"/>
        <v>0</v>
      </c>
      <c r="N110" s="117">
        <f t="shared" si="45"/>
        <v>0</v>
      </c>
      <c r="O110" s="117">
        <f t="shared" si="45"/>
        <v>0</v>
      </c>
      <c r="P110" s="8">
        <f t="shared" si="45"/>
        <v>0</v>
      </c>
      <c r="Q110" s="117">
        <f t="shared" si="45"/>
        <v>0</v>
      </c>
      <c r="R110" s="8">
        <f t="shared" si="45"/>
        <v>0</v>
      </c>
      <c r="S110" s="15">
        <f>S107</f>
        <v>0</v>
      </c>
      <c r="T110" s="15">
        <f>T107</f>
        <v>0</v>
      </c>
      <c r="U110" s="7">
        <f t="shared" si="38"/>
        <v>0</v>
      </c>
      <c r="V110" s="7">
        <f t="shared" si="39"/>
        <v>0</v>
      </c>
    </row>
    <row r="111" spans="1:22" s="11" customFormat="1">
      <c r="A111" s="92" t="s">
        <v>332</v>
      </c>
      <c r="B111" s="117"/>
      <c r="C111" s="117">
        <f>IF(ISERROR(GETPIVOTDATA(抵消分录!$I:$K,"少数股东损益 1 求和项:借方金额")),0,GETPIVOTDATA(抵消分录!$I:$K,"少数股东损益 1 求和项:借方金额")-GETPIVOTDATA(抵消分录!$I:$K,"少数股东损益 1 求和项:贷方金额"))</f>
        <v>0</v>
      </c>
      <c r="D111" s="8">
        <f>B111+C111</f>
        <v>0</v>
      </c>
      <c r="E111" s="117"/>
      <c r="F111" s="117">
        <f>IF(ISERROR(GETPIVOTDATA(抵消分录!$I:$K,"少数股东损益 4 求和项:借方金额")),0,GETPIVOTDATA(抵消分录!$I:$K,"少数股东损益 4 求和项:借方金额")-GETPIVOTDATA(抵消分录!$I:$K,"少数股东损益 4 求和项:贷方金额"))</f>
        <v>0</v>
      </c>
      <c r="G111" s="8">
        <f>E111+F111</f>
        <v>0</v>
      </c>
      <c r="H111" s="117"/>
      <c r="I111" s="117">
        <f>IF(ISERROR(GETPIVOTDATA(抵消分录!$I:$K,"少数股东损益 5 求和项:借方金额")),0,GETPIVOTDATA(抵消分录!$I:$K,"少数股东损益 5 求和项:借方金额")-GETPIVOTDATA(抵消分录!$I:$K,"少数股东损益 5 求和项:贷方金额"))</f>
        <v>0</v>
      </c>
      <c r="J111" s="8">
        <f>H111+I111</f>
        <v>0</v>
      </c>
      <c r="K111" s="117"/>
      <c r="L111" s="117"/>
      <c r="M111" s="117"/>
      <c r="N111" s="117"/>
      <c r="O111" s="117"/>
      <c r="P111" s="8"/>
      <c r="Q111" s="117">
        <f>IF(ISERROR(GETPIVOTDATA(抵消分录!$I:$K,"少数股东损益 2 求和项:借方金额")),0,GETPIVOTDATA(抵消分录!$I:$K,"少数股东损益 2 求和项:借方金额")-GETPIVOTDATA(抵消分录!$I:$K,"少数股东损益 2 求和项:贷方金额"))</f>
        <v>0</v>
      </c>
      <c r="R111" s="8">
        <f t="shared" si="20"/>
        <v>0</v>
      </c>
      <c r="S111" s="15">
        <v>0</v>
      </c>
      <c r="T111" s="15">
        <v>0</v>
      </c>
      <c r="U111" s="7">
        <f t="shared" si="38"/>
        <v>0</v>
      </c>
      <c r="V111" s="7">
        <f t="shared" si="39"/>
        <v>0</v>
      </c>
    </row>
    <row r="112" spans="1:22" s="11" customFormat="1">
      <c r="A112" s="168" t="s">
        <v>346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>
        <v>0</v>
      </c>
      <c r="T112" s="8">
        <v>0</v>
      </c>
      <c r="U112" s="7">
        <f t="shared" si="38"/>
        <v>0</v>
      </c>
      <c r="V112" s="7">
        <f t="shared" si="39"/>
        <v>0</v>
      </c>
    </row>
    <row r="113" spans="1:22" s="11" customFormat="1">
      <c r="A113" s="92" t="s">
        <v>345</v>
      </c>
      <c r="B113" s="117"/>
      <c r="C113" s="117"/>
      <c r="D113" s="8"/>
      <c r="E113" s="117"/>
      <c r="F113" s="117"/>
      <c r="G113" s="8"/>
      <c r="H113" s="117"/>
      <c r="I113" s="117"/>
      <c r="J113" s="8"/>
      <c r="K113" s="117"/>
      <c r="L113" s="117"/>
      <c r="M113" s="117"/>
      <c r="N113" s="117"/>
      <c r="O113" s="117"/>
      <c r="P113" s="8"/>
      <c r="Q113" s="117"/>
      <c r="R113" s="8"/>
      <c r="S113" s="15">
        <v>0</v>
      </c>
      <c r="T113" s="15">
        <v>0</v>
      </c>
      <c r="U113" s="7">
        <f t="shared" si="38"/>
        <v>0</v>
      </c>
      <c r="V113" s="7">
        <f t="shared" si="39"/>
        <v>0</v>
      </c>
    </row>
    <row r="114" spans="1:22" s="11" customFormat="1">
      <c r="A114" s="91" t="s">
        <v>344</v>
      </c>
      <c r="B114" s="117"/>
      <c r="C114" s="117"/>
      <c r="D114" s="8"/>
      <c r="E114" s="117"/>
      <c r="F114" s="117"/>
      <c r="G114" s="8"/>
      <c r="H114" s="117"/>
      <c r="I114" s="117"/>
      <c r="J114" s="8"/>
      <c r="K114" s="117"/>
      <c r="L114" s="117"/>
      <c r="M114" s="117"/>
      <c r="N114" s="117"/>
      <c r="O114" s="117"/>
      <c r="P114" s="8"/>
      <c r="Q114" s="117"/>
      <c r="R114" s="8"/>
      <c r="S114" s="15">
        <v>0</v>
      </c>
      <c r="T114" s="15">
        <v>0</v>
      </c>
      <c r="U114" s="7">
        <f t="shared" si="38"/>
        <v>0</v>
      </c>
      <c r="V114" s="7">
        <f t="shared" si="39"/>
        <v>0</v>
      </c>
    </row>
    <row r="115" spans="1:22" s="11" customFormat="1">
      <c r="A115" s="168" t="s">
        <v>347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15">
        <v>0</v>
      </c>
      <c r="T115" s="15">
        <v>0</v>
      </c>
      <c r="U115" s="7">
        <f t="shared" si="38"/>
        <v>0</v>
      </c>
      <c r="V115" s="7">
        <f t="shared" si="39"/>
        <v>0</v>
      </c>
    </row>
    <row r="116" spans="1:22" s="11" customFormat="1">
      <c r="A116" s="167" t="s">
        <v>348</v>
      </c>
      <c r="B116" s="117"/>
      <c r="C116" s="117">
        <f>IF(ISERROR(GETPIVOTDATA(抵消分录!$I:$K,"期初未分配利润 1 求和项:借方金额")),0,-GETPIVOTDATA(抵消分录!$I:$K,"期初未分配利润 1 求和项:借方金额")+GETPIVOTDATA(抵消分录!$I:$K,"期初未分配利润 1 求和项:贷方金额"))</f>
        <v>0</v>
      </c>
      <c r="D116" s="8">
        <f>B116+C116</f>
        <v>0</v>
      </c>
      <c r="E116" s="117"/>
      <c r="F116" s="117">
        <f>IF(ISERROR(GETPIVOTDATA(抵消分录!$I:$K,"期初未分配利润 4 求和项:借方金额")),0,-GETPIVOTDATA(抵消分录!$I:$K,"期初未分配利润 4 求和项:借方金额")+GETPIVOTDATA(抵消分录!$I:$K,"期初未分配利润 4 求和项:贷方金额"))</f>
        <v>0</v>
      </c>
      <c r="G116" s="8">
        <f>E116+F116</f>
        <v>0</v>
      </c>
      <c r="H116" s="117"/>
      <c r="I116" s="117">
        <f>IF(ISERROR(GETPIVOTDATA(抵消分录!$I:$K,"期初未分配利润 5 求和项:借方金额")),0,-GETPIVOTDATA(抵消分录!$I:$K,"期初未分配利润 5 求和项:借方金额")+GETPIVOTDATA(抵消分录!$I:$K,"期初未分配利润 5 求和项:贷方金额"))</f>
        <v>0</v>
      </c>
      <c r="J116" s="8">
        <f>H116+I116</f>
        <v>0</v>
      </c>
      <c r="K116" s="117"/>
      <c r="L116" s="117"/>
      <c r="M116" s="117"/>
      <c r="N116" s="117"/>
      <c r="O116" s="117"/>
      <c r="P116" s="8">
        <f>SUM(J116:O116)+D116+G116</f>
        <v>0</v>
      </c>
      <c r="Q116" s="117">
        <f>IF(ISERROR(GETPIVOTDATA(抵消分录!$I:$K,"期初未分配利润 2 求和项:借方金额")),0,-GETPIVOTDATA(抵消分录!$I:$K,"期初未分配利润 2 求和项:借方金额")+GETPIVOTDATA(抵消分录!$I:$K,"期初未分配利润 2 求和项:贷方金额"))</f>
        <v>0</v>
      </c>
      <c r="R116" s="8">
        <f>ROUND(P116+Q116,2)</f>
        <v>0</v>
      </c>
      <c r="S116" s="251"/>
      <c r="T116" s="251"/>
      <c r="U116" s="8">
        <v>84877947.230000004</v>
      </c>
      <c r="V116" s="8">
        <v>-41178664.140000001</v>
      </c>
    </row>
    <row r="117" spans="1:22" s="11" customFormat="1">
      <c r="A117" s="166" t="s">
        <v>349</v>
      </c>
      <c r="B117" s="8">
        <f>B110+B116</f>
        <v>0</v>
      </c>
      <c r="C117" s="8">
        <f t="shared" ref="C117:G117" si="46">C110+C116</f>
        <v>0</v>
      </c>
      <c r="D117" s="8">
        <f t="shared" si="46"/>
        <v>0</v>
      </c>
      <c r="E117" s="8">
        <f t="shared" si="46"/>
        <v>0</v>
      </c>
      <c r="F117" s="8">
        <f t="shared" si="46"/>
        <v>0</v>
      </c>
      <c r="G117" s="8">
        <f t="shared" si="46"/>
        <v>0</v>
      </c>
      <c r="H117" s="8">
        <f>H110+H116</f>
        <v>0</v>
      </c>
      <c r="I117" s="8">
        <f>I110+I116</f>
        <v>0</v>
      </c>
      <c r="J117" s="8">
        <f>J110+J116</f>
        <v>0</v>
      </c>
      <c r="K117" s="8">
        <f>K110+K116</f>
        <v>0</v>
      </c>
      <c r="L117" s="8">
        <f t="shared" ref="L117:N117" si="47">L110+L116</f>
        <v>0</v>
      </c>
      <c r="M117" s="8">
        <f t="shared" si="47"/>
        <v>0</v>
      </c>
      <c r="N117" s="8">
        <f t="shared" si="47"/>
        <v>0</v>
      </c>
      <c r="O117" s="8">
        <f>O110+O116</f>
        <v>0</v>
      </c>
      <c r="P117" s="8">
        <f t="shared" ref="P117" si="48">P110+P116</f>
        <v>0</v>
      </c>
      <c r="Q117" s="8">
        <f>Q110+Q116</f>
        <v>0</v>
      </c>
      <c r="R117" s="8">
        <f>R110+R116</f>
        <v>0</v>
      </c>
      <c r="S117" s="8">
        <f>S110+S116</f>
        <v>0</v>
      </c>
      <c r="T117" s="8">
        <f>T110+T116</f>
        <v>0</v>
      </c>
      <c r="U117" s="8">
        <f>U110+U116</f>
        <v>84877947.230000004</v>
      </c>
      <c r="V117" s="8">
        <f t="shared" ref="V117" si="49">V110+V116</f>
        <v>-41178664.140000001</v>
      </c>
    </row>
    <row r="118" spans="1:22" s="10" customFormat="1">
      <c r="A118" s="9" t="s">
        <v>100</v>
      </c>
      <c r="B118" s="15"/>
      <c r="C118" s="15">
        <f>IF(ISERROR(GETPIVOTDATA(抵消分录!$I:$K,"提取盈余公积 1 求和项:借方金额")),0,GETPIVOTDATA(抵消分录!$I:$K,"提取盈余公积 1 求和项:借方金额")-GETPIVOTDATA(抵消分录!$I:$K,"提取盈余公积 1 求和项:贷方金额"))</f>
        <v>0</v>
      </c>
      <c r="D118" s="7">
        <f>B118+C118</f>
        <v>0</v>
      </c>
      <c r="E118" s="194"/>
      <c r="F118" s="194">
        <f>IF(ISERROR(GETPIVOTDATA(抵消分录!$I:$K,"提取盈余公积 4 求和项:借方金额")),0,GETPIVOTDATA(抵消分录!$I:$K,"提取盈余公积 4 求和项:借方金额")-GETPIVOTDATA(抵消分录!$I:$K,"提取盈余公积 4 求和项:贷方金额"))</f>
        <v>0</v>
      </c>
      <c r="G118" s="7">
        <f>E118+F118</f>
        <v>0</v>
      </c>
      <c r="H118" s="128"/>
      <c r="I118" s="128">
        <f>IF(ISERROR(GETPIVOTDATA(抵消分录!$I:$K,"提取盈余公积 5 求和项:借方金额")),0,GETPIVOTDATA(抵消分录!$I:$K,"提取盈余公积 5 求和项:借方金额")-GETPIVOTDATA(抵消分录!$I:$K,"提取盈余公积 5 求和项:贷方金额"))</f>
        <v>0</v>
      </c>
      <c r="J118" s="7">
        <f>H118+I118</f>
        <v>0</v>
      </c>
      <c r="K118" s="128"/>
      <c r="L118" s="15"/>
      <c r="M118" s="15"/>
      <c r="N118" s="15"/>
      <c r="O118" s="15"/>
      <c r="P118" s="7">
        <f>SUM(J118:O118)+D118+G118</f>
        <v>0</v>
      </c>
      <c r="Q118" s="15">
        <f>IF(ISERROR(GETPIVOTDATA(抵消分录!$I:$K,"提取盈余公积 2 求和项:借方金额")),0,GETPIVOTDATA(抵消分录!$I:$K,"提取盈余公积 2 求和项:借方金额")-GETPIVOTDATA(抵消分录!$I:$K,"提取盈余公积 2 求和项:贷方金额"))</f>
        <v>0</v>
      </c>
      <c r="R118" s="7">
        <f t="shared" si="20"/>
        <v>0</v>
      </c>
      <c r="S118" s="15"/>
      <c r="T118" s="15">
        <v>0</v>
      </c>
      <c r="U118" s="7">
        <f t="shared" si="38"/>
        <v>0</v>
      </c>
      <c r="V118" s="7">
        <f t="shared" si="39"/>
        <v>0</v>
      </c>
    </row>
    <row r="119" spans="1:22" s="10" customFormat="1">
      <c r="A119" s="9" t="s">
        <v>101</v>
      </c>
      <c r="B119" s="15"/>
      <c r="C119" s="15">
        <f>IF(ISERROR(GETPIVOTDATA(抵消分录!$I:$K,"应付优先股股利 1 求和项:借方金额")),0,GETPIVOTDATA(抵消分录!$I:$K,"应付优先股股利 1 求和项:借方金额")-GETPIVOTDATA(抵消分录!$I:$K,"应付优先股股利 1 求和项:贷方金额"))</f>
        <v>0</v>
      </c>
      <c r="D119" s="7">
        <f>B119+C119</f>
        <v>0</v>
      </c>
      <c r="E119" s="128"/>
      <c r="F119" s="128">
        <f>IF(ISERROR(GETPIVOTDATA(抵消分录!$I:$K,"应付优先股股利 4 求和项:借方金额")),0,GETPIVOTDATA(抵消分录!$I:$K,"应付优先股股利 4 求和项:借方金额")-GETPIVOTDATA(抵消分录!$I:$K,"应付优先股股利 4 求和项:贷方金额"))</f>
        <v>0</v>
      </c>
      <c r="G119" s="7">
        <f>E119+F119</f>
        <v>0</v>
      </c>
      <c r="H119" s="128"/>
      <c r="I119" s="128">
        <f>IF(ISERROR(GETPIVOTDATA(抵消分录!$I:$K,"应付优先股股利 5 求和项:借方金额")),0,GETPIVOTDATA(抵消分录!$I:$K,"应付优先股股利 5 求和项:借方金额")-GETPIVOTDATA(抵消分录!$I:$K,"应付优先股股利 5 求和项:贷方金额"))</f>
        <v>0</v>
      </c>
      <c r="J119" s="7">
        <f>H119+I119</f>
        <v>0</v>
      </c>
      <c r="K119" s="128"/>
      <c r="L119" s="15"/>
      <c r="M119" s="15"/>
      <c r="N119" s="15"/>
      <c r="O119" s="15"/>
      <c r="P119" s="7">
        <f>SUM(J119:O119)+D119+G119</f>
        <v>0</v>
      </c>
      <c r="Q119" s="15">
        <f>IF(ISERROR(GETPIVOTDATA(抵消分录!$I:$K,"应付优先股股利 2 求和项:借方金额")),0,GETPIVOTDATA(抵消分录!$I:$K,"应付优先股股利 2 求和项:借方金额")-GETPIVOTDATA(抵消分录!$I:$K,"应付优先股股利 2 求和项:贷方金额"))</f>
        <v>0</v>
      </c>
      <c r="R119" s="7">
        <f t="shared" si="20"/>
        <v>0</v>
      </c>
      <c r="S119" s="15">
        <v>0</v>
      </c>
      <c r="T119" s="15">
        <v>0</v>
      </c>
      <c r="U119" s="7">
        <f t="shared" si="38"/>
        <v>0</v>
      </c>
      <c r="V119" s="7">
        <f t="shared" si="39"/>
        <v>0</v>
      </c>
    </row>
    <row r="120" spans="1:22" s="10" customFormat="1">
      <c r="A120" s="9" t="s">
        <v>102</v>
      </c>
      <c r="B120" s="15"/>
      <c r="C120" s="15">
        <f>IF(ISERROR(GETPIVOTDATA(抵消分录!$I:$K,"应付普通股股利 1 求和项:借方金额")),0,GETPIVOTDATA(抵消分录!$I:$K,"应付普通股股利 1 求和项:借方金额")-GETPIVOTDATA(抵消分录!$I:$K,"应付普通股股利 1 求和项:贷方金额"))</f>
        <v>0</v>
      </c>
      <c r="D120" s="7">
        <f>B120+C120</f>
        <v>0</v>
      </c>
      <c r="E120" s="128"/>
      <c r="F120" s="128">
        <f>IF(ISERROR(GETPIVOTDATA(抵消分录!$I:$K,"应付普通股股利 4 求和项:借方金额")),0,GETPIVOTDATA(抵消分录!$I:$K,"应付普通股股利 4 求和项:借方金额")-GETPIVOTDATA(抵消分录!$I:$K,"应付普通股股利 4 求和项:贷方金额"))</f>
        <v>0</v>
      </c>
      <c r="G120" s="7">
        <f>E120+F120</f>
        <v>0</v>
      </c>
      <c r="H120" s="128"/>
      <c r="I120" s="128">
        <f>IF(ISERROR(GETPIVOTDATA(抵消分录!$I:$K,"应付普通股股利 5 求和项:借方金额")),0,GETPIVOTDATA(抵消分录!$I:$K,"应付普通股股利 5 求和项:借方金额")-GETPIVOTDATA(抵消分录!$I:$K,"应付普通股股利 5 求和项:贷方金额"))</f>
        <v>0</v>
      </c>
      <c r="J120" s="7">
        <f>H120+I120</f>
        <v>0</v>
      </c>
      <c r="K120" s="128"/>
      <c r="L120" s="15"/>
      <c r="M120" s="15"/>
      <c r="N120" s="15"/>
      <c r="O120" s="15"/>
      <c r="P120" s="7">
        <f>SUM(J120:O120)+D120+G120</f>
        <v>0</v>
      </c>
      <c r="Q120" s="15">
        <f>IF(ISERROR(GETPIVOTDATA(抵消分录!$I:$K,"应付普通股股利 2 求和项:借方金额")),0,GETPIVOTDATA(抵消分录!$I:$K,"应付普通股股利 2 求和项:借方金额")+GETPIVOTDATA(抵消分录!$I:$K,"应付普通股股利 2 求和项:贷方金额"))</f>
        <v>0</v>
      </c>
      <c r="R120" s="7">
        <f t="shared" si="20"/>
        <v>0</v>
      </c>
      <c r="S120" s="15">
        <v>0</v>
      </c>
      <c r="T120" s="15">
        <v>0</v>
      </c>
      <c r="U120" s="7">
        <f t="shared" si="38"/>
        <v>0</v>
      </c>
      <c r="V120" s="7">
        <f t="shared" si="39"/>
        <v>0</v>
      </c>
    </row>
    <row r="121" spans="1:22" s="10" customFormat="1">
      <c r="A121" s="9" t="s">
        <v>103</v>
      </c>
      <c r="B121" s="15"/>
      <c r="C121" s="15">
        <f>IF(ISERROR(GETPIVOTDATA(抵消分录!$I:$K,"转作普通股的股利 1 求和项:借方金额")),0,GETPIVOTDATA(抵消分录!$I:$K,"转作普通股的股利 1 求和项:借方金额")-GETPIVOTDATA(抵消分录!$I:$K,"转作普通股的股利 1 求和项:贷方金额"))</f>
        <v>0</v>
      </c>
      <c r="D121" s="7">
        <f>B121+C121</f>
        <v>0</v>
      </c>
      <c r="E121" s="128"/>
      <c r="F121" s="128">
        <f>IF(ISERROR(GETPIVOTDATA(抵消分录!$I:$K,"转作普通股的股利 4 求和项:借方金额")),0,GETPIVOTDATA(抵消分录!$I:$K,"转作普通股的股利 4 求和项:借方金额")-GETPIVOTDATA(抵消分录!$I:$K,"转作普通股的股利 4 求和项:贷方金额"))</f>
        <v>0</v>
      </c>
      <c r="G121" s="7">
        <f>E121+F121</f>
        <v>0</v>
      </c>
      <c r="H121" s="128"/>
      <c r="I121" s="128">
        <f>IF(ISERROR(GETPIVOTDATA(抵消分录!$I:$K,"转作普通股的股利 5 求和项:借方金额")),0,GETPIVOTDATA(抵消分录!$I:$K,"转作普通股的股利 5 求和项:借方金额")-GETPIVOTDATA(抵消分录!$I:$K,"转作普通股的股利 5 求和项:贷方金额"))</f>
        <v>0</v>
      </c>
      <c r="J121" s="7">
        <f>H121+I121</f>
        <v>0</v>
      </c>
      <c r="K121" s="128"/>
      <c r="L121" s="15"/>
      <c r="M121" s="15"/>
      <c r="N121" s="15"/>
      <c r="O121" s="15"/>
      <c r="P121" s="7">
        <f>SUM(J121:O121)+D121+G121</f>
        <v>0</v>
      </c>
      <c r="Q121" s="15">
        <f>IF(ISERROR(GETPIVOTDATA(抵消分录!$I:$K,"转作普通股的股利 2 求和项:借方金额")),0,GETPIVOTDATA(抵消分录!$I:$K,"转作普通股的股利 2 求和项:借方金额")-GETPIVOTDATA(抵消分录!$I:$K,"转作普通股的股利 2 求和项:贷方金额"))</f>
        <v>0</v>
      </c>
      <c r="R121" s="7">
        <f t="shared" si="20"/>
        <v>0</v>
      </c>
      <c r="S121" s="15">
        <v>0</v>
      </c>
      <c r="T121" s="15">
        <v>0</v>
      </c>
      <c r="U121" s="7">
        <f t="shared" si="38"/>
        <v>0</v>
      </c>
      <c r="V121" s="7">
        <f t="shared" si="39"/>
        <v>0</v>
      </c>
    </row>
    <row r="122" spans="1:22" s="10" customFormat="1">
      <c r="A122" s="9" t="s">
        <v>104</v>
      </c>
      <c r="B122" s="15"/>
      <c r="C122" s="15">
        <f>IF(ISERROR(GETPIVOTDATA(抵消分录!$I:$K,"其他调整 1 求和项:借方金额")),0,GETPIVOTDATA(抵消分录!$I:$K,"其他调整 1 求和项:借方金额")-GETPIVOTDATA(抵消分录!$I:$K,"其他调整 1 求和项:贷方金额"))</f>
        <v>0</v>
      </c>
      <c r="D122" s="7"/>
      <c r="E122" s="128"/>
      <c r="F122" s="128">
        <f>IF(ISERROR(GETPIVOTDATA(抵消分录!$I:$K,"其他调整 4 求和项:借方金额")),0,GETPIVOTDATA(抵消分录!$I:$K,"其他调整 4 求和项:借方金额")-GETPIVOTDATA(抵消分录!$I:$K,"其他调整 4 求和项:贷方金额"))</f>
        <v>0</v>
      </c>
      <c r="G122" s="7"/>
      <c r="H122" s="128"/>
      <c r="I122" s="128">
        <f>IF(ISERROR(GETPIVOTDATA(抵消分录!$I:$K,"其他调整 5 求和项:借方金额")),0,GETPIVOTDATA(抵消分录!$I:$K,"其他调整 5 求和项:借方金额")-GETPIVOTDATA(抵消分录!$I:$K,"其他调整 5 求和项:贷方金额"))</f>
        <v>0</v>
      </c>
      <c r="J122" s="7"/>
      <c r="K122" s="128"/>
      <c r="L122" s="15"/>
      <c r="M122" s="15"/>
      <c r="N122" s="15"/>
      <c r="O122" s="15"/>
      <c r="P122" s="7">
        <f>SUM(J122:O122)+D122+G122</f>
        <v>0</v>
      </c>
      <c r="Q122" s="15">
        <f>IF(ISERROR(GETPIVOTDATA(抵消分录!$I:$K,"其他调整 2 求和项:借方金额")),0,GETPIVOTDATA(抵消分录!$I:$K,"其他调整 2 求和项:借方金额")-GETPIVOTDATA(抵消分录!$I:$K,"其他调整 2 求和项:贷方金额"))</f>
        <v>0</v>
      </c>
      <c r="R122" s="7"/>
      <c r="S122" s="15">
        <v>0</v>
      </c>
      <c r="T122" s="15">
        <v>0</v>
      </c>
      <c r="U122" s="7">
        <f t="shared" si="38"/>
        <v>0</v>
      </c>
      <c r="V122" s="7">
        <f t="shared" si="39"/>
        <v>0</v>
      </c>
    </row>
    <row r="123" spans="1:22" s="11" customFormat="1">
      <c r="A123" s="166" t="s">
        <v>350</v>
      </c>
      <c r="B123" s="8">
        <f>ROUND(B117-B118-B119-B120-B121-B122,2)</f>
        <v>0</v>
      </c>
      <c r="C123" s="8">
        <f t="shared" ref="C123:V123" si="50">ROUND(C117-C118-C119-C120-C121-C122,2)</f>
        <v>0</v>
      </c>
      <c r="D123" s="8">
        <f t="shared" si="50"/>
        <v>0</v>
      </c>
      <c r="E123" s="8">
        <f>ROUND(E117-E118-E119-E120-E121-E122,2)</f>
        <v>0</v>
      </c>
      <c r="F123" s="8">
        <f t="shared" si="50"/>
        <v>0</v>
      </c>
      <c r="G123" s="8">
        <f t="shared" si="50"/>
        <v>0</v>
      </c>
      <c r="H123" s="8">
        <f>ROUND(H117-H118-H119-H120-H121-H122,2)</f>
        <v>0</v>
      </c>
      <c r="I123" s="8">
        <f t="shared" si="50"/>
        <v>0</v>
      </c>
      <c r="J123" s="8">
        <f>ROUND(J117-J118-J119-J120-J121-J122,2)</f>
        <v>0</v>
      </c>
      <c r="K123" s="8">
        <f>ROUND(K117-K118-K119-K120-K121-K122,2)</f>
        <v>0</v>
      </c>
      <c r="L123" s="8">
        <f>ROUND(L117-L118-L119-L120-L121-L122,2)</f>
        <v>0</v>
      </c>
      <c r="M123" s="8">
        <f t="shared" si="50"/>
        <v>0</v>
      </c>
      <c r="N123" s="8">
        <f>ROUND(N117-N118-N119-N120-N121-N122,2)</f>
        <v>0</v>
      </c>
      <c r="O123" s="8">
        <f>ROUND(O117-O118-O119-O120-O121-O122,2)</f>
        <v>0</v>
      </c>
      <c r="P123" s="8">
        <f t="shared" si="50"/>
        <v>0</v>
      </c>
      <c r="Q123" s="8">
        <f t="shared" si="50"/>
        <v>0</v>
      </c>
      <c r="R123" s="8">
        <f t="shared" si="50"/>
        <v>0</v>
      </c>
      <c r="S123" s="8">
        <f>ROUND(S117-S118-S119-S120-S121-S122,2)</f>
        <v>0</v>
      </c>
      <c r="T123" s="8">
        <f t="shared" si="50"/>
        <v>0</v>
      </c>
      <c r="U123" s="8">
        <f>ROUND(U117-U118-U119-U120-U121-U122,2)</f>
        <v>84877947.230000004</v>
      </c>
      <c r="V123" s="8">
        <f t="shared" si="50"/>
        <v>-41178664.140000001</v>
      </c>
    </row>
    <row r="124" spans="1:22">
      <c r="A124" s="37" t="s">
        <v>124</v>
      </c>
      <c r="B124" s="16">
        <f t="shared" ref="B124:O124" si="51">B123-B77</f>
        <v>0</v>
      </c>
      <c r="C124" s="16">
        <f t="shared" si="51"/>
        <v>0</v>
      </c>
      <c r="D124" s="16">
        <f t="shared" si="51"/>
        <v>0</v>
      </c>
      <c r="E124" s="16">
        <f t="shared" si="51"/>
        <v>0</v>
      </c>
      <c r="F124" s="16">
        <f t="shared" si="51"/>
        <v>0</v>
      </c>
      <c r="G124" s="16">
        <f t="shared" si="51"/>
        <v>0</v>
      </c>
      <c r="H124" s="16">
        <f t="shared" si="51"/>
        <v>0</v>
      </c>
      <c r="I124" s="16">
        <f t="shared" si="51"/>
        <v>0</v>
      </c>
      <c r="J124" s="16">
        <f t="shared" si="51"/>
        <v>0</v>
      </c>
      <c r="K124" s="16">
        <f t="shared" si="51"/>
        <v>0</v>
      </c>
      <c r="L124" s="16">
        <f t="shared" si="51"/>
        <v>0</v>
      </c>
      <c r="M124" s="16">
        <f t="shared" si="51"/>
        <v>0</v>
      </c>
      <c r="N124" s="16">
        <f t="shared" si="51"/>
        <v>0</v>
      </c>
      <c r="O124" s="16">
        <f t="shared" si="51"/>
        <v>0</v>
      </c>
      <c r="P124" s="214">
        <f>SUM(J124:O124)+D124+G124</f>
        <v>0</v>
      </c>
      <c r="Q124" s="16">
        <f>Q123-Q77</f>
        <v>0</v>
      </c>
      <c r="R124" s="16">
        <f>R123-R77</f>
        <v>0</v>
      </c>
      <c r="S124" s="16">
        <f>S123-S77</f>
        <v>0</v>
      </c>
      <c r="T124" s="16">
        <f>T123-T77</f>
        <v>0</v>
      </c>
      <c r="U124" s="16">
        <f t="shared" si="38"/>
        <v>0</v>
      </c>
      <c r="V124" s="16">
        <f t="shared" si="39"/>
        <v>0</v>
      </c>
    </row>
    <row r="125" spans="1:22" s="11" customFormat="1">
      <c r="A125" s="36" t="s">
        <v>123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117"/>
      <c r="T125" s="117"/>
      <c r="U125" s="7">
        <f t="shared" si="38"/>
        <v>0</v>
      </c>
      <c r="V125" s="7">
        <f t="shared" si="39"/>
        <v>0</v>
      </c>
    </row>
    <row r="126" spans="1:22">
      <c r="A126" s="93" t="s">
        <v>318</v>
      </c>
      <c r="B126" s="194"/>
      <c r="C126" s="194">
        <f>IF(ISERROR(GETPIVOTDATA(抵消分录!$I:$K,"销售商品、提供劳务收到的现金 1 求和项:借方金额")),0,GETPIVOTDATA(抵消分录!$I:$K,"销售商品、提供劳务收到的现金 1 求和项:借方金额")-GETPIVOTDATA(抵消分录!$I:$K,"销售商品、提供劳务收到的现金 1 求和项:贷方金额"))</f>
        <v>0</v>
      </c>
      <c r="D126" s="13">
        <f>B126+C126</f>
        <v>0</v>
      </c>
      <c r="E126" s="194"/>
      <c r="F126" s="194">
        <f>IF(ISERROR(GETPIVOTDATA(抵消分录!$I:$K,"销售商品、提供劳务收到的现金 4 求和项:借方金额")),0,GETPIVOTDATA(抵消分录!$I:$K,"销售商品、提供劳务收到的现金 4 求和项:借方金额")-GETPIVOTDATA(抵消分录!$I:$K,"销售商品、提供劳务收到的现金 4 求和项:贷方金额"))</f>
        <v>0</v>
      </c>
      <c r="G126" s="13">
        <f>E126+F126</f>
        <v>0</v>
      </c>
      <c r="H126" s="252"/>
      <c r="I126" s="194">
        <f>IF(ISERROR(GETPIVOTDATA(抵消分录!$I:$K,"销售商品、提供劳务收到的现金 5 求和项:借方金额")),0,GETPIVOTDATA(抵消分录!$I:$K,"销售商品、提供劳务收到的现金 5 求和项:借方金额")-GETPIVOTDATA(抵消分录!$I:$K,"销售商品、提供劳务收到的现金 5 求和项:贷方金额"))</f>
        <v>0</v>
      </c>
      <c r="J126" s="13">
        <f>H126+I126</f>
        <v>0</v>
      </c>
      <c r="K126" s="194"/>
      <c r="L126" s="194"/>
      <c r="M126" s="194"/>
      <c r="N126" s="118"/>
      <c r="O126" s="118"/>
      <c r="P126" s="7">
        <f t="shared" ref="P126:P132" si="52">SUM(J126:O126)+D126+G126</f>
        <v>0</v>
      </c>
      <c r="Q126" s="118">
        <f>IF(ISERROR(GETPIVOTDATA(抵消分录!$I:$K,"销售商品、提供劳务收到的现金 2 求和项:借方金额")),0,GETPIVOTDATA(抵消分录!$I:$K,"销售商品、提供劳务收到的现金 2 求和项:借方金额")-GETPIVOTDATA(抵消分录!$I:$K,"销售商品、提供劳务收到的现金 2 求和项:贷方金额"))</f>
        <v>0</v>
      </c>
      <c r="R126" s="13">
        <f>P126+Q126</f>
        <v>0</v>
      </c>
      <c r="S126" s="12"/>
      <c r="T126" s="12"/>
      <c r="U126" s="7">
        <f>S126+R126</f>
        <v>0</v>
      </c>
      <c r="V126" s="7">
        <f t="shared" si="39"/>
        <v>0</v>
      </c>
    </row>
    <row r="127" spans="1:22">
      <c r="A127" s="93" t="s">
        <v>1</v>
      </c>
      <c r="B127" s="194"/>
      <c r="C127" s="194">
        <f>IF(ISERROR(GETPIVOTDATA(抵消分录!$I:$K,"收到的税费返还 1 求和项:借方金额")),0,GETPIVOTDATA(抵消分录!$I:$K,"收到的税费返还 1 求和项:借方金额")-GETPIVOTDATA(抵消分录!$I:$K,"收到的税费返还 1 求和项:贷方金额"))</f>
        <v>0</v>
      </c>
      <c r="D127" s="13">
        <f>B127+C127</f>
        <v>0</v>
      </c>
      <c r="E127" s="194"/>
      <c r="F127" s="194">
        <f>IF(ISERROR(GETPIVOTDATA(抵消分录!$I:$K,"收到的税费返还 4 求和项:借方金额")),0,GETPIVOTDATA(抵消分录!$I:$K,"收到的税费返还 4 求和项:借方金额")-GETPIVOTDATA(抵消分录!$I:$K,"收到的税费返还 4 求和项:贷方金额"))</f>
        <v>0</v>
      </c>
      <c r="G127" s="13">
        <f>E127+F127</f>
        <v>0</v>
      </c>
      <c r="H127" s="194"/>
      <c r="I127" s="194">
        <f>IF(ISERROR(GETPIVOTDATA(抵消分录!$I:$K,"收到的税费返还 5 求和项:借方金额")),0,GETPIVOTDATA(抵消分录!$I:$K,"收到的税费返还 5 求和项:借方金额")-GETPIVOTDATA(抵消分录!$I:$K,"收到的税费返还 5 求和项:贷方金额"))</f>
        <v>0</v>
      </c>
      <c r="J127" s="13">
        <f>H127+I127</f>
        <v>0</v>
      </c>
      <c r="K127" s="194"/>
      <c r="L127" s="194"/>
      <c r="M127" s="194"/>
      <c r="N127" s="12"/>
      <c r="O127" s="12"/>
      <c r="P127" s="7">
        <f t="shared" si="52"/>
        <v>0</v>
      </c>
      <c r="Q127" s="12">
        <f>IF(ISERROR(GETPIVOTDATA(抵消分录!$I:$K,"收到的税费返还 2 求和项:借方金额")),0,GETPIVOTDATA(抵消分录!$I:$K,"收到的税费返还 2 求和项:借方金额")-GETPIVOTDATA(抵消分录!$I:$K,"收到的税费返还 2 求和项:贷方金额"))</f>
        <v>0</v>
      </c>
      <c r="R127" s="13">
        <f>P127+Q127</f>
        <v>0</v>
      </c>
      <c r="S127" s="12"/>
      <c r="T127" s="12"/>
      <c r="U127" s="7">
        <f t="shared" ref="U127:U128" si="53">S127+R127</f>
        <v>0</v>
      </c>
      <c r="V127" s="7">
        <f t="shared" si="39"/>
        <v>0</v>
      </c>
    </row>
    <row r="128" spans="1:22">
      <c r="A128" s="93" t="s">
        <v>295</v>
      </c>
      <c r="B128" s="194"/>
      <c r="C128" s="194">
        <f>IF(ISERROR(GETPIVOTDATA(抵消分录!$I:$K,"收到的其他与经营活动有关的现金 1 求和项:借方金额")),0,GETPIVOTDATA(抵消分录!$I:$K,"收到的其他与经营活动有关的现金 1 求和项:借方金额")-GETPIVOTDATA(抵消分录!$I:$K,"收到的其他与经营活动有关的现金 1 求和项:贷方金额"))</f>
        <v>0</v>
      </c>
      <c r="D128" s="13">
        <f>B128+C128</f>
        <v>0</v>
      </c>
      <c r="E128" s="194"/>
      <c r="F128" s="194">
        <f>IF(ISERROR(GETPIVOTDATA(抵消分录!$I:$K,"收到的其他与经营活动有关的现金 4 求和项:借方金额")),0,GETPIVOTDATA(抵消分录!$I:$K,"收到的其他与经营活动有关的现金 4 求和项:借方金额")-GETPIVOTDATA(抵消分录!$I:$K,"收到的其他与经营活动有关的现金 4 求和项:贷方金额"))</f>
        <v>0</v>
      </c>
      <c r="G128" s="13">
        <f>E128+F128</f>
        <v>0</v>
      </c>
      <c r="H128" s="194"/>
      <c r="I128" s="194">
        <f>IF(ISERROR(GETPIVOTDATA(抵消分录!$I:$K,"收到的其他与经营活动有关的现金 5 求和项:借方金额")),0,GETPIVOTDATA(抵消分录!$I:$K,"收到的其他与经营活动有关的现金 5 求和项:借方金额")-GETPIVOTDATA(抵消分录!$I:$K,"收到的其他与经营活动有关的现金 5 求和项:贷方金额"))</f>
        <v>0</v>
      </c>
      <c r="J128" s="13">
        <f>H128+I128</f>
        <v>0</v>
      </c>
      <c r="K128" s="194"/>
      <c r="L128" s="194"/>
      <c r="M128" s="194"/>
      <c r="N128" s="12"/>
      <c r="O128" s="194"/>
      <c r="P128" s="7">
        <f t="shared" si="52"/>
        <v>0</v>
      </c>
      <c r="Q128" s="12">
        <f>IF(ISERROR(GETPIVOTDATA(抵消分录!$I:$K,"收到其他与经营活动有关的现金 2 求和项:借方金额")),0,GETPIVOTDATA(抵消分录!$I:$K,"收到其他与经营活动有关的现金 2 求和项:借方金额")-GETPIVOTDATA(抵消分录!$I:$K,"收到其他与经营活动有关的现金 2 求和项:贷方金额"))</f>
        <v>0</v>
      </c>
      <c r="R128" s="13">
        <f>P128+Q128</f>
        <v>0</v>
      </c>
      <c r="S128" s="12"/>
      <c r="T128" s="12"/>
      <c r="U128" s="7">
        <f t="shared" si="53"/>
        <v>0</v>
      </c>
      <c r="V128" s="7">
        <f t="shared" si="39"/>
        <v>0</v>
      </c>
    </row>
    <row r="129" spans="1:23" s="11" customFormat="1">
      <c r="A129" s="36" t="s">
        <v>106</v>
      </c>
      <c r="B129" s="8">
        <f t="shared" ref="B129:G129" si="54">SUM(B126:B128)</f>
        <v>0</v>
      </c>
      <c r="C129" s="8">
        <f t="shared" si="54"/>
        <v>0</v>
      </c>
      <c r="D129" s="8">
        <f t="shared" si="54"/>
        <v>0</v>
      </c>
      <c r="E129" s="8">
        <f t="shared" si="54"/>
        <v>0</v>
      </c>
      <c r="F129" s="8">
        <f t="shared" si="54"/>
        <v>0</v>
      </c>
      <c r="G129" s="8">
        <f t="shared" si="54"/>
        <v>0</v>
      </c>
      <c r="H129" s="8">
        <f>SUM(H126:H128)</f>
        <v>0</v>
      </c>
      <c r="I129" s="8">
        <f>SUM(I126:I128)</f>
        <v>0</v>
      </c>
      <c r="J129" s="8">
        <f>SUM(J126:J128)</f>
        <v>0</v>
      </c>
      <c r="K129" s="8">
        <f>ROUND(SUM(K126:K128),2)</f>
        <v>0</v>
      </c>
      <c r="L129" s="8">
        <f t="shared" ref="L129:O129" si="55">SUM(L126:L128)</f>
        <v>0</v>
      </c>
      <c r="M129" s="8">
        <f t="shared" si="55"/>
        <v>0</v>
      </c>
      <c r="N129" s="8">
        <f t="shared" si="55"/>
        <v>0</v>
      </c>
      <c r="O129" s="8">
        <f t="shared" si="55"/>
        <v>0</v>
      </c>
      <c r="P129" s="8">
        <f>SUM(P126:P128)</f>
        <v>0</v>
      </c>
      <c r="Q129" s="8">
        <f>SUM(Q126:Q128)</f>
        <v>0</v>
      </c>
      <c r="R129" s="8">
        <f>SUM(R126:R128)</f>
        <v>0</v>
      </c>
      <c r="S129" s="8">
        <f>SUM(S126:S128)</f>
        <v>0</v>
      </c>
      <c r="T129" s="8">
        <f t="shared" ref="T129:V129" si="56">SUM(T126:T128)</f>
        <v>0</v>
      </c>
      <c r="U129" s="8">
        <f>SUM(U126:U128)</f>
        <v>0</v>
      </c>
      <c r="V129" s="8">
        <f t="shared" si="56"/>
        <v>0</v>
      </c>
    </row>
    <row r="130" spans="1:23">
      <c r="A130" s="93" t="s">
        <v>319</v>
      </c>
      <c r="B130" s="193"/>
      <c r="C130" s="12">
        <f>IF(ISERROR(GETPIVOTDATA(抵消分录!$I:$K,"购买商品、接受劳务支付的现金 1 求和项:借方金额")),0,-GETPIVOTDATA(抵消分录!$I:$K,"购买商品、接受劳务支付的现金 1 求和项:借方金额")+GETPIVOTDATA(抵消分录!$I:$K,"购买商品、接受劳务支付的现金 1 求和项:贷方金额"))</f>
        <v>0</v>
      </c>
      <c r="D130" s="13">
        <f>B130+C130</f>
        <v>0</v>
      </c>
      <c r="E130" s="193"/>
      <c r="F130" s="193">
        <f>IF(ISERROR(GETPIVOTDATA(抵消分录!$I:$K,"购买商品、接受劳务支付的现金 4 求和项:借方金额")),0,-GETPIVOTDATA(抵消分录!$I:$K,"购买商品、接受劳务支付的现金 4 求和项:借方金额")+GETPIVOTDATA(抵消分录!$I:$K,"购买商品、接受劳务支付的现金 4 求和项:贷方金额"))</f>
        <v>0</v>
      </c>
      <c r="G130" s="13">
        <f>E130+F130</f>
        <v>0</v>
      </c>
      <c r="H130" s="193"/>
      <c r="I130" s="118">
        <f>IF(ISERROR(GETPIVOTDATA(抵消分录!$I:$K,"购买商品、接受劳务支付的现金 5 求和项:借方金额")),0,-GETPIVOTDATA(抵消分录!$I:$K,"购买商品、接受劳务支付的现金 5 求和项:借方金额")+GETPIVOTDATA(抵消分录!$I:$K,"购买商品、接受劳务支付的现金 5 求和项:贷方金额"))</f>
        <v>0</v>
      </c>
      <c r="J130" s="13">
        <f>H130+I130</f>
        <v>0</v>
      </c>
      <c r="K130" s="193"/>
      <c r="L130" s="193"/>
      <c r="M130" s="193"/>
      <c r="N130" s="12"/>
      <c r="O130" s="193"/>
      <c r="P130" s="7">
        <f t="shared" si="52"/>
        <v>0</v>
      </c>
      <c r="Q130" s="12">
        <f>IF(ISERROR(GETPIVOTDATA(抵消分录!$I:$K,"购买商品、接受劳务支付的现金 2 求和项:借方金额")),0,-GETPIVOTDATA(抵消分录!$I:$K,"购买商品、接受劳务支付的现金 2 求和项:借方金额")+GETPIVOTDATA(抵消分录!$I:$K,"购买商品、接受劳务支付的现金 2 求和项:贷方金额"))</f>
        <v>0</v>
      </c>
      <c r="R130" s="13">
        <f>P130+Q130</f>
        <v>0</v>
      </c>
      <c r="S130" s="12"/>
      <c r="T130" s="12"/>
      <c r="U130" s="7">
        <f>S130+R130</f>
        <v>0</v>
      </c>
      <c r="V130" s="7">
        <f t="shared" si="39"/>
        <v>0</v>
      </c>
    </row>
    <row r="131" spans="1:23">
      <c r="A131" s="93" t="s">
        <v>293</v>
      </c>
      <c r="B131" s="193"/>
      <c r="C131" s="12">
        <f>IF(ISERROR(GETPIVOTDATA(抵消分录!$I:$K,"支付给职工以及为职工支付的现金 1 求和项:借方金额")),0,-GETPIVOTDATA(抵消分录!$I:$K,"支付给职工以及为职工支付的现金 1 求和项:借方金额")+GETPIVOTDATA(抵消分录!$I:$K,"支付给职工以及为职工支付的现金 1 求和项:贷方金额"))</f>
        <v>0</v>
      </c>
      <c r="D131" s="13">
        <f>B131+C131</f>
        <v>0</v>
      </c>
      <c r="E131" s="193"/>
      <c r="F131" s="193">
        <f>IF(ISERROR(GETPIVOTDATA(抵消分录!$I:$K,"支付给职工以及为职工支付的现金 4 求和项:借方金额")),0,-GETPIVOTDATA(抵消分录!$I:$K,"支付给职工以及为职工支付的现金 4 求和项:借方金额")+GETPIVOTDATA(抵消分录!$I:$K,"支付给职工以及为职工支付的现金 4 求和项:贷方金额"))</f>
        <v>0</v>
      </c>
      <c r="G131" s="13">
        <f>E131+F131</f>
        <v>0</v>
      </c>
      <c r="H131" s="193"/>
      <c r="I131" s="118">
        <f>IF(ISERROR(GETPIVOTDATA(抵消分录!$I:$K,"支付给职工以及为职工支付的现金 5 求和项:借方金额")),0,-GETPIVOTDATA(抵消分录!$I:$K,"支付给职工以及为职工支付的现金 5 求和项:借方金额")+GETPIVOTDATA(抵消分录!$I:$K,"支付给职工以及为职工支付的现金 5 求和项:贷方金额"))</f>
        <v>0</v>
      </c>
      <c r="J131" s="13">
        <f>H131+I131</f>
        <v>0</v>
      </c>
      <c r="K131" s="193"/>
      <c r="L131" s="193"/>
      <c r="M131" s="193"/>
      <c r="N131" s="12"/>
      <c r="O131" s="193"/>
      <c r="P131" s="7">
        <f t="shared" si="52"/>
        <v>0</v>
      </c>
      <c r="Q131" s="12">
        <f>IF(ISERROR(GETPIVOTDATA(抵消分录!$I:$K,"支付给职工以及为职工支付的现金 2 求和项:借方金额")),0,-GETPIVOTDATA(抵消分录!$I:$K,"支付给职工以及为职工支付的现金 2 求和项:借方金额")+GETPIVOTDATA(抵消分录!$I:$K,"支付给职工以及为职工支付的现金 2 求和项:贷方金额"))</f>
        <v>0</v>
      </c>
      <c r="R131" s="13">
        <f>P131+Q131</f>
        <v>0</v>
      </c>
      <c r="S131" s="12"/>
      <c r="T131" s="12"/>
      <c r="U131" s="7">
        <f>S131+R131</f>
        <v>0</v>
      </c>
      <c r="V131" s="7">
        <f t="shared" si="39"/>
        <v>0</v>
      </c>
    </row>
    <row r="132" spans="1:23">
      <c r="A132" s="93" t="s">
        <v>243</v>
      </c>
      <c r="B132" s="193"/>
      <c r="C132" s="14">
        <f>IF(ISERROR(GETPIVOTDATA(抵消分录!$I:$K,"支付的各项税费 1 求和项:借方金额")),0,-GETPIVOTDATA(抵消分录!$I:$K,"支付的各项税费 1 求和项:借方金额")+GETPIVOTDATA(抵消分录!$I:$K,"支付的各项税费 1 求和项:贷方金额"))</f>
        <v>0</v>
      </c>
      <c r="D132" s="13">
        <f>B132+C132</f>
        <v>0</v>
      </c>
      <c r="E132" s="193"/>
      <c r="F132" s="193">
        <f>IF(ISERROR(GETPIVOTDATA(抵消分录!$I:$K,"支付的各项税费 4 求和项:借方金额")),0,-GETPIVOTDATA(抵消分录!$I:$K,"支付的各项税费 4 求和项:借方金额")+GETPIVOTDATA(抵消分录!$I:$K,"支付的各项税费 4 求和项:贷方金额"))</f>
        <v>0</v>
      </c>
      <c r="G132" s="13">
        <f>E132+F132</f>
        <v>0</v>
      </c>
      <c r="H132" s="193"/>
      <c r="I132" s="118">
        <f>IF(ISERROR(GETPIVOTDATA(抵消分录!$I:$K,"支付的各项税费 5 求和项:借方金额")),0,-GETPIVOTDATA(抵消分录!$I:$K,"支付的各项税费 5 求和项:借方金额")+GETPIVOTDATA(抵消分录!$I:$K,"支付的各项税费 5 求和项:贷方金额"))</f>
        <v>0</v>
      </c>
      <c r="J132" s="13">
        <f>H132+I132</f>
        <v>0</v>
      </c>
      <c r="K132" s="193"/>
      <c r="L132" s="193"/>
      <c r="M132" s="193"/>
      <c r="N132" s="14"/>
      <c r="O132" s="193"/>
      <c r="P132" s="7">
        <f t="shared" si="52"/>
        <v>0</v>
      </c>
      <c r="Q132" s="14">
        <f>IF(ISERROR(GETPIVOTDATA(抵消分录!$I:$K,"支付的各项税费 2 求和项:借方金额")),0,-GETPIVOTDATA(抵消分录!$I:$K,"支付的各项税费 2 求和项:借方金额")+GETPIVOTDATA(抵消分录!$I:$K,"支付的各项税费 2 求和项:贷方金额"))</f>
        <v>0</v>
      </c>
      <c r="R132" s="13">
        <f>P132+Q132</f>
        <v>0</v>
      </c>
      <c r="S132" s="12"/>
      <c r="T132" s="12"/>
      <c r="U132" s="7">
        <f>S132+R132</f>
        <v>0</v>
      </c>
      <c r="V132" s="7">
        <f t="shared" si="39"/>
        <v>0</v>
      </c>
    </row>
    <row r="133" spans="1:23">
      <c r="A133" s="93" t="s">
        <v>294</v>
      </c>
      <c r="B133" s="193"/>
      <c r="C133" s="14">
        <f>IF(ISERROR(GETPIVOTDATA(抵消分录!$I:$K,"支付的其他与经营活动有关的现金 1 求和项:借方金额")),0,-GETPIVOTDATA(抵消分录!$I:$K,"支付的其他与经营活动有关的现金 1 求和项:借方金额")+GETPIVOTDATA(抵消分录!$I:$K,"支付的其他与经营活动有关的现金 1 求和项:贷方金额"))</f>
        <v>0</v>
      </c>
      <c r="D133" s="13">
        <f>B133+C133</f>
        <v>0</v>
      </c>
      <c r="E133" s="193"/>
      <c r="F133" s="193">
        <f>IF(ISERROR(GETPIVOTDATA(抵消分录!$I:$K,"支付的其他与经营活动有关的现金 4 求和项:借方金额")),0,-GETPIVOTDATA(抵消分录!$I:$K,"支付的其他与经营活动有关的现金 4 求和项:借方金额")+GETPIVOTDATA(抵消分录!$I:$K,"支付的其他与经营活动有关的现金 4 求和项:贷方金额"))</f>
        <v>0</v>
      </c>
      <c r="G133" s="13">
        <f>E133+F133</f>
        <v>0</v>
      </c>
      <c r="H133" s="193"/>
      <c r="I133" s="118">
        <f>IF(ISERROR(GETPIVOTDATA(抵消分录!$I:$K,"支付的其他与经营活动有关的现金 5 求和项:借方金额")),0,-GETPIVOTDATA(抵消分录!$I:$K,"支付的其他与经营活动有关的现金 5 求和项:借方金额")+GETPIVOTDATA(抵消分录!$I:$K,"支付的其他与经营活动有关的现金 5 求和项:贷方金额"))</f>
        <v>0</v>
      </c>
      <c r="J133" s="13">
        <f>H133+I133</f>
        <v>0</v>
      </c>
      <c r="K133" s="193"/>
      <c r="L133" s="193"/>
      <c r="M133" s="193"/>
      <c r="N133" s="14"/>
      <c r="O133" s="193"/>
      <c r="P133" s="7">
        <f>SUM(J133:O133)+D133+G133</f>
        <v>0</v>
      </c>
      <c r="Q133" s="14">
        <f>IF(ISERROR(GETPIVOTDATA(抵消分录!$I:$K,"支付其他与经营活动有关的现金 2 求和项:借方金额")),0,-GETPIVOTDATA(抵消分录!$I:$K,"支付其他与经营活动有关的现金 2 求和项:借方金额")+GETPIVOTDATA(抵消分录!$I:$K,"支付其他与经营活动有关的现金 2 求和项:贷方金额"))</f>
        <v>0</v>
      </c>
      <c r="R133" s="13">
        <f>P133+Q133</f>
        <v>0</v>
      </c>
      <c r="S133" s="12"/>
      <c r="T133" s="12"/>
      <c r="U133" s="7">
        <f>S133+R133</f>
        <v>0</v>
      </c>
      <c r="V133" s="7">
        <f t="shared" si="39"/>
        <v>0</v>
      </c>
      <c r="W133" s="11"/>
    </row>
    <row r="134" spans="1:23" s="11" customFormat="1">
      <c r="A134" s="36" t="s">
        <v>107</v>
      </c>
      <c r="B134" s="8">
        <f t="shared" ref="B134:G134" si="57">SUM(B130:B133)</f>
        <v>0</v>
      </c>
      <c r="C134" s="8">
        <f t="shared" si="57"/>
        <v>0</v>
      </c>
      <c r="D134" s="8">
        <f t="shared" si="57"/>
        <v>0</v>
      </c>
      <c r="E134" s="8">
        <f t="shared" si="57"/>
        <v>0</v>
      </c>
      <c r="F134" s="8">
        <f t="shared" si="57"/>
        <v>0</v>
      </c>
      <c r="G134" s="8">
        <f t="shared" si="57"/>
        <v>0</v>
      </c>
      <c r="H134" s="8">
        <f>SUM(H130:H133)</f>
        <v>0</v>
      </c>
      <c r="I134" s="8">
        <f>SUM(I130:I133)</f>
        <v>0</v>
      </c>
      <c r="J134" s="8">
        <f>SUM(J130:J133)</f>
        <v>0</v>
      </c>
      <c r="K134" s="8">
        <f>ROUND(SUM(K130:K133),2)</f>
        <v>0</v>
      </c>
      <c r="L134" s="8">
        <f t="shared" ref="L134:V134" si="58">SUM(L130:L133)</f>
        <v>0</v>
      </c>
      <c r="M134" s="8">
        <f t="shared" si="58"/>
        <v>0</v>
      </c>
      <c r="N134" s="8">
        <f t="shared" si="58"/>
        <v>0</v>
      </c>
      <c r="O134" s="8">
        <f t="shared" si="58"/>
        <v>0</v>
      </c>
      <c r="P134" s="8">
        <f t="shared" si="58"/>
        <v>0</v>
      </c>
      <c r="Q134" s="8">
        <f t="shared" si="58"/>
        <v>0</v>
      </c>
      <c r="R134" s="8">
        <f t="shared" si="58"/>
        <v>0</v>
      </c>
      <c r="S134" s="8">
        <f t="shared" si="58"/>
        <v>0</v>
      </c>
      <c r="T134" s="8">
        <f t="shared" si="58"/>
        <v>0</v>
      </c>
      <c r="U134" s="8">
        <f t="shared" si="58"/>
        <v>0</v>
      </c>
      <c r="V134" s="8">
        <f t="shared" si="58"/>
        <v>0</v>
      </c>
    </row>
    <row r="135" spans="1:23" s="11" customFormat="1">
      <c r="A135" s="36" t="s">
        <v>108</v>
      </c>
      <c r="B135" s="8">
        <f>ROUND(B129-B134,2)</f>
        <v>0</v>
      </c>
      <c r="C135" s="8">
        <f>C129-C134</f>
        <v>0</v>
      </c>
      <c r="D135" s="8">
        <f>ROUND(D129-D134,2)</f>
        <v>0</v>
      </c>
      <c r="E135" s="8">
        <f>ROUND(E129-E134,2)</f>
        <v>0</v>
      </c>
      <c r="F135" s="8">
        <f>F129-F134</f>
        <v>0</v>
      </c>
      <c r="G135" s="8">
        <f>ROUND(G129-G134,2)</f>
        <v>0</v>
      </c>
      <c r="H135" s="8">
        <f>ROUND(H129-H134,2)</f>
        <v>0</v>
      </c>
      <c r="I135" s="8">
        <f>I129-I134</f>
        <v>0</v>
      </c>
      <c r="J135" s="8">
        <f>ROUND(J129-J134,2)</f>
        <v>0</v>
      </c>
      <c r="K135" s="8">
        <f>ROUND(K129-K134,2)</f>
        <v>0</v>
      </c>
      <c r="L135" s="8">
        <f>ROUND(L129-L134,2)</f>
        <v>0</v>
      </c>
      <c r="M135" s="8">
        <f t="shared" ref="M135" si="59">M129-M134</f>
        <v>0</v>
      </c>
      <c r="N135" s="8">
        <f>ROUND(N129-N134,2)</f>
        <v>0</v>
      </c>
      <c r="O135" s="8">
        <f t="shared" ref="O135:Q135" si="60">ROUND(O129-O134,2)</f>
        <v>0</v>
      </c>
      <c r="P135" s="8">
        <f t="shared" si="60"/>
        <v>0</v>
      </c>
      <c r="Q135" s="8">
        <f t="shared" si="60"/>
        <v>0</v>
      </c>
      <c r="R135" s="8">
        <f>ROUND(R129-R134,2)</f>
        <v>0</v>
      </c>
      <c r="S135" s="8">
        <f>ROUND(S129-S134,2)</f>
        <v>0</v>
      </c>
      <c r="T135" s="8">
        <f t="shared" ref="T135:U135" si="61">ROUND(T129-T134,2)</f>
        <v>0</v>
      </c>
      <c r="U135" s="8">
        <f t="shared" si="61"/>
        <v>0</v>
      </c>
      <c r="V135" s="8">
        <f t="shared" ref="V135" si="62">ROUND(V129-V134,2)</f>
        <v>0</v>
      </c>
    </row>
    <row r="136" spans="1:23" s="11" customFormat="1">
      <c r="A136" s="36" t="s">
        <v>125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7"/>
      <c r="Q136" s="8"/>
      <c r="R136" s="8"/>
      <c r="S136" s="14"/>
      <c r="T136" s="14"/>
      <c r="U136" s="7">
        <f>S136+R136</f>
        <v>0</v>
      </c>
      <c r="V136" s="7">
        <f t="shared" si="39"/>
        <v>0</v>
      </c>
    </row>
    <row r="137" spans="1:23">
      <c r="A137" s="93" t="s">
        <v>312</v>
      </c>
      <c r="B137" s="12"/>
      <c r="C137" s="12">
        <f>IF(ISERROR(GETPIVOTDATA(抵消分录!$I:$K,"收回投资所收到的现金 1 求和项:借方金额")),0,GETPIVOTDATA(抵消分录!$I:$K,"收回投资所收到的现金 1 求和项:借方金额")-GETPIVOTDATA(抵消分录!$I:$K,"收回投资所收到的现金 1 求和项:贷方金额"))</f>
        <v>0</v>
      </c>
      <c r="D137" s="13">
        <f>B137+C137</f>
        <v>0</v>
      </c>
      <c r="E137" s="118"/>
      <c r="F137" s="118">
        <f>IF(ISERROR(GETPIVOTDATA(抵消分录!$I:$K,"收回投资所收到的现金 4 求和项:借方金额")),0,GETPIVOTDATA(抵消分录!$I:$K,"收回投资所收到的现金 4 求和项:借方金额")-GETPIVOTDATA(抵消分录!$I:$K,"收回投资所收到的现金 4 求和项:贷方金额"))</f>
        <v>0</v>
      </c>
      <c r="G137" s="13">
        <f>E137+F137</f>
        <v>0</v>
      </c>
      <c r="H137" s="118"/>
      <c r="I137" s="118">
        <f>IF(ISERROR(GETPIVOTDATA(抵消分录!$I:$K,"收回投资所收到的现金 5 求和项:借方金额")),0,GETPIVOTDATA(抵消分录!$I:$K,"收回投资所收到的现金 5 求和项:借方金额")-GETPIVOTDATA(抵消分录!$I:$K,"收回投资所收到的现金 5 求和项:贷方金额"))</f>
        <v>0</v>
      </c>
      <c r="J137" s="13">
        <f>H137+I137</f>
        <v>0</v>
      </c>
      <c r="K137" s="118"/>
      <c r="L137" s="12"/>
      <c r="M137" s="12"/>
      <c r="N137" s="12"/>
      <c r="O137" s="12"/>
      <c r="P137" s="7">
        <f t="shared" ref="P137:P146" si="63">SUM(J137:O137)+D137+G137</f>
        <v>0</v>
      </c>
      <c r="Q137" s="12">
        <f>IF(ISERROR(GETPIVOTDATA(抵消分录!$I:$K,"收回投资所收到的现金 2 求和项:借方金额")),0,GETPIVOTDATA(抵消分录!$I:$K,"收回投资所收到的现金 2 求和项:借方金额")-GETPIVOTDATA(抵消分录!$I:$K,"收回投资所收到的现金 2 求和项:贷方金额"))</f>
        <v>0</v>
      </c>
      <c r="R137" s="13">
        <f>P137+Q137</f>
        <v>0</v>
      </c>
      <c r="S137" s="14"/>
      <c r="T137" s="14"/>
      <c r="U137" s="7">
        <f t="shared" si="38"/>
        <v>0</v>
      </c>
      <c r="V137" s="7">
        <f t="shared" si="39"/>
        <v>0</v>
      </c>
    </row>
    <row r="138" spans="1:23">
      <c r="A138" s="93" t="s">
        <v>314</v>
      </c>
      <c r="B138" s="12"/>
      <c r="C138" s="12">
        <f>IF(ISERROR(GETPIVOTDATA(抵消分录!$I:$K,"取得投资收益所收到的现金 1 求和项:借方金额")),0,GETPIVOTDATA(抵消分录!$I:$K,"取得投资收益所收到的现金 1 求和项:借方金额")-GETPIVOTDATA(抵消分录!$I:$K,"取得投资收益所收到的现金 1 求和项:贷方金额"))</f>
        <v>0</v>
      </c>
      <c r="D138" s="13">
        <f>B138+C138</f>
        <v>0</v>
      </c>
      <c r="E138" s="118"/>
      <c r="F138" s="118">
        <f>IF(ISERROR(GETPIVOTDATA(抵消分录!$I:$K,"取得投资收益所收到的现金 4 求和项:借方金额")),0,GETPIVOTDATA(抵消分录!$I:$K,"取得投资收益所收到的现金 4 求和项:借方金额")-GETPIVOTDATA(抵消分录!$I:$K,"取得投资收益所收到的现金 4 求和项:贷方金额"))</f>
        <v>0</v>
      </c>
      <c r="G138" s="13">
        <f>E138+F138</f>
        <v>0</v>
      </c>
      <c r="H138" s="118"/>
      <c r="I138" s="118">
        <f>IF(ISERROR(GETPIVOTDATA(抵消分录!$I:$K,"取得投资收益所收到的现金 5 求和项:借方金额")),0,GETPIVOTDATA(抵消分录!$I:$K,"取得投资收益所收到的现金 5 求和项:借方金额")-GETPIVOTDATA(抵消分录!$I:$K,"取得投资收益所收到的现金 5 求和项:贷方金额"))</f>
        <v>0</v>
      </c>
      <c r="J138" s="13">
        <f>H138+I138</f>
        <v>0</v>
      </c>
      <c r="K138" s="118"/>
      <c r="L138" s="12"/>
      <c r="M138" s="12"/>
      <c r="N138" s="12"/>
      <c r="O138" s="12"/>
      <c r="P138" s="7">
        <f t="shared" si="63"/>
        <v>0</v>
      </c>
      <c r="Q138" s="12">
        <f>IF(ISERROR(GETPIVOTDATA(抵消分录!$I:$K,"取得投资收益收到的现金 2 求和项:借方金额")),0,GETPIVOTDATA(抵消分录!$I:$K,"取得投资收益收到的现金 2 求和项:借方金额")-GETPIVOTDATA(抵消分录!$I:$K,"取得投资收益收到的现金 2 求和项:贷方金额"))</f>
        <v>0</v>
      </c>
      <c r="R138" s="13">
        <f>P138+Q138</f>
        <v>0</v>
      </c>
      <c r="S138" s="14"/>
      <c r="T138" s="14"/>
      <c r="U138" s="7">
        <f t="shared" si="38"/>
        <v>0</v>
      </c>
      <c r="V138" s="7">
        <f t="shared" si="39"/>
        <v>0</v>
      </c>
    </row>
    <row r="139" spans="1:23">
      <c r="A139" s="93" t="s">
        <v>235</v>
      </c>
      <c r="B139" s="14"/>
      <c r="C139" s="14">
        <f>IF(ISERROR(GETPIVOTDATA(抵消分录!$I:$K,"处置固定资产、无形资产和其他长期资产所收回的现金净额 1 求和项:借方金额")),0,GETPIVOTDATA(抵消分录!$I:$K,"处置固定资产、无形资产和其他长期资产所收回的现金净额 1 求和项:借方金额")-GETPIVOTDATA(抵消分录!$I:$K,"处置固定资产、无形资产和其他长期资产所收回的现金净额 1 求和项:贷方金额"))</f>
        <v>0</v>
      </c>
      <c r="D139" s="13">
        <f>B139+C139</f>
        <v>0</v>
      </c>
      <c r="E139" s="118"/>
      <c r="F139" s="118">
        <f>IF(ISERROR(GETPIVOTDATA(抵消分录!$I:$K,"处置固定资产、无形资产和其他长期资产所收回的现金净额 4 求和项:借方金额")),0,GETPIVOTDATA(抵消分录!$I:$K,"处置固定资产、无形资产和其他长期资产所收回的现金净额 4 求和项:借方金额")-GETPIVOTDATA(抵消分录!$I:$K,"处置固定资产、无形资产和其他长期资产所收回的现金净额 4 求和项:贷方金额"))</f>
        <v>0</v>
      </c>
      <c r="G139" s="13">
        <f>E139+F139</f>
        <v>0</v>
      </c>
      <c r="H139" s="118"/>
      <c r="I139" s="118">
        <f>IF(ISERROR(GETPIVOTDATA(抵消分录!$I:$K,"处置固定资产、无形资产和其他长期资产所收回的现金净额 5 求和项:借方金额")),0,GETPIVOTDATA(抵消分录!$I:$K,"处置固定资产、无形资产和其他长期资产所收回的现金净额 5 求和项:借方金额")-GETPIVOTDATA(抵消分录!$I:$K,"处置固定资产、无形资产和其他长期资产所收回的现金净额 5 求和项:贷方金额"))</f>
        <v>0</v>
      </c>
      <c r="J139" s="13">
        <f>H139+I139</f>
        <v>0</v>
      </c>
      <c r="K139" s="118"/>
      <c r="L139" s="12"/>
      <c r="M139" s="14"/>
      <c r="N139" s="14"/>
      <c r="O139" s="14"/>
      <c r="P139" s="7">
        <f t="shared" si="63"/>
        <v>0</v>
      </c>
      <c r="Q139" s="14">
        <f>IF(ISERROR(GETPIVOTDATA(抵消分录!$I:$K,"处置固定资产、无形资产和其他长期资产所收回的现金净额 2 求和项:借方金额")),0,GETPIVOTDATA(抵消分录!$I:$K,"处置固定资产、无形资产和其他长期资产所收回的现金净额 2 求和项:借方金额")-GETPIVOTDATA(抵消分录!$I:$K,"处置固定资产、无形资产和其他长期资产所收回的现金净额 2 求和项:贷方金额"))</f>
        <v>0</v>
      </c>
      <c r="R139" s="13">
        <f>P139+Q139</f>
        <v>0</v>
      </c>
      <c r="S139" s="14"/>
      <c r="T139" s="14"/>
      <c r="U139" s="7">
        <f t="shared" si="38"/>
        <v>0</v>
      </c>
      <c r="V139" s="7">
        <f t="shared" si="39"/>
        <v>0</v>
      </c>
    </row>
    <row r="140" spans="1:23">
      <c r="A140" s="93" t="s">
        <v>236</v>
      </c>
      <c r="B140" s="12"/>
      <c r="C140" s="12">
        <f>IF(ISERROR(GETPIVOTDATA(抵消分录!$I:$K,"处置子公司及其他营业单位收到的现金净额 1 求和项:借方金额")),0,GETPIVOTDATA(抵消分录!$I:$K,"处置子公司及其他营业单位收到的现金净额 1 求和项:借方金额")-GETPIVOTDATA(抵消分录!$I:$K,"处置子公司及其他营业单位收到的现金净额 1 求和项:贷方金额"))</f>
        <v>0</v>
      </c>
      <c r="D140" s="13">
        <f>B140+C140</f>
        <v>0</v>
      </c>
      <c r="E140" s="118"/>
      <c r="F140" s="118">
        <f>IF(ISERROR(GETPIVOTDATA(抵消分录!$I:$K,"处置子公司及其他营业单位收到的现金净额 4 求和项:借方金额")),0,GETPIVOTDATA(抵消分录!$I:$K,"处置子公司及其他营业单位收到的现金净额 4 求和项:借方金额")-GETPIVOTDATA(抵消分录!$I:$K,"处置子公司及其他营业单位收到的现金净额 4 求和项:贷方金额"))</f>
        <v>0</v>
      </c>
      <c r="G140" s="13">
        <f>E140+F140</f>
        <v>0</v>
      </c>
      <c r="H140" s="118"/>
      <c r="I140" s="118">
        <f>IF(ISERROR(GETPIVOTDATA(抵消分录!$I:$K,"处置子公司及其他营业单位收到的现金净额 5 求和项:借方金额")),0,GETPIVOTDATA(抵消分录!$I:$K,"处置子公司及其他营业单位收到的现金净额 5 求和项:借方金额")-GETPIVOTDATA(抵消分录!$I:$K,"处置子公司及其他营业单位收到的现金净额 5 求和项:贷方金额"))</f>
        <v>0</v>
      </c>
      <c r="J140" s="13">
        <f>H140+I140</f>
        <v>0</v>
      </c>
      <c r="K140" s="118"/>
      <c r="L140" s="12"/>
      <c r="M140" s="12"/>
      <c r="N140" s="12"/>
      <c r="O140" s="12"/>
      <c r="P140" s="7">
        <f t="shared" si="63"/>
        <v>0</v>
      </c>
      <c r="Q140" s="12">
        <f>IF(ISERROR(GETPIVOTDATA(抵消分录!$I:$K,"处置子公司及其他营业单位收到的现金净额 2 求和项:借方金额")),0,GETPIVOTDATA(抵消分录!$I:$K,"处置子公司及其他营业单位收到的现金净额 2 求和项:借方金额")-GETPIVOTDATA(抵消分录!$I:$K,"处置子公司及其他营业单位收到的现金净额 2 求和项:贷方金额"))</f>
        <v>0</v>
      </c>
      <c r="R140" s="13">
        <f>P140+Q140</f>
        <v>0</v>
      </c>
      <c r="S140" s="14"/>
      <c r="T140" s="14"/>
      <c r="U140" s="7">
        <f t="shared" si="38"/>
        <v>0</v>
      </c>
      <c r="V140" s="7">
        <f t="shared" si="39"/>
        <v>0</v>
      </c>
    </row>
    <row r="141" spans="1:23">
      <c r="A141" s="93" t="s">
        <v>321</v>
      </c>
      <c r="B141" s="12"/>
      <c r="C141" s="12">
        <f>IF(ISERROR(GETPIVOTDATA(抵消分录!$I:$K,"收到的其他与投资活动有关的现金 1 求和项:借方金额")),0,GETPIVOTDATA(抵消分录!$I:$K,"收到的其他与投资活动有关的现金 1 求和项:借方金额")-GETPIVOTDATA(抵消分录!$I:$K,"收到的其他与投资活动有关的现金 1 求和项:贷方金额"))</f>
        <v>0</v>
      </c>
      <c r="D141" s="13">
        <f>B141+C141</f>
        <v>0</v>
      </c>
      <c r="E141" s="118"/>
      <c r="F141" s="118">
        <f>IF(ISERROR(GETPIVOTDATA(抵消分录!$I:$K,"收到的其他与投资活动有关的现金 4 求和项:借方金额")),0,GETPIVOTDATA(抵消分录!$I:$K,"收到的其他与投资活动有关的现金 4 求和项:借方金额")-GETPIVOTDATA(抵消分录!$I:$K,"收到的其他与投资活动有关的现金 4 求和项:贷方金额"))</f>
        <v>0</v>
      </c>
      <c r="G141" s="13">
        <f>E141+F141</f>
        <v>0</v>
      </c>
      <c r="H141" s="118"/>
      <c r="I141" s="118">
        <f>IF(ISERROR(GETPIVOTDATA(抵消分录!$I:$K,"收到的其他与投资活动有关的现金 5 求和项:借方金额")),0,GETPIVOTDATA(抵消分录!$I:$K,"收到的其他与投资活动有关的现金 5 求和项:借方金额")-GETPIVOTDATA(抵消分录!$I:$K,"收到的其他与投资活动有关的现金 5 求和项:贷方金额"))</f>
        <v>0</v>
      </c>
      <c r="J141" s="13">
        <f>H141+I141</f>
        <v>0</v>
      </c>
      <c r="K141" s="118"/>
      <c r="L141" s="12"/>
      <c r="M141" s="12"/>
      <c r="N141" s="12"/>
      <c r="O141" s="12"/>
      <c r="P141" s="7">
        <f t="shared" si="63"/>
        <v>0</v>
      </c>
      <c r="Q141" s="12">
        <f>IF(ISERROR(GETPIVOTDATA(抵消分录!$I:$K,"收到其他与投资活动有关的现金 2 求和项:借方金额")),0,GETPIVOTDATA(抵消分录!$I:$K,"收到其他与投资活动有关的现金 2 求和项:借方金额")-GETPIVOTDATA(抵消分录!$I:$K,"收到其他与投资活动有关的现金 2 求和项:贷方金额"))</f>
        <v>0</v>
      </c>
      <c r="R141" s="13">
        <f>P141+Q141</f>
        <v>0</v>
      </c>
      <c r="S141" s="14"/>
      <c r="T141" s="14"/>
      <c r="U141" s="7">
        <f t="shared" si="38"/>
        <v>0</v>
      </c>
      <c r="V141" s="7">
        <f t="shared" si="39"/>
        <v>0</v>
      </c>
    </row>
    <row r="142" spans="1:23" s="11" customFormat="1">
      <c r="A142" s="36" t="s">
        <v>109</v>
      </c>
      <c r="B142" s="8">
        <f t="shared" ref="B142:K142" si="64">SUM(B137:B141)</f>
        <v>0</v>
      </c>
      <c r="C142" s="8">
        <f t="shared" si="64"/>
        <v>0</v>
      </c>
      <c r="D142" s="8">
        <f t="shared" si="64"/>
        <v>0</v>
      </c>
      <c r="E142" s="8">
        <f t="shared" si="64"/>
        <v>0</v>
      </c>
      <c r="F142" s="8">
        <f t="shared" si="64"/>
        <v>0</v>
      </c>
      <c r="G142" s="8">
        <f t="shared" si="64"/>
        <v>0</v>
      </c>
      <c r="H142" s="8">
        <f>SUM(H137:H141)</f>
        <v>0</v>
      </c>
      <c r="I142" s="8">
        <f>SUM(I137:I141)</f>
        <v>0</v>
      </c>
      <c r="J142" s="8">
        <f>SUM(J137:J141)</f>
        <v>0</v>
      </c>
      <c r="K142" s="8">
        <f t="shared" si="64"/>
        <v>0</v>
      </c>
      <c r="L142" s="8">
        <f t="shared" ref="L142:T142" si="65">SUM(L137:L141)</f>
        <v>0</v>
      </c>
      <c r="M142" s="8">
        <f t="shared" si="65"/>
        <v>0</v>
      </c>
      <c r="N142" s="8">
        <f t="shared" si="65"/>
        <v>0</v>
      </c>
      <c r="O142" s="8">
        <f t="shared" si="65"/>
        <v>0</v>
      </c>
      <c r="P142" s="7">
        <f t="shared" si="63"/>
        <v>0</v>
      </c>
      <c r="Q142" s="8">
        <f t="shared" si="65"/>
        <v>0</v>
      </c>
      <c r="R142" s="8">
        <f t="shared" si="65"/>
        <v>0</v>
      </c>
      <c r="S142" s="8">
        <f t="shared" si="65"/>
        <v>0</v>
      </c>
      <c r="T142" s="8">
        <f t="shared" si="65"/>
        <v>0</v>
      </c>
      <c r="U142" s="7">
        <f t="shared" si="38"/>
        <v>0</v>
      </c>
      <c r="V142" s="7">
        <f t="shared" si="39"/>
        <v>0</v>
      </c>
    </row>
    <row r="143" spans="1:23">
      <c r="A143" s="93" t="s">
        <v>297</v>
      </c>
      <c r="B143" s="193"/>
      <c r="C143" s="14">
        <f>IF(ISERROR(GETPIVOTDATA(抵消分录!$I:$K,"购建固定资产、无形资产和其他长期资产所支付的现金 1 求和项:借方金额")),0,-GETPIVOTDATA(抵消分录!$I:$K,"购建固定资产、无形资产和其他长期资产所支付的现金 1 求和项:借方金额")+GETPIVOTDATA(抵消分录!$I:$K,"购建固定资产、无形资产和其他长期资产所支付的现金 1 求和项:贷方金额"))</f>
        <v>0</v>
      </c>
      <c r="D143" s="13">
        <f>B143+C143</f>
        <v>0</v>
      </c>
      <c r="E143" s="193"/>
      <c r="F143" s="193">
        <f>IF(ISERROR(GETPIVOTDATA(抵消分录!$I:$K,"购建固定资产、无形资产和其他长期资产所支付的现金 4 求和项:借方金额")),0,-GETPIVOTDATA(抵消分录!$I:$K,"购建固定资产、无形资产和其他长期资产所支付的现金 4 求和项:借方金额")+GETPIVOTDATA(抵消分录!$I:$K,"购建固定资产、无形资产和其他长期资产所支付的现金 4 求和项:贷方金额"))</f>
        <v>0</v>
      </c>
      <c r="G143" s="13">
        <f>E143+F143</f>
        <v>0</v>
      </c>
      <c r="H143" s="118"/>
      <c r="I143" s="118">
        <f>IF(ISERROR(GETPIVOTDATA(抵消分录!$I:$K,"购建固定资产、无形资产和其他长期资产所支付的现金 5 求和项:借方金额")),0,-GETPIVOTDATA(抵消分录!$I:$K,"购建固定资产、无形资产和其他长期资产所支付的现金 5 求和项:借方金额")+GETPIVOTDATA(抵消分录!$I:$K,"购建固定资产、无形资产和其他长期资产所支付的现金 5 求和项:贷方金额"))</f>
        <v>0</v>
      </c>
      <c r="J143" s="13">
        <f>H143+I143</f>
        <v>0</v>
      </c>
      <c r="K143" s="118"/>
      <c r="L143" s="193"/>
      <c r="M143" s="218"/>
      <c r="N143" s="14"/>
      <c r="O143" s="14"/>
      <c r="P143" s="7">
        <f>SUM(J143:O143)+D143+G143</f>
        <v>0</v>
      </c>
      <c r="Q143" s="14">
        <f>IF(ISERROR(GETPIVOTDATA(抵消分录!$I:$K,"购建固定资产、无形资产和其他长期资产支付的现金 2 求和项:借方金额")),0,-GETPIVOTDATA(抵消分录!$I:$K,"购建固定资产、无形资产和其他长期资产支付的现金 2 求和项:借方金额")+GETPIVOTDATA(抵消分录!$I:$K,"购建固定资产、无形资产和其他长期资产支付的现金 2 求和项:贷方金额"))</f>
        <v>0</v>
      </c>
      <c r="R143" s="13">
        <f>P143+Q143</f>
        <v>0</v>
      </c>
      <c r="S143" s="14"/>
      <c r="T143" s="14"/>
      <c r="U143" s="7">
        <f>S143+R143</f>
        <v>0</v>
      </c>
      <c r="V143" s="7">
        <f t="shared" si="39"/>
        <v>0</v>
      </c>
    </row>
    <row r="144" spans="1:23">
      <c r="A144" s="93" t="s">
        <v>320</v>
      </c>
      <c r="B144" s="12"/>
      <c r="C144" s="12">
        <f>IF(ISERROR(GETPIVOTDATA(抵消分录!$I:$K,"投资所支付的现金 1 求和项:借方金额")),0,-GETPIVOTDATA(抵消分录!$I:$K,"投资所支付的现金 1 求和项:借方金额")+GETPIVOTDATA(抵消分录!$I:$K,"投资所支付的现金 1 求和项:贷方金额"))</f>
        <v>0</v>
      </c>
      <c r="D144" s="13">
        <f>B144+C144</f>
        <v>0</v>
      </c>
      <c r="E144" s="118"/>
      <c r="F144" s="118">
        <f>IF(ISERROR(GETPIVOTDATA(抵消分录!$I:$K,"投资所支付的现金 4 求和项:借方金额")),0,-GETPIVOTDATA(抵消分录!$I:$K,"投资所支付的现金 4 求和项:借方金额")+GETPIVOTDATA(抵消分录!$I:$K,"投资所支付的现金 4 求和项:贷方金额"))</f>
        <v>0</v>
      </c>
      <c r="G144" s="13">
        <f>E144+F144</f>
        <v>0</v>
      </c>
      <c r="H144" s="118"/>
      <c r="I144" s="118">
        <f>IF(ISERROR(GETPIVOTDATA(抵消分录!$I:$K,"投资所支付的现金 5 求和项:借方金额")),0,-GETPIVOTDATA(抵消分录!$I:$K,"投资所支付的现金 5 求和项:借方金额")+GETPIVOTDATA(抵消分录!$I:$K,"投资所支付的现金 5 求和项:贷方金额"))</f>
        <v>0</v>
      </c>
      <c r="J144" s="13">
        <f>H144+I144</f>
        <v>0</v>
      </c>
      <c r="K144" s="118"/>
      <c r="L144" s="193"/>
      <c r="M144" s="12"/>
      <c r="N144" s="12"/>
      <c r="O144" s="12"/>
      <c r="P144" s="7">
        <f>SUM(J144:O144)+D144+G144</f>
        <v>0</v>
      </c>
      <c r="Q144" s="12">
        <f>IF(ISERROR(GETPIVOTDATA(抵消分录!$I:$K,"投资支付的现金 2 求和项:借方金额")),0,-GETPIVOTDATA(抵消分录!$I:$K,"投资支付的现金 2 求和项:借方金额")+GETPIVOTDATA(抵消分录!$I:$K,"投资支付的现金 2 求和项:贷方金额"))</f>
        <v>0</v>
      </c>
      <c r="R144" s="13">
        <f>P144+Q144</f>
        <v>0</v>
      </c>
      <c r="S144" s="14"/>
      <c r="T144" s="14"/>
      <c r="U144" s="7">
        <f t="shared" si="38"/>
        <v>0</v>
      </c>
      <c r="V144" s="7">
        <f t="shared" si="39"/>
        <v>0</v>
      </c>
    </row>
    <row r="145" spans="1:22">
      <c r="A145" s="93" t="s">
        <v>322</v>
      </c>
      <c r="B145" s="14"/>
      <c r="C145" s="14">
        <f>IF(ISERROR(GETPIVOTDATA(抵消分录!$I:$K,"取得子公司及其他营业单位支付的现金净额 1 求和项:借方金额")),0,-GETPIVOTDATA(抵消分录!$I:$K,"取得子公司及其他营业单位支付的现金净额 1 求和项:借方金额")+GETPIVOTDATA(抵消分录!$I:$K,"取得子公司及其他营业单位支付的现金净额 1 求和项:贷方金额"))</f>
        <v>0</v>
      </c>
      <c r="D145" s="13">
        <f>B145+C145</f>
        <v>0</v>
      </c>
      <c r="E145" s="118"/>
      <c r="F145" s="118">
        <f>IF(ISERROR(GETPIVOTDATA(抵消分录!$I:$K,"取得子公司及其他营业单位支付的现金净额 4 求和项:借方金额")),0,-GETPIVOTDATA(抵消分录!$I:$K,"取得子公司及其他营业单位支付的现金净额 4 求和项:借方金额")+GETPIVOTDATA(抵消分录!$I:$K,"取得子公司及其他营业单位支付的现金净额 4 求和项:贷方金额"))</f>
        <v>0</v>
      </c>
      <c r="G145" s="13">
        <f>E145+F145</f>
        <v>0</v>
      </c>
      <c r="H145" s="118"/>
      <c r="I145" s="118">
        <f>IF(ISERROR(GETPIVOTDATA(抵消分录!$I:$K,"取得子公司及其他营业单位支付的现金净额 5 求和项:借方金额")),0,-GETPIVOTDATA(抵消分录!$I:$K,"取得子公司及其他营业单位支付的现金净额 5 求和项:借方金额")+GETPIVOTDATA(抵消分录!$I:$K,"取得子公司及其他营业单位支付的现金净额 5 求和项:贷方金额"))</f>
        <v>0</v>
      </c>
      <c r="J145" s="13">
        <f>H145+I145</f>
        <v>0</v>
      </c>
      <c r="K145" s="118"/>
      <c r="L145" s="193"/>
      <c r="M145" s="14"/>
      <c r="N145" s="14"/>
      <c r="O145" s="14"/>
      <c r="P145" s="7">
        <f t="shared" si="63"/>
        <v>0</v>
      </c>
      <c r="Q145" s="14">
        <f>IF(ISERROR(GETPIVOTDATA(抵消分录!$I:$K,"取得子公司及其他营业单位支付的现金净额 2 求和项:借方金额")),0,-GETPIVOTDATA(抵消分录!$I:$K,"取得子公司及其他营业单位支付的现金净额 2 求和项:借方金额")+GETPIVOTDATA(抵消分录!$I:$K,"取得子公司及其他营业单位支付的现金净额 2 求和项:贷方金额"))</f>
        <v>0</v>
      </c>
      <c r="R145" s="13">
        <f>P145+Q145</f>
        <v>0</v>
      </c>
      <c r="S145" s="14"/>
      <c r="T145" s="14"/>
      <c r="U145" s="7">
        <f t="shared" si="38"/>
        <v>0</v>
      </c>
      <c r="V145" s="7">
        <f t="shared" si="39"/>
        <v>0</v>
      </c>
    </row>
    <row r="146" spans="1:22">
      <c r="A146" s="93" t="s">
        <v>304</v>
      </c>
      <c r="B146" s="12"/>
      <c r="C146" s="12">
        <f>IF(ISERROR(GETPIVOTDATA(抵消分录!$I:$K,"支付的其他与投资活动有关的现金 1 求和项:借方金额")),0,-GETPIVOTDATA(抵消分录!$I:$K,"支付的其他与投资活动有关的现金 1 求和项:借方金额")+GETPIVOTDATA(抵消分录!$I:$K,"支付的其他与投资活动有关的现金 1 求和项:贷方金额"))</f>
        <v>0</v>
      </c>
      <c r="D146" s="13">
        <f>B146+C146</f>
        <v>0</v>
      </c>
      <c r="E146" s="118"/>
      <c r="F146" s="118">
        <f>IF(ISERROR(GETPIVOTDATA(抵消分录!$I:$K,"支付的其他与投资活动有关的现金 4 求和项:借方金额")),0,-GETPIVOTDATA(抵消分录!$I:$K,"支付的其他与投资活动有关的现金 4 求和项:借方金额")+GETPIVOTDATA(抵消分录!$I:$K,"支付的其他与投资活动有关的现金 4 求和项:贷方金额"))</f>
        <v>0</v>
      </c>
      <c r="G146" s="13">
        <f>E146+F146</f>
        <v>0</v>
      </c>
      <c r="H146" s="118"/>
      <c r="I146" s="118">
        <f>IF(ISERROR(GETPIVOTDATA(抵消分录!$I:$K,"支付的其他与投资活动有关的现金 5 求和项:借方金额")),0,-GETPIVOTDATA(抵消分录!$I:$K,"支付的其他与投资活动有关的现金 5 求和项:借方金额")+GETPIVOTDATA(抵消分录!$I:$K,"支付的其他与投资活动有关的现金 5 求和项:贷方金额"))</f>
        <v>0</v>
      </c>
      <c r="J146" s="13">
        <f>H146+I146</f>
        <v>0</v>
      </c>
      <c r="K146" s="118"/>
      <c r="L146" s="12"/>
      <c r="M146" s="12"/>
      <c r="N146" s="12"/>
      <c r="O146" s="12"/>
      <c r="P146" s="7">
        <f t="shared" si="63"/>
        <v>0</v>
      </c>
      <c r="Q146" s="12">
        <f>IF(ISERROR(GETPIVOTDATA(抵消分录!$I:$K,"支付的其他与投资活动有关的现金 2 求和项:借方金额")),0,-GETPIVOTDATA(抵消分录!$I:$K,"支付的其他与投资活动有关的现金 2 求和项:借方金额")+GETPIVOTDATA(抵消分录!$I:$K,"支付的其他与投资活动有关的现金 2 求和项:贷方金额"))</f>
        <v>0</v>
      </c>
      <c r="R146" s="13">
        <f>P146+Q146</f>
        <v>0</v>
      </c>
      <c r="S146" s="14"/>
      <c r="T146" s="14"/>
      <c r="U146" s="7">
        <f t="shared" si="38"/>
        <v>0</v>
      </c>
      <c r="V146" s="7">
        <f t="shared" si="39"/>
        <v>0</v>
      </c>
    </row>
    <row r="147" spans="1:22" s="11" customFormat="1">
      <c r="A147" s="36" t="s">
        <v>110</v>
      </c>
      <c r="B147" s="8">
        <f t="shared" ref="B147:K147" si="66">SUM(B143:B146)</f>
        <v>0</v>
      </c>
      <c r="C147" s="8">
        <f t="shared" si="66"/>
        <v>0</v>
      </c>
      <c r="D147" s="8">
        <f t="shared" si="66"/>
        <v>0</v>
      </c>
      <c r="E147" s="8">
        <f t="shared" si="66"/>
        <v>0</v>
      </c>
      <c r="F147" s="8">
        <f t="shared" si="66"/>
        <v>0</v>
      </c>
      <c r="G147" s="8">
        <f t="shared" si="66"/>
        <v>0</v>
      </c>
      <c r="H147" s="8">
        <f>SUM(H143:H146)</f>
        <v>0</v>
      </c>
      <c r="I147" s="8">
        <f>SUM(I154:I157)</f>
        <v>0</v>
      </c>
      <c r="J147" s="8">
        <f>SUM(J143:J146)</f>
        <v>0</v>
      </c>
      <c r="K147" s="8">
        <f t="shared" si="66"/>
        <v>0</v>
      </c>
      <c r="L147" s="8">
        <f>SUM(L143:L146)</f>
        <v>0</v>
      </c>
      <c r="M147" s="8">
        <f t="shared" ref="M147:V147" si="67">SUM(M143:M146)</f>
        <v>0</v>
      </c>
      <c r="N147" s="8">
        <f>SUM(N143:N146)</f>
        <v>0</v>
      </c>
      <c r="O147" s="8">
        <f t="shared" si="67"/>
        <v>0</v>
      </c>
      <c r="P147" s="8">
        <f t="shared" si="67"/>
        <v>0</v>
      </c>
      <c r="Q147" s="8">
        <f t="shared" si="67"/>
        <v>0</v>
      </c>
      <c r="R147" s="8">
        <f t="shared" si="67"/>
        <v>0</v>
      </c>
      <c r="S147" s="8">
        <f t="shared" si="67"/>
        <v>0</v>
      </c>
      <c r="T147" s="8">
        <f t="shared" si="67"/>
        <v>0</v>
      </c>
      <c r="U147" s="8">
        <f>SUM(U143:U146)</f>
        <v>0</v>
      </c>
      <c r="V147" s="8">
        <f t="shared" si="67"/>
        <v>0</v>
      </c>
    </row>
    <row r="148" spans="1:22" s="11" customFormat="1">
      <c r="A148" s="36" t="s">
        <v>111</v>
      </c>
      <c r="B148" s="8">
        <f t="shared" ref="B148:K148" si="68">B142-B147</f>
        <v>0</v>
      </c>
      <c r="C148" s="8">
        <f t="shared" si="68"/>
        <v>0</v>
      </c>
      <c r="D148" s="8">
        <f t="shared" si="68"/>
        <v>0</v>
      </c>
      <c r="E148" s="8">
        <f t="shared" si="68"/>
        <v>0</v>
      </c>
      <c r="F148" s="8">
        <f t="shared" si="68"/>
        <v>0</v>
      </c>
      <c r="G148" s="8">
        <f t="shared" si="68"/>
        <v>0</v>
      </c>
      <c r="H148" s="8">
        <f>H142-H147</f>
        <v>0</v>
      </c>
      <c r="I148" s="8">
        <f>I153-I158</f>
        <v>0</v>
      </c>
      <c r="J148" s="8">
        <f>J142-J147</f>
        <v>0</v>
      </c>
      <c r="K148" s="8">
        <f t="shared" si="68"/>
        <v>0</v>
      </c>
      <c r="L148" s="8">
        <f>L142-L147</f>
        <v>0</v>
      </c>
      <c r="M148" s="8">
        <f t="shared" ref="M148:V148" si="69">M142-M147</f>
        <v>0</v>
      </c>
      <c r="N148" s="8">
        <f>N142-N147</f>
        <v>0</v>
      </c>
      <c r="O148" s="8">
        <f t="shared" si="69"/>
        <v>0</v>
      </c>
      <c r="P148" s="8">
        <f t="shared" si="69"/>
        <v>0</v>
      </c>
      <c r="Q148" s="8">
        <f t="shared" si="69"/>
        <v>0</v>
      </c>
      <c r="R148" s="8">
        <f t="shared" si="69"/>
        <v>0</v>
      </c>
      <c r="S148" s="8">
        <f t="shared" si="69"/>
        <v>0</v>
      </c>
      <c r="T148" s="8">
        <f t="shared" si="69"/>
        <v>0</v>
      </c>
      <c r="U148" s="8">
        <f>U142-U147</f>
        <v>0</v>
      </c>
      <c r="V148" s="8">
        <f t="shared" si="69"/>
        <v>0</v>
      </c>
    </row>
    <row r="149" spans="1:22" s="11" customFormat="1">
      <c r="A149" s="36" t="s">
        <v>126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12"/>
      <c r="T149" s="12"/>
      <c r="U149" s="7">
        <f t="shared" si="38"/>
        <v>0</v>
      </c>
      <c r="V149" s="7">
        <f t="shared" si="39"/>
        <v>0</v>
      </c>
    </row>
    <row r="150" spans="1:22">
      <c r="A150" s="93" t="s">
        <v>237</v>
      </c>
      <c r="B150" s="14"/>
      <c r="C150" s="14">
        <f>IF(ISERROR(GETPIVOTDATA(抵消分录!$I:$K,"吸收投资所收到的现金 1 求和项:借方金额")),0,GETPIVOTDATA(抵消分录!$I:$K,"吸收投资所收到的现金 1 求和项:借方金额")-GETPIVOTDATA(抵消分录!$I:$K,"吸收投资所收到的现金 1 求和项:贷方金额"))</f>
        <v>0</v>
      </c>
      <c r="D150" s="13">
        <f>B150+C150</f>
        <v>0</v>
      </c>
      <c r="E150" s="118"/>
      <c r="F150" s="118">
        <f>IF(ISERROR(GETPIVOTDATA(抵消分录!$I:$K,"吸收投资所收到的现金 4 求和项:借方金额")),0,GETPIVOTDATA(抵消分录!$I:$K,"吸收投资所收到的现金 4 求和项:借方金额")-GETPIVOTDATA(抵消分录!$I:$K,"吸收投资所收到的现金 4 求和项:贷方金额"))</f>
        <v>0</v>
      </c>
      <c r="G150" s="13">
        <f>E150+F150</f>
        <v>0</v>
      </c>
      <c r="H150" s="118"/>
      <c r="I150" s="118">
        <f>IF(ISERROR(GETPIVOTDATA(抵消分录!$I:$K,"吸收投资所收到的现金 5 求和项:借方金额")),0,GETPIVOTDATA(抵消分录!$I:$K,"吸收投资所收到的现金 5 求和项:借方金额")-GETPIVOTDATA(抵消分录!$I:$K,"吸收投资所收到的现金 5 求和项:贷方金额"))</f>
        <v>0</v>
      </c>
      <c r="J150" s="13">
        <f>H150+I150</f>
        <v>0</v>
      </c>
      <c r="K150" s="118"/>
      <c r="L150" s="14"/>
      <c r="M150" s="14"/>
      <c r="N150" s="14"/>
      <c r="O150" s="14"/>
      <c r="P150" s="7">
        <f t="shared" ref="P150:P160" si="70">SUM(J150:O150)+D150+G150</f>
        <v>0</v>
      </c>
      <c r="Q150" s="14">
        <f>IF(ISERROR(GETPIVOTDATA(抵消分录!$I:$K,"吸收投资收到的现金 2 求和项:借方金额")),0,GETPIVOTDATA(抵消分录!$I:$K,"吸收投资收到的现金 2 求和项:借方金额")-GETPIVOTDATA(抵消分录!$I:$K,"吸收投资收到的现金 2 求和项:贷方金额"))</f>
        <v>0</v>
      </c>
      <c r="R150" s="13">
        <f>P150+Q150</f>
        <v>0</v>
      </c>
      <c r="S150" s="12"/>
      <c r="T150" s="12"/>
      <c r="U150" s="7">
        <f t="shared" ref="U150:U193" si="71">S150+R150</f>
        <v>0</v>
      </c>
      <c r="V150" s="7">
        <f t="shared" ref="V150:V193" si="72">T150+L150</f>
        <v>0</v>
      </c>
    </row>
    <row r="151" spans="1:22">
      <c r="A151" s="93" t="s">
        <v>238</v>
      </c>
      <c r="B151" s="12"/>
      <c r="C151" s="12">
        <f>IF(ISERROR(GETPIVOTDATA(抵消分录!$I:$K,"借款所收到的现金 1 求和项:借方金额")),0,GETPIVOTDATA(抵消分录!$I:$K,"借款所收到的现金 1 求和项:借方金额")-GETPIVOTDATA(抵消分录!$I:$K,"借款所收到的现金 1 求和项:贷方金额"))</f>
        <v>0</v>
      </c>
      <c r="D151" s="13">
        <f>B151+C151</f>
        <v>0</v>
      </c>
      <c r="E151" s="118"/>
      <c r="F151" s="118">
        <f>IF(ISERROR(GETPIVOTDATA(抵消分录!$I:$K,"借款所收到的现金 4 求和项:借方金额")),0,GETPIVOTDATA(抵消分录!$I:$K,"借款所收到的现金 4 求和项:借方金额")-GETPIVOTDATA(抵消分录!$I:$K,"借款所收到的现金 4 求和项:贷方金额"))</f>
        <v>0</v>
      </c>
      <c r="G151" s="13">
        <f>E151+F151</f>
        <v>0</v>
      </c>
      <c r="H151" s="118"/>
      <c r="I151" s="118">
        <f>IF(ISERROR(GETPIVOTDATA(抵消分录!$I:$K,"借款所收到的现金 5 求和项:借方金额")),0,GETPIVOTDATA(抵消分录!$I:$K,"借款所收到的现金 5 求和项:借方金额")-GETPIVOTDATA(抵消分录!$I:$K,"借款所收到的现金 5 求和项:贷方金额"))</f>
        <v>0</v>
      </c>
      <c r="J151" s="13">
        <f>H151+I151</f>
        <v>0</v>
      </c>
      <c r="K151" s="118"/>
      <c r="L151" s="193"/>
      <c r="M151" s="12"/>
      <c r="N151" s="12"/>
      <c r="O151" s="12"/>
      <c r="P151" s="7">
        <f t="shared" si="70"/>
        <v>0</v>
      </c>
      <c r="Q151" s="12">
        <f>IF(ISERROR(GETPIVOTDATA(抵消分录!$I:$K,"借款所收到的现金 2 求和项:借方金额")),0,GETPIVOTDATA(抵消分录!$I:$K,"借款所收到的现金 2 求和项:借方金额")-GETPIVOTDATA(抵消分录!$I:$K,"借款所收到的现金 2 求和项:贷方金额"))</f>
        <v>0</v>
      </c>
      <c r="R151" s="13">
        <f>P151+Q151</f>
        <v>0</v>
      </c>
      <c r="S151" s="12"/>
      <c r="T151" s="12"/>
      <c r="U151" s="7">
        <f t="shared" si="71"/>
        <v>0</v>
      </c>
      <c r="V151" s="7">
        <f t="shared" si="72"/>
        <v>0</v>
      </c>
    </row>
    <row r="152" spans="1:22">
      <c r="A152" s="93" t="s">
        <v>658</v>
      </c>
      <c r="B152" s="12"/>
      <c r="C152" s="12"/>
      <c r="D152" s="13"/>
      <c r="E152" s="118"/>
      <c r="F152" s="118"/>
      <c r="G152" s="13"/>
      <c r="H152" s="118"/>
      <c r="I152" s="118"/>
      <c r="J152" s="13"/>
      <c r="K152" s="118"/>
      <c r="L152" s="193"/>
      <c r="M152" s="12"/>
      <c r="N152" s="12"/>
      <c r="O152" s="12"/>
      <c r="P152" s="7"/>
      <c r="Q152" s="12"/>
      <c r="R152" s="13"/>
      <c r="S152" s="12"/>
      <c r="T152" s="12"/>
      <c r="U152" s="7"/>
      <c r="V152" s="7"/>
    </row>
    <row r="153" spans="1:22">
      <c r="A153" s="93" t="s">
        <v>239</v>
      </c>
      <c r="B153" s="12"/>
      <c r="C153" s="12">
        <f>IF(ISERROR(GETPIVOTDATA(抵消分录!$I:$K,"收到的其他与筹资活动有关的现金 1 求和项:借方金额")),0,GETPIVOTDATA(抵消分录!$I:$K,"收到的其他与筹资活动有关的现金 1 求和项:借方金额")-GETPIVOTDATA(抵消分录!$I:$K,"收到的其他与筹资活动有关的现金 1 求和项:贷方金额"))</f>
        <v>0</v>
      </c>
      <c r="D153" s="13">
        <f>B153+C153</f>
        <v>0</v>
      </c>
      <c r="E153" s="118"/>
      <c r="F153" s="118">
        <f>IF(ISERROR(GETPIVOTDATA(抵消分录!$I:$K,"收到的其他与筹资活动有关的现金 4 求和项:借方金额")),0,GETPIVOTDATA(抵消分录!$I:$K,"收到的其他与筹资活动有关的现金 4 求和项:借方金额")-GETPIVOTDATA(抵消分录!$I:$K,"收到的其他与筹资活动有关的现金 4 求和项:贷方金额"))</f>
        <v>0</v>
      </c>
      <c r="G153" s="13">
        <f>E153+F153</f>
        <v>0</v>
      </c>
      <c r="H153" s="118"/>
      <c r="I153" s="118">
        <f>IF(ISERROR(GETPIVOTDATA(抵消分录!$I:$K,"收到的其他与筹资活动有关的现金 5 求和项:借方金额")),0,GETPIVOTDATA(抵消分录!$I:$K,"收到的其他与筹资活动有关的现金 5 求和项:借方金额")-GETPIVOTDATA(抵消分录!$I:$K,"收到的其他与筹资活动有关的现金 5 求和项:贷方金额"))</f>
        <v>0</v>
      </c>
      <c r="J153" s="13">
        <f>H153+I153</f>
        <v>0</v>
      </c>
      <c r="K153" s="118"/>
      <c r="L153" s="14"/>
      <c r="M153" s="12"/>
      <c r="N153" s="12"/>
      <c r="O153" s="12"/>
      <c r="P153" s="7">
        <f t="shared" si="70"/>
        <v>0</v>
      </c>
      <c r="Q153" s="12">
        <f>IF(ISERROR(GETPIVOTDATA(抵消分录!$I:$K,"收到的其他与筹资活动有关的现金 2 求和项:借方金额")),0,GETPIVOTDATA(抵消分录!$I:$K,"收到的其他与筹资活动有关的现金 2 求和项:借方金额")-GETPIVOTDATA(抵消分录!$I:$K,"收到的其他与筹资活动有关的现金 2 求和项:贷方金额"))</f>
        <v>0</v>
      </c>
      <c r="R153" s="13">
        <f>P153+Q153</f>
        <v>0</v>
      </c>
      <c r="S153" s="12"/>
      <c r="T153" s="12"/>
      <c r="U153" s="7">
        <f t="shared" si="71"/>
        <v>0</v>
      </c>
      <c r="V153" s="7">
        <f t="shared" si="72"/>
        <v>0</v>
      </c>
    </row>
    <row r="154" spans="1:22" s="11" customFormat="1">
      <c r="A154" s="35" t="s">
        <v>112</v>
      </c>
      <c r="B154" s="8">
        <f>SUM(B150:B153)</f>
        <v>0</v>
      </c>
      <c r="C154" s="8">
        <f>SUM(C150:C153)</f>
        <v>0</v>
      </c>
      <c r="D154" s="8">
        <f>SUM(D150:D153)</f>
        <v>0</v>
      </c>
      <c r="E154" s="8">
        <f>SUM(E150:E153)</f>
        <v>0</v>
      </c>
      <c r="F154" s="8">
        <f>SUM(F450:F452)</f>
        <v>0</v>
      </c>
      <c r="G154" s="8">
        <f t="shared" ref="G154:T154" si="73">SUM(G150:G153)</f>
        <v>0</v>
      </c>
      <c r="H154" s="8">
        <f>SUM(H150:H153)</f>
        <v>0</v>
      </c>
      <c r="I154" s="8">
        <f>SUM(I552:I560)</f>
        <v>0</v>
      </c>
      <c r="J154" s="8">
        <f>SUM(J150:J153)</f>
        <v>0</v>
      </c>
      <c r="K154" s="8">
        <f>SUM(K150:K153)</f>
        <v>0</v>
      </c>
      <c r="L154" s="8">
        <f t="shared" si="73"/>
        <v>0</v>
      </c>
      <c r="M154" s="8">
        <f t="shared" si="73"/>
        <v>0</v>
      </c>
      <c r="N154" s="8">
        <f t="shared" si="73"/>
        <v>0</v>
      </c>
      <c r="O154" s="8">
        <f t="shared" si="73"/>
        <v>0</v>
      </c>
      <c r="P154" s="7">
        <f t="shared" si="70"/>
        <v>0</v>
      </c>
      <c r="Q154" s="8">
        <f t="shared" si="73"/>
        <v>0</v>
      </c>
      <c r="R154" s="8">
        <f t="shared" si="73"/>
        <v>0</v>
      </c>
      <c r="S154" s="8">
        <f t="shared" si="73"/>
        <v>0</v>
      </c>
      <c r="T154" s="8">
        <f t="shared" si="73"/>
        <v>0</v>
      </c>
      <c r="U154" s="7">
        <f t="shared" si="71"/>
        <v>0</v>
      </c>
      <c r="V154" s="7">
        <f t="shared" si="72"/>
        <v>0</v>
      </c>
    </row>
    <row r="155" spans="1:22">
      <c r="A155" s="93" t="s">
        <v>240</v>
      </c>
      <c r="B155" s="12"/>
      <c r="C155" s="12">
        <f>IF(ISERROR(GETPIVOTDATA(抵消分录!$I:$K,"偿还债务所支付的现金 1 求和项:借方金额")),0,-GETPIVOTDATA(抵消分录!$I:$K,"偿还债务所支付的现金 1 求和项:借方金额")+GETPIVOTDATA(抵消分录!$I:$K,"偿还债务所支付的现金 1 求和项:贷方金额"))</f>
        <v>0</v>
      </c>
      <c r="D155" s="13">
        <f>B155+C155</f>
        <v>0</v>
      </c>
      <c r="E155" s="118"/>
      <c r="F155" s="118">
        <f>IF(ISERROR(GETPIVOTDATA(抵消分录!$I:$K,"偿还债务所支付的现金 4 求和项:借方金额")),0,-GETPIVOTDATA(抵消分录!$I:$K,"偿还债务所支付的现金 4 求和项:借方金额")+GETPIVOTDATA(抵消分录!$I:$K,"偿还债务所支付的现金 4 求和项:贷方金额"))</f>
        <v>0</v>
      </c>
      <c r="G155" s="13">
        <f>E155+F155</f>
        <v>0</v>
      </c>
      <c r="H155" s="118"/>
      <c r="I155" s="118">
        <f>IF(ISERROR(GETPIVOTDATA(抵消分录!$I:$K,"偿还债务所支付的现金 5 求和项:借方金额")),0,-GETPIVOTDATA(抵消分录!$I:$K,"偿还债务所支付的现金 5 求和项:借方金额")+GETPIVOTDATA(抵消分录!$I:$K,"偿还债务所支付的现金 5 求和项:贷方金额"))</f>
        <v>0</v>
      </c>
      <c r="J155" s="13">
        <f>H155+I155</f>
        <v>0</v>
      </c>
      <c r="K155" s="118"/>
      <c r="L155" s="12"/>
      <c r="M155" s="12"/>
      <c r="N155" s="12"/>
      <c r="O155" s="12"/>
      <c r="P155" s="7">
        <f t="shared" si="70"/>
        <v>0</v>
      </c>
      <c r="Q155" s="12">
        <f>IF(ISERROR(GETPIVOTDATA(抵消分录!$I:$K,"偿还债务所支付的现金 2 求和项:借方金额")),0,-GETPIVOTDATA(抵消分录!$I:$K,"偿还债务所支付的现金 2 求和项:借方金额")+GETPIVOTDATA(抵消分录!$I:$K,"偿还债务所支付的现金 2 求和项:贷方金额"))</f>
        <v>0</v>
      </c>
      <c r="R155" s="13">
        <f>P155+Q155</f>
        <v>0</v>
      </c>
      <c r="S155" s="12"/>
      <c r="T155" s="12"/>
      <c r="U155" s="7">
        <f t="shared" si="71"/>
        <v>0</v>
      </c>
      <c r="V155" s="7">
        <f t="shared" si="72"/>
        <v>0</v>
      </c>
    </row>
    <row r="156" spans="1:22">
      <c r="A156" s="93" t="s">
        <v>316</v>
      </c>
      <c r="B156" s="12"/>
      <c r="C156" s="12">
        <f>IF(ISERROR(GETPIVOTDATA(抵消分录!$I:$K,"分配股利、利润或偿付利息所支付的现金 1 求和项:借方金额")),0,-GETPIVOTDATA(抵消分录!$I:$K,"分配股利、利润或偿付利息所支付的现金 1 求和项:借方金额")+GETPIVOTDATA(抵消分录!$I:$K,"分配股利、利润或偿付利息所支付的现金 1 求和项:贷方金额"))</f>
        <v>0</v>
      </c>
      <c r="D156" s="13">
        <f>B156+C156</f>
        <v>0</v>
      </c>
      <c r="E156" s="118"/>
      <c r="F156" s="118">
        <f>IF(ISERROR(GETPIVOTDATA(抵消分录!$I:$K,"分配股利、利润或偿付利息所支付的现金 4 求和项:借方金额")),0,-GETPIVOTDATA(抵消分录!$I:$K,"分配股利、利润或偿付利息所支付的现金 4 求和项:借方金额")+GETPIVOTDATA(抵消分录!$I:$K,"分配股利、利润或偿付利息所支付的现金 4 求和项:贷方金额"))</f>
        <v>0</v>
      </c>
      <c r="G156" s="13">
        <f>E156+F156</f>
        <v>0</v>
      </c>
      <c r="H156" s="118"/>
      <c r="I156" s="118">
        <f>IF(ISERROR(GETPIVOTDATA(抵消分录!$I:$K,"分配股利、利润或偿付利息所支付的现金 5 求和项:借方金额")),0,-GETPIVOTDATA(抵消分录!$I:$K,"分配股利、利润或偿付利息所支付的现金 5 求和项:借方金额")+GETPIVOTDATA(抵消分录!$I:$K,"分配股利、利润或偿付利息所支付的现金 5 求和项:贷方金额"))</f>
        <v>0</v>
      </c>
      <c r="J156" s="13">
        <f>H156+I156</f>
        <v>0</v>
      </c>
      <c r="K156" s="118"/>
      <c r="L156" s="193"/>
      <c r="M156" s="12"/>
      <c r="N156" s="12"/>
      <c r="O156" s="12"/>
      <c r="P156" s="7">
        <f t="shared" si="70"/>
        <v>0</v>
      </c>
      <c r="Q156" s="12">
        <f>IF(ISERROR(GETPIVOTDATA(抵消分录!$I:$K,"分配股利、利润或偿付利息支付的现金 2 求和项:借方金额")),0,-GETPIVOTDATA(抵消分录!$I:$K,"分配股利、利润或偿付利息支付的现金 2 求和项:借方金额")+GETPIVOTDATA(抵消分录!$I:$K,"分配股利、利润或偿付利息支付的现金 2 求和项:贷方金额"))</f>
        <v>0</v>
      </c>
      <c r="R156" s="13">
        <f>P156+Q156</f>
        <v>0</v>
      </c>
      <c r="S156" s="12"/>
      <c r="T156" s="12"/>
      <c r="U156" s="7">
        <f t="shared" si="71"/>
        <v>0</v>
      </c>
      <c r="V156" s="7">
        <f t="shared" si="72"/>
        <v>0</v>
      </c>
    </row>
    <row r="157" spans="1:22">
      <c r="A157" s="93" t="s">
        <v>313</v>
      </c>
      <c r="B157" s="12"/>
      <c r="C157" s="12">
        <f>IF(ISERROR(GETPIVOTDATA(抵消分录!$I:$K,"支付的其他与筹资活动有关的现金 1 求和项:借方金额")),0,-GETPIVOTDATA(抵消分录!$I:$K,"支付的其他与筹资活动有关的现金 1 求和项:借方金额")+GETPIVOTDATA(抵消分录!$I:$K,"支付的其他与筹资活动有关的现金 1 求和项:贷方金额"))</f>
        <v>0</v>
      </c>
      <c r="D157" s="13">
        <f>B157+C157</f>
        <v>0</v>
      </c>
      <c r="E157" s="118"/>
      <c r="F157" s="118">
        <f>IF(ISERROR(GETPIVOTDATA(抵消分录!$I:$K,"支付的其他与筹资活动有关的现金 4 求和项:借方金额")),0,-GETPIVOTDATA(抵消分录!$I:$K,"支付的其他与筹资活动有关的现金 4 求和项:借方金额")+GETPIVOTDATA(抵消分录!$I:$K,"支付的其他与筹资活动有关的现金 4 求和项:贷方金额"))</f>
        <v>0</v>
      </c>
      <c r="G157" s="13">
        <f>E157+F157</f>
        <v>0</v>
      </c>
      <c r="H157" s="118"/>
      <c r="I157" s="118">
        <f>IF(ISERROR(GETPIVOTDATA(抵消分录!$I:$K,"支付的其他与筹资活动有关的现金 5 求和项:借方金额")),0,-GETPIVOTDATA(抵消分录!$I:$K,"支付的其他与筹资活动有关的现金 5 求和项:借方金额")+GETPIVOTDATA(抵消分录!$I:$K,"支付的其他与筹资活动有关的现金 5 求和项:贷方金额"))</f>
        <v>0</v>
      </c>
      <c r="J157" s="13">
        <f>H157+I157</f>
        <v>0</v>
      </c>
      <c r="K157" s="118"/>
      <c r="L157" s="12"/>
      <c r="M157" s="12"/>
      <c r="N157" s="12"/>
      <c r="O157" s="12"/>
      <c r="P157" s="7">
        <f t="shared" si="70"/>
        <v>0</v>
      </c>
      <c r="Q157" s="12">
        <f>IF(ISERROR(GETPIVOTDATA(抵消分录!$I:$K,"支付的其他与筹资活动有关的现金 2 求和项:借方金额")),0,-GETPIVOTDATA(抵消分录!$I:$K,"支付的其他与筹资活动有关的现金 2 求和项:借方金额")+GETPIVOTDATA(抵消分录!$I:$K,"支付的其他与筹资活动有关的现金 2 求和项:贷方金额"))</f>
        <v>0</v>
      </c>
      <c r="R157" s="13">
        <f>P157+Q157</f>
        <v>0</v>
      </c>
      <c r="S157" s="12"/>
      <c r="T157" s="12"/>
      <c r="U157" s="7">
        <f t="shared" si="71"/>
        <v>0</v>
      </c>
      <c r="V157" s="7">
        <f t="shared" si="72"/>
        <v>0</v>
      </c>
    </row>
    <row r="158" spans="1:22" s="11" customFormat="1">
      <c r="A158" s="36" t="s">
        <v>113</v>
      </c>
      <c r="B158" s="8">
        <f>SUM(B155:B157)</f>
        <v>0</v>
      </c>
      <c r="C158" s="8">
        <f>SUM(C155:C157)</f>
        <v>0</v>
      </c>
      <c r="D158" s="8">
        <f>SUM(D155:D157)</f>
        <v>0</v>
      </c>
      <c r="E158" s="8">
        <f>SUM(E155:E157)</f>
        <v>0</v>
      </c>
      <c r="F158" s="8">
        <f>SUM(F454:F456)</f>
        <v>0</v>
      </c>
      <c r="G158" s="8">
        <f t="shared" ref="G158:T158" si="74">SUM(G155:G157)</f>
        <v>0</v>
      </c>
      <c r="H158" s="8">
        <f>SUM(H155:H157)</f>
        <v>0</v>
      </c>
      <c r="I158" s="8">
        <f>SUM(I554:I557)</f>
        <v>0</v>
      </c>
      <c r="J158" s="8">
        <f>SUM(J155:J157)</f>
        <v>0</v>
      </c>
      <c r="K158" s="8">
        <f>SUM(K155:K157)</f>
        <v>0</v>
      </c>
      <c r="L158" s="8">
        <f t="shared" si="74"/>
        <v>0</v>
      </c>
      <c r="M158" s="8">
        <f t="shared" si="74"/>
        <v>0</v>
      </c>
      <c r="N158" s="8">
        <f t="shared" si="74"/>
        <v>0</v>
      </c>
      <c r="O158" s="8">
        <f t="shared" si="74"/>
        <v>0</v>
      </c>
      <c r="P158" s="7">
        <f>SUM(J158:O158)+D158+G158</f>
        <v>0</v>
      </c>
      <c r="Q158" s="8">
        <f t="shared" si="74"/>
        <v>0</v>
      </c>
      <c r="R158" s="8">
        <f>SUM(R155:R157)</f>
        <v>0</v>
      </c>
      <c r="S158" s="8">
        <f t="shared" si="74"/>
        <v>0</v>
      </c>
      <c r="T158" s="8">
        <f t="shared" si="74"/>
        <v>0</v>
      </c>
      <c r="U158" s="7">
        <f t="shared" si="71"/>
        <v>0</v>
      </c>
      <c r="V158" s="7">
        <f t="shared" si="72"/>
        <v>0</v>
      </c>
    </row>
    <row r="159" spans="1:22" s="11" customFormat="1">
      <c r="A159" s="36" t="s">
        <v>114</v>
      </c>
      <c r="B159" s="8">
        <f>B154-B158</f>
        <v>0</v>
      </c>
      <c r="C159" s="8">
        <f>C154-C158</f>
        <v>0</v>
      </c>
      <c r="D159" s="8">
        <f>D154-D158</f>
        <v>0</v>
      </c>
      <c r="E159" s="8">
        <f>E154-E158</f>
        <v>0</v>
      </c>
      <c r="F159" s="8">
        <f>F453-F457</f>
        <v>0</v>
      </c>
      <c r="G159" s="8">
        <f t="shared" ref="G159:T159" si="75">G154-G158</f>
        <v>0</v>
      </c>
      <c r="H159" s="8">
        <f>H154-H158</f>
        <v>0</v>
      </c>
      <c r="I159" s="8">
        <f>I553-I557</f>
        <v>0</v>
      </c>
      <c r="J159" s="8">
        <f>J154-J158</f>
        <v>0</v>
      </c>
      <c r="K159" s="8">
        <f>K154-K158</f>
        <v>0</v>
      </c>
      <c r="L159" s="8">
        <f t="shared" si="75"/>
        <v>0</v>
      </c>
      <c r="M159" s="8">
        <f t="shared" si="75"/>
        <v>0</v>
      </c>
      <c r="N159" s="8">
        <f t="shared" si="75"/>
        <v>0</v>
      </c>
      <c r="O159" s="8">
        <f t="shared" si="75"/>
        <v>0</v>
      </c>
      <c r="P159" s="7">
        <f t="shared" si="70"/>
        <v>0</v>
      </c>
      <c r="Q159" s="8">
        <f>Q154-Q158</f>
        <v>0</v>
      </c>
      <c r="R159" s="8">
        <f t="shared" si="75"/>
        <v>0</v>
      </c>
      <c r="S159" s="8">
        <f t="shared" si="75"/>
        <v>0</v>
      </c>
      <c r="T159" s="8">
        <f t="shared" si="75"/>
        <v>0</v>
      </c>
      <c r="U159" s="7">
        <f>S159+R159</f>
        <v>0</v>
      </c>
      <c r="V159" s="7">
        <f t="shared" si="72"/>
        <v>0</v>
      </c>
    </row>
    <row r="160" spans="1:22">
      <c r="A160" s="38" t="s">
        <v>130</v>
      </c>
      <c r="B160" s="14"/>
      <c r="C160" s="14">
        <f>IF(ISERROR(GETPIVOTDATA(抵消分录!$I:$K,"汇率变动对现金及现金等价物的影响 1 求和项:借方金额")),0,GETPIVOTDATA(抵消分录!$I:$K,"汇率变动对现金及现金等价物的影响 1 求和项:借方金额")-GETPIVOTDATA(抵消分录!$I:$K,"汇率变动对现金及现金等价物的影响 1 求和项:贷方金额"))</f>
        <v>0</v>
      </c>
      <c r="D160" s="13">
        <f>B160+C160</f>
        <v>0</v>
      </c>
      <c r="E160" s="118"/>
      <c r="F160" s="118">
        <f>IF(ISERROR(GETPIVOTDATA(抵消分录!$I:$K,"汇率变动对现金及现金等价物的影响 4 求和项:借方金额")),0,GETPIVOTDATA(抵消分录!$I:$K,"汇率变动对现金及现金等价物的影响 4 求和项:借方金额")-GETPIVOTDATA(抵消分录!$I:$K,"汇率变动对现金及现金等价物的影响 4 求和项:贷方金额"))</f>
        <v>0</v>
      </c>
      <c r="G160" s="13">
        <f>E160+F160</f>
        <v>0</v>
      </c>
      <c r="H160" s="118"/>
      <c r="I160" s="118">
        <f>IF(ISERROR(GETPIVOTDATA(抵消分录!$I:$K,"汇率变动对现金及现金等价物的影响 5 求和项:借方金额")),0,GETPIVOTDATA(抵消分录!$I:$K,"汇率变动对现金及现金等价物的影响 5 求和项:借方金额")-GETPIVOTDATA(抵消分录!$I:$K,"汇率变动对现金及现金等价物的影响 5 求和项:贷方金额"))</f>
        <v>0</v>
      </c>
      <c r="J160" s="13">
        <f>H160+I160</f>
        <v>0</v>
      </c>
      <c r="K160" s="118"/>
      <c r="L160" s="14"/>
      <c r="M160" s="14"/>
      <c r="N160" s="14"/>
      <c r="O160" s="14"/>
      <c r="P160" s="7">
        <f t="shared" si="70"/>
        <v>0</v>
      </c>
      <c r="Q160" s="14">
        <f>IF(ISERROR(GETPIVOTDATA(抵消分录!$I:$K,"汇率变动对现金及现金等价物的影响 2 求和项:借方金额")),0,GETPIVOTDATA(抵消分录!$I:$K,"汇率变动对现金及现金等价物的影响 2 求和项:借方金额")-GETPIVOTDATA(抵消分录!$I:$K,"汇率变动对现金及现金等价物的影响 2 求和项:贷方金额"))</f>
        <v>0</v>
      </c>
      <c r="R160" s="13">
        <f>P160+Q160</f>
        <v>0</v>
      </c>
      <c r="S160" s="12"/>
      <c r="T160" s="12"/>
      <c r="U160" s="7">
        <f t="shared" si="71"/>
        <v>0</v>
      </c>
      <c r="V160" s="7">
        <f t="shared" si="72"/>
        <v>0</v>
      </c>
    </row>
    <row r="161" spans="1:23" s="11" customFormat="1">
      <c r="A161" s="36" t="s">
        <v>115</v>
      </c>
      <c r="B161" s="8">
        <f>ROUND(B135+B148+B159+B160,2)</f>
        <v>0</v>
      </c>
      <c r="C161" s="8">
        <f>C135+C148+C159+C160</f>
        <v>0</v>
      </c>
      <c r="D161" s="8">
        <f>B161+C161</f>
        <v>0</v>
      </c>
      <c r="E161" s="8">
        <f>ROUND(E135+E148+E159+E160,2)</f>
        <v>0</v>
      </c>
      <c r="F161" s="8">
        <f>F135+F148+F159+F160</f>
        <v>0</v>
      </c>
      <c r="G161" s="8">
        <f>ROUND(E161+F161,2)</f>
        <v>0</v>
      </c>
      <c r="H161" s="8">
        <f>ROUND(H135+H148+H159+H160,2)</f>
        <v>0</v>
      </c>
      <c r="I161" s="8">
        <f>I136+I159+I159+I160</f>
        <v>0</v>
      </c>
      <c r="J161" s="8">
        <f>ROUND(H161+I161,2)</f>
        <v>0</v>
      </c>
      <c r="K161" s="8">
        <f t="shared" ref="K161:V161" si="76">ROUND(K135+K148+K159+K160,2)</f>
        <v>0</v>
      </c>
      <c r="L161" s="8">
        <f>ROUND(L135+L148+L159+L160,2)</f>
        <v>0</v>
      </c>
      <c r="M161" s="8">
        <f>ROUND(M135+M148+M159+M160,2)</f>
        <v>0</v>
      </c>
      <c r="N161" s="8">
        <f>ROUND(N135+N148+N159+N160,2)</f>
        <v>0</v>
      </c>
      <c r="O161" s="8">
        <f t="shared" si="76"/>
        <v>0</v>
      </c>
      <c r="P161" s="8">
        <f t="shared" si="76"/>
        <v>0</v>
      </c>
      <c r="Q161" s="8">
        <f t="shared" si="76"/>
        <v>0</v>
      </c>
      <c r="R161" s="8">
        <f t="shared" si="76"/>
        <v>0</v>
      </c>
      <c r="S161" s="8">
        <f t="shared" si="76"/>
        <v>0</v>
      </c>
      <c r="T161" s="8">
        <f t="shared" si="76"/>
        <v>0</v>
      </c>
      <c r="U161" s="8">
        <f>ROUND(U135+U148+U159+U160,2)</f>
        <v>0</v>
      </c>
      <c r="V161" s="8">
        <f t="shared" si="76"/>
        <v>0</v>
      </c>
    </row>
    <row r="162" spans="1:23">
      <c r="A162" s="38" t="s">
        <v>519</v>
      </c>
      <c r="B162" s="14"/>
      <c r="C162" s="14"/>
      <c r="D162" s="13">
        <f>B162+C162</f>
        <v>0</v>
      </c>
      <c r="E162" s="118"/>
      <c r="F162" s="118"/>
      <c r="G162" s="13">
        <f>E162+F162</f>
        <v>0</v>
      </c>
      <c r="H162" s="118"/>
      <c r="I162" s="118"/>
      <c r="J162" s="13">
        <f>H162+I162</f>
        <v>0</v>
      </c>
      <c r="K162" s="118"/>
      <c r="L162" s="14"/>
      <c r="M162" s="14"/>
      <c r="N162" s="14"/>
      <c r="O162" s="14"/>
      <c r="P162" s="7">
        <f>SUM(J162:O162)+D162+G162</f>
        <v>0</v>
      </c>
      <c r="Q162" s="14">
        <f>IF(ISERROR(GETPIVOTDATA(抵消分录!$I:$K,"期初现金及现金等价物余额 2 求和项:借方金额")),0,GETPIVOTDATA(抵消分录!$I:$K,"期初现金及现金等价物余额 2 求和项:借方金额")-GETPIVOTDATA(抵消分录!$I:$K,"期初现金及现金等价物余额 2 求和项:贷方金额"))</f>
        <v>0</v>
      </c>
      <c r="R162" s="13">
        <f>P162+Q162</f>
        <v>0</v>
      </c>
      <c r="S162" s="12"/>
      <c r="T162" s="12"/>
      <c r="U162" s="12"/>
      <c r="V162" s="12"/>
      <c r="W162" s="243"/>
    </row>
    <row r="163" spans="1:23" s="11" customFormat="1">
      <c r="A163" s="36" t="s">
        <v>116</v>
      </c>
      <c r="B163" s="8">
        <f>B161+B162</f>
        <v>0</v>
      </c>
      <c r="C163" s="8">
        <f>C161+C162</f>
        <v>0</v>
      </c>
      <c r="D163" s="8">
        <f>B163+C163</f>
        <v>0</v>
      </c>
      <c r="E163" s="8">
        <f>E161+E162</f>
        <v>0</v>
      </c>
      <c r="F163" s="8">
        <f>F161+F162</f>
        <v>0</v>
      </c>
      <c r="G163" s="8">
        <f>E163+F163</f>
        <v>0</v>
      </c>
      <c r="H163" s="8">
        <f>H161+H162</f>
        <v>0</v>
      </c>
      <c r="I163" s="8">
        <f>I161+I162</f>
        <v>0</v>
      </c>
      <c r="J163" s="8">
        <f>H163+I163</f>
        <v>0</v>
      </c>
      <c r="K163" s="8">
        <f t="shared" ref="K163:M163" si="77">K161+K162</f>
        <v>0</v>
      </c>
      <c r="L163" s="8">
        <f>L161+L162</f>
        <v>0</v>
      </c>
      <c r="M163" s="8">
        <f t="shared" si="77"/>
        <v>0</v>
      </c>
      <c r="N163" s="8">
        <f>N161+N162</f>
        <v>0</v>
      </c>
      <c r="O163" s="8">
        <f>O161+O162</f>
        <v>0</v>
      </c>
      <c r="P163" s="8">
        <f>P161+P162</f>
        <v>0</v>
      </c>
      <c r="Q163" s="8">
        <f t="shared" ref="Q163" si="78">Q161+Q162</f>
        <v>0</v>
      </c>
      <c r="R163" s="8">
        <f>R161+R162</f>
        <v>0</v>
      </c>
      <c r="S163" s="8">
        <f t="shared" ref="S163:T163" si="79">S161+S162</f>
        <v>0</v>
      </c>
      <c r="T163" s="8">
        <f t="shared" si="79"/>
        <v>0</v>
      </c>
      <c r="U163" s="8">
        <f>U161+U162</f>
        <v>0</v>
      </c>
      <c r="V163" s="8">
        <f t="shared" ref="V163" si="80">V161+V162</f>
        <v>0</v>
      </c>
    </row>
    <row r="164" spans="1:23">
      <c r="A164" s="37" t="s">
        <v>127</v>
      </c>
      <c r="B164" s="16">
        <f t="shared" ref="B164:V164" si="81">B163-B5</f>
        <v>0</v>
      </c>
      <c r="C164" s="16">
        <f t="shared" si="81"/>
        <v>0</v>
      </c>
      <c r="D164" s="16">
        <f t="shared" si="81"/>
        <v>0</v>
      </c>
      <c r="E164" s="16">
        <f t="shared" si="81"/>
        <v>0</v>
      </c>
      <c r="F164" s="16">
        <f t="shared" si="81"/>
        <v>0</v>
      </c>
      <c r="G164" s="16">
        <f t="shared" si="81"/>
        <v>0</v>
      </c>
      <c r="H164" s="16">
        <f t="shared" si="81"/>
        <v>0</v>
      </c>
      <c r="I164" s="16">
        <f t="shared" si="81"/>
        <v>0</v>
      </c>
      <c r="J164" s="16">
        <f t="shared" si="81"/>
        <v>0</v>
      </c>
      <c r="K164" s="16">
        <f t="shared" si="81"/>
        <v>0</v>
      </c>
      <c r="L164" s="16">
        <f t="shared" si="81"/>
        <v>0</v>
      </c>
      <c r="M164" s="16">
        <f t="shared" si="81"/>
        <v>0</v>
      </c>
      <c r="N164" s="16">
        <f t="shared" si="81"/>
        <v>0</v>
      </c>
      <c r="O164" s="16">
        <f t="shared" si="81"/>
        <v>0</v>
      </c>
      <c r="P164" s="16">
        <f t="shared" si="81"/>
        <v>0</v>
      </c>
      <c r="Q164" s="16">
        <f t="shared" si="81"/>
        <v>0</v>
      </c>
      <c r="R164" s="16">
        <f t="shared" si="81"/>
        <v>0</v>
      </c>
      <c r="S164" s="16">
        <f t="shared" si="81"/>
        <v>0</v>
      </c>
      <c r="T164" s="16">
        <f t="shared" si="81"/>
        <v>0</v>
      </c>
      <c r="U164" s="16">
        <f t="shared" si="81"/>
        <v>0</v>
      </c>
      <c r="V164" s="16">
        <f t="shared" si="81"/>
        <v>0</v>
      </c>
      <c r="W164" s="248"/>
    </row>
    <row r="165" spans="1:23" s="11" customFormat="1">
      <c r="A165" s="36" t="s">
        <v>128</v>
      </c>
      <c r="B165" s="196"/>
      <c r="C165" s="6">
        <f>IF(ISERROR(GETPIVOTDATA(抵消分录!$I:$K,"货币资金 1 求和项:借方金额")),0,GETPIVOTDATA(抵消分录!$I:$K,"货币资金 1 求和项:借方金额")-GETPIVOTDATA(抵消分录!$I:$K,"货币资金 1 求和项:贷方金额"))</f>
        <v>0</v>
      </c>
      <c r="D165" s="7">
        <f t="shared" ref="D165" si="82">B165+C165</f>
        <v>0</v>
      </c>
      <c r="E165" s="196"/>
      <c r="F165" s="196">
        <f>IF(ISERROR(GETPIVOTDATA(抵消分录!$I:$K,"货币资金 4 求和项:借方金额")),0,GETPIVOTDATA(抵消分录!$I:$K,"货币资金 4 求和项:借方金额")-GETPIVOTDATA(抵消分录!$I:$K,"货币资金 4 求和项:贷方金额"))</f>
        <v>0</v>
      </c>
      <c r="G165" s="7">
        <f>E165+F165</f>
        <v>0</v>
      </c>
      <c r="H165" s="196"/>
      <c r="I165" s="196">
        <f>IF(ISERROR(GETPIVOTDATA(抵消分录!$I:$K,"货币资金 5 求和项:借方金额")),0,GETPIVOTDATA(抵消分录!$I:$K,"货币资金 5 求和项:借方金额")-GETPIVOTDATA(抵消分录!$I:$K,"货币资金 5 求和项:贷方金额"))</f>
        <v>0</v>
      </c>
      <c r="J165" s="7">
        <f>H165+I165</f>
        <v>0</v>
      </c>
      <c r="K165" s="196"/>
      <c r="L165" s="196"/>
      <c r="M165" s="196"/>
      <c r="N165" s="6"/>
      <c r="O165" s="128"/>
      <c r="P165" s="7">
        <f>SUM(J165:O165)+D165+G165</f>
        <v>0</v>
      </c>
      <c r="Q165" s="8"/>
      <c r="R165" s="8"/>
      <c r="S165" s="8"/>
      <c r="T165" s="8"/>
      <c r="U165" s="8"/>
      <c r="V165" s="7">
        <f t="shared" si="72"/>
        <v>0</v>
      </c>
    </row>
    <row r="166" spans="1:23" s="11" customFormat="1">
      <c r="A166" s="39" t="s">
        <v>129</v>
      </c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7">
        <f t="shared" si="71"/>
        <v>0</v>
      </c>
      <c r="V166" s="7">
        <f t="shared" si="72"/>
        <v>0</v>
      </c>
    </row>
    <row r="167" spans="1:23" s="11" customFormat="1">
      <c r="A167" s="36" t="s">
        <v>117</v>
      </c>
      <c r="B167" s="8">
        <f t="shared" ref="B167:V167" si="83">B110</f>
        <v>0</v>
      </c>
      <c r="C167" s="8">
        <f>C110</f>
        <v>0</v>
      </c>
      <c r="D167" s="8">
        <f t="shared" si="83"/>
        <v>0</v>
      </c>
      <c r="E167" s="8">
        <f t="shared" si="83"/>
        <v>0</v>
      </c>
      <c r="F167" s="8">
        <f>F110</f>
        <v>0</v>
      </c>
      <c r="G167" s="8">
        <f t="shared" si="83"/>
        <v>0</v>
      </c>
      <c r="H167" s="8">
        <f t="shared" si="83"/>
        <v>0</v>
      </c>
      <c r="I167" s="8">
        <f t="shared" si="83"/>
        <v>0</v>
      </c>
      <c r="J167" s="8">
        <f t="shared" si="83"/>
        <v>0</v>
      </c>
      <c r="K167" s="8">
        <f t="shared" si="83"/>
        <v>0</v>
      </c>
      <c r="L167" s="8">
        <f t="shared" si="83"/>
        <v>0</v>
      </c>
      <c r="M167" s="8">
        <f t="shared" si="83"/>
        <v>0</v>
      </c>
      <c r="N167" s="8">
        <f t="shared" si="83"/>
        <v>0</v>
      </c>
      <c r="O167" s="8">
        <f t="shared" si="83"/>
        <v>0</v>
      </c>
      <c r="P167" s="8">
        <f t="shared" si="83"/>
        <v>0</v>
      </c>
      <c r="Q167" s="8">
        <f>Q110</f>
        <v>0</v>
      </c>
      <c r="R167" s="8">
        <f t="shared" si="83"/>
        <v>0</v>
      </c>
      <c r="S167" s="8">
        <f t="shared" si="83"/>
        <v>0</v>
      </c>
      <c r="T167" s="8">
        <f t="shared" si="83"/>
        <v>0</v>
      </c>
      <c r="U167" s="8">
        <f t="shared" si="83"/>
        <v>0</v>
      </c>
      <c r="V167" s="8">
        <f t="shared" si="83"/>
        <v>0</v>
      </c>
    </row>
    <row r="168" spans="1:23" s="11" customFormat="1">
      <c r="A168" s="36" t="s">
        <v>119</v>
      </c>
      <c r="B168" s="8">
        <f t="shared" ref="B168:R168" si="84">B111</f>
        <v>0</v>
      </c>
      <c r="C168" s="8">
        <f t="shared" si="84"/>
        <v>0</v>
      </c>
      <c r="D168" s="8">
        <f t="shared" si="84"/>
        <v>0</v>
      </c>
      <c r="E168" s="8">
        <f t="shared" si="84"/>
        <v>0</v>
      </c>
      <c r="F168" s="8">
        <f t="shared" si="84"/>
        <v>0</v>
      </c>
      <c r="G168" s="8">
        <f t="shared" si="84"/>
        <v>0</v>
      </c>
      <c r="H168" s="8">
        <f t="shared" ref="H168:K168" si="85">H111</f>
        <v>0</v>
      </c>
      <c r="I168" s="8">
        <f t="shared" si="85"/>
        <v>0</v>
      </c>
      <c r="J168" s="8">
        <f t="shared" si="85"/>
        <v>0</v>
      </c>
      <c r="K168" s="8">
        <f t="shared" si="85"/>
        <v>0</v>
      </c>
      <c r="L168" s="8">
        <f t="shared" si="84"/>
        <v>0</v>
      </c>
      <c r="M168" s="8">
        <f t="shared" si="84"/>
        <v>0</v>
      </c>
      <c r="N168" s="8">
        <f t="shared" si="84"/>
        <v>0</v>
      </c>
      <c r="O168" s="8">
        <f t="shared" si="84"/>
        <v>0</v>
      </c>
      <c r="P168" s="8">
        <f t="shared" si="84"/>
        <v>0</v>
      </c>
      <c r="Q168" s="8">
        <f t="shared" si="84"/>
        <v>0</v>
      </c>
      <c r="R168" s="8">
        <f t="shared" si="84"/>
        <v>0</v>
      </c>
      <c r="S168" s="12"/>
      <c r="T168" s="12"/>
      <c r="U168" s="7">
        <f t="shared" si="71"/>
        <v>0</v>
      </c>
      <c r="V168" s="7">
        <f t="shared" si="72"/>
        <v>0</v>
      </c>
    </row>
    <row r="169" spans="1:23" s="11" customFormat="1">
      <c r="A169" s="36" t="s">
        <v>120</v>
      </c>
      <c r="B169" s="114">
        <f t="shared" ref="B169:T169" si="86">B100</f>
        <v>0</v>
      </c>
      <c r="C169" s="114">
        <f t="shared" si="86"/>
        <v>0</v>
      </c>
      <c r="D169" s="8">
        <f t="shared" si="86"/>
        <v>0</v>
      </c>
      <c r="E169" s="8">
        <f t="shared" si="86"/>
        <v>0</v>
      </c>
      <c r="F169" s="8">
        <f t="shared" si="86"/>
        <v>0</v>
      </c>
      <c r="G169" s="8">
        <f t="shared" si="86"/>
        <v>0</v>
      </c>
      <c r="H169" s="8">
        <f t="shared" si="86"/>
        <v>0</v>
      </c>
      <c r="I169" s="8">
        <f t="shared" si="86"/>
        <v>0</v>
      </c>
      <c r="J169" s="8">
        <f t="shared" si="86"/>
        <v>0</v>
      </c>
      <c r="K169" s="8">
        <f t="shared" si="86"/>
        <v>0</v>
      </c>
      <c r="L169" s="8">
        <f t="shared" si="86"/>
        <v>0</v>
      </c>
      <c r="M169" s="8">
        <f t="shared" si="86"/>
        <v>0</v>
      </c>
      <c r="N169" s="8">
        <f t="shared" si="86"/>
        <v>0</v>
      </c>
      <c r="O169" s="8">
        <f t="shared" si="86"/>
        <v>0</v>
      </c>
      <c r="P169" s="8">
        <f t="shared" si="86"/>
        <v>0</v>
      </c>
      <c r="Q169" s="8">
        <f t="shared" si="86"/>
        <v>0</v>
      </c>
      <c r="R169" s="8">
        <f t="shared" si="86"/>
        <v>0</v>
      </c>
      <c r="S169" s="8">
        <f t="shared" si="86"/>
        <v>0</v>
      </c>
      <c r="T169" s="8">
        <f t="shared" si="86"/>
        <v>0</v>
      </c>
      <c r="U169" s="7">
        <f t="shared" si="71"/>
        <v>0</v>
      </c>
      <c r="V169" s="7">
        <f t="shared" si="72"/>
        <v>0</v>
      </c>
    </row>
    <row r="170" spans="1:23">
      <c r="A170" s="94" t="s">
        <v>5</v>
      </c>
      <c r="B170" s="193"/>
      <c r="C170" s="193"/>
      <c r="D170" s="13">
        <f t="shared" ref="D170:D183" si="87">SUM(B170:C170)</f>
        <v>0</v>
      </c>
      <c r="E170" s="193"/>
      <c r="F170" s="193"/>
      <c r="G170" s="13">
        <f t="shared" ref="G170:G183" si="88">SUM(E170:F170)</f>
        <v>0</v>
      </c>
      <c r="H170" s="193"/>
      <c r="I170" s="193"/>
      <c r="J170" s="13">
        <f t="shared" ref="J170:J183" si="89">SUM(H170:I170)</f>
        <v>0</v>
      </c>
      <c r="K170" s="193"/>
      <c r="L170" s="193"/>
      <c r="M170" s="193"/>
      <c r="N170" s="12"/>
      <c r="O170" s="193"/>
      <c r="P170" s="7">
        <f t="shared" ref="P170:P193" si="90">SUM(J170:O170)+D170+G170</f>
        <v>0</v>
      </c>
      <c r="Q170" s="12"/>
      <c r="R170" s="13">
        <f>SUM(P170:Q170)</f>
        <v>0</v>
      </c>
      <c r="S170" s="12"/>
      <c r="T170" s="12"/>
      <c r="U170" s="7">
        <f t="shared" si="71"/>
        <v>0</v>
      </c>
      <c r="V170" s="7">
        <f t="shared" si="72"/>
        <v>0</v>
      </c>
    </row>
    <row r="171" spans="1:23">
      <c r="A171" s="94" t="s">
        <v>6</v>
      </c>
      <c r="B171" s="193"/>
      <c r="C171" s="118"/>
      <c r="D171" s="13">
        <f t="shared" si="87"/>
        <v>0</v>
      </c>
      <c r="E171" s="193"/>
      <c r="F171" s="193"/>
      <c r="G171" s="13">
        <f t="shared" si="88"/>
        <v>0</v>
      </c>
      <c r="H171" s="193"/>
      <c r="I171" s="216"/>
      <c r="J171" s="13">
        <f t="shared" si="89"/>
        <v>0</v>
      </c>
      <c r="K171" s="193"/>
      <c r="L171" s="193"/>
      <c r="M171" s="193"/>
      <c r="N171" s="12"/>
      <c r="O171" s="193"/>
      <c r="P171" s="7">
        <f t="shared" si="90"/>
        <v>0</v>
      </c>
      <c r="Q171" s="12"/>
      <c r="R171" s="13">
        <f t="shared" ref="R171:R183" si="91">SUM(P171:Q171)</f>
        <v>0</v>
      </c>
      <c r="S171" s="12"/>
      <c r="T171" s="12"/>
      <c r="U171" s="7">
        <f t="shared" si="71"/>
        <v>0</v>
      </c>
      <c r="V171" s="7">
        <f t="shared" si="72"/>
        <v>0</v>
      </c>
    </row>
    <row r="172" spans="1:23">
      <c r="A172" s="94" t="s">
        <v>7</v>
      </c>
      <c r="B172" s="193"/>
      <c r="C172" s="12"/>
      <c r="D172" s="13">
        <f t="shared" si="87"/>
        <v>0</v>
      </c>
      <c r="E172" s="193"/>
      <c r="F172" s="193"/>
      <c r="G172" s="13">
        <f t="shared" si="88"/>
        <v>0</v>
      </c>
      <c r="H172" s="193"/>
      <c r="I172" s="193"/>
      <c r="J172" s="13">
        <f t="shared" si="89"/>
        <v>0</v>
      </c>
      <c r="K172" s="193"/>
      <c r="L172" s="193"/>
      <c r="M172" s="193"/>
      <c r="N172" s="12"/>
      <c r="O172" s="193"/>
      <c r="P172" s="7">
        <f t="shared" si="90"/>
        <v>0</v>
      </c>
      <c r="Q172" s="12"/>
      <c r="R172" s="13">
        <f t="shared" si="91"/>
        <v>0</v>
      </c>
      <c r="S172" s="12"/>
      <c r="T172" s="12"/>
      <c r="U172" s="7">
        <f t="shared" si="71"/>
        <v>0</v>
      </c>
      <c r="V172" s="7">
        <f t="shared" si="72"/>
        <v>0</v>
      </c>
    </row>
    <row r="173" spans="1:23">
      <c r="A173" s="94" t="s">
        <v>8</v>
      </c>
      <c r="B173" s="193"/>
      <c r="C173" s="12"/>
      <c r="D173" s="13">
        <f t="shared" si="87"/>
        <v>0</v>
      </c>
      <c r="E173" s="193"/>
      <c r="F173" s="193"/>
      <c r="G173" s="13">
        <f t="shared" si="88"/>
        <v>0</v>
      </c>
      <c r="H173" s="193"/>
      <c r="I173" s="193"/>
      <c r="J173" s="13">
        <f t="shared" si="89"/>
        <v>0</v>
      </c>
      <c r="K173" s="193"/>
      <c r="L173" s="193"/>
      <c r="M173" s="193"/>
      <c r="N173" s="12"/>
      <c r="O173" s="193"/>
      <c r="P173" s="7">
        <f t="shared" si="90"/>
        <v>0</v>
      </c>
      <c r="Q173" s="12"/>
      <c r="R173" s="13">
        <f t="shared" si="91"/>
        <v>0</v>
      </c>
      <c r="S173" s="12"/>
      <c r="T173" s="12"/>
      <c r="U173" s="7">
        <f t="shared" si="71"/>
        <v>0</v>
      </c>
      <c r="V173" s="7">
        <f t="shared" si="72"/>
        <v>0</v>
      </c>
    </row>
    <row r="174" spans="1:23">
      <c r="A174" s="94" t="s">
        <v>9</v>
      </c>
      <c r="B174" s="193"/>
      <c r="C174" s="12"/>
      <c r="D174" s="13">
        <f t="shared" si="87"/>
        <v>0</v>
      </c>
      <c r="E174" s="193"/>
      <c r="F174" s="193"/>
      <c r="G174" s="13">
        <f t="shared" si="88"/>
        <v>0</v>
      </c>
      <c r="H174" s="193"/>
      <c r="I174" s="193"/>
      <c r="J174" s="13">
        <f t="shared" si="89"/>
        <v>0</v>
      </c>
      <c r="K174" s="193"/>
      <c r="L174" s="193"/>
      <c r="M174" s="193"/>
      <c r="N174" s="12"/>
      <c r="O174" s="193"/>
      <c r="P174" s="7">
        <f t="shared" si="90"/>
        <v>0</v>
      </c>
      <c r="Q174" s="12"/>
      <c r="R174" s="13">
        <f t="shared" si="91"/>
        <v>0</v>
      </c>
      <c r="S174" s="12"/>
      <c r="T174" s="12"/>
      <c r="U174" s="7">
        <f t="shared" si="71"/>
        <v>0</v>
      </c>
      <c r="V174" s="7">
        <f t="shared" si="72"/>
        <v>0</v>
      </c>
    </row>
    <row r="175" spans="1:23">
      <c r="A175" s="94" t="s">
        <v>10</v>
      </c>
      <c r="B175" s="193"/>
      <c r="C175" s="12"/>
      <c r="D175" s="13">
        <f t="shared" si="87"/>
        <v>0</v>
      </c>
      <c r="E175" s="193"/>
      <c r="F175" s="193"/>
      <c r="G175" s="13">
        <f t="shared" si="88"/>
        <v>0</v>
      </c>
      <c r="H175" s="193"/>
      <c r="I175" s="193"/>
      <c r="J175" s="13">
        <f t="shared" si="89"/>
        <v>0</v>
      </c>
      <c r="K175" s="193"/>
      <c r="L175" s="193"/>
      <c r="M175" s="193"/>
      <c r="N175" s="12"/>
      <c r="O175" s="193"/>
      <c r="P175" s="7">
        <f t="shared" si="90"/>
        <v>0</v>
      </c>
      <c r="Q175" s="12"/>
      <c r="R175" s="13">
        <f t="shared" si="91"/>
        <v>0</v>
      </c>
      <c r="S175" s="12"/>
      <c r="T175" s="12"/>
      <c r="U175" s="7">
        <f t="shared" si="71"/>
        <v>0</v>
      </c>
      <c r="V175" s="7">
        <f t="shared" si="72"/>
        <v>0</v>
      </c>
    </row>
    <row r="176" spans="1:23">
      <c r="A176" s="94" t="s">
        <v>11</v>
      </c>
      <c r="B176" s="193"/>
      <c r="C176" s="12"/>
      <c r="D176" s="13">
        <f t="shared" si="87"/>
        <v>0</v>
      </c>
      <c r="E176" s="193"/>
      <c r="F176" s="193"/>
      <c r="G176" s="13">
        <f t="shared" si="88"/>
        <v>0</v>
      </c>
      <c r="H176" s="193"/>
      <c r="I176" s="193"/>
      <c r="J176" s="13">
        <f t="shared" si="89"/>
        <v>0</v>
      </c>
      <c r="K176" s="193"/>
      <c r="L176" s="193"/>
      <c r="M176" s="193"/>
      <c r="N176" s="12"/>
      <c r="O176" s="193"/>
      <c r="P176" s="7">
        <f t="shared" si="90"/>
        <v>0</v>
      </c>
      <c r="Q176" s="12"/>
      <c r="R176" s="13">
        <f t="shared" si="91"/>
        <v>0</v>
      </c>
      <c r="S176" s="12"/>
      <c r="T176" s="12"/>
      <c r="U176" s="7">
        <f t="shared" si="71"/>
        <v>0</v>
      </c>
      <c r="V176" s="7">
        <f t="shared" si="72"/>
        <v>0</v>
      </c>
    </row>
    <row r="177" spans="1:22">
      <c r="A177" s="94" t="s">
        <v>12</v>
      </c>
      <c r="B177" s="193"/>
      <c r="C177" s="12"/>
      <c r="D177" s="13">
        <f t="shared" si="87"/>
        <v>0</v>
      </c>
      <c r="E177" s="193"/>
      <c r="F177" s="193"/>
      <c r="G177" s="13">
        <f t="shared" si="88"/>
        <v>0</v>
      </c>
      <c r="H177" s="193"/>
      <c r="I177" s="193"/>
      <c r="J177" s="13">
        <f t="shared" si="89"/>
        <v>0</v>
      </c>
      <c r="K177" s="193"/>
      <c r="L177" s="193"/>
      <c r="M177" s="193"/>
      <c r="N177" s="12"/>
      <c r="O177" s="193"/>
      <c r="P177" s="7">
        <f t="shared" si="90"/>
        <v>0</v>
      </c>
      <c r="Q177" s="12"/>
      <c r="R177" s="13">
        <f t="shared" si="91"/>
        <v>0</v>
      </c>
      <c r="S177" s="12"/>
      <c r="T177" s="12"/>
      <c r="U177" s="7">
        <f t="shared" si="71"/>
        <v>0</v>
      </c>
      <c r="V177" s="7">
        <f t="shared" si="72"/>
        <v>0</v>
      </c>
    </row>
    <row r="178" spans="1:22">
      <c r="A178" s="94" t="s">
        <v>13</v>
      </c>
      <c r="B178" s="193"/>
      <c r="C178" s="12"/>
      <c r="D178" s="13">
        <f t="shared" si="87"/>
        <v>0</v>
      </c>
      <c r="E178" s="193"/>
      <c r="F178" s="193"/>
      <c r="G178" s="13">
        <f t="shared" si="88"/>
        <v>0</v>
      </c>
      <c r="H178" s="193"/>
      <c r="I178" s="193"/>
      <c r="J178" s="13">
        <f t="shared" si="89"/>
        <v>0</v>
      </c>
      <c r="K178" s="193"/>
      <c r="L178" s="193"/>
      <c r="M178" s="193"/>
      <c r="N178" s="12"/>
      <c r="O178" s="193"/>
      <c r="P178" s="7">
        <f t="shared" si="90"/>
        <v>0</v>
      </c>
      <c r="Q178" s="12"/>
      <c r="R178" s="13">
        <f t="shared" si="91"/>
        <v>0</v>
      </c>
      <c r="S178" s="12"/>
      <c r="T178" s="12"/>
      <c r="U178" s="7">
        <f t="shared" si="71"/>
        <v>0</v>
      </c>
      <c r="V178" s="7">
        <f t="shared" si="72"/>
        <v>0</v>
      </c>
    </row>
    <row r="179" spans="1:22">
      <c r="A179" s="94" t="s">
        <v>14</v>
      </c>
      <c r="B179" s="193"/>
      <c r="C179" s="12"/>
      <c r="D179" s="13">
        <f t="shared" si="87"/>
        <v>0</v>
      </c>
      <c r="E179" s="193"/>
      <c r="F179" s="193"/>
      <c r="G179" s="13">
        <f t="shared" si="88"/>
        <v>0</v>
      </c>
      <c r="H179" s="193"/>
      <c r="I179" s="216"/>
      <c r="J179" s="13">
        <f t="shared" si="89"/>
        <v>0</v>
      </c>
      <c r="K179" s="193"/>
      <c r="L179" s="193"/>
      <c r="M179" s="193"/>
      <c r="N179" s="12"/>
      <c r="O179" s="193"/>
      <c r="P179" s="7">
        <f t="shared" si="90"/>
        <v>0</v>
      </c>
      <c r="Q179" s="12"/>
      <c r="R179" s="13">
        <f t="shared" si="91"/>
        <v>0</v>
      </c>
      <c r="S179" s="12"/>
      <c r="T179" s="12"/>
      <c r="U179" s="7">
        <f t="shared" si="71"/>
        <v>0</v>
      </c>
      <c r="V179" s="7">
        <f t="shared" si="72"/>
        <v>0</v>
      </c>
    </row>
    <row r="180" spans="1:22">
      <c r="A180" s="94" t="s">
        <v>15</v>
      </c>
      <c r="B180" s="193"/>
      <c r="C180" s="12"/>
      <c r="D180" s="13">
        <f t="shared" si="87"/>
        <v>0</v>
      </c>
      <c r="E180" s="199"/>
      <c r="F180" s="199"/>
      <c r="G180" s="13">
        <f t="shared" si="88"/>
        <v>0</v>
      </c>
      <c r="H180" s="193"/>
      <c r="I180" s="199"/>
      <c r="J180" s="13">
        <f t="shared" si="89"/>
        <v>0</v>
      </c>
      <c r="K180" s="193"/>
      <c r="L180" s="193"/>
      <c r="M180" s="193"/>
      <c r="N180" s="12"/>
      <c r="O180" s="193"/>
      <c r="P180" s="7">
        <f t="shared" si="90"/>
        <v>0</v>
      </c>
      <c r="Q180" s="12"/>
      <c r="R180" s="13">
        <f t="shared" si="91"/>
        <v>0</v>
      </c>
      <c r="S180" s="12"/>
      <c r="T180" s="12"/>
      <c r="U180" s="7">
        <f t="shared" si="71"/>
        <v>0</v>
      </c>
      <c r="V180" s="7">
        <f t="shared" si="72"/>
        <v>0</v>
      </c>
    </row>
    <row r="181" spans="1:22">
      <c r="A181" s="94" t="s">
        <v>299</v>
      </c>
      <c r="B181" s="193"/>
      <c r="C181" s="14"/>
      <c r="D181" s="13">
        <f t="shared" si="87"/>
        <v>0</v>
      </c>
      <c r="E181" s="199"/>
      <c r="F181" s="199"/>
      <c r="G181" s="13">
        <f t="shared" si="88"/>
        <v>0</v>
      </c>
      <c r="H181" s="193"/>
      <c r="I181" s="199"/>
      <c r="J181" s="13">
        <f t="shared" si="89"/>
        <v>0</v>
      </c>
      <c r="K181" s="193"/>
      <c r="L181" s="193"/>
      <c r="M181" s="193"/>
      <c r="N181" s="14"/>
      <c r="O181" s="193"/>
      <c r="P181" s="7">
        <f t="shared" si="90"/>
        <v>0</v>
      </c>
      <c r="Q181" s="14"/>
      <c r="R181" s="13">
        <f>SUM(P181:Q181)</f>
        <v>0</v>
      </c>
      <c r="S181" s="12"/>
      <c r="T181" s="12"/>
      <c r="U181" s="7">
        <f t="shared" si="71"/>
        <v>0</v>
      </c>
      <c r="V181" s="7">
        <f t="shared" si="72"/>
        <v>0</v>
      </c>
    </row>
    <row r="182" spans="1:22">
      <c r="A182" s="94" t="s">
        <v>298</v>
      </c>
      <c r="B182" s="193"/>
      <c r="C182" s="14"/>
      <c r="D182" s="13">
        <f t="shared" si="87"/>
        <v>0</v>
      </c>
      <c r="E182" s="199"/>
      <c r="F182" s="199"/>
      <c r="G182" s="13">
        <f t="shared" si="88"/>
        <v>0</v>
      </c>
      <c r="H182" s="193"/>
      <c r="I182" s="199"/>
      <c r="J182" s="13">
        <f t="shared" si="89"/>
        <v>0</v>
      </c>
      <c r="K182" s="193"/>
      <c r="L182" s="193"/>
      <c r="M182" s="193"/>
      <c r="N182" s="14"/>
      <c r="O182" s="246"/>
      <c r="P182" s="7">
        <f t="shared" si="90"/>
        <v>0</v>
      </c>
      <c r="Q182" s="14"/>
      <c r="R182" s="13">
        <f t="shared" si="91"/>
        <v>0</v>
      </c>
      <c r="S182" s="12"/>
      <c r="T182" s="193"/>
      <c r="U182" s="7">
        <f>S182+R182</f>
        <v>0</v>
      </c>
      <c r="V182" s="7">
        <f>T182+L182</f>
        <v>0</v>
      </c>
    </row>
    <row r="183" spans="1:22">
      <c r="A183" s="94" t="s">
        <v>18</v>
      </c>
      <c r="B183" s="154"/>
      <c r="C183" s="154"/>
      <c r="D183" s="13">
        <f t="shared" si="87"/>
        <v>0</v>
      </c>
      <c r="E183" s="118"/>
      <c r="F183" s="118"/>
      <c r="G183" s="13">
        <f t="shared" si="88"/>
        <v>0</v>
      </c>
      <c r="H183" s="193"/>
      <c r="I183" s="118"/>
      <c r="J183" s="13">
        <f t="shared" si="89"/>
        <v>0</v>
      </c>
      <c r="K183" s="118"/>
      <c r="L183" s="12"/>
      <c r="M183" s="193"/>
      <c r="N183" s="12"/>
      <c r="O183" s="12"/>
      <c r="P183" s="7">
        <f>SUM(J183:O183)+D183+G183</f>
        <v>0</v>
      </c>
      <c r="Q183" s="12"/>
      <c r="R183" s="13">
        <f t="shared" si="91"/>
        <v>0</v>
      </c>
      <c r="S183" s="12"/>
      <c r="T183" s="12"/>
      <c r="U183" s="7">
        <f>S183+R183</f>
        <v>0</v>
      </c>
      <c r="V183" s="7">
        <f t="shared" si="72"/>
        <v>0</v>
      </c>
    </row>
    <row r="184" spans="1:22" s="11" customFormat="1">
      <c r="A184" s="36" t="s">
        <v>118</v>
      </c>
      <c r="B184" s="8">
        <f>ROUND(SUM(B167:B183),2)</f>
        <v>0</v>
      </c>
      <c r="C184" s="8">
        <f>ROUND(SUM(C167:C183),2)</f>
        <v>0</v>
      </c>
      <c r="D184" s="8">
        <f>ROUND(SUM(D167:D183),2)</f>
        <v>0</v>
      </c>
      <c r="E184" s="8">
        <f>ROUND(SUM(E167:E183),2)</f>
        <v>0</v>
      </c>
      <c r="F184" s="8">
        <f>SUM(F167:F183)</f>
        <v>0</v>
      </c>
      <c r="G184" s="8">
        <f>ROUND(SUM(G167:G183),2)</f>
        <v>0</v>
      </c>
      <c r="H184" s="8">
        <f>ROUND(SUM(H167:H183),2)</f>
        <v>0</v>
      </c>
      <c r="I184" s="8">
        <f>SUM(I167:I183)</f>
        <v>0</v>
      </c>
      <c r="J184" s="8">
        <f t="shared" ref="J184:O184" si="92">ROUND(SUM(J167:J183),2)</f>
        <v>0</v>
      </c>
      <c r="K184" s="8">
        <f>ROUND(SUM(K167:K183),2)</f>
        <v>0</v>
      </c>
      <c r="L184" s="8">
        <f t="shared" si="92"/>
        <v>0</v>
      </c>
      <c r="M184" s="8">
        <f t="shared" si="92"/>
        <v>0</v>
      </c>
      <c r="N184" s="8">
        <f t="shared" si="92"/>
        <v>0</v>
      </c>
      <c r="O184" s="8">
        <f t="shared" si="92"/>
        <v>0</v>
      </c>
      <c r="P184" s="7">
        <f>SUM(J184:O184)+D184+G184</f>
        <v>0</v>
      </c>
      <c r="Q184" s="8">
        <f>ROUND(SUM(Q167:Q183),2)</f>
        <v>0</v>
      </c>
      <c r="R184" s="8">
        <f t="shared" ref="R184:V184" si="93">ROUND(SUM(R167:R183),2)</f>
        <v>0</v>
      </c>
      <c r="S184" s="8">
        <f t="shared" si="93"/>
        <v>0</v>
      </c>
      <c r="T184" s="8">
        <f t="shared" si="93"/>
        <v>0</v>
      </c>
      <c r="U184" s="8">
        <f>R184+S184</f>
        <v>0</v>
      </c>
      <c r="V184" s="8">
        <f t="shared" si="93"/>
        <v>0</v>
      </c>
    </row>
    <row r="185" spans="1:22">
      <c r="A185" s="38" t="s">
        <v>19</v>
      </c>
      <c r="B185" s="12"/>
      <c r="C185" s="12"/>
      <c r="D185" s="13">
        <f>B185+C185</f>
        <v>0</v>
      </c>
      <c r="E185" s="118"/>
      <c r="F185" s="118"/>
      <c r="G185" s="13">
        <f>E185+F185</f>
        <v>0</v>
      </c>
      <c r="H185" s="118"/>
      <c r="I185" s="118"/>
      <c r="J185" s="13">
        <f>H185+I185</f>
        <v>0</v>
      </c>
      <c r="K185" s="118"/>
      <c r="L185" s="12"/>
      <c r="M185" s="12"/>
      <c r="N185" s="12"/>
      <c r="O185" s="12"/>
      <c r="P185" s="7">
        <f t="shared" si="90"/>
        <v>0</v>
      </c>
      <c r="Q185" s="12"/>
      <c r="R185" s="13">
        <f>P185+Q185</f>
        <v>0</v>
      </c>
      <c r="S185" s="12"/>
      <c r="T185" s="12"/>
      <c r="U185" s="7">
        <f t="shared" si="71"/>
        <v>0</v>
      </c>
      <c r="V185" s="7">
        <f t="shared" si="72"/>
        <v>0</v>
      </c>
    </row>
    <row r="186" spans="1:22">
      <c r="A186" s="38" t="s">
        <v>20</v>
      </c>
      <c r="B186" s="12"/>
      <c r="C186" s="12"/>
      <c r="D186" s="13">
        <f>B186+C186</f>
        <v>0</v>
      </c>
      <c r="E186" s="118"/>
      <c r="F186" s="118"/>
      <c r="G186" s="13">
        <f>E186+F186</f>
        <v>0</v>
      </c>
      <c r="H186" s="118"/>
      <c r="I186" s="118"/>
      <c r="J186" s="13">
        <f>H186+I186</f>
        <v>0</v>
      </c>
      <c r="K186" s="118"/>
      <c r="L186" s="12"/>
      <c r="M186" s="12"/>
      <c r="N186" s="12"/>
      <c r="O186" s="12"/>
      <c r="P186" s="7">
        <f t="shared" si="90"/>
        <v>0</v>
      </c>
      <c r="Q186" s="12"/>
      <c r="R186" s="13">
        <f>P186+Q186</f>
        <v>0</v>
      </c>
      <c r="S186" s="12"/>
      <c r="T186" s="12"/>
      <c r="U186" s="7">
        <f t="shared" si="71"/>
        <v>0</v>
      </c>
      <c r="V186" s="7">
        <f t="shared" si="72"/>
        <v>0</v>
      </c>
    </row>
    <row r="187" spans="1:22">
      <c r="A187" s="38" t="s">
        <v>21</v>
      </c>
      <c r="B187" s="12"/>
      <c r="C187" s="12"/>
      <c r="D187" s="13">
        <f>B187+C187</f>
        <v>0</v>
      </c>
      <c r="E187" s="118"/>
      <c r="F187" s="118"/>
      <c r="G187" s="13">
        <f>E187+F187</f>
        <v>0</v>
      </c>
      <c r="H187" s="118"/>
      <c r="I187" s="118"/>
      <c r="J187" s="13">
        <f>H187+I187</f>
        <v>0</v>
      </c>
      <c r="K187" s="118"/>
      <c r="L187" s="12"/>
      <c r="M187" s="12"/>
      <c r="N187" s="12"/>
      <c r="O187" s="12"/>
      <c r="P187" s="7">
        <f t="shared" si="90"/>
        <v>0</v>
      </c>
      <c r="Q187" s="12"/>
      <c r="R187" s="13">
        <f>P187+Q187</f>
        <v>0</v>
      </c>
      <c r="S187" s="12"/>
      <c r="T187" s="12"/>
      <c r="U187" s="7">
        <f t="shared" si="71"/>
        <v>0</v>
      </c>
      <c r="V187" s="7">
        <f t="shared" si="72"/>
        <v>0</v>
      </c>
    </row>
    <row r="188" spans="1:22">
      <c r="A188" s="38" t="s">
        <v>22</v>
      </c>
      <c r="B188" s="12"/>
      <c r="C188" s="12"/>
      <c r="D188" s="13">
        <f>B188+C188</f>
        <v>0</v>
      </c>
      <c r="E188" s="118"/>
      <c r="F188" s="118"/>
      <c r="G188" s="13">
        <f>E188+F188</f>
        <v>0</v>
      </c>
      <c r="H188" s="118"/>
      <c r="I188" s="118"/>
      <c r="J188" s="13">
        <f>H188+I188</f>
        <v>0</v>
      </c>
      <c r="K188" s="118"/>
      <c r="L188" s="12"/>
      <c r="M188" s="12"/>
      <c r="N188" s="12"/>
      <c r="O188" s="12"/>
      <c r="P188" s="7">
        <f t="shared" si="90"/>
        <v>0</v>
      </c>
      <c r="Q188" s="12"/>
      <c r="R188" s="13">
        <f>P188+Q188</f>
        <v>0</v>
      </c>
      <c r="S188" s="12"/>
      <c r="T188" s="12"/>
      <c r="U188" s="7">
        <f t="shared" si="71"/>
        <v>0</v>
      </c>
      <c r="V188" s="7">
        <f t="shared" si="72"/>
        <v>0</v>
      </c>
    </row>
    <row r="189" spans="1:22">
      <c r="A189" s="38" t="s">
        <v>23</v>
      </c>
      <c r="B189" s="12"/>
      <c r="C189" s="12"/>
      <c r="D189" s="13">
        <f>B189+C189</f>
        <v>0</v>
      </c>
      <c r="E189" s="118"/>
      <c r="F189" s="118"/>
      <c r="G189" s="13">
        <f>E189+F189</f>
        <v>0</v>
      </c>
      <c r="H189" s="118"/>
      <c r="I189" s="118"/>
      <c r="J189" s="13">
        <f>H189+I189</f>
        <v>0</v>
      </c>
      <c r="K189" s="118"/>
      <c r="L189" s="12"/>
      <c r="M189" s="12"/>
      <c r="N189" s="12"/>
      <c r="O189" s="12"/>
      <c r="P189" s="7">
        <f t="shared" si="90"/>
        <v>0</v>
      </c>
      <c r="Q189" s="12"/>
      <c r="R189" s="13">
        <f>P189+Q189</f>
        <v>0</v>
      </c>
      <c r="S189" s="12"/>
      <c r="T189" s="12"/>
      <c r="U189" s="7">
        <f t="shared" si="71"/>
        <v>0</v>
      </c>
      <c r="V189" s="7">
        <f t="shared" si="72"/>
        <v>0</v>
      </c>
    </row>
    <row r="190" spans="1:22">
      <c r="A190" s="38" t="s">
        <v>24</v>
      </c>
      <c r="B190" s="122">
        <f>B163</f>
        <v>0</v>
      </c>
      <c r="C190" s="122"/>
      <c r="D190" s="13">
        <f>B190</f>
        <v>0</v>
      </c>
      <c r="E190" s="19">
        <f>E163</f>
        <v>0</v>
      </c>
      <c r="F190" s="19"/>
      <c r="G190" s="13">
        <f>E190</f>
        <v>0</v>
      </c>
      <c r="H190" s="19">
        <f>H163</f>
        <v>0</v>
      </c>
      <c r="I190" s="19"/>
      <c r="J190" s="13">
        <f>H190</f>
        <v>0</v>
      </c>
      <c r="K190" s="19">
        <f>K163</f>
        <v>0</v>
      </c>
      <c r="L190" s="19">
        <f t="shared" ref="L190:O190" si="94">L163</f>
        <v>0</v>
      </c>
      <c r="M190" s="19">
        <f t="shared" si="94"/>
        <v>0</v>
      </c>
      <c r="N190" s="19">
        <f t="shared" si="94"/>
        <v>0</v>
      </c>
      <c r="O190" s="19">
        <f t="shared" si="94"/>
        <v>0</v>
      </c>
      <c r="P190" s="19">
        <f>P163</f>
        <v>0</v>
      </c>
      <c r="Q190" s="19">
        <f>Q5</f>
        <v>0</v>
      </c>
      <c r="R190" s="19">
        <f>R163</f>
        <v>0</v>
      </c>
      <c r="S190" s="19">
        <f>S163</f>
        <v>0</v>
      </c>
      <c r="T190" s="19">
        <f>T163</f>
        <v>0</v>
      </c>
      <c r="U190" s="19">
        <f>U163</f>
        <v>0</v>
      </c>
      <c r="V190" s="19">
        <f>V163</f>
        <v>0</v>
      </c>
    </row>
    <row r="191" spans="1:22">
      <c r="A191" s="38" t="s">
        <v>25</v>
      </c>
      <c r="B191" s="122">
        <f>B162</f>
        <v>0</v>
      </c>
      <c r="C191" s="122"/>
      <c r="D191" s="13">
        <f>B191</f>
        <v>0</v>
      </c>
      <c r="E191" s="19">
        <f>E162</f>
        <v>0</v>
      </c>
      <c r="F191" s="19"/>
      <c r="G191" s="13">
        <f>E191</f>
        <v>0</v>
      </c>
      <c r="H191" s="19">
        <f>H162</f>
        <v>0</v>
      </c>
      <c r="I191" s="19"/>
      <c r="J191" s="13">
        <f>H191</f>
        <v>0</v>
      </c>
      <c r="K191" s="19">
        <f>K162</f>
        <v>0</v>
      </c>
      <c r="L191" s="19">
        <f t="shared" ref="L191:T191" si="95">L162</f>
        <v>0</v>
      </c>
      <c r="M191" s="19">
        <f t="shared" si="95"/>
        <v>0</v>
      </c>
      <c r="N191" s="19">
        <f t="shared" si="95"/>
        <v>0</v>
      </c>
      <c r="O191" s="19">
        <f t="shared" si="95"/>
        <v>0</v>
      </c>
      <c r="P191" s="19">
        <f t="shared" si="95"/>
        <v>0</v>
      </c>
      <c r="Q191" s="19">
        <f t="shared" si="95"/>
        <v>0</v>
      </c>
      <c r="R191" s="19">
        <f>R162</f>
        <v>0</v>
      </c>
      <c r="S191" s="19">
        <f>S162</f>
        <v>0</v>
      </c>
      <c r="T191" s="19">
        <f t="shared" si="95"/>
        <v>0</v>
      </c>
      <c r="U191" s="19">
        <f t="shared" ref="U191" si="96">U162</f>
        <v>0</v>
      </c>
      <c r="V191" s="19">
        <f>V162</f>
        <v>0</v>
      </c>
    </row>
    <row r="192" spans="1:22">
      <c r="A192" s="38" t="s">
        <v>26</v>
      </c>
      <c r="B192" s="121"/>
      <c r="C192" s="121"/>
      <c r="D192" s="13">
        <f>B192+C192</f>
        <v>0</v>
      </c>
      <c r="E192" s="118"/>
      <c r="F192" s="118"/>
      <c r="G192" s="13">
        <f>E192+F192</f>
        <v>0</v>
      </c>
      <c r="H192" s="118"/>
      <c r="I192" s="118"/>
      <c r="J192" s="13">
        <f>H192+I192</f>
        <v>0</v>
      </c>
      <c r="K192" s="118"/>
      <c r="L192" s="12"/>
      <c r="M192" s="12"/>
      <c r="N192" s="12"/>
      <c r="O192" s="12"/>
      <c r="P192" s="7">
        <f t="shared" si="90"/>
        <v>0</v>
      </c>
      <c r="Q192" s="12"/>
      <c r="R192" s="13">
        <f>P192+Q192</f>
        <v>0</v>
      </c>
      <c r="S192" s="12"/>
      <c r="T192" s="12"/>
      <c r="U192" s="7">
        <f t="shared" si="71"/>
        <v>0</v>
      </c>
      <c r="V192" s="7">
        <f t="shared" si="72"/>
        <v>0</v>
      </c>
    </row>
    <row r="193" spans="1:22">
      <c r="A193" s="38" t="s">
        <v>27</v>
      </c>
      <c r="B193" s="121"/>
      <c r="C193" s="121"/>
      <c r="D193" s="13">
        <f>B193+C193</f>
        <v>0</v>
      </c>
      <c r="E193" s="118"/>
      <c r="F193" s="118"/>
      <c r="G193" s="13">
        <f>E193+F193</f>
        <v>0</v>
      </c>
      <c r="H193" s="118"/>
      <c r="I193" s="118"/>
      <c r="J193" s="13">
        <f>H193+I193</f>
        <v>0</v>
      </c>
      <c r="K193" s="118"/>
      <c r="L193" s="12"/>
      <c r="M193" s="12"/>
      <c r="N193" s="12"/>
      <c r="O193" s="12"/>
      <c r="P193" s="7">
        <f t="shared" si="90"/>
        <v>0</v>
      </c>
      <c r="Q193" s="12"/>
      <c r="R193" s="13">
        <f>P193+Q193</f>
        <v>0</v>
      </c>
      <c r="S193" s="12"/>
      <c r="T193" s="12"/>
      <c r="U193" s="7">
        <f t="shared" si="71"/>
        <v>0</v>
      </c>
      <c r="V193" s="7">
        <f t="shared" si="72"/>
        <v>0</v>
      </c>
    </row>
    <row r="194" spans="1:22" s="11" customFormat="1">
      <c r="A194" s="40" t="s">
        <v>121</v>
      </c>
      <c r="B194" s="119">
        <f>ROUND(B190-B191,2)</f>
        <v>0</v>
      </c>
      <c r="C194" s="119">
        <f>C190-C191</f>
        <v>0</v>
      </c>
      <c r="D194" s="8">
        <f>ROUND(D190-D191,2)</f>
        <v>0</v>
      </c>
      <c r="E194" s="8">
        <f>ROUND(E190-E191,2)</f>
        <v>0</v>
      </c>
      <c r="F194" s="8">
        <f>F190-F191</f>
        <v>0</v>
      </c>
      <c r="G194" s="8">
        <f>ROUND(G190-G191,2)</f>
        <v>0</v>
      </c>
      <c r="H194" s="8">
        <f>ROUND(H190-H191,2)</f>
        <v>0</v>
      </c>
      <c r="I194" s="8">
        <f>I190-I191</f>
        <v>0</v>
      </c>
      <c r="J194" s="8">
        <f t="shared" ref="J194:O194" si="97">ROUND(J190-J191,2)</f>
        <v>0</v>
      </c>
      <c r="K194" s="8">
        <f>ROUND(K190-K191,2)</f>
        <v>0</v>
      </c>
      <c r="L194" s="8">
        <f t="shared" si="97"/>
        <v>0</v>
      </c>
      <c r="M194" s="8">
        <f t="shared" si="97"/>
        <v>0</v>
      </c>
      <c r="N194" s="8">
        <f t="shared" si="97"/>
        <v>0</v>
      </c>
      <c r="O194" s="8">
        <f t="shared" si="97"/>
        <v>0</v>
      </c>
      <c r="P194" s="7">
        <f>SUM(J194:O194)+D194+G194</f>
        <v>0</v>
      </c>
      <c r="Q194" s="8">
        <f>Q190-Q191</f>
        <v>0</v>
      </c>
      <c r="R194" s="8">
        <f>ROUND(R190-R191,2)</f>
        <v>0</v>
      </c>
      <c r="S194" s="8">
        <f>ROUND(S190-S191,2)</f>
        <v>0</v>
      </c>
      <c r="T194" s="8">
        <f t="shared" ref="T194:V194" si="98">ROUND(T190-T191,2)</f>
        <v>0</v>
      </c>
      <c r="U194" s="8">
        <f>ROUND(U190-U191,2)</f>
        <v>0</v>
      </c>
      <c r="V194" s="8">
        <f t="shared" si="98"/>
        <v>0</v>
      </c>
    </row>
    <row r="195" spans="1:22">
      <c r="D195" s="4">
        <f>B195+C195</f>
        <v>0</v>
      </c>
    </row>
    <row r="196" spans="1:22">
      <c r="A196" s="41" t="s">
        <v>142</v>
      </c>
      <c r="B196" s="20">
        <f t="shared" ref="B196:V196" si="99">B81-B39</f>
        <v>0</v>
      </c>
      <c r="C196" s="20">
        <f t="shared" si="99"/>
        <v>0</v>
      </c>
      <c r="D196" s="4">
        <f t="shared" si="99"/>
        <v>0</v>
      </c>
      <c r="E196" s="4">
        <f t="shared" si="99"/>
        <v>0</v>
      </c>
      <c r="F196" s="4">
        <f t="shared" si="99"/>
        <v>0</v>
      </c>
      <c r="G196" s="4">
        <f t="shared" si="99"/>
        <v>0</v>
      </c>
      <c r="H196" s="4">
        <f t="shared" si="99"/>
        <v>0</v>
      </c>
      <c r="I196" s="4">
        <f t="shared" si="99"/>
        <v>0</v>
      </c>
      <c r="J196" s="4">
        <f t="shared" si="99"/>
        <v>0</v>
      </c>
      <c r="K196" s="4">
        <f t="shared" si="99"/>
        <v>0</v>
      </c>
      <c r="L196" s="4">
        <f t="shared" si="99"/>
        <v>0</v>
      </c>
      <c r="M196" s="4">
        <f t="shared" si="99"/>
        <v>0</v>
      </c>
      <c r="N196" s="4">
        <f t="shared" si="99"/>
        <v>0</v>
      </c>
      <c r="O196" s="4">
        <f t="shared" si="99"/>
        <v>0</v>
      </c>
      <c r="P196" s="4">
        <f t="shared" si="99"/>
        <v>0</v>
      </c>
      <c r="Q196" s="4">
        <f t="shared" si="99"/>
        <v>0</v>
      </c>
      <c r="R196" s="4">
        <f t="shared" si="99"/>
        <v>0</v>
      </c>
      <c r="S196" s="4">
        <f t="shared" si="99"/>
        <v>0</v>
      </c>
      <c r="T196" s="4">
        <f t="shared" si="99"/>
        <v>0</v>
      </c>
      <c r="U196" s="4">
        <f t="shared" si="99"/>
        <v>0</v>
      </c>
      <c r="V196" s="4">
        <f t="shared" si="99"/>
        <v>0</v>
      </c>
    </row>
    <row r="197" spans="1:22">
      <c r="L197" s="4"/>
      <c r="N197" s="4"/>
      <c r="O197" s="4"/>
      <c r="Q197" s="4"/>
    </row>
    <row r="198" spans="1:22">
      <c r="A198" s="41" t="s">
        <v>143</v>
      </c>
      <c r="B198" s="20">
        <f>B194-B161</f>
        <v>0</v>
      </c>
      <c r="C198" s="20">
        <f t="shared" ref="C198:F198" si="100">C194-C161</f>
        <v>0</v>
      </c>
      <c r="D198" s="4">
        <f t="shared" si="100"/>
        <v>0</v>
      </c>
      <c r="E198" s="4">
        <f>E194-E161</f>
        <v>0</v>
      </c>
      <c r="F198" s="4">
        <f t="shared" si="100"/>
        <v>0</v>
      </c>
      <c r="G198" s="4">
        <f t="shared" ref="G198:L198" si="101">G194-G161</f>
        <v>0</v>
      </c>
      <c r="H198" s="4">
        <f t="shared" si="101"/>
        <v>0</v>
      </c>
      <c r="I198" s="4">
        <f t="shared" si="101"/>
        <v>0</v>
      </c>
      <c r="J198" s="4">
        <f t="shared" si="101"/>
        <v>0</v>
      </c>
      <c r="K198" s="4">
        <f t="shared" si="101"/>
        <v>0</v>
      </c>
      <c r="L198" s="4">
        <f t="shared" si="101"/>
        <v>0</v>
      </c>
      <c r="M198" s="4">
        <f t="shared" ref="M198" si="102">M194-M161</f>
        <v>0</v>
      </c>
      <c r="N198" s="20">
        <f>N194-N161</f>
        <v>0</v>
      </c>
      <c r="O198" s="4">
        <f>O194-O161</f>
        <v>0</v>
      </c>
      <c r="P198" s="4">
        <f>P194-P161</f>
        <v>0</v>
      </c>
      <c r="Q198" s="20">
        <f t="shared" ref="Q198" si="103">Q194-Q161</f>
        <v>0</v>
      </c>
      <c r="R198" s="20">
        <f t="shared" ref="R198:V198" si="104">R194-R161</f>
        <v>0</v>
      </c>
      <c r="S198" s="20">
        <f>S194-S161</f>
        <v>0</v>
      </c>
      <c r="T198" s="20">
        <f>T194-T161</f>
        <v>0</v>
      </c>
      <c r="U198" s="20">
        <f>U194-U161</f>
        <v>0</v>
      </c>
      <c r="V198" s="20">
        <f t="shared" si="104"/>
        <v>0</v>
      </c>
    </row>
    <row r="199" spans="1:22">
      <c r="A199" s="41" t="s">
        <v>144</v>
      </c>
      <c r="B199" s="20">
        <f t="shared" ref="B199:V199" si="105">B190-B5</f>
        <v>0</v>
      </c>
      <c r="C199" s="20">
        <f t="shared" si="105"/>
        <v>0</v>
      </c>
      <c r="D199" s="4">
        <f t="shared" si="105"/>
        <v>0</v>
      </c>
      <c r="E199" s="4">
        <f t="shared" si="105"/>
        <v>0</v>
      </c>
      <c r="F199" s="4">
        <f t="shared" si="105"/>
        <v>0</v>
      </c>
      <c r="G199" s="4">
        <f t="shared" si="105"/>
        <v>0</v>
      </c>
      <c r="H199" s="4">
        <f t="shared" si="105"/>
        <v>0</v>
      </c>
      <c r="I199" s="4">
        <f t="shared" si="105"/>
        <v>0</v>
      </c>
      <c r="J199" s="4">
        <f t="shared" si="105"/>
        <v>0</v>
      </c>
      <c r="K199" s="4">
        <f t="shared" si="105"/>
        <v>0</v>
      </c>
      <c r="L199" s="4">
        <f t="shared" si="105"/>
        <v>0</v>
      </c>
      <c r="M199" s="4">
        <f t="shared" si="105"/>
        <v>0</v>
      </c>
      <c r="N199" s="20">
        <f t="shared" si="105"/>
        <v>0</v>
      </c>
      <c r="O199" s="4">
        <f t="shared" si="105"/>
        <v>0</v>
      </c>
      <c r="P199" s="4">
        <f t="shared" si="105"/>
        <v>0</v>
      </c>
      <c r="Q199" s="20">
        <f t="shared" si="105"/>
        <v>0</v>
      </c>
      <c r="R199" s="20">
        <f t="shared" si="105"/>
        <v>0</v>
      </c>
      <c r="S199" s="20">
        <f t="shared" si="105"/>
        <v>0</v>
      </c>
      <c r="T199" s="20">
        <f t="shared" si="105"/>
        <v>0</v>
      </c>
      <c r="U199" s="20">
        <f t="shared" si="105"/>
        <v>0</v>
      </c>
      <c r="V199" s="20">
        <f t="shared" si="105"/>
        <v>0</v>
      </c>
    </row>
    <row r="200" spans="1:22">
      <c r="A200" s="41" t="s">
        <v>145</v>
      </c>
      <c r="B200" s="20">
        <f>B184-B135</f>
        <v>0</v>
      </c>
      <c r="C200" s="20">
        <f>C184-C135</f>
        <v>0</v>
      </c>
      <c r="D200" s="4">
        <f>D184-D135</f>
        <v>0</v>
      </c>
      <c r="E200" s="4">
        <f t="shared" ref="E200" si="106">E184-E135</f>
        <v>0</v>
      </c>
      <c r="F200" s="4">
        <f>F184-F135</f>
        <v>0</v>
      </c>
      <c r="G200" s="4">
        <f t="shared" ref="G200:J200" si="107">G184-G135</f>
        <v>0</v>
      </c>
      <c r="H200" s="4">
        <f t="shared" si="107"/>
        <v>0</v>
      </c>
      <c r="I200" s="4">
        <f>I184-I135</f>
        <v>0</v>
      </c>
      <c r="J200" s="4">
        <f t="shared" si="107"/>
        <v>0</v>
      </c>
      <c r="K200" s="4">
        <f>K184-K135</f>
        <v>0</v>
      </c>
      <c r="L200" s="4">
        <f>L184-L135</f>
        <v>0</v>
      </c>
      <c r="M200" s="4">
        <f t="shared" ref="M200:O200" si="108">M184-M135</f>
        <v>0</v>
      </c>
      <c r="N200" s="4">
        <f t="shared" si="108"/>
        <v>0</v>
      </c>
      <c r="O200" s="4">
        <f t="shared" si="108"/>
        <v>0</v>
      </c>
      <c r="P200" s="4">
        <f>P184-P135</f>
        <v>0</v>
      </c>
      <c r="Q200" s="4">
        <f t="shared" ref="Q200:V200" si="109">Q184-Q135</f>
        <v>0</v>
      </c>
      <c r="R200" s="4">
        <f>R184-R135</f>
        <v>0</v>
      </c>
      <c r="S200" s="4">
        <f>S184-S135</f>
        <v>0</v>
      </c>
      <c r="T200" s="4">
        <f t="shared" si="109"/>
        <v>0</v>
      </c>
      <c r="U200" s="4">
        <f>U184-U135</f>
        <v>0</v>
      </c>
      <c r="V200" s="4">
        <f t="shared" si="109"/>
        <v>0</v>
      </c>
    </row>
    <row r="201" spans="1:22">
      <c r="D201" s="20"/>
      <c r="E201" s="20"/>
      <c r="F201" s="20"/>
      <c r="G201" s="20"/>
      <c r="H201" s="20"/>
      <c r="I201" s="20"/>
      <c r="J201" s="20"/>
      <c r="K201" s="20"/>
    </row>
    <row r="203" spans="1:22">
      <c r="A203" s="265" t="s">
        <v>537</v>
      </c>
      <c r="D203" s="4">
        <f t="shared" ref="D203:R203" si="110">D84+D85+D86+D87+D88+D89+D100</f>
        <v>0</v>
      </c>
      <c r="E203" s="4">
        <f t="shared" si="110"/>
        <v>0</v>
      </c>
      <c r="F203" s="4">
        <f t="shared" si="110"/>
        <v>0</v>
      </c>
      <c r="G203" s="4">
        <f t="shared" si="110"/>
        <v>0</v>
      </c>
      <c r="H203" s="4">
        <f t="shared" si="110"/>
        <v>0</v>
      </c>
      <c r="I203" s="4">
        <f t="shared" si="110"/>
        <v>0</v>
      </c>
      <c r="J203" s="4">
        <f t="shared" si="110"/>
        <v>0</v>
      </c>
      <c r="K203" s="4">
        <f t="shared" si="110"/>
        <v>0</v>
      </c>
      <c r="L203" s="4">
        <f t="shared" si="110"/>
        <v>0</v>
      </c>
      <c r="M203" s="4">
        <f t="shared" si="110"/>
        <v>0</v>
      </c>
      <c r="N203" s="4">
        <f t="shared" si="110"/>
        <v>0</v>
      </c>
      <c r="O203" s="4">
        <f t="shared" si="110"/>
        <v>0</v>
      </c>
      <c r="P203" s="4">
        <f t="shared" si="110"/>
        <v>0</v>
      </c>
      <c r="Q203" s="4">
        <f t="shared" si="110"/>
        <v>0</v>
      </c>
      <c r="R203" s="4">
        <f t="shared" si="110"/>
        <v>0</v>
      </c>
    </row>
  </sheetData>
  <protectedRanges>
    <protectedRange password="E80F" sqref="A167" name="区域1"/>
  </protectedRanges>
  <phoneticPr fontId="50" type="noConversion"/>
  <conditionalFormatting sqref="D164:E164 K124:O124 B82 D82:E82 G82:H82 G164 J82:V82 K164:V164 B124:G124 R124:T124">
    <cfRule type="cellIs" dxfId="85" priority="35" operator="notEqual">
      <formula>0</formula>
    </cfRule>
  </conditionalFormatting>
  <conditionalFormatting sqref="B164">
    <cfRule type="cellIs" dxfId="84" priority="18" operator="notEqual">
      <formula>0</formula>
    </cfRule>
  </conditionalFormatting>
  <conditionalFormatting sqref="A82">
    <cfRule type="cellIs" dxfId="83" priority="17" operator="notEqual">
      <formula>0</formula>
    </cfRule>
  </conditionalFormatting>
  <conditionalFormatting sqref="A124">
    <cfRule type="cellIs" dxfId="82" priority="16" operator="notEqual">
      <formula>0</formula>
    </cfRule>
  </conditionalFormatting>
  <conditionalFormatting sqref="A164">
    <cfRule type="cellIs" dxfId="81" priority="15" operator="notEqual">
      <formula>0</formula>
    </cfRule>
  </conditionalFormatting>
  <conditionalFormatting sqref="H124 H164 J164 J124">
    <cfRule type="cellIs" dxfId="80" priority="12" operator="notEqual">
      <formula>0</formula>
    </cfRule>
  </conditionalFormatting>
  <conditionalFormatting sqref="C82">
    <cfRule type="cellIs" dxfId="79" priority="10" operator="notEqual">
      <formula>0</formula>
    </cfRule>
  </conditionalFormatting>
  <conditionalFormatting sqref="C164">
    <cfRule type="cellIs" dxfId="78" priority="9" operator="notEqual">
      <formula>0</formula>
    </cfRule>
  </conditionalFormatting>
  <conditionalFormatting sqref="F164 F82">
    <cfRule type="cellIs" dxfId="77" priority="8" operator="notEqual">
      <formula>0</formula>
    </cfRule>
  </conditionalFormatting>
  <conditionalFormatting sqref="I124 I164">
    <cfRule type="cellIs" dxfId="76" priority="4" operator="notEqual">
      <formula>0</formula>
    </cfRule>
  </conditionalFormatting>
  <conditionalFormatting sqref="I82">
    <cfRule type="cellIs" dxfId="75" priority="5" operator="notEqual">
      <formula>0</formula>
    </cfRule>
  </conditionalFormatting>
  <conditionalFormatting sqref="Q124 Q82">
    <cfRule type="cellIs" dxfId="74" priority="2" operator="notEqual">
      <formula>0</formula>
    </cfRule>
  </conditionalFormatting>
  <conditionalFormatting sqref="U124:V124">
    <cfRule type="cellIs" dxfId="73" priority="1" operator="notEqual">
      <formula>0</formula>
    </cfRule>
  </conditionalFormatting>
  <pageMargins left="0.7" right="0.7" top="0.75" bottom="0.75" header="0.3" footer="0.3"/>
  <pageSetup paperSize="9" orientation="portrait" r:id="rId1"/>
  <ignoredErrors>
    <ignoredError sqref="C24 C79 D117 D129 C135 D142 D154 D163 G117 G129:G142 F135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  <pageSetUpPr fitToPage="1"/>
  </sheetPr>
  <dimension ref="A1:U227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6" sqref="F6"/>
    </sheetView>
  </sheetViews>
  <sheetFormatPr defaultColWidth="9.140625" defaultRowHeight="12.75"/>
  <cols>
    <col min="1" max="1" width="4" style="31" customWidth="1"/>
    <col min="2" max="2" width="4.42578125" style="31" customWidth="1"/>
    <col min="3" max="3" width="26.28515625" style="30" customWidth="1"/>
    <col min="4" max="4" width="32.140625" style="30" customWidth="1"/>
    <col min="5" max="5" width="15.42578125" style="30" customWidth="1"/>
    <col min="6" max="6" width="26.140625" style="22" bestFit="1" customWidth="1"/>
    <col min="7" max="7" width="18.7109375" style="22" bestFit="1" customWidth="1"/>
    <col min="8" max="8" width="19.140625" style="205" customWidth="1"/>
    <col min="9" max="9" width="10.85546875" style="21" customWidth="1"/>
    <col min="10" max="11" width="15.85546875" style="22" customWidth="1"/>
    <col min="12" max="12" width="8.28515625" style="21" customWidth="1"/>
    <col min="13" max="13" width="8.85546875" style="21" customWidth="1"/>
    <col min="14" max="15" width="5.28515625" style="21" customWidth="1"/>
    <col min="16" max="17" width="4.28515625" style="21" customWidth="1"/>
    <col min="18" max="18" width="3.7109375" style="21" customWidth="1"/>
    <col min="19" max="19" width="6.85546875" style="21" customWidth="1"/>
    <col min="20" max="20" width="11.5703125" style="21" bestFit="1" customWidth="1"/>
    <col min="21" max="21" width="5.7109375" style="21" customWidth="1"/>
    <col min="22" max="16384" width="9.140625" style="21"/>
  </cols>
  <sheetData>
    <row r="1" spans="1:21" ht="21">
      <c r="A1" s="318" t="s">
        <v>81</v>
      </c>
      <c r="B1" s="319"/>
      <c r="C1" s="319"/>
      <c r="D1" s="319"/>
      <c r="E1" s="319"/>
      <c r="F1" s="319"/>
      <c r="G1" s="319"/>
      <c r="H1" s="319"/>
    </row>
    <row r="2" spans="1:21">
      <c r="A2" s="23"/>
      <c r="B2" s="23"/>
      <c r="C2" s="24"/>
      <c r="D2" s="25"/>
      <c r="E2" s="25"/>
      <c r="F2" s="26"/>
      <c r="G2" s="26"/>
      <c r="H2" s="202"/>
      <c r="I2" s="208"/>
      <c r="J2" s="208" t="s">
        <v>83</v>
      </c>
      <c r="K2" s="208"/>
    </row>
    <row r="3" spans="1:21" ht="15.95" customHeight="1" thickBot="1">
      <c r="A3" s="321" t="s">
        <v>666</v>
      </c>
      <c r="B3" s="322"/>
      <c r="C3" s="322"/>
      <c r="D3" s="320"/>
      <c r="E3" s="320"/>
      <c r="F3" s="27"/>
      <c r="G3" s="27"/>
      <c r="H3" s="203"/>
      <c r="I3" s="208" t="s">
        <v>82</v>
      </c>
      <c r="J3" s="208" t="s">
        <v>84</v>
      </c>
      <c r="K3" s="208" t="s">
        <v>85</v>
      </c>
    </row>
    <row r="4" spans="1:21">
      <c r="A4" s="28" t="s">
        <v>80</v>
      </c>
      <c r="B4" s="28" t="s">
        <v>75</v>
      </c>
      <c r="C4" s="28" t="s">
        <v>76</v>
      </c>
      <c r="D4" s="28" t="s">
        <v>77</v>
      </c>
      <c r="E4" s="28" t="s">
        <v>78</v>
      </c>
      <c r="F4" s="29" t="s">
        <v>73</v>
      </c>
      <c r="G4" s="29" t="s">
        <v>74</v>
      </c>
      <c r="H4" s="204" t="s">
        <v>79</v>
      </c>
      <c r="I4" s="210" t="s">
        <v>680</v>
      </c>
      <c r="J4" s="213"/>
      <c r="K4" s="213"/>
    </row>
    <row r="5" spans="1:21" s="31" customFormat="1">
      <c r="A5" s="23">
        <v>1</v>
      </c>
      <c r="B5" s="23">
        <v>1</v>
      </c>
      <c r="C5" s="43"/>
      <c r="D5" s="43"/>
      <c r="E5" s="43"/>
      <c r="F5" s="26"/>
      <c r="G5" s="26"/>
      <c r="H5" s="205"/>
      <c r="I5" s="211">
        <v>1</v>
      </c>
      <c r="J5" s="213"/>
      <c r="K5" s="213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>
      <c r="A6" s="23">
        <v>2</v>
      </c>
      <c r="B6" s="23">
        <v>1</v>
      </c>
      <c r="C6" s="43"/>
      <c r="D6" s="43"/>
      <c r="E6" s="43"/>
      <c r="F6" s="26"/>
      <c r="G6" s="26"/>
      <c r="I6" s="211">
        <v>2</v>
      </c>
      <c r="J6" s="213"/>
      <c r="K6" s="213"/>
    </row>
    <row r="7" spans="1:21">
      <c r="A7" s="209">
        <v>3</v>
      </c>
      <c r="B7" s="23">
        <v>1</v>
      </c>
      <c r="C7" s="43"/>
      <c r="D7" s="43"/>
      <c r="E7" s="43"/>
      <c r="F7" s="26"/>
      <c r="G7" s="26"/>
      <c r="I7" s="211">
        <v>4</v>
      </c>
      <c r="J7" s="213"/>
      <c r="K7" s="213"/>
    </row>
    <row r="8" spans="1:21">
      <c r="A8" s="209">
        <v>4</v>
      </c>
      <c r="B8" s="23"/>
      <c r="C8" s="43"/>
      <c r="D8" s="43"/>
      <c r="E8" s="24"/>
      <c r="F8" s="26"/>
      <c r="G8" s="26"/>
      <c r="I8" s="211">
        <v>5</v>
      </c>
      <c r="J8" s="213"/>
      <c r="K8" s="213"/>
    </row>
    <row r="9" spans="1:21">
      <c r="A9" s="209">
        <v>5</v>
      </c>
      <c r="B9" s="23">
        <v>1</v>
      </c>
      <c r="C9" s="43"/>
      <c r="D9" s="43"/>
      <c r="E9" s="43"/>
      <c r="F9" s="26"/>
      <c r="G9" s="26"/>
      <c r="H9" s="206"/>
      <c r="I9" s="210" t="s">
        <v>132</v>
      </c>
      <c r="J9" s="213"/>
      <c r="K9" s="213"/>
    </row>
    <row r="10" spans="1:21">
      <c r="A10" s="209">
        <v>6</v>
      </c>
      <c r="B10" s="23">
        <v>1</v>
      </c>
      <c r="C10" s="43"/>
      <c r="D10" s="43"/>
      <c r="E10" s="43"/>
      <c r="F10" s="26"/>
      <c r="G10" s="26"/>
      <c r="H10" s="207"/>
      <c r="I10"/>
      <c r="J10"/>
      <c r="K10"/>
    </row>
    <row r="11" spans="1:21">
      <c r="A11" s="209">
        <v>7</v>
      </c>
      <c r="B11" s="23">
        <v>1</v>
      </c>
      <c r="C11" s="43"/>
      <c r="D11" s="43"/>
      <c r="E11" s="43"/>
      <c r="F11" s="26"/>
      <c r="G11" s="26"/>
      <c r="H11" s="206"/>
      <c r="I11"/>
      <c r="J11"/>
      <c r="K11"/>
    </row>
    <row r="12" spans="1:21">
      <c r="A12" s="209">
        <v>8</v>
      </c>
      <c r="B12" s="23"/>
      <c r="C12" s="43"/>
      <c r="D12" s="43"/>
      <c r="E12" s="24"/>
      <c r="F12" s="26"/>
      <c r="G12" s="26"/>
      <c r="H12" s="206"/>
      <c r="I12"/>
      <c r="J12"/>
      <c r="K12"/>
    </row>
    <row r="13" spans="1:21">
      <c r="A13" s="209">
        <v>9</v>
      </c>
      <c r="B13" s="23">
        <v>1</v>
      </c>
      <c r="C13" s="43"/>
      <c r="D13" s="43"/>
      <c r="E13" s="43"/>
      <c r="F13" s="26"/>
      <c r="G13" s="26"/>
      <c r="H13" s="255"/>
      <c r="I13"/>
      <c r="J13"/>
      <c r="K13"/>
    </row>
    <row r="14" spans="1:21">
      <c r="A14" s="209">
        <v>10</v>
      </c>
      <c r="B14" s="23">
        <v>1</v>
      </c>
      <c r="C14" s="43"/>
      <c r="D14" s="43"/>
      <c r="E14" s="43"/>
      <c r="F14" s="26"/>
      <c r="G14" s="26"/>
      <c r="I14"/>
      <c r="J14"/>
      <c r="K14"/>
    </row>
    <row r="15" spans="1:21">
      <c r="A15" s="209">
        <v>11</v>
      </c>
      <c r="B15" s="23">
        <v>1</v>
      </c>
      <c r="C15" s="43"/>
      <c r="D15" s="43"/>
      <c r="E15" s="43"/>
      <c r="F15" s="26"/>
      <c r="G15" s="26"/>
      <c r="I15"/>
      <c r="J15"/>
      <c r="K15"/>
    </row>
    <row r="16" spans="1:21">
      <c r="A16" s="209">
        <v>12</v>
      </c>
      <c r="B16" s="23"/>
      <c r="C16" s="43"/>
      <c r="D16" s="43"/>
      <c r="E16" s="24"/>
      <c r="F16" s="26"/>
      <c r="G16" s="26"/>
      <c r="I16"/>
      <c r="J16"/>
      <c r="K16"/>
    </row>
    <row r="17" spans="1:11">
      <c r="A17" s="209">
        <v>13</v>
      </c>
      <c r="B17" s="23">
        <v>1</v>
      </c>
      <c r="C17" s="43"/>
      <c r="D17" s="43"/>
      <c r="E17" s="43"/>
      <c r="F17" s="26"/>
      <c r="G17" s="26"/>
      <c r="I17"/>
      <c r="J17"/>
      <c r="K17"/>
    </row>
    <row r="18" spans="1:11">
      <c r="A18" s="209">
        <v>14</v>
      </c>
      <c r="B18" s="23">
        <v>1</v>
      </c>
      <c r="C18" s="43"/>
      <c r="D18" s="43"/>
      <c r="E18" s="43"/>
      <c r="F18" s="26"/>
      <c r="G18" s="26"/>
      <c r="H18" s="206"/>
      <c r="I18"/>
      <c r="J18"/>
      <c r="K18"/>
    </row>
    <row r="19" spans="1:11">
      <c r="A19" s="209">
        <v>15</v>
      </c>
      <c r="B19" s="23"/>
      <c r="C19" s="43"/>
      <c r="D19" s="43"/>
      <c r="E19" s="24"/>
      <c r="F19" s="26"/>
      <c r="G19" s="26"/>
      <c r="I19"/>
      <c r="J19"/>
      <c r="K19"/>
    </row>
    <row r="20" spans="1:11">
      <c r="A20" s="209">
        <v>16</v>
      </c>
      <c r="B20" s="23">
        <v>2</v>
      </c>
      <c r="C20" s="43"/>
      <c r="D20" s="43"/>
      <c r="E20" s="43"/>
      <c r="F20" s="26"/>
      <c r="G20" s="26"/>
      <c r="I20"/>
      <c r="J20"/>
      <c r="K20"/>
    </row>
    <row r="21" spans="1:11">
      <c r="A21" s="209">
        <v>17</v>
      </c>
      <c r="B21" s="23">
        <v>2</v>
      </c>
      <c r="C21" s="43"/>
      <c r="D21" s="43"/>
      <c r="E21" s="43"/>
      <c r="F21" s="26"/>
      <c r="G21" s="26"/>
      <c r="H21" s="206"/>
      <c r="I21"/>
      <c r="J21"/>
      <c r="K21"/>
    </row>
    <row r="22" spans="1:11">
      <c r="A22" s="209">
        <v>18</v>
      </c>
      <c r="B22" s="23">
        <v>2</v>
      </c>
      <c r="C22" s="43"/>
      <c r="D22" s="43"/>
      <c r="E22" s="43"/>
      <c r="F22" s="26"/>
      <c r="G22" s="26"/>
      <c r="H22" s="206"/>
      <c r="I22"/>
      <c r="J22"/>
      <c r="K22"/>
    </row>
    <row r="23" spans="1:11">
      <c r="A23" s="209">
        <v>19</v>
      </c>
      <c r="B23" s="23">
        <v>2</v>
      </c>
      <c r="C23" s="43"/>
      <c r="D23" s="43"/>
      <c r="E23" s="43"/>
      <c r="F23" s="26"/>
      <c r="G23" s="26"/>
      <c r="H23" s="206"/>
      <c r="I23"/>
      <c r="J23"/>
      <c r="K23"/>
    </row>
    <row r="24" spans="1:11">
      <c r="A24" s="209">
        <v>20</v>
      </c>
      <c r="B24" s="23">
        <v>2</v>
      </c>
      <c r="C24" s="43"/>
      <c r="D24" s="43"/>
      <c r="E24" s="43"/>
      <c r="F24" s="26"/>
      <c r="G24" s="26"/>
      <c r="H24" s="206"/>
      <c r="I24"/>
      <c r="J24"/>
      <c r="K24"/>
    </row>
    <row r="25" spans="1:11">
      <c r="A25" s="209">
        <v>21</v>
      </c>
      <c r="B25" s="23">
        <v>2</v>
      </c>
      <c r="C25" s="43"/>
      <c r="D25" s="43"/>
      <c r="E25" s="43"/>
      <c r="F25" s="26"/>
      <c r="G25" s="26"/>
      <c r="H25" s="206"/>
      <c r="I25"/>
      <c r="J25"/>
      <c r="K25"/>
    </row>
    <row r="26" spans="1:11">
      <c r="A26" s="209">
        <v>22</v>
      </c>
      <c r="B26" s="23">
        <v>2</v>
      </c>
      <c r="C26" s="43"/>
      <c r="D26" s="43"/>
      <c r="E26" s="43"/>
      <c r="F26" s="26"/>
      <c r="G26" s="26"/>
      <c r="H26" s="206"/>
      <c r="I26"/>
      <c r="J26"/>
      <c r="K26"/>
    </row>
    <row r="27" spans="1:11">
      <c r="A27" s="209">
        <v>23</v>
      </c>
      <c r="B27" s="23"/>
      <c r="C27" s="43"/>
      <c r="D27" s="43"/>
      <c r="E27" s="43"/>
      <c r="F27" s="26"/>
      <c r="G27" s="26"/>
      <c r="I27"/>
      <c r="J27"/>
      <c r="K27"/>
    </row>
    <row r="28" spans="1:11">
      <c r="A28" s="209">
        <v>24</v>
      </c>
      <c r="B28" s="23">
        <v>4</v>
      </c>
      <c r="C28" s="43"/>
      <c r="D28" s="43"/>
      <c r="E28" s="43"/>
      <c r="F28" s="26"/>
      <c r="G28" s="26"/>
      <c r="I28"/>
      <c r="J28"/>
      <c r="K28"/>
    </row>
    <row r="29" spans="1:11">
      <c r="A29" s="209">
        <v>25</v>
      </c>
      <c r="B29" s="23">
        <v>4</v>
      </c>
      <c r="C29" s="43"/>
      <c r="D29" s="43"/>
      <c r="E29" s="43"/>
      <c r="F29" s="26"/>
      <c r="G29" s="26"/>
      <c r="I29"/>
      <c r="J29"/>
      <c r="K29"/>
    </row>
    <row r="30" spans="1:11">
      <c r="A30" s="209">
        <v>26</v>
      </c>
      <c r="B30" s="23">
        <v>4</v>
      </c>
      <c r="C30" s="43"/>
      <c r="D30" s="43"/>
      <c r="E30" s="43"/>
      <c r="F30" s="26"/>
      <c r="G30" s="26"/>
      <c r="I30"/>
      <c r="J30"/>
      <c r="K30"/>
    </row>
    <row r="31" spans="1:11">
      <c r="A31" s="209">
        <v>27</v>
      </c>
      <c r="B31" s="23"/>
      <c r="C31" s="43"/>
      <c r="D31" s="43"/>
      <c r="E31" s="43"/>
      <c r="F31" s="26"/>
      <c r="G31" s="26"/>
      <c r="I31"/>
      <c r="J31"/>
      <c r="K31"/>
    </row>
    <row r="32" spans="1:11">
      <c r="A32" s="209">
        <v>28</v>
      </c>
      <c r="B32" s="23">
        <v>4</v>
      </c>
      <c r="C32" s="43"/>
      <c r="D32" s="43"/>
      <c r="E32" s="43"/>
      <c r="F32" s="26"/>
      <c r="G32" s="26"/>
      <c r="H32" s="212"/>
      <c r="I32"/>
      <c r="J32"/>
      <c r="K32"/>
    </row>
    <row r="33" spans="1:11">
      <c r="A33" s="209">
        <v>29</v>
      </c>
      <c r="B33" s="23">
        <v>4</v>
      </c>
      <c r="C33" s="43"/>
      <c r="D33" s="43"/>
      <c r="E33" s="43"/>
      <c r="F33" s="26"/>
      <c r="G33" s="26"/>
      <c r="H33" s="226"/>
      <c r="I33"/>
      <c r="J33"/>
      <c r="K33"/>
    </row>
    <row r="34" spans="1:11">
      <c r="A34" s="209">
        <v>30</v>
      </c>
      <c r="B34" s="23">
        <v>4</v>
      </c>
      <c r="C34" s="43"/>
      <c r="D34" s="43"/>
      <c r="E34" s="43"/>
      <c r="F34" s="26"/>
      <c r="G34" s="26"/>
      <c r="H34" s="224"/>
      <c r="I34"/>
      <c r="J34"/>
      <c r="K34"/>
    </row>
    <row r="35" spans="1:11">
      <c r="A35" s="209">
        <v>31</v>
      </c>
      <c r="B35" s="23"/>
      <c r="C35" s="43"/>
      <c r="D35" s="43"/>
      <c r="E35" s="43"/>
      <c r="F35" s="26"/>
      <c r="G35" s="26"/>
      <c r="I35"/>
      <c r="J35"/>
      <c r="K35"/>
    </row>
    <row r="36" spans="1:11">
      <c r="A36" s="209">
        <v>32</v>
      </c>
      <c r="B36" s="23">
        <v>4</v>
      </c>
      <c r="C36" s="43"/>
      <c r="D36" s="43"/>
      <c r="E36" s="43"/>
      <c r="F36" s="26"/>
      <c r="G36" s="26"/>
      <c r="I36"/>
      <c r="J36"/>
      <c r="K36"/>
    </row>
    <row r="37" spans="1:11">
      <c r="A37" s="209">
        <v>33</v>
      </c>
      <c r="B37" s="23">
        <v>4</v>
      </c>
      <c r="C37" s="43"/>
      <c r="D37" s="43"/>
      <c r="E37" s="43"/>
      <c r="F37" s="26"/>
      <c r="G37" s="237"/>
      <c r="I37"/>
      <c r="J37"/>
      <c r="K37"/>
    </row>
    <row r="38" spans="1:11">
      <c r="A38" s="209">
        <v>34</v>
      </c>
      <c r="B38" s="23">
        <v>4</v>
      </c>
      <c r="C38" s="43"/>
      <c r="D38" s="43"/>
      <c r="E38" s="43"/>
      <c r="F38" s="26"/>
      <c r="G38" s="26"/>
      <c r="I38"/>
      <c r="J38"/>
      <c r="K38"/>
    </row>
    <row r="39" spans="1:11">
      <c r="A39" s="209">
        <v>35</v>
      </c>
      <c r="B39" s="23"/>
      <c r="C39" s="43"/>
      <c r="D39" s="43"/>
      <c r="E39" s="43"/>
      <c r="F39" s="26"/>
      <c r="G39" s="26"/>
      <c r="I39"/>
      <c r="J39"/>
      <c r="K39"/>
    </row>
    <row r="40" spans="1:11">
      <c r="A40" s="209">
        <v>36</v>
      </c>
      <c r="B40" s="23">
        <v>4</v>
      </c>
      <c r="C40" s="43"/>
      <c r="D40" s="43"/>
      <c r="E40" s="43"/>
      <c r="F40" s="26"/>
      <c r="G40" s="26"/>
      <c r="I40"/>
      <c r="J40"/>
      <c r="K40"/>
    </row>
    <row r="41" spans="1:11">
      <c r="A41" s="209">
        <v>37</v>
      </c>
      <c r="B41" s="23">
        <v>4</v>
      </c>
      <c r="C41" s="43"/>
      <c r="D41" s="43"/>
      <c r="E41" s="43"/>
      <c r="F41" s="26"/>
      <c r="G41" s="26"/>
      <c r="I41"/>
      <c r="J41"/>
      <c r="K41"/>
    </row>
    <row r="42" spans="1:11">
      <c r="A42" s="209">
        <v>38</v>
      </c>
      <c r="B42" s="23"/>
      <c r="C42" s="43"/>
      <c r="D42" s="43"/>
      <c r="E42" s="43"/>
      <c r="F42" s="26"/>
      <c r="G42" s="26"/>
      <c r="I42"/>
      <c r="J42"/>
      <c r="K42"/>
    </row>
    <row r="43" spans="1:11">
      <c r="A43" s="209">
        <v>39</v>
      </c>
      <c r="B43" s="23">
        <v>2</v>
      </c>
      <c r="C43" s="43"/>
      <c r="D43" s="43"/>
      <c r="E43" s="43"/>
      <c r="F43" s="26"/>
      <c r="G43" s="26"/>
      <c r="I43"/>
      <c r="J43"/>
      <c r="K43"/>
    </row>
    <row r="44" spans="1:11">
      <c r="A44" s="209">
        <v>40</v>
      </c>
      <c r="B44" s="23">
        <v>2</v>
      </c>
      <c r="C44" s="43"/>
      <c r="D44" s="43"/>
      <c r="E44" s="43"/>
      <c r="F44" s="26"/>
      <c r="G44" s="26"/>
      <c r="H44" s="212"/>
      <c r="I44"/>
      <c r="J44"/>
      <c r="K44"/>
    </row>
    <row r="45" spans="1:11">
      <c r="A45" s="209">
        <v>41</v>
      </c>
      <c r="B45" s="23">
        <v>2</v>
      </c>
      <c r="C45" s="43"/>
      <c r="D45" s="43"/>
      <c r="E45" s="43"/>
      <c r="F45" s="26"/>
      <c r="G45" s="26"/>
      <c r="H45" s="212"/>
      <c r="I45"/>
      <c r="J45"/>
      <c r="K45"/>
    </row>
    <row r="46" spans="1:11">
      <c r="A46" s="209">
        <v>42</v>
      </c>
      <c r="B46" s="23">
        <v>2</v>
      </c>
      <c r="C46" s="43"/>
      <c r="D46" s="43"/>
      <c r="E46" s="43"/>
      <c r="F46" s="26"/>
      <c r="G46" s="26"/>
      <c r="H46" s="241"/>
      <c r="I46"/>
      <c r="J46"/>
      <c r="K46"/>
    </row>
    <row r="47" spans="1:11">
      <c r="A47" s="209">
        <v>43</v>
      </c>
      <c r="B47" s="23">
        <v>2</v>
      </c>
      <c r="C47" s="43"/>
      <c r="D47" s="43"/>
      <c r="E47" s="43"/>
      <c r="F47" s="26"/>
      <c r="G47" s="26"/>
      <c r="H47" s="26"/>
      <c r="I47"/>
      <c r="J47"/>
      <c r="K47"/>
    </row>
    <row r="48" spans="1:11">
      <c r="A48" s="209">
        <v>44</v>
      </c>
      <c r="B48" s="23">
        <v>2</v>
      </c>
      <c r="C48" s="43"/>
      <c r="D48" s="43"/>
      <c r="E48" s="43"/>
      <c r="F48" s="26"/>
      <c r="G48" s="26"/>
      <c r="H48" s="242"/>
      <c r="I48"/>
      <c r="J48"/>
      <c r="K48"/>
    </row>
    <row r="49" spans="1:11">
      <c r="A49" s="209">
        <v>45</v>
      </c>
      <c r="B49" s="23"/>
      <c r="C49" s="43"/>
      <c r="D49" s="43"/>
      <c r="E49" s="43"/>
      <c r="F49" s="26"/>
      <c r="G49" s="26"/>
      <c r="H49" s="212"/>
      <c r="I49"/>
      <c r="J49"/>
      <c r="K49"/>
    </row>
    <row r="50" spans="1:11">
      <c r="A50" s="209">
        <v>46</v>
      </c>
      <c r="B50" s="23">
        <v>5</v>
      </c>
      <c r="C50" s="43"/>
      <c r="D50" s="43"/>
      <c r="E50" s="43"/>
      <c r="F50" s="26"/>
      <c r="G50" s="26"/>
      <c r="H50" s="212"/>
      <c r="I50"/>
      <c r="J50"/>
      <c r="K50"/>
    </row>
    <row r="51" spans="1:11">
      <c r="A51" s="209">
        <v>47</v>
      </c>
      <c r="B51" s="23">
        <v>5</v>
      </c>
      <c r="C51" s="43"/>
      <c r="D51" s="43"/>
      <c r="E51" s="43"/>
      <c r="F51" s="26"/>
      <c r="G51" s="26"/>
      <c r="H51" s="224"/>
      <c r="I51"/>
      <c r="J51"/>
      <c r="K51"/>
    </row>
    <row r="52" spans="1:11">
      <c r="A52" s="209">
        <v>48</v>
      </c>
      <c r="B52" s="23">
        <v>5</v>
      </c>
      <c r="C52" s="43"/>
      <c r="D52" s="43"/>
      <c r="E52" s="43"/>
      <c r="F52" s="26"/>
      <c r="G52" s="26"/>
      <c r="H52" s="224"/>
      <c r="I52"/>
      <c r="J52"/>
      <c r="K52"/>
    </row>
    <row r="53" spans="1:11">
      <c r="A53" s="209">
        <v>49</v>
      </c>
      <c r="B53" s="23"/>
      <c r="C53" s="43"/>
      <c r="D53" s="43"/>
      <c r="E53" s="43"/>
      <c r="F53" s="26"/>
      <c r="G53" s="26"/>
      <c r="H53" s="224"/>
      <c r="I53"/>
      <c r="J53"/>
      <c r="K53"/>
    </row>
    <row r="54" spans="1:11">
      <c r="A54" s="209">
        <v>50</v>
      </c>
      <c r="B54" s="23">
        <v>5</v>
      </c>
      <c r="C54" s="43"/>
      <c r="D54" s="43"/>
      <c r="E54" s="43"/>
      <c r="F54" s="26"/>
      <c r="G54" s="26"/>
      <c r="H54" s="225"/>
      <c r="I54"/>
      <c r="J54"/>
      <c r="K54"/>
    </row>
    <row r="55" spans="1:11">
      <c r="A55" s="209">
        <v>51</v>
      </c>
      <c r="B55" s="23">
        <v>5</v>
      </c>
      <c r="C55" s="43"/>
      <c r="D55" s="43"/>
      <c r="E55" s="43"/>
      <c r="F55" s="264"/>
      <c r="G55" s="26"/>
      <c r="H55" s="207"/>
      <c r="I55"/>
      <c r="J55"/>
      <c r="K55"/>
    </row>
    <row r="56" spans="1:11">
      <c r="A56" s="209">
        <v>52</v>
      </c>
      <c r="B56" s="23">
        <v>5</v>
      </c>
      <c r="C56" s="43"/>
      <c r="D56" s="43"/>
      <c r="E56" s="43"/>
      <c r="F56" s="26"/>
      <c r="G56" s="237"/>
      <c r="H56" s="235"/>
      <c r="I56"/>
      <c r="J56"/>
      <c r="K56"/>
    </row>
    <row r="57" spans="1:11">
      <c r="A57" s="209">
        <v>53</v>
      </c>
      <c r="B57" s="23"/>
      <c r="C57" s="43"/>
      <c r="D57" s="43"/>
      <c r="E57" s="43"/>
      <c r="F57" s="26"/>
      <c r="G57" s="26"/>
      <c r="H57" s="226"/>
      <c r="I57"/>
      <c r="J57"/>
      <c r="K57"/>
    </row>
    <row r="58" spans="1:11">
      <c r="A58" s="209">
        <v>54</v>
      </c>
      <c r="B58" s="23">
        <v>5</v>
      </c>
      <c r="C58" s="43"/>
      <c r="D58" s="43"/>
      <c r="E58" s="43"/>
      <c r="F58" s="26"/>
      <c r="G58" s="26"/>
      <c r="H58" s="212"/>
      <c r="I58"/>
      <c r="J58"/>
      <c r="K58"/>
    </row>
    <row r="59" spans="1:11">
      <c r="A59" s="209">
        <v>55</v>
      </c>
      <c r="B59" s="23">
        <v>5</v>
      </c>
      <c r="C59" s="43"/>
      <c r="D59" s="43"/>
      <c r="E59" s="43"/>
      <c r="F59" s="26"/>
      <c r="G59" s="26"/>
      <c r="H59" s="22"/>
      <c r="I59"/>
      <c r="J59"/>
      <c r="K59"/>
    </row>
    <row r="60" spans="1:11">
      <c r="A60" s="209">
        <v>56</v>
      </c>
      <c r="B60" s="23">
        <v>5</v>
      </c>
      <c r="C60" s="43"/>
      <c r="D60" s="43"/>
      <c r="E60" s="43"/>
      <c r="F60" s="26"/>
      <c r="G60" s="26"/>
      <c r="H60" s="22"/>
      <c r="I60"/>
      <c r="J60"/>
      <c r="K60"/>
    </row>
    <row r="61" spans="1:11">
      <c r="A61" s="209">
        <v>57</v>
      </c>
      <c r="B61" s="23"/>
      <c r="C61" s="43"/>
      <c r="D61" s="43"/>
      <c r="E61" s="43"/>
      <c r="F61" s="26"/>
      <c r="G61" s="26"/>
      <c r="H61" s="212"/>
      <c r="I61"/>
      <c r="J61"/>
      <c r="K61"/>
    </row>
    <row r="62" spans="1:11">
      <c r="A62" s="209">
        <v>58</v>
      </c>
      <c r="B62" s="23">
        <v>5</v>
      </c>
      <c r="C62" s="43"/>
      <c r="D62" s="43"/>
      <c r="E62" s="43"/>
      <c r="F62" s="26"/>
      <c r="G62" s="26"/>
      <c r="H62" s="212"/>
      <c r="I62"/>
      <c r="J62"/>
      <c r="K62"/>
    </row>
    <row r="63" spans="1:11">
      <c r="A63" s="209">
        <v>59</v>
      </c>
      <c r="B63" s="23">
        <v>5</v>
      </c>
      <c r="C63" s="43"/>
      <c r="D63" s="43"/>
      <c r="E63" s="43"/>
      <c r="F63" s="26"/>
      <c r="G63" s="26"/>
      <c r="H63" s="226"/>
      <c r="I63"/>
      <c r="J63"/>
      <c r="K63"/>
    </row>
    <row r="64" spans="1:11">
      <c r="A64" s="209">
        <v>60</v>
      </c>
      <c r="B64" s="23"/>
      <c r="C64" s="43"/>
      <c r="D64" s="43"/>
      <c r="E64" s="43"/>
      <c r="F64" s="26"/>
      <c r="G64" s="26"/>
      <c r="H64" s="212"/>
      <c r="I64"/>
      <c r="J64"/>
      <c r="K64"/>
    </row>
    <row r="65" spans="1:11" ht="10.5" customHeight="1">
      <c r="A65" s="209">
        <v>61</v>
      </c>
      <c r="B65" s="23">
        <v>2</v>
      </c>
      <c r="C65" s="43"/>
      <c r="D65" s="43"/>
      <c r="E65" s="43"/>
      <c r="F65" s="26"/>
      <c r="G65" s="26"/>
      <c r="I65"/>
      <c r="J65"/>
      <c r="K65"/>
    </row>
    <row r="66" spans="1:11">
      <c r="A66" s="209">
        <v>62</v>
      </c>
      <c r="B66" s="23">
        <v>2</v>
      </c>
      <c r="C66" s="43"/>
      <c r="D66" s="43"/>
      <c r="E66" s="43"/>
      <c r="F66" s="26"/>
      <c r="G66" s="26"/>
      <c r="H66" s="212"/>
      <c r="I66"/>
      <c r="J66"/>
      <c r="K66"/>
    </row>
    <row r="67" spans="1:11">
      <c r="A67" s="209">
        <v>63</v>
      </c>
      <c r="B67" s="23">
        <v>2</v>
      </c>
      <c r="C67" s="43"/>
      <c r="D67" s="43"/>
      <c r="E67" s="43"/>
      <c r="F67" s="26"/>
      <c r="G67" s="26"/>
      <c r="H67" s="212"/>
      <c r="I67"/>
      <c r="J67"/>
      <c r="K67"/>
    </row>
    <row r="68" spans="1:11">
      <c r="A68" s="209">
        <v>64</v>
      </c>
      <c r="B68" s="23">
        <v>2</v>
      </c>
      <c r="C68" s="43"/>
      <c r="D68" s="43"/>
      <c r="E68" s="43"/>
      <c r="F68" s="26"/>
      <c r="G68" s="26"/>
      <c r="I68"/>
      <c r="J68"/>
      <c r="K68"/>
    </row>
    <row r="69" spans="1:11">
      <c r="A69" s="209">
        <v>65</v>
      </c>
      <c r="B69" s="23">
        <v>2</v>
      </c>
      <c r="C69" s="43"/>
      <c r="D69" s="43"/>
      <c r="E69" s="43"/>
      <c r="F69" s="26"/>
      <c r="G69" s="26"/>
      <c r="I69"/>
      <c r="J69"/>
      <c r="K69"/>
    </row>
    <row r="70" spans="1:11">
      <c r="A70" s="209">
        <v>66</v>
      </c>
      <c r="B70" s="23">
        <v>2</v>
      </c>
      <c r="C70" s="43"/>
      <c r="D70" s="43"/>
      <c r="E70" s="43"/>
      <c r="F70" s="26"/>
      <c r="G70" s="26"/>
      <c r="I70"/>
      <c r="J70"/>
      <c r="K70"/>
    </row>
    <row r="71" spans="1:11">
      <c r="A71" s="209">
        <v>67</v>
      </c>
      <c r="B71" s="23">
        <v>2</v>
      </c>
      <c r="C71" s="43"/>
      <c r="D71" s="43"/>
      <c r="E71" s="43"/>
      <c r="F71" s="26"/>
      <c r="G71" s="26"/>
      <c r="I71"/>
      <c r="J71"/>
      <c r="K71"/>
    </row>
    <row r="72" spans="1:11">
      <c r="A72" s="209">
        <v>68</v>
      </c>
      <c r="B72" s="23"/>
      <c r="C72" s="43"/>
      <c r="D72" s="43"/>
      <c r="E72" s="43"/>
      <c r="F72" s="26"/>
      <c r="G72" s="26"/>
      <c r="I72"/>
      <c r="J72"/>
      <c r="K72"/>
    </row>
    <row r="73" spans="1:11">
      <c r="A73" s="209">
        <v>69</v>
      </c>
      <c r="B73" s="23">
        <v>2</v>
      </c>
      <c r="C73" s="43"/>
      <c r="D73" s="43"/>
      <c r="E73" s="43"/>
      <c r="F73" s="26"/>
      <c r="G73" s="26"/>
      <c r="I73"/>
      <c r="J73"/>
      <c r="K73"/>
    </row>
    <row r="74" spans="1:11">
      <c r="A74" s="209">
        <v>70</v>
      </c>
      <c r="B74" s="23">
        <v>2</v>
      </c>
      <c r="C74" s="43"/>
      <c r="D74" s="43"/>
      <c r="E74" s="43"/>
      <c r="F74" s="26"/>
      <c r="G74" s="26"/>
      <c r="I74"/>
      <c r="J74"/>
      <c r="K74"/>
    </row>
    <row r="75" spans="1:11">
      <c r="A75" s="209">
        <v>71</v>
      </c>
      <c r="B75" s="23">
        <v>2</v>
      </c>
      <c r="C75" s="43"/>
      <c r="D75" s="43"/>
      <c r="E75" s="43"/>
      <c r="F75" s="26"/>
      <c r="G75" s="26"/>
      <c r="I75"/>
      <c r="J75"/>
      <c r="K75"/>
    </row>
    <row r="76" spans="1:11">
      <c r="A76" s="209">
        <v>72</v>
      </c>
      <c r="B76" s="23">
        <v>2</v>
      </c>
      <c r="C76" s="43"/>
      <c r="D76" s="43"/>
      <c r="E76" s="43"/>
      <c r="F76" s="26"/>
      <c r="G76" s="26"/>
      <c r="I76"/>
      <c r="J76"/>
      <c r="K76"/>
    </row>
    <row r="77" spans="1:11">
      <c r="A77" s="209">
        <v>73</v>
      </c>
      <c r="B77" s="23">
        <v>2</v>
      </c>
      <c r="C77" s="43"/>
      <c r="D77" s="43"/>
      <c r="E77" s="43"/>
      <c r="F77" s="26"/>
      <c r="G77" s="26"/>
      <c r="I77"/>
      <c r="J77"/>
      <c r="K77"/>
    </row>
    <row r="78" spans="1:11">
      <c r="A78" s="209">
        <v>74</v>
      </c>
      <c r="B78" s="23"/>
      <c r="C78" s="43"/>
      <c r="D78" s="43"/>
      <c r="E78" s="43"/>
      <c r="F78" s="26"/>
      <c r="G78" s="26"/>
      <c r="I78"/>
      <c r="J78"/>
      <c r="K78"/>
    </row>
    <row r="79" spans="1:11">
      <c r="A79" s="209">
        <v>75</v>
      </c>
      <c r="B79" s="23">
        <v>2</v>
      </c>
      <c r="C79" s="43"/>
      <c r="D79" s="43"/>
      <c r="E79" s="43"/>
      <c r="F79" s="26"/>
      <c r="G79" s="247"/>
      <c r="I79"/>
      <c r="J79"/>
      <c r="K79"/>
    </row>
    <row r="80" spans="1:11">
      <c r="A80" s="209">
        <v>76</v>
      </c>
      <c r="B80" s="23">
        <v>2</v>
      </c>
      <c r="C80" s="43"/>
      <c r="D80" s="43"/>
      <c r="E80" s="43"/>
      <c r="F80" s="26"/>
      <c r="G80" s="44"/>
      <c r="I80"/>
      <c r="J80"/>
      <c r="K80"/>
    </row>
    <row r="81" spans="1:11">
      <c r="A81" s="209">
        <v>77</v>
      </c>
      <c r="B81" s="23">
        <v>2</v>
      </c>
      <c r="C81" s="43"/>
      <c r="D81" s="43"/>
      <c r="E81" s="43"/>
      <c r="F81" s="26"/>
      <c r="G81" s="44"/>
      <c r="I81"/>
      <c r="J81"/>
      <c r="K81"/>
    </row>
    <row r="82" spans="1:11">
      <c r="A82" s="209">
        <v>78</v>
      </c>
      <c r="B82" s="23">
        <v>2</v>
      </c>
      <c r="C82" s="43"/>
      <c r="D82" s="43"/>
      <c r="E82" s="43"/>
      <c r="F82" s="26"/>
      <c r="G82" s="44"/>
      <c r="I82"/>
      <c r="J82"/>
      <c r="K82"/>
    </row>
    <row r="83" spans="1:11">
      <c r="A83" s="209">
        <v>79</v>
      </c>
      <c r="B83" s="23">
        <v>2</v>
      </c>
      <c r="C83" s="43"/>
      <c r="D83" s="43"/>
      <c r="E83" s="43"/>
      <c r="F83" s="26"/>
      <c r="G83" s="44"/>
      <c r="I83"/>
      <c r="J83"/>
      <c r="K83"/>
    </row>
    <row r="84" spans="1:11">
      <c r="A84" s="209">
        <v>80</v>
      </c>
      <c r="B84" s="23"/>
      <c r="C84" s="43"/>
      <c r="D84" s="43"/>
      <c r="E84" s="24"/>
      <c r="F84" s="26"/>
      <c r="G84" s="26"/>
      <c r="I84"/>
      <c r="J84"/>
      <c r="K84"/>
    </row>
    <row r="85" spans="1:11">
      <c r="A85" s="209">
        <v>81</v>
      </c>
      <c r="B85" s="23"/>
      <c r="C85" s="43"/>
      <c r="D85" s="43"/>
      <c r="E85" s="24"/>
      <c r="F85" s="26"/>
      <c r="G85" s="26"/>
      <c r="I85"/>
      <c r="J85"/>
      <c r="K85"/>
    </row>
    <row r="86" spans="1:11">
      <c r="A86" s="209">
        <v>82</v>
      </c>
      <c r="B86" s="23">
        <v>2</v>
      </c>
      <c r="C86" s="43"/>
      <c r="D86" s="43"/>
      <c r="E86" s="43"/>
      <c r="F86" s="26"/>
      <c r="G86" s="26"/>
      <c r="I86"/>
      <c r="J86" s="45"/>
      <c r="K86" s="45"/>
    </row>
    <row r="87" spans="1:11">
      <c r="A87" s="209">
        <v>83</v>
      </c>
      <c r="B87" s="23">
        <v>2</v>
      </c>
      <c r="C87" s="43"/>
      <c r="D87" s="43"/>
      <c r="E87" s="43"/>
      <c r="F87" s="26"/>
      <c r="G87" s="26"/>
      <c r="I87"/>
      <c r="J87" s="45"/>
      <c r="K87" s="45"/>
    </row>
    <row r="88" spans="1:11">
      <c r="A88" s="209">
        <v>84</v>
      </c>
      <c r="B88" s="23">
        <v>2</v>
      </c>
      <c r="C88" s="43"/>
      <c r="D88" s="43"/>
      <c r="E88" s="43"/>
      <c r="F88" s="26"/>
      <c r="G88" s="26"/>
      <c r="I88"/>
      <c r="J88" s="45"/>
      <c r="K88" s="45"/>
    </row>
    <row r="89" spans="1:11">
      <c r="A89" s="209">
        <v>85</v>
      </c>
      <c r="B89" s="23">
        <v>2</v>
      </c>
      <c r="C89" s="43"/>
      <c r="D89" s="43"/>
      <c r="E89" s="43"/>
      <c r="F89" s="26"/>
      <c r="G89" s="26"/>
      <c r="I89"/>
      <c r="J89" s="45"/>
      <c r="K89" s="45"/>
    </row>
    <row r="90" spans="1:11">
      <c r="A90" s="209">
        <v>86</v>
      </c>
      <c r="B90" s="23">
        <v>2</v>
      </c>
      <c r="C90" s="43"/>
      <c r="D90" s="43"/>
      <c r="E90" s="43"/>
      <c r="F90" s="26"/>
      <c r="G90" s="26"/>
      <c r="I90"/>
      <c r="J90" s="45"/>
      <c r="K90" s="45"/>
    </row>
    <row r="91" spans="1:11">
      <c r="A91" s="209">
        <v>87</v>
      </c>
      <c r="B91" s="23">
        <v>2</v>
      </c>
      <c r="C91" s="43"/>
      <c r="D91" s="43"/>
      <c r="E91" s="43"/>
      <c r="F91" s="26"/>
      <c r="G91" s="26"/>
      <c r="I91"/>
      <c r="J91" s="45"/>
      <c r="K91" s="45"/>
    </row>
    <row r="92" spans="1:11">
      <c r="A92" s="209">
        <v>88</v>
      </c>
      <c r="B92" s="23"/>
      <c r="C92" s="43"/>
      <c r="D92" s="43"/>
      <c r="E92" s="43"/>
      <c r="F92" s="26"/>
      <c r="G92" s="26"/>
      <c r="I92"/>
      <c r="J92" s="45"/>
      <c r="K92" s="45"/>
    </row>
    <row r="93" spans="1:11">
      <c r="A93" s="209">
        <v>89</v>
      </c>
      <c r="B93" s="23">
        <v>2</v>
      </c>
      <c r="C93" s="43"/>
      <c r="D93" s="43"/>
      <c r="E93" s="43"/>
      <c r="F93" s="26"/>
      <c r="G93" s="26"/>
      <c r="I93"/>
      <c r="J93" s="45"/>
      <c r="K93" s="45"/>
    </row>
    <row r="94" spans="1:11">
      <c r="A94" s="209">
        <v>90</v>
      </c>
      <c r="B94" s="23">
        <v>2</v>
      </c>
      <c r="C94" s="43"/>
      <c r="D94" s="43"/>
      <c r="E94" s="43"/>
      <c r="F94" s="26"/>
      <c r="G94" s="26"/>
      <c r="I94"/>
      <c r="J94" s="45"/>
      <c r="K94" s="45"/>
    </row>
    <row r="95" spans="1:11">
      <c r="A95" s="209">
        <v>91</v>
      </c>
      <c r="B95" s="23">
        <v>2</v>
      </c>
      <c r="C95" s="43"/>
      <c r="D95" s="43"/>
      <c r="E95" s="43"/>
      <c r="F95" s="26"/>
      <c r="G95" s="26"/>
      <c r="I95"/>
      <c r="J95" s="45"/>
      <c r="K95" s="45"/>
    </row>
    <row r="96" spans="1:11">
      <c r="A96" s="209">
        <v>92</v>
      </c>
      <c r="B96" s="23">
        <v>2</v>
      </c>
      <c r="C96" s="43"/>
      <c r="D96" s="43"/>
      <c r="E96" s="43"/>
      <c r="F96" s="26"/>
      <c r="G96" s="26"/>
      <c r="I96"/>
      <c r="J96" s="45"/>
      <c r="K96" s="45"/>
    </row>
    <row r="97" spans="1:11">
      <c r="A97" s="209">
        <v>93</v>
      </c>
      <c r="B97" s="23">
        <v>2</v>
      </c>
      <c r="C97" s="43"/>
      <c r="D97" s="43"/>
      <c r="E97" s="43"/>
      <c r="F97" s="26"/>
      <c r="G97" s="26"/>
      <c r="I97"/>
      <c r="J97" s="45"/>
      <c r="K97" s="45"/>
    </row>
    <row r="98" spans="1:11">
      <c r="A98" s="209">
        <v>94</v>
      </c>
      <c r="B98" s="23">
        <v>2</v>
      </c>
      <c r="C98" s="43"/>
      <c r="D98" s="43"/>
      <c r="E98" s="43"/>
      <c r="F98" s="26"/>
      <c r="G98" s="26"/>
      <c r="I98"/>
      <c r="J98" s="45"/>
      <c r="K98" s="45"/>
    </row>
    <row r="99" spans="1:11">
      <c r="A99" s="209">
        <v>95</v>
      </c>
      <c r="C99" s="32"/>
      <c r="D99" s="32"/>
      <c r="I99"/>
      <c r="J99" s="45"/>
      <c r="K99" s="45"/>
    </row>
    <row r="100" spans="1:11">
      <c r="A100" s="209">
        <v>96</v>
      </c>
      <c r="B100" s="31">
        <v>2</v>
      </c>
      <c r="C100" s="32"/>
      <c r="D100" s="32"/>
      <c r="E100" s="32"/>
      <c r="F100" s="26"/>
      <c r="I100"/>
      <c r="J100" s="45"/>
      <c r="K100" s="45"/>
    </row>
    <row r="101" spans="1:11">
      <c r="A101" s="209">
        <v>97</v>
      </c>
      <c r="B101" s="31">
        <v>2</v>
      </c>
      <c r="C101" s="32"/>
      <c r="D101" s="32"/>
      <c r="E101" s="32"/>
      <c r="G101" s="26"/>
      <c r="I101"/>
      <c r="J101" s="45"/>
      <c r="K101" s="45"/>
    </row>
    <row r="102" spans="1:11">
      <c r="A102" s="209">
        <v>98</v>
      </c>
      <c r="C102" s="32"/>
      <c r="D102" s="32"/>
      <c r="I102"/>
      <c r="J102" s="45"/>
      <c r="K102" s="45"/>
    </row>
    <row r="103" spans="1:11">
      <c r="A103" s="209">
        <v>99</v>
      </c>
      <c r="B103" s="31">
        <v>1</v>
      </c>
      <c r="C103" s="32"/>
      <c r="D103" s="32"/>
      <c r="E103" s="26"/>
      <c r="F103" s="26"/>
      <c r="I103"/>
      <c r="J103" s="45"/>
      <c r="K103" s="45"/>
    </row>
    <row r="104" spans="1:11">
      <c r="A104" s="209">
        <v>100</v>
      </c>
      <c r="B104" s="31">
        <v>1</v>
      </c>
      <c r="C104" s="32"/>
      <c r="D104" s="32"/>
      <c r="E104" s="26"/>
      <c r="G104" s="26"/>
      <c r="I104"/>
      <c r="J104" s="45"/>
      <c r="K104" s="45"/>
    </row>
    <row r="105" spans="1:11">
      <c r="A105" s="209">
        <v>101</v>
      </c>
      <c r="C105" s="32"/>
      <c r="D105" s="32"/>
      <c r="E105" s="26"/>
      <c r="G105" s="26"/>
      <c r="I105"/>
      <c r="J105" s="45"/>
      <c r="K105" s="45"/>
    </row>
    <row r="106" spans="1:11">
      <c r="A106" s="209">
        <v>102</v>
      </c>
      <c r="B106" s="31">
        <v>2</v>
      </c>
      <c r="C106" s="32"/>
      <c r="D106" s="32"/>
      <c r="E106" s="26"/>
      <c r="F106" s="26"/>
      <c r="I106"/>
      <c r="J106" s="45"/>
      <c r="K106" s="45"/>
    </row>
    <row r="107" spans="1:11">
      <c r="A107" s="209">
        <v>103</v>
      </c>
      <c r="B107" s="31">
        <v>2</v>
      </c>
      <c r="C107" s="32"/>
      <c r="D107" s="32"/>
      <c r="E107" s="26"/>
      <c r="G107" s="26"/>
      <c r="I107"/>
      <c r="J107" s="45"/>
      <c r="K107" s="45"/>
    </row>
    <row r="108" spans="1:11">
      <c r="A108" s="209">
        <v>104</v>
      </c>
      <c r="C108" s="32"/>
      <c r="D108" s="32"/>
      <c r="E108" s="26"/>
      <c r="I108"/>
      <c r="J108" s="45"/>
      <c r="K108" s="45"/>
    </row>
    <row r="109" spans="1:11">
      <c r="A109" s="209">
        <v>105</v>
      </c>
      <c r="B109" s="31">
        <v>2</v>
      </c>
      <c r="C109" s="26"/>
      <c r="D109" s="26"/>
      <c r="E109" s="26"/>
      <c r="F109" s="26"/>
      <c r="G109" s="26"/>
      <c r="H109"/>
      <c r="I109"/>
      <c r="J109" s="45"/>
      <c r="K109" s="45"/>
    </row>
    <row r="110" spans="1:11">
      <c r="A110" s="209">
        <v>106</v>
      </c>
      <c r="B110" s="31">
        <v>2</v>
      </c>
      <c r="C110" s="26"/>
      <c r="D110" s="26"/>
      <c r="E110" s="26"/>
      <c r="F110" s="26"/>
      <c r="G110" s="26"/>
      <c r="H110"/>
      <c r="I110"/>
      <c r="J110" s="45"/>
      <c r="K110" s="45"/>
    </row>
    <row r="111" spans="1:11">
      <c r="A111" s="209">
        <v>107</v>
      </c>
      <c r="C111" s="26"/>
      <c r="D111" s="26"/>
      <c r="E111" s="26"/>
      <c r="F111" s="26"/>
      <c r="G111" s="26"/>
      <c r="H111"/>
      <c r="I111"/>
      <c r="J111" s="45"/>
      <c r="K111" s="45"/>
    </row>
    <row r="112" spans="1:11">
      <c r="A112" s="209">
        <v>108</v>
      </c>
      <c r="B112" s="219">
        <v>2</v>
      </c>
      <c r="C112" s="26"/>
      <c r="D112" s="26"/>
      <c r="E112" s="26"/>
      <c r="F112" s="237"/>
      <c r="G112" s="237"/>
      <c r="H112"/>
      <c r="I112"/>
      <c r="J112" s="45"/>
      <c r="K112" s="45"/>
    </row>
    <row r="113" spans="1:11">
      <c r="A113" s="209">
        <v>109</v>
      </c>
      <c r="B113" s="219">
        <v>2</v>
      </c>
      <c r="C113" s="26"/>
      <c r="D113" s="26"/>
      <c r="E113" s="26"/>
      <c r="F113" s="26"/>
      <c r="G113" s="237"/>
      <c r="H113"/>
      <c r="I113"/>
      <c r="J113" s="45"/>
      <c r="K113" s="45"/>
    </row>
    <row r="114" spans="1:11">
      <c r="A114" s="209">
        <v>110</v>
      </c>
      <c r="B114" s="219"/>
      <c r="C114" s="26"/>
      <c r="D114" s="26"/>
      <c r="E114" s="26"/>
      <c r="F114" s="26"/>
      <c r="G114" s="237"/>
      <c r="H114"/>
      <c r="I114"/>
      <c r="J114" s="45"/>
      <c r="K114" s="45"/>
    </row>
    <row r="115" spans="1:11">
      <c r="A115" s="209">
        <v>111</v>
      </c>
      <c r="B115" s="219">
        <v>2</v>
      </c>
      <c r="C115" s="26"/>
      <c r="D115" s="26"/>
      <c r="E115" s="26"/>
      <c r="F115" s="26"/>
      <c r="G115" s="237"/>
      <c r="H115"/>
      <c r="I115"/>
      <c r="J115" s="45"/>
      <c r="K115" s="45"/>
    </row>
    <row r="116" spans="1:11">
      <c r="A116" s="209">
        <v>112</v>
      </c>
      <c r="B116" s="219">
        <v>2</v>
      </c>
      <c r="C116" s="26"/>
      <c r="D116" s="26"/>
      <c r="E116" s="26"/>
      <c r="F116" s="26"/>
      <c r="G116" s="237"/>
      <c r="H116"/>
      <c r="I116"/>
      <c r="J116" s="45"/>
      <c r="K116" s="45"/>
    </row>
    <row r="117" spans="1:11">
      <c r="A117" s="209">
        <v>113</v>
      </c>
      <c r="B117" s="219">
        <v>2</v>
      </c>
      <c r="C117" s="26"/>
      <c r="D117" s="230"/>
      <c r="E117" s="26"/>
      <c r="F117" s="26"/>
      <c r="G117" s="237"/>
      <c r="H117"/>
      <c r="I117"/>
      <c r="J117" s="45"/>
      <c r="K117" s="45"/>
    </row>
    <row r="118" spans="1:11" s="208" customFormat="1">
      <c r="A118" s="209">
        <v>114</v>
      </c>
      <c r="B118" s="219"/>
      <c r="C118" s="26"/>
      <c r="D118" s="26"/>
      <c r="E118" s="26"/>
      <c r="F118" s="26"/>
      <c r="G118" s="237"/>
      <c r="H118"/>
      <c r="I118"/>
      <c r="J118" s="45"/>
      <c r="K118" s="45"/>
    </row>
    <row r="119" spans="1:11">
      <c r="A119" s="209">
        <v>115</v>
      </c>
      <c r="B119" s="219">
        <v>2</v>
      </c>
      <c r="C119" s="26"/>
      <c r="D119" s="26"/>
      <c r="E119" s="26"/>
      <c r="F119" s="237"/>
      <c r="G119" s="237"/>
      <c r="H119"/>
      <c r="I119" s="126"/>
      <c r="J119" s="45"/>
      <c r="K119" s="45"/>
    </row>
    <row r="120" spans="1:11">
      <c r="A120" s="209">
        <v>116</v>
      </c>
      <c r="B120" s="219">
        <v>2</v>
      </c>
      <c r="C120" s="26"/>
      <c r="D120" s="26"/>
      <c r="E120" s="26"/>
      <c r="F120" s="26"/>
      <c r="G120" s="237"/>
      <c r="H120"/>
      <c r="I120"/>
      <c r="J120" s="45"/>
      <c r="K120" s="45"/>
    </row>
    <row r="121" spans="1:11">
      <c r="A121" s="209">
        <v>117</v>
      </c>
      <c r="B121" s="219"/>
      <c r="C121" s="26"/>
      <c r="D121" s="26"/>
      <c r="E121" s="26"/>
      <c r="F121" s="26"/>
      <c r="G121" s="237"/>
      <c r="H121"/>
      <c r="I121"/>
      <c r="J121" s="45"/>
      <c r="K121" s="45"/>
    </row>
    <row r="122" spans="1:11" s="208" customFormat="1">
      <c r="A122" s="209">
        <v>118</v>
      </c>
      <c r="B122" s="31">
        <v>2</v>
      </c>
      <c r="C122" s="26"/>
      <c r="D122" s="230"/>
      <c r="E122" s="230"/>
      <c r="F122" s="254"/>
      <c r="G122" s="237"/>
      <c r="H122" s="205"/>
      <c r="J122" s="22"/>
      <c r="K122" s="22"/>
    </row>
    <row r="123" spans="1:11">
      <c r="A123" s="209">
        <v>119</v>
      </c>
      <c r="B123" s="219">
        <v>2</v>
      </c>
      <c r="C123" s="26"/>
      <c r="D123" s="26"/>
      <c r="E123" s="230"/>
      <c r="F123" s="237"/>
      <c r="G123" s="237"/>
      <c r="H123"/>
      <c r="I123"/>
      <c r="J123" s="45"/>
      <c r="K123" s="45"/>
    </row>
    <row r="124" spans="1:11" s="208" customFormat="1">
      <c r="A124" s="209">
        <v>120</v>
      </c>
      <c r="B124" s="31">
        <v>2</v>
      </c>
      <c r="C124" s="26"/>
      <c r="D124" s="26"/>
      <c r="E124" s="230"/>
      <c r="F124" s="26"/>
      <c r="G124" s="309"/>
      <c r="H124" s="212"/>
      <c r="J124" s="22"/>
      <c r="K124" s="22"/>
    </row>
    <row r="125" spans="1:11" s="208" customFormat="1">
      <c r="A125" s="209">
        <v>121</v>
      </c>
      <c r="B125" s="31"/>
      <c r="C125" s="26"/>
      <c r="D125" s="26"/>
      <c r="E125" s="26"/>
      <c r="F125" s="26"/>
      <c r="G125" s="237"/>
      <c r="H125" s="22"/>
      <c r="J125" s="22"/>
      <c r="K125" s="22"/>
    </row>
    <row r="126" spans="1:11">
      <c r="A126" s="209">
        <v>122</v>
      </c>
      <c r="B126" s="219"/>
      <c r="C126" s="26"/>
      <c r="D126" s="26"/>
      <c r="E126" s="26"/>
      <c r="F126" s="26"/>
      <c r="G126" s="237"/>
      <c r="H126"/>
      <c r="I126"/>
      <c r="J126" s="45"/>
      <c r="K126" s="45"/>
    </row>
    <row r="127" spans="1:11">
      <c r="A127" s="209">
        <v>123</v>
      </c>
      <c r="B127" s="219">
        <v>2</v>
      </c>
      <c r="C127" s="26"/>
      <c r="D127" s="26"/>
      <c r="E127" s="230"/>
      <c r="F127" s="26"/>
      <c r="G127" s="237"/>
      <c r="H127"/>
      <c r="I127"/>
      <c r="J127" s="45"/>
      <c r="K127" s="45"/>
    </row>
    <row r="128" spans="1:11">
      <c r="A128" s="209">
        <v>124</v>
      </c>
      <c r="B128" s="219">
        <v>2</v>
      </c>
      <c r="C128" s="26"/>
      <c r="D128" s="26"/>
      <c r="E128" s="230"/>
      <c r="F128" s="26"/>
      <c r="G128" s="237"/>
      <c r="H128"/>
      <c r="I128"/>
      <c r="J128" s="45"/>
      <c r="K128" s="45"/>
    </row>
    <row r="129" spans="1:11">
      <c r="A129" s="209">
        <v>125</v>
      </c>
      <c r="B129" s="219"/>
      <c r="C129" s="26"/>
      <c r="D129" s="26"/>
      <c r="E129" s="26"/>
      <c r="F129" s="26"/>
      <c r="G129" s="237"/>
      <c r="H129"/>
      <c r="I129"/>
      <c r="J129" s="45"/>
      <c r="K129" s="45"/>
    </row>
    <row r="130" spans="1:11">
      <c r="A130" s="209">
        <v>126</v>
      </c>
      <c r="B130" s="219">
        <v>2</v>
      </c>
      <c r="C130" s="26"/>
      <c r="D130" s="26"/>
      <c r="E130" s="26"/>
      <c r="F130" s="237"/>
      <c r="G130" s="237"/>
      <c r="H130"/>
      <c r="I130"/>
      <c r="J130" s="45"/>
      <c r="K130" s="45"/>
    </row>
    <row r="131" spans="1:11">
      <c r="A131" s="209">
        <v>127</v>
      </c>
      <c r="B131" s="219">
        <v>2</v>
      </c>
      <c r="C131" s="26"/>
      <c r="D131" s="26"/>
      <c r="E131" s="26"/>
      <c r="F131" s="26"/>
      <c r="G131" s="237"/>
      <c r="H131"/>
      <c r="I131"/>
      <c r="J131" s="45"/>
      <c r="K131" s="45"/>
    </row>
    <row r="132" spans="1:11">
      <c r="A132" s="209">
        <v>128</v>
      </c>
      <c r="B132" s="219"/>
      <c r="C132" s="26"/>
      <c r="D132" s="26"/>
      <c r="E132" s="26"/>
      <c r="F132" s="26"/>
      <c r="G132" s="237"/>
      <c r="H132"/>
      <c r="I132"/>
      <c r="J132" s="45"/>
      <c r="K132" s="45"/>
    </row>
    <row r="133" spans="1:11">
      <c r="A133" s="209">
        <v>129</v>
      </c>
      <c r="B133" s="31">
        <v>2</v>
      </c>
      <c r="C133" s="26"/>
      <c r="D133" s="26"/>
      <c r="E133" s="26"/>
      <c r="F133" s="26"/>
      <c r="G133" s="237"/>
      <c r="H133"/>
      <c r="I133"/>
      <c r="J133" s="45"/>
      <c r="K133" s="45"/>
    </row>
    <row r="134" spans="1:11" s="208" customFormat="1">
      <c r="A134" s="209">
        <v>130</v>
      </c>
      <c r="B134" s="31">
        <v>2</v>
      </c>
      <c r="C134" s="26"/>
      <c r="D134" s="26"/>
      <c r="E134" s="26"/>
      <c r="F134" s="26"/>
      <c r="G134" s="237"/>
      <c r="H134"/>
      <c r="J134" s="22"/>
      <c r="K134" s="22"/>
    </row>
    <row r="135" spans="1:11" s="208" customFormat="1">
      <c r="A135" s="209">
        <v>131</v>
      </c>
      <c r="B135" s="31"/>
      <c r="C135" s="26"/>
      <c r="D135" s="26"/>
      <c r="E135" s="26"/>
      <c r="F135" s="26"/>
      <c r="G135" s="237"/>
      <c r="H135"/>
      <c r="J135" s="22"/>
      <c r="K135" s="22"/>
    </row>
    <row r="136" spans="1:11" s="208" customFormat="1">
      <c r="A136" s="209">
        <v>132</v>
      </c>
      <c r="B136" s="31"/>
      <c r="C136" s="26"/>
      <c r="D136" s="26"/>
      <c r="E136" s="26"/>
      <c r="F136" s="26"/>
      <c r="G136" s="237"/>
      <c r="H136" s="205"/>
      <c r="I136"/>
      <c r="J136" s="45"/>
      <c r="K136" s="45"/>
    </row>
    <row r="137" spans="1:11" s="208" customFormat="1">
      <c r="A137" s="209">
        <v>133</v>
      </c>
      <c r="B137" s="31">
        <v>2</v>
      </c>
      <c r="C137" s="26"/>
      <c r="D137" s="26"/>
      <c r="E137" s="26"/>
      <c r="F137" s="237"/>
      <c r="G137" s="237"/>
      <c r="H137" s="205"/>
      <c r="I137"/>
      <c r="J137" s="45"/>
      <c r="K137" s="45"/>
    </row>
    <row r="138" spans="1:11" ht="13.5" customHeight="1">
      <c r="A138" s="209">
        <v>134</v>
      </c>
      <c r="B138" s="31">
        <v>2</v>
      </c>
      <c r="C138" s="26"/>
      <c r="D138" s="26"/>
      <c r="E138" s="26"/>
      <c r="F138" s="237"/>
      <c r="G138" s="237"/>
      <c r="I138"/>
      <c r="J138" s="45"/>
      <c r="K138" s="45"/>
    </row>
    <row r="139" spans="1:11">
      <c r="A139" s="209">
        <v>135</v>
      </c>
      <c r="C139" s="26"/>
      <c r="D139" s="26"/>
      <c r="E139" s="26"/>
      <c r="F139" s="237"/>
      <c r="G139" s="237"/>
      <c r="I139"/>
      <c r="J139" s="45"/>
      <c r="K139" s="45"/>
    </row>
    <row r="140" spans="1:11">
      <c r="A140" s="209">
        <v>136</v>
      </c>
      <c r="B140" s="31">
        <v>2</v>
      </c>
      <c r="C140" s="26"/>
      <c r="D140" s="26"/>
      <c r="E140" s="230"/>
      <c r="F140" s="237"/>
      <c r="G140" s="237"/>
    </row>
    <row r="141" spans="1:11">
      <c r="A141" s="209">
        <v>137</v>
      </c>
      <c r="B141" s="31">
        <v>2</v>
      </c>
      <c r="C141" s="26"/>
      <c r="D141" s="26"/>
      <c r="E141" s="230"/>
      <c r="F141" s="237"/>
      <c r="G141" s="26"/>
    </row>
    <row r="142" spans="1:11">
      <c r="A142" s="209">
        <v>138</v>
      </c>
      <c r="C142" s="26"/>
      <c r="D142" s="26"/>
      <c r="E142" s="26"/>
      <c r="F142" s="237"/>
      <c r="G142" s="237"/>
    </row>
    <row r="143" spans="1:11">
      <c r="A143" s="209">
        <v>139</v>
      </c>
      <c r="C143" s="26"/>
      <c r="D143" s="26"/>
      <c r="E143" s="26"/>
      <c r="F143" s="237"/>
      <c r="G143" s="237"/>
    </row>
    <row r="144" spans="1:11" s="208" customFormat="1">
      <c r="A144" s="209">
        <v>140</v>
      </c>
      <c r="B144" s="31">
        <v>2</v>
      </c>
      <c r="C144" s="230"/>
      <c r="D144" s="26"/>
      <c r="E144" s="230"/>
      <c r="F144" s="237"/>
      <c r="G144" s="237"/>
      <c r="H144" s="205"/>
      <c r="J144" s="22"/>
      <c r="K144" s="22"/>
    </row>
    <row r="145" spans="1:11" s="208" customFormat="1">
      <c r="A145" s="209">
        <v>141</v>
      </c>
      <c r="B145" s="31">
        <v>2</v>
      </c>
      <c r="C145" s="230"/>
      <c r="D145" s="26"/>
      <c r="E145" s="230"/>
      <c r="F145" s="237"/>
      <c r="G145" s="26"/>
      <c r="H145" s="205"/>
      <c r="J145" s="22"/>
      <c r="K145" s="22"/>
    </row>
    <row r="146" spans="1:11" s="208" customFormat="1">
      <c r="A146" s="209">
        <v>142</v>
      </c>
      <c r="B146" s="31"/>
      <c r="C146" s="26"/>
      <c r="D146" s="26"/>
      <c r="E146" s="26"/>
      <c r="F146" s="237"/>
      <c r="G146" s="237"/>
      <c r="H146" s="205"/>
      <c r="J146" s="22"/>
      <c r="K146" s="22"/>
    </row>
    <row r="147" spans="1:11" s="208" customFormat="1">
      <c r="A147" s="209">
        <v>143</v>
      </c>
      <c r="B147" s="31">
        <v>2</v>
      </c>
      <c r="C147" s="230"/>
      <c r="D147" s="26"/>
      <c r="E147" s="230"/>
      <c r="F147" s="237"/>
      <c r="G147" s="237"/>
      <c r="H147" s="205"/>
      <c r="J147" s="22"/>
      <c r="K147" s="22"/>
    </row>
    <row r="148" spans="1:11" s="208" customFormat="1">
      <c r="A148" s="209">
        <v>144</v>
      </c>
      <c r="B148" s="31">
        <v>2</v>
      </c>
      <c r="C148" s="230"/>
      <c r="D148" s="26"/>
      <c r="E148" s="230"/>
      <c r="F148" s="237"/>
      <c r="G148" s="237"/>
      <c r="H148" s="205"/>
      <c r="J148" s="22"/>
      <c r="K148" s="22"/>
    </row>
    <row r="149" spans="1:11" s="208" customFormat="1">
      <c r="A149" s="209">
        <v>145</v>
      </c>
      <c r="B149" s="31"/>
      <c r="C149" s="26"/>
      <c r="D149" s="26"/>
      <c r="E149" s="26"/>
      <c r="F149" s="237"/>
      <c r="G149" s="237"/>
      <c r="H149" s="205"/>
      <c r="J149" s="22"/>
      <c r="K149" s="22"/>
    </row>
    <row r="150" spans="1:11" s="208" customFormat="1">
      <c r="A150" s="209">
        <v>146</v>
      </c>
      <c r="B150" s="31">
        <v>2</v>
      </c>
      <c r="C150" s="230"/>
      <c r="D150" s="26"/>
      <c r="E150" s="230"/>
      <c r="F150" s="26"/>
      <c r="G150" s="237"/>
      <c r="H150" s="205"/>
      <c r="J150" s="22"/>
      <c r="K150" s="22"/>
    </row>
    <row r="151" spans="1:11" s="208" customFormat="1">
      <c r="A151" s="209">
        <v>147</v>
      </c>
      <c r="B151" s="31">
        <v>2</v>
      </c>
      <c r="C151" s="230"/>
      <c r="D151" s="26"/>
      <c r="E151" s="230"/>
      <c r="F151" s="237"/>
      <c r="G151" s="237"/>
      <c r="H151" s="205"/>
      <c r="J151" s="22"/>
      <c r="K151" s="22"/>
    </row>
    <row r="152" spans="1:11" s="208" customFormat="1">
      <c r="A152" s="209">
        <v>148</v>
      </c>
      <c r="B152" s="31"/>
      <c r="C152" s="26"/>
      <c r="D152" s="26"/>
      <c r="E152" s="26"/>
      <c r="F152" s="237"/>
      <c r="G152" s="237"/>
      <c r="H152" s="205"/>
      <c r="J152" s="22"/>
      <c r="K152" s="22"/>
    </row>
    <row r="153" spans="1:11" s="208" customFormat="1">
      <c r="A153" s="209">
        <v>149</v>
      </c>
      <c r="B153" s="31">
        <v>2</v>
      </c>
      <c r="C153" s="230"/>
      <c r="D153" s="26"/>
      <c r="E153" s="230"/>
      <c r="F153" s="237"/>
      <c r="G153" s="237"/>
      <c r="H153" s="205"/>
      <c r="J153" s="22"/>
      <c r="K153" s="22"/>
    </row>
    <row r="154" spans="1:11" s="208" customFormat="1">
      <c r="A154" s="209">
        <v>150</v>
      </c>
      <c r="B154" s="31">
        <v>2</v>
      </c>
      <c r="C154" s="230"/>
      <c r="D154" s="26"/>
      <c r="E154" s="230"/>
      <c r="F154" s="237"/>
      <c r="G154" s="237"/>
      <c r="H154" s="205"/>
      <c r="J154" s="22"/>
      <c r="K154" s="22"/>
    </row>
    <row r="155" spans="1:11" s="208" customFormat="1">
      <c r="A155" s="209">
        <v>151</v>
      </c>
      <c r="B155" s="31"/>
      <c r="C155" s="26"/>
      <c r="D155" s="26"/>
      <c r="E155" s="26"/>
      <c r="F155" s="237"/>
      <c r="G155" s="237"/>
      <c r="H155" s="205"/>
      <c r="J155" s="22"/>
      <c r="K155" s="22"/>
    </row>
    <row r="156" spans="1:11">
      <c r="A156" s="209">
        <v>152</v>
      </c>
      <c r="B156" s="31">
        <v>2</v>
      </c>
      <c r="C156" s="26"/>
      <c r="D156" s="230"/>
      <c r="E156" s="230"/>
      <c r="F156" s="26"/>
      <c r="G156" s="26"/>
    </row>
    <row r="157" spans="1:11" s="208" customFormat="1">
      <c r="A157" s="209"/>
      <c r="B157" s="31">
        <v>2</v>
      </c>
      <c r="C157" s="26"/>
      <c r="D157" s="230"/>
      <c r="E157" s="230"/>
      <c r="F157" s="26"/>
      <c r="G157" s="237"/>
      <c r="H157" s="205"/>
      <c r="J157" s="22"/>
      <c r="K157" s="22"/>
    </row>
    <row r="158" spans="1:11">
      <c r="A158" s="209">
        <v>153</v>
      </c>
      <c r="B158" s="31">
        <v>2</v>
      </c>
      <c r="C158" s="26"/>
      <c r="D158" s="26"/>
      <c r="E158" s="230"/>
      <c r="F158" s="237"/>
      <c r="G158" s="26"/>
    </row>
    <row r="159" spans="1:11">
      <c r="A159" s="209">
        <v>154</v>
      </c>
      <c r="C159" s="26"/>
      <c r="D159" s="26"/>
      <c r="E159" s="26"/>
      <c r="F159" s="26"/>
      <c r="G159" s="26"/>
    </row>
    <row r="160" spans="1:11">
      <c r="A160" s="209">
        <v>155</v>
      </c>
      <c r="C160" s="26"/>
      <c r="D160" s="26"/>
      <c r="E160" s="26"/>
      <c r="F160" s="26"/>
      <c r="G160" s="26"/>
    </row>
    <row r="161" spans="1:11" s="208" customFormat="1">
      <c r="A161" s="209">
        <v>156</v>
      </c>
      <c r="B161" s="31">
        <v>2</v>
      </c>
      <c r="C161" s="26"/>
      <c r="D161" s="230"/>
      <c r="E161" s="230"/>
      <c r="F161" s="26"/>
      <c r="G161" s="26"/>
      <c r="H161" s="205"/>
      <c r="J161" s="22"/>
      <c r="K161" s="22"/>
    </row>
    <row r="162" spans="1:11" s="208" customFormat="1">
      <c r="A162" s="209"/>
      <c r="B162" s="31">
        <v>2</v>
      </c>
      <c r="C162" s="26"/>
      <c r="D162" s="230"/>
      <c r="E162" s="230"/>
      <c r="F162" s="26"/>
      <c r="G162" s="26"/>
      <c r="H162" s="205"/>
      <c r="J162" s="22"/>
      <c r="K162" s="22"/>
    </row>
    <row r="163" spans="1:11" s="208" customFormat="1">
      <c r="A163" s="209">
        <v>157</v>
      </c>
      <c r="B163" s="31">
        <v>2</v>
      </c>
      <c r="C163" s="26"/>
      <c r="D163" s="230"/>
      <c r="E163" s="230"/>
      <c r="F163" s="26"/>
      <c r="G163" s="26"/>
      <c r="H163" s="205"/>
      <c r="J163" s="22"/>
      <c r="K163" s="22"/>
    </row>
    <row r="164" spans="1:11">
      <c r="A164" s="209">
        <v>158</v>
      </c>
      <c r="C164" s="26"/>
      <c r="D164" s="26"/>
      <c r="E164" s="26"/>
      <c r="F164" s="26"/>
      <c r="G164" s="26"/>
    </row>
    <row r="165" spans="1:11">
      <c r="A165" s="209">
        <v>159</v>
      </c>
      <c r="B165" s="31">
        <v>2</v>
      </c>
      <c r="C165" s="26"/>
      <c r="D165" s="26"/>
      <c r="E165" s="230"/>
      <c r="F165" s="26"/>
      <c r="G165" s="26"/>
    </row>
    <row r="166" spans="1:11">
      <c r="A166" s="209">
        <v>160</v>
      </c>
      <c r="B166" s="31">
        <v>2</v>
      </c>
      <c r="C166" s="26"/>
      <c r="D166" s="26"/>
      <c r="E166" s="230"/>
      <c r="F166" s="26"/>
      <c r="G166" s="26"/>
      <c r="H166" s="26"/>
    </row>
    <row r="167" spans="1:11">
      <c r="A167" s="209">
        <v>161</v>
      </c>
      <c r="C167" s="26"/>
      <c r="D167" s="26"/>
      <c r="E167" s="26"/>
      <c r="F167" s="26"/>
      <c r="G167" s="26"/>
      <c r="H167" s="26"/>
    </row>
    <row r="168" spans="1:11">
      <c r="A168" s="209">
        <v>162</v>
      </c>
      <c r="B168" s="31">
        <v>2</v>
      </c>
      <c r="C168" s="26"/>
      <c r="D168" s="26"/>
      <c r="E168" s="26"/>
      <c r="F168" s="26"/>
      <c r="G168" s="26"/>
      <c r="H168" s="26"/>
    </row>
    <row r="169" spans="1:11">
      <c r="A169" s="209">
        <v>163</v>
      </c>
      <c r="B169" s="31">
        <v>2</v>
      </c>
      <c r="C169" s="26"/>
      <c r="D169" s="26"/>
      <c r="E169" s="26"/>
      <c r="F169" s="26"/>
      <c r="G169" s="26"/>
      <c r="H169" s="26"/>
    </row>
    <row r="170" spans="1:11">
      <c r="A170" s="209">
        <v>164</v>
      </c>
      <c r="C170" s="32"/>
      <c r="D170" s="26"/>
      <c r="E170" s="32"/>
      <c r="F170" s="26"/>
      <c r="G170" s="26"/>
      <c r="H170" s="26"/>
    </row>
    <row r="171" spans="1:11">
      <c r="A171" s="209">
        <v>165</v>
      </c>
      <c r="B171" s="31">
        <v>2</v>
      </c>
      <c r="C171" s="32"/>
      <c r="D171" s="26"/>
      <c r="E171" s="32"/>
      <c r="F171" s="26"/>
      <c r="G171" s="26"/>
      <c r="H171" s="26"/>
    </row>
    <row r="172" spans="1:11">
      <c r="A172" s="209">
        <v>166</v>
      </c>
      <c r="B172" s="31">
        <v>2</v>
      </c>
      <c r="C172" s="32"/>
      <c r="D172" s="26"/>
      <c r="E172" s="32"/>
      <c r="F172" s="26"/>
      <c r="G172" s="26"/>
      <c r="H172" s="26"/>
    </row>
    <row r="173" spans="1:11">
      <c r="A173" s="209">
        <v>167</v>
      </c>
      <c r="C173" s="32"/>
      <c r="D173" s="26"/>
      <c r="E173" s="32"/>
      <c r="F173" s="26"/>
      <c r="G173" s="26"/>
      <c r="H173" s="26"/>
    </row>
    <row r="174" spans="1:11">
      <c r="A174" s="209">
        <v>168</v>
      </c>
      <c r="B174" s="31">
        <v>2</v>
      </c>
      <c r="C174" s="32"/>
      <c r="D174" s="26"/>
      <c r="E174" s="32"/>
    </row>
    <row r="175" spans="1:11">
      <c r="A175" s="209">
        <v>169</v>
      </c>
      <c r="B175" s="31">
        <v>2</v>
      </c>
      <c r="C175" s="32"/>
      <c r="D175" s="26"/>
      <c r="E175" s="32"/>
    </row>
    <row r="176" spans="1:11">
      <c r="A176" s="209">
        <v>170</v>
      </c>
      <c r="C176" s="32"/>
      <c r="D176" s="26"/>
      <c r="E176" s="32"/>
    </row>
    <row r="177" spans="1:11">
      <c r="A177" s="209">
        <v>171</v>
      </c>
      <c r="C177" s="32"/>
      <c r="D177" s="26"/>
      <c r="E177" s="32"/>
    </row>
    <row r="178" spans="1:11">
      <c r="A178" s="209">
        <v>172</v>
      </c>
      <c r="B178" s="31">
        <v>2</v>
      </c>
      <c r="C178" s="32"/>
      <c r="D178" s="26"/>
      <c r="E178" s="32"/>
      <c r="G178" s="261"/>
    </row>
    <row r="179" spans="1:11">
      <c r="A179" s="209">
        <v>173</v>
      </c>
      <c r="B179" s="31">
        <v>2</v>
      </c>
      <c r="C179" s="32"/>
      <c r="D179" s="26"/>
      <c r="E179" s="32"/>
    </row>
    <row r="180" spans="1:11">
      <c r="A180" s="209">
        <v>174</v>
      </c>
      <c r="C180" s="32"/>
      <c r="D180" s="26"/>
      <c r="E180" s="32"/>
    </row>
    <row r="181" spans="1:11">
      <c r="A181" s="209">
        <v>175</v>
      </c>
      <c r="B181" s="31">
        <v>2</v>
      </c>
      <c r="C181" s="32"/>
      <c r="D181" s="26"/>
      <c r="E181" s="32"/>
      <c r="G181" s="156"/>
    </row>
    <row r="182" spans="1:11">
      <c r="A182" s="209">
        <v>176</v>
      </c>
      <c r="B182" s="31">
        <v>2</v>
      </c>
      <c r="D182" s="26"/>
      <c r="E182" s="32"/>
    </row>
    <row r="183" spans="1:11">
      <c r="A183" s="209">
        <v>177</v>
      </c>
      <c r="D183" s="26"/>
      <c r="E183" s="32"/>
    </row>
    <row r="184" spans="1:11">
      <c r="A184" s="209">
        <v>178</v>
      </c>
      <c r="B184" s="31">
        <v>2</v>
      </c>
      <c r="D184" s="26"/>
      <c r="E184" s="32"/>
      <c r="F184" s="215"/>
      <c r="G184" s="215"/>
    </row>
    <row r="185" spans="1:11">
      <c r="A185" s="209">
        <v>179</v>
      </c>
      <c r="B185" s="31">
        <v>2</v>
      </c>
      <c r="D185" s="26"/>
      <c r="E185" s="32"/>
      <c r="F185" s="215"/>
      <c r="G185" s="215"/>
    </row>
    <row r="186" spans="1:11">
      <c r="A186" s="209">
        <v>180</v>
      </c>
      <c r="D186" s="26"/>
      <c r="E186" s="32"/>
    </row>
    <row r="187" spans="1:11">
      <c r="A187" s="209">
        <v>181</v>
      </c>
      <c r="B187" s="31">
        <v>2</v>
      </c>
      <c r="D187" s="26"/>
      <c r="E187" s="32"/>
    </row>
    <row r="188" spans="1:11">
      <c r="A188" s="209">
        <v>182</v>
      </c>
      <c r="B188" s="31">
        <v>2</v>
      </c>
      <c r="C188" s="32"/>
      <c r="D188" s="26"/>
      <c r="E188" s="32"/>
    </row>
    <row r="189" spans="1:11">
      <c r="A189" s="209">
        <v>183</v>
      </c>
      <c r="C189" s="32"/>
      <c r="D189" s="26"/>
      <c r="E189" s="32"/>
    </row>
    <row r="190" spans="1:11" s="208" customFormat="1">
      <c r="A190" s="209">
        <v>184</v>
      </c>
      <c r="B190" s="31">
        <v>2</v>
      </c>
      <c r="C190" s="210"/>
      <c r="D190" s="26"/>
      <c r="E190" s="32"/>
      <c r="F190" s="22"/>
      <c r="G190" s="22"/>
      <c r="H190" s="205"/>
      <c r="J190" s="22"/>
      <c r="K190" s="22"/>
    </row>
    <row r="191" spans="1:11" s="208" customFormat="1">
      <c r="A191" s="209">
        <v>185</v>
      </c>
      <c r="B191" s="31">
        <v>2</v>
      </c>
      <c r="C191" s="210"/>
      <c r="D191" s="26"/>
      <c r="E191" s="32"/>
      <c r="F191" s="22"/>
      <c r="G191" s="22"/>
      <c r="H191" s="205"/>
      <c r="J191" s="22"/>
      <c r="K191" s="22"/>
    </row>
    <row r="192" spans="1:11">
      <c r="A192" s="209">
        <v>186</v>
      </c>
      <c r="D192" s="26"/>
      <c r="E192" s="210"/>
    </row>
    <row r="193" spans="1:11">
      <c r="A193" s="209">
        <v>187</v>
      </c>
      <c r="B193" s="31">
        <v>2</v>
      </c>
      <c r="D193" s="26"/>
      <c r="E193" s="32"/>
    </row>
    <row r="194" spans="1:11">
      <c r="A194" s="209">
        <v>188</v>
      </c>
      <c r="B194" s="31">
        <v>2</v>
      </c>
      <c r="C194" s="32"/>
      <c r="D194" s="26"/>
      <c r="E194" s="210"/>
    </row>
    <row r="195" spans="1:11">
      <c r="A195" s="209">
        <v>189</v>
      </c>
      <c r="C195" s="32"/>
      <c r="D195" s="26"/>
      <c r="E195" s="210"/>
    </row>
    <row r="196" spans="1:11" s="208" customFormat="1">
      <c r="A196" s="209">
        <v>190</v>
      </c>
      <c r="B196" s="31">
        <v>2</v>
      </c>
      <c r="C196" s="210"/>
      <c r="D196" s="26"/>
      <c r="E196" s="32"/>
      <c r="F196" s="22"/>
      <c r="G196" s="22"/>
      <c r="H196" s="205"/>
      <c r="J196" s="22"/>
      <c r="K196" s="22"/>
    </row>
    <row r="197" spans="1:11" s="208" customFormat="1">
      <c r="A197" s="209">
        <v>191</v>
      </c>
      <c r="B197" s="31">
        <v>2</v>
      </c>
      <c r="C197" s="32"/>
      <c r="D197" s="26"/>
      <c r="E197" s="32"/>
      <c r="F197" s="22"/>
      <c r="G197" s="22"/>
      <c r="H197" s="205"/>
      <c r="J197" s="22"/>
      <c r="K197" s="22"/>
    </row>
    <row r="198" spans="1:11" s="208" customFormat="1">
      <c r="A198" s="209">
        <v>192</v>
      </c>
      <c r="B198" s="31"/>
      <c r="C198" s="32"/>
      <c r="D198" s="26"/>
      <c r="E198" s="210"/>
      <c r="F198" s="22"/>
      <c r="G198" s="22"/>
      <c r="H198" s="205"/>
      <c r="J198" s="22"/>
      <c r="K198" s="22"/>
    </row>
    <row r="199" spans="1:11">
      <c r="A199" s="209">
        <v>193</v>
      </c>
      <c r="B199" s="31">
        <v>2</v>
      </c>
      <c r="D199" s="26"/>
      <c r="E199" s="32"/>
    </row>
    <row r="200" spans="1:11">
      <c r="A200" s="209">
        <v>194</v>
      </c>
      <c r="B200" s="31">
        <v>2</v>
      </c>
      <c r="D200" s="26"/>
      <c r="E200" s="32"/>
    </row>
    <row r="201" spans="1:11">
      <c r="A201" s="209">
        <v>195</v>
      </c>
      <c r="D201" s="26"/>
      <c r="E201" s="210"/>
    </row>
    <row r="202" spans="1:11" s="208" customFormat="1">
      <c r="A202" s="209">
        <v>196</v>
      </c>
      <c r="B202" s="31">
        <v>2</v>
      </c>
      <c r="C202" s="210"/>
      <c r="D202" s="26"/>
      <c r="E202" s="32"/>
      <c r="F202" s="22"/>
      <c r="G202" s="22"/>
      <c r="H202" s="205"/>
      <c r="J202" s="22"/>
      <c r="K202" s="22"/>
    </row>
    <row r="203" spans="1:11" s="208" customFormat="1">
      <c r="A203" s="209">
        <v>197</v>
      </c>
      <c r="B203" s="31">
        <v>2</v>
      </c>
      <c r="C203" s="210"/>
      <c r="D203" s="26"/>
      <c r="E203" s="32"/>
      <c r="F203" s="22"/>
      <c r="G203" s="22"/>
      <c r="H203" s="205"/>
      <c r="J203" s="22"/>
      <c r="K203" s="22"/>
    </row>
    <row r="204" spans="1:11" s="208" customFormat="1">
      <c r="A204" s="209">
        <v>198</v>
      </c>
      <c r="B204" s="31"/>
      <c r="C204" s="210"/>
      <c r="D204" s="26"/>
      <c r="E204" s="210"/>
      <c r="F204" s="22"/>
      <c r="G204" s="22"/>
      <c r="H204" s="205"/>
      <c r="J204" s="22"/>
      <c r="K204" s="22"/>
    </row>
    <row r="205" spans="1:11">
      <c r="A205" s="209">
        <v>199</v>
      </c>
      <c r="B205" s="31">
        <v>2</v>
      </c>
      <c r="D205" s="26"/>
      <c r="E205" s="210"/>
    </row>
    <row r="206" spans="1:11">
      <c r="A206" s="209">
        <v>200</v>
      </c>
      <c r="B206" s="31">
        <v>2</v>
      </c>
      <c r="D206" s="26"/>
      <c r="E206" s="210"/>
    </row>
    <row r="207" spans="1:11">
      <c r="A207" s="209">
        <v>201</v>
      </c>
      <c r="D207" s="26"/>
      <c r="E207" s="210"/>
    </row>
    <row r="208" spans="1:11">
      <c r="A208" s="209">
        <v>202</v>
      </c>
      <c r="B208" s="31">
        <v>2</v>
      </c>
      <c r="D208" s="26"/>
      <c r="E208" s="210"/>
    </row>
    <row r="209" spans="1:5">
      <c r="A209" s="209">
        <v>203</v>
      </c>
      <c r="B209" s="31">
        <v>2</v>
      </c>
      <c r="D209" s="26"/>
    </row>
    <row r="210" spans="1:5">
      <c r="A210" s="209">
        <v>204</v>
      </c>
      <c r="D210" s="26"/>
    </row>
    <row r="211" spans="1:5">
      <c r="A211" s="209">
        <v>205</v>
      </c>
      <c r="B211" s="31">
        <v>2</v>
      </c>
      <c r="C211" s="32"/>
      <c r="D211" s="26"/>
    </row>
    <row r="212" spans="1:5">
      <c r="A212" s="209">
        <v>206</v>
      </c>
      <c r="B212" s="31">
        <v>2</v>
      </c>
      <c r="C212" s="32"/>
      <c r="D212" s="26"/>
    </row>
    <row r="213" spans="1:5">
      <c r="A213" s="209">
        <v>207</v>
      </c>
      <c r="C213" s="32"/>
      <c r="D213" s="26"/>
    </row>
    <row r="214" spans="1:5">
      <c r="A214" s="209">
        <v>208</v>
      </c>
      <c r="B214" s="31">
        <v>2</v>
      </c>
      <c r="D214" s="26"/>
    </row>
    <row r="215" spans="1:5">
      <c r="A215" s="209">
        <v>209</v>
      </c>
      <c r="B215" s="31">
        <v>2</v>
      </c>
      <c r="C215" s="32"/>
      <c r="D215" s="26"/>
    </row>
    <row r="216" spans="1:5">
      <c r="A216" s="209"/>
      <c r="C216" s="32"/>
      <c r="D216" s="32"/>
    </row>
    <row r="217" spans="1:5">
      <c r="A217" s="209"/>
      <c r="C217" s="32"/>
      <c r="D217" s="32"/>
    </row>
    <row r="218" spans="1:5">
      <c r="A218" s="209"/>
      <c r="C218" s="32"/>
      <c r="D218" s="32"/>
    </row>
    <row r="220" spans="1:5">
      <c r="C220" s="32"/>
      <c r="D220" s="32"/>
      <c r="E220" s="210"/>
    </row>
    <row r="221" spans="1:5">
      <c r="C221" s="32"/>
      <c r="D221" s="32"/>
      <c r="E221" s="210"/>
    </row>
    <row r="223" spans="1:5">
      <c r="C223" s="32"/>
      <c r="D223" s="32"/>
      <c r="E223" s="210"/>
    </row>
    <row r="224" spans="1:5">
      <c r="C224" s="32"/>
      <c r="D224" s="32"/>
      <c r="E224" s="210"/>
    </row>
    <row r="226" spans="3:5">
      <c r="C226" s="32"/>
      <c r="D226" s="32"/>
      <c r="E226" s="210"/>
    </row>
    <row r="227" spans="3:5">
      <c r="C227" s="32"/>
      <c r="D227" s="32"/>
      <c r="E227" s="210"/>
    </row>
  </sheetData>
  <autoFilter ref="A4:U217"/>
  <mergeCells count="3">
    <mergeCell ref="A1:H1"/>
    <mergeCell ref="D3:E3"/>
    <mergeCell ref="A3:C3"/>
  </mergeCells>
  <phoneticPr fontId="7" type="noConversion"/>
  <conditionalFormatting sqref="F1:G4 F99:G99 F28:G29 F214:G219 G213 F212 F102:G102 G100 F101 F48 F175 F49:G52 F72:G78 F40:G47 F180:G180 G174 F84:G92 F177:G177 G190 G192 F57:G64 F183:G183 C149 F147:G148 E149:G149 E152:G152 F150:G151 C152 E165:E169 G165 F193:G195 F153:G154 F186:G189 C137:C146 E137:G146 C124:G136 C122:G122 F198:G198 F201:G211 D204:D215 F222:G222 F225:G225 F228:G1048576 C155:C169 E155:G164">
    <cfRule type="cellIs" dxfId="72" priority="107" operator="equal">
      <formula>0</formula>
    </cfRule>
  </conditionalFormatting>
  <conditionalFormatting sqref="G26">
    <cfRule type="cellIs" dxfId="71" priority="98" operator="equal">
      <formula>0</formula>
    </cfRule>
  </conditionalFormatting>
  <conditionalFormatting sqref="F27:G27 F79:F83 F5:G19">
    <cfRule type="cellIs" dxfId="70" priority="97" operator="equal">
      <formula>0</formula>
    </cfRule>
  </conditionalFormatting>
  <conditionalFormatting sqref="G97">
    <cfRule type="cellIs" dxfId="69" priority="95" operator="equal">
      <formula>0</formula>
    </cfRule>
  </conditionalFormatting>
  <conditionalFormatting sqref="F98:G98 F97 F93:G95">
    <cfRule type="cellIs" dxfId="68" priority="96" operator="equal">
      <formula>0</formula>
    </cfRule>
  </conditionalFormatting>
  <conditionalFormatting sqref="F20:G22 F24:G24 F23">
    <cfRule type="cellIs" dxfId="67" priority="94" operator="equal">
      <formula>0</formula>
    </cfRule>
  </conditionalFormatting>
  <conditionalFormatting sqref="F96">
    <cfRule type="cellIs" dxfId="66" priority="88" operator="equal">
      <formula>0</formula>
    </cfRule>
  </conditionalFormatting>
  <conditionalFormatting sqref="G96">
    <cfRule type="cellIs" dxfId="65" priority="87" operator="equal">
      <formula>0</formula>
    </cfRule>
  </conditionalFormatting>
  <conditionalFormatting sqref="F25">
    <cfRule type="cellIs" dxfId="64" priority="86" operator="equal">
      <formula>0</formula>
    </cfRule>
  </conditionalFormatting>
  <conditionalFormatting sqref="G25">
    <cfRule type="cellIs" dxfId="63" priority="85" operator="equal">
      <formula>0</formula>
    </cfRule>
  </conditionalFormatting>
  <conditionalFormatting sqref="F26">
    <cfRule type="cellIs" dxfId="62" priority="83" operator="equal">
      <formula>0</formula>
    </cfRule>
  </conditionalFormatting>
  <conditionalFormatting sqref="G23">
    <cfRule type="cellIs" dxfId="61" priority="81" operator="equal">
      <formula>0</formula>
    </cfRule>
  </conditionalFormatting>
  <conditionalFormatting sqref="F100">
    <cfRule type="cellIs" dxfId="60" priority="80" operator="equal">
      <formula>0</formula>
    </cfRule>
  </conditionalFormatting>
  <conditionalFormatting sqref="G101">
    <cfRule type="cellIs" dxfId="59" priority="79" operator="equal">
      <formula>0</formula>
    </cfRule>
  </conditionalFormatting>
  <conditionalFormatting sqref="G103 F104:F105">
    <cfRule type="cellIs" dxfId="58" priority="78" operator="equal">
      <formula>0</formula>
    </cfRule>
  </conditionalFormatting>
  <conditionalFormatting sqref="F103">
    <cfRule type="cellIs" dxfId="57" priority="77" operator="equal">
      <formula>0</formula>
    </cfRule>
  </conditionalFormatting>
  <conditionalFormatting sqref="G48">
    <cfRule type="cellIs" dxfId="56" priority="75" operator="equal">
      <formula>0</formula>
    </cfRule>
  </conditionalFormatting>
  <conditionalFormatting sqref="F176:G176">
    <cfRule type="cellIs" dxfId="55" priority="74" operator="equal">
      <formula>0</formula>
    </cfRule>
  </conditionalFormatting>
  <conditionalFormatting sqref="G104:G105">
    <cfRule type="cellIs" dxfId="54" priority="73" operator="equal">
      <formula>0</formula>
    </cfRule>
  </conditionalFormatting>
  <conditionalFormatting sqref="F108:G108 G106 F107">
    <cfRule type="cellIs" dxfId="53" priority="72" operator="equal">
      <formula>0</formula>
    </cfRule>
  </conditionalFormatting>
  <conditionalFormatting sqref="F106">
    <cfRule type="cellIs" dxfId="52" priority="71" operator="equal">
      <formula>0</formula>
    </cfRule>
  </conditionalFormatting>
  <conditionalFormatting sqref="G107">
    <cfRule type="cellIs" dxfId="51" priority="70" operator="equal">
      <formula>0</formula>
    </cfRule>
  </conditionalFormatting>
  <conditionalFormatting sqref="F70:F71 F65:G69">
    <cfRule type="cellIs" dxfId="50" priority="61" operator="equal">
      <formula>0</formula>
    </cfRule>
  </conditionalFormatting>
  <conditionalFormatting sqref="G70:G71">
    <cfRule type="cellIs" dxfId="49" priority="60" operator="equal">
      <formula>0</formula>
    </cfRule>
  </conditionalFormatting>
  <conditionalFormatting sqref="F184:G185">
    <cfRule type="cellIs" dxfId="48" priority="58" operator="equal">
      <formula>0</formula>
    </cfRule>
  </conditionalFormatting>
  <conditionalFormatting sqref="G112 C109:D113 C114:G121 F113 F109:G111 F126:G126 C123:G123">
    <cfRule type="cellIs" dxfId="47" priority="54" operator="equal">
      <formula>0</formula>
    </cfRule>
  </conditionalFormatting>
  <conditionalFormatting sqref="F112">
    <cfRule type="cellIs" dxfId="46" priority="48" operator="equal">
      <formula>0</formula>
    </cfRule>
  </conditionalFormatting>
  <conditionalFormatting sqref="G113">
    <cfRule type="cellIs" dxfId="45" priority="47" operator="equal">
      <formula>0</formula>
    </cfRule>
  </conditionalFormatting>
  <conditionalFormatting sqref="F123">
    <cfRule type="cellIs" dxfId="44" priority="46" operator="equal">
      <formula>0</formula>
    </cfRule>
  </conditionalFormatting>
  <conditionalFormatting sqref="G191">
    <cfRule type="cellIs" dxfId="43" priority="40" operator="equal">
      <formula>0</formula>
    </cfRule>
  </conditionalFormatting>
  <conditionalFormatting sqref="F167:H173 F166 H166">
    <cfRule type="cellIs" dxfId="42" priority="38" operator="equal">
      <formula>0</formula>
    </cfRule>
  </conditionalFormatting>
  <conditionalFormatting sqref="H47">
    <cfRule type="cellIs" dxfId="41" priority="36" operator="equal">
      <formula>0</formula>
    </cfRule>
  </conditionalFormatting>
  <conditionalFormatting sqref="H46">
    <cfRule type="cellIs" dxfId="40" priority="32" operator="equal">
      <formula>0</formula>
    </cfRule>
  </conditionalFormatting>
  <conditionalFormatting sqref="F30:G39">
    <cfRule type="cellIs" dxfId="39" priority="31" operator="equal">
      <formula>0</formula>
    </cfRule>
  </conditionalFormatting>
  <conditionalFormatting sqref="F53:G56">
    <cfRule type="cellIs" dxfId="38" priority="30" operator="equal">
      <formula>0</formula>
    </cfRule>
  </conditionalFormatting>
  <conditionalFormatting sqref="G199 F200">
    <cfRule type="cellIs" dxfId="37" priority="29" operator="equal">
      <formula>0</formula>
    </cfRule>
  </conditionalFormatting>
  <conditionalFormatting sqref="F199">
    <cfRule type="cellIs" dxfId="36" priority="28" operator="equal">
      <formula>0</formula>
    </cfRule>
  </conditionalFormatting>
  <conditionalFormatting sqref="F178 F179:G179">
    <cfRule type="cellIs" dxfId="35" priority="26" operator="equal">
      <formula>0</formula>
    </cfRule>
  </conditionalFormatting>
  <conditionalFormatting sqref="F181:G182">
    <cfRule type="cellIs" dxfId="34" priority="25" operator="equal">
      <formula>0</formula>
    </cfRule>
  </conditionalFormatting>
  <conditionalFormatting sqref="G166">
    <cfRule type="cellIs" dxfId="33" priority="24" operator="equal">
      <formula>0</formula>
    </cfRule>
  </conditionalFormatting>
  <conditionalFormatting sqref="C147:C148 E147:E148">
    <cfRule type="cellIs" dxfId="32" priority="21" operator="equal">
      <formula>0</formula>
    </cfRule>
  </conditionalFormatting>
  <conditionalFormatting sqref="C150:C151 E150:E151">
    <cfRule type="cellIs" dxfId="31" priority="19" operator="equal">
      <formula>0</formula>
    </cfRule>
  </conditionalFormatting>
  <conditionalFormatting sqref="D198:D201 D161:D195">
    <cfRule type="cellIs" dxfId="30" priority="17" operator="equal">
      <formula>0</formula>
    </cfRule>
  </conditionalFormatting>
  <conditionalFormatting sqref="G200">
    <cfRule type="cellIs" dxfId="29" priority="9" operator="equal">
      <formula>0</formula>
    </cfRule>
  </conditionalFormatting>
  <conditionalFormatting sqref="C153:C154 E153:E154">
    <cfRule type="cellIs" dxfId="28" priority="16" operator="equal">
      <formula>0</formula>
    </cfRule>
  </conditionalFormatting>
  <conditionalFormatting sqref="E103:E113">
    <cfRule type="cellIs" dxfId="27" priority="14" operator="equal">
      <formula>0</formula>
    </cfRule>
  </conditionalFormatting>
  <conditionalFormatting sqref="D137:D139">
    <cfRule type="cellIs" dxfId="26" priority="13" operator="equal">
      <formula>0</formula>
    </cfRule>
  </conditionalFormatting>
  <conditionalFormatting sqref="F165">
    <cfRule type="cellIs" dxfId="25" priority="11" operator="equal">
      <formula>0</formula>
    </cfRule>
  </conditionalFormatting>
  <conditionalFormatting sqref="F190">
    <cfRule type="cellIs" dxfId="24" priority="10" operator="equal">
      <formula>0</formula>
    </cfRule>
  </conditionalFormatting>
  <conditionalFormatting sqref="D202:D203">
    <cfRule type="cellIs" dxfId="23" priority="8" operator="equal">
      <formula>0</formula>
    </cfRule>
  </conditionalFormatting>
  <conditionalFormatting sqref="F196:G197">
    <cfRule type="cellIs" dxfId="22" priority="6" operator="equal">
      <formula>0</formula>
    </cfRule>
  </conditionalFormatting>
  <conditionalFormatting sqref="D196:D197">
    <cfRule type="cellIs" dxfId="21" priority="5" operator="equal">
      <formula>0</formula>
    </cfRule>
  </conditionalFormatting>
  <conditionalFormatting sqref="F220:G221">
    <cfRule type="cellIs" dxfId="20" priority="4" operator="equal">
      <formula>0</formula>
    </cfRule>
  </conditionalFormatting>
  <conditionalFormatting sqref="F223:G224">
    <cfRule type="cellIs" dxfId="19" priority="3" operator="equal">
      <formula>0</formula>
    </cfRule>
  </conditionalFormatting>
  <conditionalFormatting sqref="F226:G227">
    <cfRule type="cellIs" dxfId="18" priority="2" operator="equal">
      <formula>0</formula>
    </cfRule>
  </conditionalFormatting>
  <conditionalFormatting sqref="D140:D160">
    <cfRule type="cellIs" dxfId="17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7" fitToHeight="0" orientation="portrait" horizontalDpi="200" verticalDpi="20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标准科目!$C$1:$C$4</xm:f>
          </x14:formula1>
          <xm:sqref>B5:B49 B228:B711 B64:B225</xm:sqref>
        </x14:dataValidation>
        <x14:dataValidation type="list" allowBlank="1" showInputMessage="1" showErrorMessage="1">
          <x14:formula1>
            <xm:f>标准科目!$A:$A</xm:f>
          </x14:formula1>
          <xm:sqref>D1:D225 D228:D1048576</xm:sqref>
        </x14:dataValidation>
        <x14:dataValidation type="list" allowBlank="1" showInputMessage="1" showErrorMessage="1">
          <x14:formula1>
            <xm:f>'F:\1、财务报表分部及合并\2019年报表\2019年6月\[2019年半年合并财务报表.xlsx]标准科目'!#REF!</xm:f>
          </x14:formula1>
          <xm:sqref>D226:D227 B226:B227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E133"/>
  <sheetViews>
    <sheetView zoomScaleNormal="100" zoomScaleSheetLayoutView="100" workbookViewId="0">
      <pane ySplit="5" topLeftCell="A84" activePane="bottomLeft" state="frozen"/>
      <selection pane="bottomLeft" activeCell="B104" sqref="B104:D106"/>
    </sheetView>
  </sheetViews>
  <sheetFormatPr defaultRowHeight="14.25"/>
  <cols>
    <col min="1" max="1" width="34.7109375" style="109" customWidth="1"/>
    <col min="2" max="2" width="21.7109375" style="54" customWidth="1"/>
    <col min="3" max="3" width="21.7109375" style="66" customWidth="1"/>
    <col min="4" max="4" width="22" style="133" bestFit="1" customWidth="1"/>
    <col min="5" max="6" width="20.85546875" style="54" bestFit="1" customWidth="1"/>
    <col min="7" max="7" width="18.7109375" style="54" bestFit="1" customWidth="1"/>
    <col min="8" max="239" width="9.140625" style="54"/>
    <col min="240" max="255" width="9.140625" style="47"/>
    <col min="256" max="256" width="30.140625" style="47" customWidth="1"/>
    <col min="257" max="257" width="21.5703125" style="47" customWidth="1"/>
    <col min="258" max="258" width="24.140625" style="47" customWidth="1"/>
    <col min="259" max="511" width="9.140625" style="47"/>
    <col min="512" max="512" width="30.140625" style="47" customWidth="1"/>
    <col min="513" max="513" width="21.5703125" style="47" customWidth="1"/>
    <col min="514" max="514" width="24.140625" style="47" customWidth="1"/>
    <col min="515" max="767" width="9.140625" style="47"/>
    <col min="768" max="768" width="30.140625" style="47" customWidth="1"/>
    <col min="769" max="769" width="21.5703125" style="47" customWidth="1"/>
    <col min="770" max="770" width="24.140625" style="47" customWidth="1"/>
    <col min="771" max="1023" width="9.140625" style="47"/>
    <col min="1024" max="1024" width="30.140625" style="47" customWidth="1"/>
    <col min="1025" max="1025" width="21.5703125" style="47" customWidth="1"/>
    <col min="1026" max="1026" width="24.140625" style="47" customWidth="1"/>
    <col min="1027" max="1279" width="9.140625" style="47"/>
    <col min="1280" max="1280" width="30.140625" style="47" customWidth="1"/>
    <col min="1281" max="1281" width="21.5703125" style="47" customWidth="1"/>
    <col min="1282" max="1282" width="24.140625" style="47" customWidth="1"/>
    <col min="1283" max="1535" width="9.140625" style="47"/>
    <col min="1536" max="1536" width="30.140625" style="47" customWidth="1"/>
    <col min="1537" max="1537" width="21.5703125" style="47" customWidth="1"/>
    <col min="1538" max="1538" width="24.140625" style="47" customWidth="1"/>
    <col min="1539" max="1791" width="9.140625" style="47"/>
    <col min="1792" max="1792" width="30.140625" style="47" customWidth="1"/>
    <col min="1793" max="1793" width="21.5703125" style="47" customWidth="1"/>
    <col min="1794" max="1794" width="24.140625" style="47" customWidth="1"/>
    <col min="1795" max="2047" width="9.140625" style="47"/>
    <col min="2048" max="2048" width="30.140625" style="47" customWidth="1"/>
    <col min="2049" max="2049" width="21.5703125" style="47" customWidth="1"/>
    <col min="2050" max="2050" width="24.140625" style="47" customWidth="1"/>
    <col min="2051" max="2303" width="9.140625" style="47"/>
    <col min="2304" max="2304" width="30.140625" style="47" customWidth="1"/>
    <col min="2305" max="2305" width="21.5703125" style="47" customWidth="1"/>
    <col min="2306" max="2306" width="24.140625" style="47" customWidth="1"/>
    <col min="2307" max="2559" width="9.140625" style="47"/>
    <col min="2560" max="2560" width="30.140625" style="47" customWidth="1"/>
    <col min="2561" max="2561" width="21.5703125" style="47" customWidth="1"/>
    <col min="2562" max="2562" width="24.140625" style="47" customWidth="1"/>
    <col min="2563" max="2815" width="9.140625" style="47"/>
    <col min="2816" max="2816" width="30.140625" style="47" customWidth="1"/>
    <col min="2817" max="2817" width="21.5703125" style="47" customWidth="1"/>
    <col min="2818" max="2818" width="24.140625" style="47" customWidth="1"/>
    <col min="2819" max="3071" width="9.140625" style="47"/>
    <col min="3072" max="3072" width="30.140625" style="47" customWidth="1"/>
    <col min="3073" max="3073" width="21.5703125" style="47" customWidth="1"/>
    <col min="3074" max="3074" width="24.140625" style="47" customWidth="1"/>
    <col min="3075" max="3327" width="9.140625" style="47"/>
    <col min="3328" max="3328" width="30.140625" style="47" customWidth="1"/>
    <col min="3329" max="3329" width="21.5703125" style="47" customWidth="1"/>
    <col min="3330" max="3330" width="24.140625" style="47" customWidth="1"/>
    <col min="3331" max="3583" width="9.140625" style="47"/>
    <col min="3584" max="3584" width="30.140625" style="47" customWidth="1"/>
    <col min="3585" max="3585" width="21.5703125" style="47" customWidth="1"/>
    <col min="3586" max="3586" width="24.140625" style="47" customWidth="1"/>
    <col min="3587" max="3839" width="9.140625" style="47"/>
    <col min="3840" max="3840" width="30.140625" style="47" customWidth="1"/>
    <col min="3841" max="3841" width="21.5703125" style="47" customWidth="1"/>
    <col min="3842" max="3842" width="24.140625" style="47" customWidth="1"/>
    <col min="3843" max="4095" width="9.140625" style="47"/>
    <col min="4096" max="4096" width="30.140625" style="47" customWidth="1"/>
    <col min="4097" max="4097" width="21.5703125" style="47" customWidth="1"/>
    <col min="4098" max="4098" width="24.140625" style="47" customWidth="1"/>
    <col min="4099" max="4351" width="9.140625" style="47"/>
    <col min="4352" max="4352" width="30.140625" style="47" customWidth="1"/>
    <col min="4353" max="4353" width="21.5703125" style="47" customWidth="1"/>
    <col min="4354" max="4354" width="24.140625" style="47" customWidth="1"/>
    <col min="4355" max="4607" width="9.140625" style="47"/>
    <col min="4608" max="4608" width="30.140625" style="47" customWidth="1"/>
    <col min="4609" max="4609" width="21.5703125" style="47" customWidth="1"/>
    <col min="4610" max="4610" width="24.140625" style="47" customWidth="1"/>
    <col min="4611" max="4863" width="9.140625" style="47"/>
    <col min="4864" max="4864" width="30.140625" style="47" customWidth="1"/>
    <col min="4865" max="4865" width="21.5703125" style="47" customWidth="1"/>
    <col min="4866" max="4866" width="24.140625" style="47" customWidth="1"/>
    <col min="4867" max="5119" width="9.140625" style="47"/>
    <col min="5120" max="5120" width="30.140625" style="47" customWidth="1"/>
    <col min="5121" max="5121" width="21.5703125" style="47" customWidth="1"/>
    <col min="5122" max="5122" width="24.140625" style="47" customWidth="1"/>
    <col min="5123" max="5375" width="9.140625" style="47"/>
    <col min="5376" max="5376" width="30.140625" style="47" customWidth="1"/>
    <col min="5377" max="5377" width="21.5703125" style="47" customWidth="1"/>
    <col min="5378" max="5378" width="24.140625" style="47" customWidth="1"/>
    <col min="5379" max="5631" width="9.140625" style="47"/>
    <col min="5632" max="5632" width="30.140625" style="47" customWidth="1"/>
    <col min="5633" max="5633" width="21.5703125" style="47" customWidth="1"/>
    <col min="5634" max="5634" width="24.140625" style="47" customWidth="1"/>
    <col min="5635" max="5887" width="9.140625" style="47"/>
    <col min="5888" max="5888" width="30.140625" style="47" customWidth="1"/>
    <col min="5889" max="5889" width="21.5703125" style="47" customWidth="1"/>
    <col min="5890" max="5890" width="24.140625" style="47" customWidth="1"/>
    <col min="5891" max="6143" width="9.140625" style="47"/>
    <col min="6144" max="6144" width="30.140625" style="47" customWidth="1"/>
    <col min="6145" max="6145" width="21.5703125" style="47" customWidth="1"/>
    <col min="6146" max="6146" width="24.140625" style="47" customWidth="1"/>
    <col min="6147" max="6399" width="9.140625" style="47"/>
    <col min="6400" max="6400" width="30.140625" style="47" customWidth="1"/>
    <col min="6401" max="6401" width="21.5703125" style="47" customWidth="1"/>
    <col min="6402" max="6402" width="24.140625" style="47" customWidth="1"/>
    <col min="6403" max="6655" width="9.140625" style="47"/>
    <col min="6656" max="6656" width="30.140625" style="47" customWidth="1"/>
    <col min="6657" max="6657" width="21.5703125" style="47" customWidth="1"/>
    <col min="6658" max="6658" width="24.140625" style="47" customWidth="1"/>
    <col min="6659" max="6911" width="9.140625" style="47"/>
    <col min="6912" max="6912" width="30.140625" style="47" customWidth="1"/>
    <col min="6913" max="6913" width="21.5703125" style="47" customWidth="1"/>
    <col min="6914" max="6914" width="24.140625" style="47" customWidth="1"/>
    <col min="6915" max="7167" width="9.140625" style="47"/>
    <col min="7168" max="7168" width="30.140625" style="47" customWidth="1"/>
    <col min="7169" max="7169" width="21.5703125" style="47" customWidth="1"/>
    <col min="7170" max="7170" width="24.140625" style="47" customWidth="1"/>
    <col min="7171" max="7423" width="9.140625" style="47"/>
    <col min="7424" max="7424" width="30.140625" style="47" customWidth="1"/>
    <col min="7425" max="7425" width="21.5703125" style="47" customWidth="1"/>
    <col min="7426" max="7426" width="24.140625" style="47" customWidth="1"/>
    <col min="7427" max="7679" width="9.140625" style="47"/>
    <col min="7680" max="7680" width="30.140625" style="47" customWidth="1"/>
    <col min="7681" max="7681" width="21.5703125" style="47" customWidth="1"/>
    <col min="7682" max="7682" width="24.140625" style="47" customWidth="1"/>
    <col min="7683" max="7935" width="9.140625" style="47"/>
    <col min="7936" max="7936" width="30.140625" style="47" customWidth="1"/>
    <col min="7937" max="7937" width="21.5703125" style="47" customWidth="1"/>
    <col min="7938" max="7938" width="24.140625" style="47" customWidth="1"/>
    <col min="7939" max="8191" width="9.140625" style="47"/>
    <col min="8192" max="8192" width="30.140625" style="47" customWidth="1"/>
    <col min="8193" max="8193" width="21.5703125" style="47" customWidth="1"/>
    <col min="8194" max="8194" width="24.140625" style="47" customWidth="1"/>
    <col min="8195" max="8447" width="9.140625" style="47"/>
    <col min="8448" max="8448" width="30.140625" style="47" customWidth="1"/>
    <col min="8449" max="8449" width="21.5703125" style="47" customWidth="1"/>
    <col min="8450" max="8450" width="24.140625" style="47" customWidth="1"/>
    <col min="8451" max="8703" width="9.140625" style="47"/>
    <col min="8704" max="8704" width="30.140625" style="47" customWidth="1"/>
    <col min="8705" max="8705" width="21.5703125" style="47" customWidth="1"/>
    <col min="8706" max="8706" width="24.140625" style="47" customWidth="1"/>
    <col min="8707" max="8959" width="9.140625" style="47"/>
    <col min="8960" max="8960" width="30.140625" style="47" customWidth="1"/>
    <col min="8961" max="8961" width="21.5703125" style="47" customWidth="1"/>
    <col min="8962" max="8962" width="24.140625" style="47" customWidth="1"/>
    <col min="8963" max="9215" width="9.140625" style="47"/>
    <col min="9216" max="9216" width="30.140625" style="47" customWidth="1"/>
    <col min="9217" max="9217" width="21.5703125" style="47" customWidth="1"/>
    <col min="9218" max="9218" width="24.140625" style="47" customWidth="1"/>
    <col min="9219" max="9471" width="9.140625" style="47"/>
    <col min="9472" max="9472" width="30.140625" style="47" customWidth="1"/>
    <col min="9473" max="9473" width="21.5703125" style="47" customWidth="1"/>
    <col min="9474" max="9474" width="24.140625" style="47" customWidth="1"/>
    <col min="9475" max="9727" width="9.140625" style="47"/>
    <col min="9728" max="9728" width="30.140625" style="47" customWidth="1"/>
    <col min="9729" max="9729" width="21.5703125" style="47" customWidth="1"/>
    <col min="9730" max="9730" width="24.140625" style="47" customWidth="1"/>
    <col min="9731" max="9983" width="9.140625" style="47"/>
    <col min="9984" max="9984" width="30.140625" style="47" customWidth="1"/>
    <col min="9985" max="9985" width="21.5703125" style="47" customWidth="1"/>
    <col min="9986" max="9986" width="24.140625" style="47" customWidth="1"/>
    <col min="9987" max="10239" width="9.140625" style="47"/>
    <col min="10240" max="10240" width="30.140625" style="47" customWidth="1"/>
    <col min="10241" max="10241" width="21.5703125" style="47" customWidth="1"/>
    <col min="10242" max="10242" width="24.140625" style="47" customWidth="1"/>
    <col min="10243" max="10495" width="9.140625" style="47"/>
    <col min="10496" max="10496" width="30.140625" style="47" customWidth="1"/>
    <col min="10497" max="10497" width="21.5703125" style="47" customWidth="1"/>
    <col min="10498" max="10498" width="24.140625" style="47" customWidth="1"/>
    <col min="10499" max="10751" width="9.140625" style="47"/>
    <col min="10752" max="10752" width="30.140625" style="47" customWidth="1"/>
    <col min="10753" max="10753" width="21.5703125" style="47" customWidth="1"/>
    <col min="10754" max="10754" width="24.140625" style="47" customWidth="1"/>
    <col min="10755" max="11007" width="9.140625" style="47"/>
    <col min="11008" max="11008" width="30.140625" style="47" customWidth="1"/>
    <col min="11009" max="11009" width="21.5703125" style="47" customWidth="1"/>
    <col min="11010" max="11010" width="24.140625" style="47" customWidth="1"/>
    <col min="11011" max="11263" width="9.140625" style="47"/>
    <col min="11264" max="11264" width="30.140625" style="47" customWidth="1"/>
    <col min="11265" max="11265" width="21.5703125" style="47" customWidth="1"/>
    <col min="11266" max="11266" width="24.140625" style="47" customWidth="1"/>
    <col min="11267" max="11519" width="9.140625" style="47"/>
    <col min="11520" max="11520" width="30.140625" style="47" customWidth="1"/>
    <col min="11521" max="11521" width="21.5703125" style="47" customWidth="1"/>
    <col min="11522" max="11522" width="24.140625" style="47" customWidth="1"/>
    <col min="11523" max="11775" width="9.140625" style="47"/>
    <col min="11776" max="11776" width="30.140625" style="47" customWidth="1"/>
    <col min="11777" max="11777" width="21.5703125" style="47" customWidth="1"/>
    <col min="11778" max="11778" width="24.140625" style="47" customWidth="1"/>
    <col min="11779" max="12031" width="9.140625" style="47"/>
    <col min="12032" max="12032" width="30.140625" style="47" customWidth="1"/>
    <col min="12033" max="12033" width="21.5703125" style="47" customWidth="1"/>
    <col min="12034" max="12034" width="24.140625" style="47" customWidth="1"/>
    <col min="12035" max="12287" width="9.140625" style="47"/>
    <col min="12288" max="12288" width="30.140625" style="47" customWidth="1"/>
    <col min="12289" max="12289" width="21.5703125" style="47" customWidth="1"/>
    <col min="12290" max="12290" width="24.140625" style="47" customWidth="1"/>
    <col min="12291" max="12543" width="9.140625" style="47"/>
    <col min="12544" max="12544" width="30.140625" style="47" customWidth="1"/>
    <col min="12545" max="12545" width="21.5703125" style="47" customWidth="1"/>
    <col min="12546" max="12546" width="24.140625" style="47" customWidth="1"/>
    <col min="12547" max="12799" width="9.140625" style="47"/>
    <col min="12800" max="12800" width="30.140625" style="47" customWidth="1"/>
    <col min="12801" max="12801" width="21.5703125" style="47" customWidth="1"/>
    <col min="12802" max="12802" width="24.140625" style="47" customWidth="1"/>
    <col min="12803" max="13055" width="9.140625" style="47"/>
    <col min="13056" max="13056" width="30.140625" style="47" customWidth="1"/>
    <col min="13057" max="13057" width="21.5703125" style="47" customWidth="1"/>
    <col min="13058" max="13058" width="24.140625" style="47" customWidth="1"/>
    <col min="13059" max="13311" width="9.140625" style="47"/>
    <col min="13312" max="13312" width="30.140625" style="47" customWidth="1"/>
    <col min="13313" max="13313" width="21.5703125" style="47" customWidth="1"/>
    <col min="13314" max="13314" width="24.140625" style="47" customWidth="1"/>
    <col min="13315" max="13567" width="9.140625" style="47"/>
    <col min="13568" max="13568" width="30.140625" style="47" customWidth="1"/>
    <col min="13569" max="13569" width="21.5703125" style="47" customWidth="1"/>
    <col min="13570" max="13570" width="24.140625" style="47" customWidth="1"/>
    <col min="13571" max="13823" width="9.140625" style="47"/>
    <col min="13824" max="13824" width="30.140625" style="47" customWidth="1"/>
    <col min="13825" max="13825" width="21.5703125" style="47" customWidth="1"/>
    <col min="13826" max="13826" width="24.140625" style="47" customWidth="1"/>
    <col min="13827" max="14079" width="9.140625" style="47"/>
    <col min="14080" max="14080" width="30.140625" style="47" customWidth="1"/>
    <col min="14081" max="14081" width="21.5703125" style="47" customWidth="1"/>
    <col min="14082" max="14082" width="24.140625" style="47" customWidth="1"/>
    <col min="14083" max="14335" width="9.140625" style="47"/>
    <col min="14336" max="14336" width="30.140625" style="47" customWidth="1"/>
    <col min="14337" max="14337" width="21.5703125" style="47" customWidth="1"/>
    <col min="14338" max="14338" width="24.140625" style="47" customWidth="1"/>
    <col min="14339" max="14591" width="9.140625" style="47"/>
    <col min="14592" max="14592" width="30.140625" style="47" customWidth="1"/>
    <col min="14593" max="14593" width="21.5703125" style="47" customWidth="1"/>
    <col min="14594" max="14594" width="24.140625" style="47" customWidth="1"/>
    <col min="14595" max="14847" width="9.140625" style="47"/>
    <col min="14848" max="14848" width="30.140625" style="47" customWidth="1"/>
    <col min="14849" max="14849" width="21.5703125" style="47" customWidth="1"/>
    <col min="14850" max="14850" width="24.140625" style="47" customWidth="1"/>
    <col min="14851" max="15103" width="9.140625" style="47"/>
    <col min="15104" max="15104" width="30.140625" style="47" customWidth="1"/>
    <col min="15105" max="15105" width="21.5703125" style="47" customWidth="1"/>
    <col min="15106" max="15106" width="24.140625" style="47" customWidth="1"/>
    <col min="15107" max="15359" width="9.140625" style="47"/>
    <col min="15360" max="15360" width="30.140625" style="47" customWidth="1"/>
    <col min="15361" max="15361" width="21.5703125" style="47" customWidth="1"/>
    <col min="15362" max="15362" width="24.140625" style="47" customWidth="1"/>
    <col min="15363" max="15615" width="9.140625" style="47"/>
    <col min="15616" max="15616" width="30.140625" style="47" customWidth="1"/>
    <col min="15617" max="15617" width="21.5703125" style="47" customWidth="1"/>
    <col min="15618" max="15618" width="24.140625" style="47" customWidth="1"/>
    <col min="15619" max="15871" width="9.140625" style="47"/>
    <col min="15872" max="15872" width="30.140625" style="47" customWidth="1"/>
    <col min="15873" max="15873" width="21.5703125" style="47" customWidth="1"/>
    <col min="15874" max="15874" width="24.140625" style="47" customWidth="1"/>
    <col min="15875" max="16127" width="9.140625" style="47"/>
    <col min="16128" max="16128" width="30.140625" style="47" customWidth="1"/>
    <col min="16129" max="16129" width="21.5703125" style="47" customWidth="1"/>
    <col min="16130" max="16130" width="24.140625" style="47" customWidth="1"/>
    <col min="16131" max="16384" width="9.140625" style="47"/>
  </cols>
  <sheetData>
    <row r="1" spans="1:239" ht="18.75">
      <c r="A1" s="323" t="s">
        <v>215</v>
      </c>
      <c r="B1" s="323"/>
      <c r="C1" s="323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</row>
    <row r="2" spans="1:239" ht="15" customHeight="1">
      <c r="A2" s="268"/>
      <c r="B2" s="268"/>
      <c r="C2" s="268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7"/>
      <c r="HC2" s="47"/>
      <c r="HD2" s="47"/>
      <c r="HE2" s="47"/>
      <c r="HF2" s="47"/>
      <c r="HG2" s="47"/>
      <c r="HH2" s="47"/>
      <c r="HI2" s="47"/>
      <c r="HJ2" s="47"/>
      <c r="HK2" s="47"/>
      <c r="HL2" s="47"/>
      <c r="HM2" s="47"/>
      <c r="HN2" s="47"/>
      <c r="HO2" s="47"/>
      <c r="HP2" s="47"/>
      <c r="HQ2" s="47"/>
      <c r="HR2" s="47"/>
      <c r="HS2" s="47"/>
      <c r="HT2" s="47"/>
      <c r="HU2" s="47"/>
      <c r="HV2" s="47"/>
      <c r="HW2" s="47"/>
      <c r="HX2" s="47"/>
      <c r="HY2" s="47"/>
      <c r="HZ2" s="47"/>
      <c r="IA2" s="47"/>
      <c r="IB2" s="47"/>
      <c r="IC2" s="47"/>
      <c r="ID2" s="47"/>
      <c r="IE2" s="47"/>
    </row>
    <row r="3" spans="1:239" ht="15.6" customHeight="1">
      <c r="A3" s="101" t="s">
        <v>681</v>
      </c>
      <c r="B3" s="49"/>
      <c r="C3" s="49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  <c r="FL3" s="47"/>
      <c r="FM3" s="47"/>
      <c r="FN3" s="47"/>
      <c r="FO3" s="47"/>
      <c r="FP3" s="47"/>
      <c r="FQ3" s="47"/>
      <c r="FR3" s="47"/>
      <c r="FS3" s="47"/>
      <c r="FT3" s="47"/>
      <c r="FU3" s="47"/>
      <c r="FV3" s="47"/>
      <c r="FW3" s="47"/>
      <c r="FX3" s="47"/>
      <c r="FY3" s="47"/>
      <c r="FZ3" s="47"/>
      <c r="GA3" s="47"/>
      <c r="GB3" s="47"/>
      <c r="GC3" s="47"/>
      <c r="GD3" s="47"/>
      <c r="GE3" s="47"/>
      <c r="GF3" s="47"/>
      <c r="GG3" s="47"/>
      <c r="GH3" s="47"/>
      <c r="GI3" s="47"/>
      <c r="GJ3" s="47"/>
      <c r="GK3" s="47"/>
      <c r="GL3" s="47"/>
      <c r="GM3" s="47"/>
      <c r="GN3" s="47"/>
      <c r="GO3" s="47"/>
      <c r="GP3" s="47"/>
      <c r="GQ3" s="47"/>
      <c r="GR3" s="47"/>
      <c r="GS3" s="47"/>
      <c r="GT3" s="47"/>
      <c r="GU3" s="47"/>
      <c r="GV3" s="47"/>
      <c r="GW3" s="47"/>
      <c r="GX3" s="47"/>
      <c r="GY3" s="47"/>
      <c r="GZ3" s="47"/>
      <c r="HA3" s="47"/>
      <c r="HB3" s="47"/>
      <c r="HC3" s="47"/>
      <c r="HD3" s="47"/>
      <c r="HE3" s="47"/>
      <c r="HF3" s="47"/>
      <c r="HG3" s="47"/>
      <c r="HH3" s="47"/>
      <c r="HI3" s="47"/>
      <c r="HJ3" s="47"/>
      <c r="HK3" s="47"/>
      <c r="HL3" s="47"/>
      <c r="HM3" s="47"/>
      <c r="HN3" s="47"/>
      <c r="HO3" s="47"/>
      <c r="HP3" s="47"/>
      <c r="HQ3" s="47"/>
      <c r="HR3" s="47"/>
      <c r="HS3" s="47"/>
      <c r="HT3" s="47"/>
      <c r="HU3" s="47"/>
      <c r="HV3" s="47"/>
      <c r="HW3" s="47"/>
      <c r="HX3" s="47"/>
      <c r="HY3" s="47"/>
      <c r="HZ3" s="47"/>
      <c r="IA3" s="47"/>
      <c r="IB3" s="47"/>
      <c r="IC3" s="47"/>
      <c r="ID3" s="47"/>
      <c r="IE3" s="47"/>
    </row>
    <row r="4" spans="1:239" s="48" customFormat="1" ht="15.6" customHeight="1">
      <c r="A4" s="273" t="s">
        <v>546</v>
      </c>
      <c r="B4" s="79"/>
      <c r="D4" s="132"/>
    </row>
    <row r="5" spans="1:239" s="48" customFormat="1" ht="15.6" customHeight="1">
      <c r="A5" s="103" t="s">
        <v>151</v>
      </c>
      <c r="B5" s="51">
        <v>43738</v>
      </c>
      <c r="C5" s="51">
        <v>43465</v>
      </c>
      <c r="D5" s="132"/>
    </row>
    <row r="6" spans="1:239" s="48" customFormat="1" ht="15.6" customHeight="1">
      <c r="A6" s="101" t="s">
        <v>152</v>
      </c>
      <c r="D6" s="132"/>
    </row>
    <row r="7" spans="1:239" s="48" customFormat="1" ht="15.6" customHeight="1">
      <c r="A7" s="180" t="s">
        <v>426</v>
      </c>
      <c r="B7" s="257" t="str">
        <f>IF(VLOOKUP(A7,过渡表!$A$3:$R$194,18,0)&lt;&gt;0,VLOOKUP(A7,过渡表!$A$3:$R$194,18,0),"")</f>
        <v/>
      </c>
      <c r="C7" s="56"/>
      <c r="D7" s="132">
        <f>IFERROR(B7/C7-1,0)</f>
        <v>0</v>
      </c>
      <c r="E7" s="52" t="str">
        <f>IFERROR(B7-C7,"")</f>
        <v/>
      </c>
    </row>
    <row r="8" spans="1:239" s="48" customFormat="1" ht="15.6" customHeight="1">
      <c r="A8" s="180" t="s">
        <v>427</v>
      </c>
      <c r="B8" s="257" t="str">
        <f>IF(VLOOKUP(A8,过渡表!$A$3:$R$194,18,0)&lt;&gt;0,VLOOKUP(A8,过渡表!$A$3:$R$194,18,0),"")</f>
        <v/>
      </c>
      <c r="C8" s="56"/>
      <c r="D8" s="132">
        <f>IFERROR(B8/C8-1,0)</f>
        <v>0</v>
      </c>
      <c r="E8" s="52" t="str">
        <f t="shared" ref="E8:E72" si="0">IFERROR(B8-C8,"")</f>
        <v/>
      </c>
    </row>
    <row r="9" spans="1:239" s="48" customFormat="1" ht="24">
      <c r="A9" s="189" t="s">
        <v>504</v>
      </c>
      <c r="B9" s="257" t="str">
        <f>IF(VLOOKUP(A9,过渡表!$A$3:$R$194,18,0)&lt;&gt;0,VLOOKUP(A9,过渡表!$A$3:$R$194,18,0),"")</f>
        <v/>
      </c>
      <c r="C9" s="56"/>
      <c r="D9" s="132">
        <f t="shared" ref="D9:D73" si="1">IFERROR(B9/C9-1,0)</f>
        <v>0</v>
      </c>
      <c r="E9" s="52" t="str">
        <f t="shared" si="0"/>
        <v/>
      </c>
    </row>
    <row r="10" spans="1:239" s="48" customFormat="1" ht="15.6" customHeight="1">
      <c r="A10" s="189" t="s">
        <v>371</v>
      </c>
      <c r="B10" s="257" t="str">
        <f>IF(VLOOKUP(A10,过渡表!$A$3:$R$194,18,0)&lt;&gt;0,VLOOKUP(A10,过渡表!$A$3:$R$194,18,0),"")</f>
        <v/>
      </c>
      <c r="C10" s="56"/>
      <c r="D10" s="132">
        <f t="shared" si="1"/>
        <v>0</v>
      </c>
      <c r="E10" s="52" t="str">
        <f t="shared" si="0"/>
        <v/>
      </c>
    </row>
    <row r="11" spans="1:239" s="48" customFormat="1" ht="15.4" customHeight="1">
      <c r="A11" s="189" t="s">
        <v>532</v>
      </c>
      <c r="B11" s="257" t="str">
        <f>IF(VLOOKUP(A11,过渡表!$A$3:$R$194,18,0)&lt;&gt;0,VLOOKUP(A11,过渡表!$A$3:$R$194,18,0),"")</f>
        <v/>
      </c>
      <c r="C11" s="52"/>
      <c r="D11" s="132">
        <f t="shared" si="1"/>
        <v>0</v>
      </c>
      <c r="E11" s="52" t="str">
        <f t="shared" si="0"/>
        <v/>
      </c>
      <c r="F11" s="134"/>
    </row>
    <row r="12" spans="1:239" s="48" customFormat="1" ht="15.4" customHeight="1">
      <c r="A12" s="189" t="s">
        <v>507</v>
      </c>
      <c r="B12" s="257" t="str">
        <f>IF(VLOOKUP(A12,过渡表!$A$3:$R$194,18,0)&lt;&gt;0,VLOOKUP(A12,过渡表!$A$3:$R$194,18,0),"")</f>
        <v/>
      </c>
      <c r="C12" s="52"/>
      <c r="D12" s="132">
        <f t="shared" si="1"/>
        <v>0</v>
      </c>
      <c r="E12" s="52" t="str">
        <f t="shared" si="0"/>
        <v/>
      </c>
      <c r="F12" s="134"/>
    </row>
    <row r="13" spans="1:239" s="48" customFormat="1" ht="15.6" customHeight="1">
      <c r="A13" s="180" t="s">
        <v>428</v>
      </c>
      <c r="B13" s="257" t="str">
        <f>IF(VLOOKUP(A13,过渡表!$A$3:$R$194,18,0)&lt;&gt;0,VLOOKUP(A13,过渡表!$A$3:$R$194,18,0),"")</f>
        <v/>
      </c>
      <c r="C13" s="56"/>
      <c r="D13" s="132">
        <f t="shared" si="1"/>
        <v>0</v>
      </c>
      <c r="E13" s="52" t="str">
        <f t="shared" si="0"/>
        <v/>
      </c>
    </row>
    <row r="14" spans="1:239" s="48" customFormat="1" ht="15.6" customHeight="1">
      <c r="A14" s="180" t="s">
        <v>429</v>
      </c>
      <c r="B14" s="257" t="str">
        <f>IF(VLOOKUP(A14,过渡表!$A$3:$R$194,18,0)&lt;&gt;0,VLOOKUP(A14,过渡表!$A$3:$R$194,18,0),"")</f>
        <v/>
      </c>
      <c r="C14" s="56"/>
      <c r="D14" s="132">
        <f t="shared" si="1"/>
        <v>0</v>
      </c>
      <c r="E14" s="52" t="str">
        <f t="shared" si="0"/>
        <v/>
      </c>
    </row>
    <row r="15" spans="1:239" s="48" customFormat="1" ht="15.6" customHeight="1">
      <c r="A15" s="180" t="s">
        <v>430</v>
      </c>
      <c r="B15" s="257" t="str">
        <f>IF(VLOOKUP(A15,过渡表!$A$3:$R$194,18,0)&lt;&gt;0,VLOOKUP(A15,过渡表!$A$3:$R$194,18,0),"")</f>
        <v/>
      </c>
      <c r="C15" s="56"/>
      <c r="D15" s="132">
        <f t="shared" si="1"/>
        <v>0</v>
      </c>
      <c r="E15" s="52" t="str">
        <f t="shared" si="0"/>
        <v/>
      </c>
    </row>
    <row r="16" spans="1:239" s="48" customFormat="1" ht="15.6" customHeight="1">
      <c r="A16" s="180" t="s">
        <v>431</v>
      </c>
      <c r="B16" s="257" t="str">
        <f>IF(VLOOKUP(A16,过渡表!$A$3:$R$194,18,0)&lt;&gt;0,VLOOKUP(A16,过渡表!$A$3:$R$194,18,0),"")</f>
        <v/>
      </c>
      <c r="C16" s="56"/>
      <c r="D16" s="132">
        <f t="shared" si="1"/>
        <v>0</v>
      </c>
      <c r="E16" s="52" t="str">
        <f t="shared" si="0"/>
        <v/>
      </c>
    </row>
    <row r="17" spans="1:6" s="48" customFormat="1" ht="15.6" customHeight="1">
      <c r="A17" s="180" t="s">
        <v>380</v>
      </c>
      <c r="B17" s="257" t="str">
        <f>IF(VLOOKUP(A17,过渡表!$A$3:$R$194,18,0)&lt;&gt;0,VLOOKUP(A17,过渡表!$A$3:$R$194,18,0),"")</f>
        <v/>
      </c>
      <c r="C17" s="56"/>
      <c r="D17" s="132">
        <f t="shared" si="1"/>
        <v>0</v>
      </c>
      <c r="E17" s="52" t="str">
        <f t="shared" si="0"/>
        <v/>
      </c>
    </row>
    <row r="18" spans="1:6" s="48" customFormat="1" ht="15.6" customHeight="1">
      <c r="A18" s="180" t="s">
        <v>423</v>
      </c>
      <c r="B18" s="257" t="str">
        <f>IF(VLOOKUP(A18,过渡表!$A$3:$R$194,18,0)&lt;&gt;0,VLOOKUP(A18,过渡表!$A$3:$R$194,18,0),"")</f>
        <v/>
      </c>
      <c r="C18" s="56"/>
      <c r="D18" s="132">
        <f t="shared" si="1"/>
        <v>0</v>
      </c>
      <c r="E18" s="52" t="str">
        <f t="shared" si="0"/>
        <v/>
      </c>
    </row>
    <row r="19" spans="1:6" s="48" customFormat="1" ht="15.6" customHeight="1">
      <c r="A19" s="180" t="s">
        <v>432</v>
      </c>
      <c r="B19" s="258" t="str">
        <f>IF(VLOOKUP(A19,过渡表!$A$3:$R$194,18,0)&lt;&gt;0,VLOOKUP(A19,过渡表!$A$3:$R$194,18,0),"")</f>
        <v/>
      </c>
      <c r="C19" s="258"/>
      <c r="D19" s="132">
        <f t="shared" si="1"/>
        <v>0</v>
      </c>
      <c r="E19" s="52" t="str">
        <f t="shared" si="0"/>
        <v/>
      </c>
    </row>
    <row r="20" spans="1:6" s="48" customFormat="1" ht="15.6" customHeight="1">
      <c r="A20" s="104" t="s">
        <v>153</v>
      </c>
      <c r="B20" s="259">
        <f>SUM(B7:B19)</f>
        <v>0</v>
      </c>
      <c r="C20" s="259">
        <f>SUM(C7:C19)</f>
        <v>0</v>
      </c>
      <c r="D20" s="132">
        <f t="shared" si="1"/>
        <v>0</v>
      </c>
      <c r="E20" s="52">
        <f t="shared" si="0"/>
        <v>0</v>
      </c>
    </row>
    <row r="21" spans="1:6" s="48" customFormat="1" ht="15.6" customHeight="1">
      <c r="A21" s="101" t="s">
        <v>154</v>
      </c>
      <c r="B21" s="52"/>
      <c r="C21" s="52"/>
      <c r="D21" s="132">
        <f t="shared" si="1"/>
        <v>0</v>
      </c>
      <c r="E21" s="52">
        <f t="shared" si="0"/>
        <v>0</v>
      </c>
    </row>
    <row r="22" spans="1:6" s="48" customFormat="1" ht="15.6" customHeight="1">
      <c r="A22" s="180" t="s">
        <v>373</v>
      </c>
      <c r="B22" s="56" t="str">
        <f>IF(VLOOKUP(A22,过渡表!$A$3:$R$194,18,0)&lt;&gt;0,VLOOKUP(A22,过渡表!$A$3:$R$194,18,0),"")</f>
        <v/>
      </c>
      <c r="C22" s="52"/>
      <c r="D22" s="132">
        <f t="shared" si="1"/>
        <v>0</v>
      </c>
      <c r="E22" s="52" t="str">
        <f t="shared" si="0"/>
        <v/>
      </c>
    </row>
    <row r="23" spans="1:6" s="48" customFormat="1" ht="15.6" customHeight="1">
      <c r="A23" s="180" t="s">
        <v>543</v>
      </c>
      <c r="B23" s="56"/>
      <c r="C23" s="52"/>
      <c r="D23" s="132"/>
      <c r="E23" s="52">
        <f t="shared" si="0"/>
        <v>0</v>
      </c>
    </row>
    <row r="24" spans="1:6" s="48" customFormat="1" ht="15.6" customHeight="1">
      <c r="A24" s="180" t="s">
        <v>433</v>
      </c>
      <c r="B24" s="56" t="str">
        <f>IF(VLOOKUP(A24,过渡表!$A$3:$R$194,18,0)&lt;&gt;0,VLOOKUP(A24,过渡表!$A$3:$R$194,18,0),"")</f>
        <v/>
      </c>
      <c r="C24" s="52"/>
      <c r="D24" s="132">
        <f t="shared" si="1"/>
        <v>0</v>
      </c>
      <c r="E24" s="52" t="str">
        <f t="shared" si="0"/>
        <v/>
      </c>
    </row>
    <row r="25" spans="1:6" s="48" customFormat="1" ht="15.6" customHeight="1">
      <c r="A25" s="180" t="s">
        <v>434</v>
      </c>
      <c r="B25" s="56" t="str">
        <f>IF(VLOOKUP(A25,过渡表!$A$3:$R$194,18,0)&lt;&gt;0,VLOOKUP(A25,过渡表!$A$3:$R$194,18,0),"")</f>
        <v/>
      </c>
      <c r="C25" s="52"/>
      <c r="D25" s="132">
        <f t="shared" si="1"/>
        <v>0</v>
      </c>
      <c r="E25" s="52" t="str">
        <f t="shared" si="0"/>
        <v/>
      </c>
    </row>
    <row r="26" spans="1:6" s="48" customFormat="1" ht="15.6" customHeight="1">
      <c r="A26" s="180" t="s">
        <v>435</v>
      </c>
      <c r="B26" s="56" t="str">
        <f>IF(VLOOKUP(A26,过渡表!$A$3:$R$194,18,0)&lt;&gt;0,VLOOKUP(A26,过渡表!$A$3:$R$194,18,0),"")</f>
        <v/>
      </c>
      <c r="C26" s="56"/>
      <c r="D26" s="132">
        <f t="shared" si="1"/>
        <v>0</v>
      </c>
      <c r="E26" s="52" t="str">
        <f t="shared" si="0"/>
        <v/>
      </c>
      <c r="F26" s="50"/>
    </row>
    <row r="27" spans="1:6" s="48" customFormat="1" ht="15.6" customHeight="1">
      <c r="A27" s="180" t="s">
        <v>375</v>
      </c>
      <c r="B27" s="56" t="str">
        <f>IF(VLOOKUP(A27,过渡表!$A$3:$R$194,18,0)&lt;&gt;0,VLOOKUP(A27,过渡表!$A$3:$R$194,18,0),"")</f>
        <v/>
      </c>
      <c r="C27" s="56"/>
      <c r="D27" s="132">
        <f t="shared" si="1"/>
        <v>0</v>
      </c>
      <c r="E27" s="52" t="str">
        <f t="shared" si="0"/>
        <v/>
      </c>
      <c r="F27" s="50"/>
    </row>
    <row r="28" spans="1:6" s="48" customFormat="1" ht="15.6" customHeight="1">
      <c r="A28" s="180" t="s">
        <v>376</v>
      </c>
      <c r="B28" s="56" t="str">
        <f>IF(VLOOKUP(A28,过渡表!$A$3:$R$194,18,0)&lt;&gt;0,VLOOKUP(A28,过渡表!$A$3:$R$194,18,0),"")</f>
        <v/>
      </c>
      <c r="C28" s="56"/>
      <c r="D28" s="132">
        <f t="shared" si="1"/>
        <v>0</v>
      </c>
      <c r="E28" s="52" t="str">
        <f t="shared" si="0"/>
        <v/>
      </c>
      <c r="F28" s="50"/>
    </row>
    <row r="29" spans="1:6" s="48" customFormat="1" ht="15.6" customHeight="1">
      <c r="A29" s="180" t="s">
        <v>436</v>
      </c>
      <c r="B29" s="56" t="str">
        <f>IF(VLOOKUP(A29,过渡表!$A$3:$R$194,18,0)&lt;&gt;0,VLOOKUP(A29,过渡表!$A$3:$R$194,18,0),"")</f>
        <v/>
      </c>
      <c r="C29" s="56"/>
      <c r="D29" s="132">
        <f t="shared" si="1"/>
        <v>0</v>
      </c>
      <c r="E29" s="52" t="str">
        <f t="shared" si="0"/>
        <v/>
      </c>
    </row>
    <row r="30" spans="1:6" s="48" customFormat="1" ht="15.6" customHeight="1">
      <c r="A30" s="180" t="s">
        <v>437</v>
      </c>
      <c r="B30" s="56" t="str">
        <f>IF(VLOOKUP(A30,过渡表!$A$3:$R$194,18,0)&lt;&gt;0,VLOOKUP(A30,过渡表!$A$3:$R$194,18,0),"")</f>
        <v/>
      </c>
      <c r="C30" s="56"/>
      <c r="D30" s="132">
        <f t="shared" si="1"/>
        <v>0</v>
      </c>
      <c r="E30" s="52" t="str">
        <f t="shared" si="0"/>
        <v/>
      </c>
    </row>
    <row r="31" spans="1:6" s="48" customFormat="1" ht="15.6" customHeight="1">
      <c r="A31" s="180" t="s">
        <v>438</v>
      </c>
      <c r="B31" s="56" t="str">
        <f>IF(VLOOKUP(A31,过渡表!$A$3:$R$194,18,0)&lt;&gt;0,VLOOKUP(A31,过渡表!$A$3:$R$194,18,0),"")</f>
        <v/>
      </c>
      <c r="C31" s="56"/>
      <c r="D31" s="132">
        <f t="shared" si="1"/>
        <v>0</v>
      </c>
      <c r="E31" s="52" t="str">
        <f t="shared" si="0"/>
        <v/>
      </c>
    </row>
    <row r="32" spans="1:6" s="48" customFormat="1" ht="15.6" customHeight="1">
      <c r="A32" s="180" t="s">
        <v>439</v>
      </c>
      <c r="B32" s="56" t="str">
        <f>IF(VLOOKUP(A32,过渡表!$A$3:$R$194,18,0)&lt;&gt;0,VLOOKUP(A32,过渡表!$A$3:$R$194,18,0),"")</f>
        <v/>
      </c>
      <c r="C32" s="56"/>
      <c r="D32" s="132">
        <f t="shared" si="1"/>
        <v>0</v>
      </c>
      <c r="E32" s="52" t="str">
        <f t="shared" si="0"/>
        <v/>
      </c>
      <c r="F32" s="192"/>
    </row>
    <row r="33" spans="1:239" s="48" customFormat="1" ht="15.6" customHeight="1">
      <c r="A33" s="180" t="s">
        <v>440</v>
      </c>
      <c r="B33" s="56" t="str">
        <f>IF(VLOOKUP(A33,过渡表!$A$3:$R$194,18,0)&lt;&gt;0,VLOOKUP(A33,过渡表!$A$3:$R$194,18,0),"")</f>
        <v/>
      </c>
      <c r="C33" s="56"/>
      <c r="D33" s="132">
        <f t="shared" si="1"/>
        <v>0</v>
      </c>
      <c r="E33" s="52" t="str">
        <f t="shared" si="0"/>
        <v/>
      </c>
    </row>
    <row r="34" spans="1:239" s="48" customFormat="1" ht="15.6" customHeight="1">
      <c r="A34" s="180" t="s">
        <v>542</v>
      </c>
      <c r="B34" s="56"/>
      <c r="C34" s="56"/>
      <c r="D34" s="132"/>
      <c r="E34" s="52">
        <f t="shared" si="0"/>
        <v>0</v>
      </c>
    </row>
    <row r="35" spans="1:239" s="48" customFormat="1" ht="15.6" customHeight="1">
      <c r="A35" s="180" t="s">
        <v>441</v>
      </c>
      <c r="B35" s="56" t="str">
        <f>IF(VLOOKUP(A35,过渡表!$A$3:$R$194,18,0)&lt;&gt;0,VLOOKUP(A35,过渡表!$A$3:$R$194,18,0),"")</f>
        <v/>
      </c>
      <c r="C35" s="56"/>
      <c r="D35" s="132">
        <f t="shared" si="1"/>
        <v>0</v>
      </c>
      <c r="E35" s="52" t="str">
        <f t="shared" si="0"/>
        <v/>
      </c>
    </row>
    <row r="36" spans="1:239" s="48" customFormat="1" ht="15.6" customHeight="1">
      <c r="A36" s="180" t="s">
        <v>442</v>
      </c>
      <c r="B36" s="56" t="str">
        <f>IF(VLOOKUP(A36,过渡表!$A$3:$R$194,18,0)&lt;&gt;0,VLOOKUP(A36,过渡表!$A$3:$R$194,18,0),"")</f>
        <v/>
      </c>
      <c r="C36" s="56"/>
      <c r="D36" s="132">
        <f t="shared" si="1"/>
        <v>0</v>
      </c>
      <c r="E36" s="52" t="str">
        <f t="shared" si="0"/>
        <v/>
      </c>
    </row>
    <row r="37" spans="1:239" s="48" customFormat="1" ht="15.6" customHeight="1">
      <c r="A37" s="180" t="s">
        <v>443</v>
      </c>
      <c r="B37" s="56" t="str">
        <f>IF(VLOOKUP(A37,过渡表!$A$3:$R$194,18,0)&lt;&gt;0,VLOOKUP(A37,过渡表!$A$3:$R$194,18,0),"")</f>
        <v/>
      </c>
      <c r="C37" s="56"/>
      <c r="D37" s="132">
        <f t="shared" si="1"/>
        <v>0</v>
      </c>
      <c r="E37" s="52" t="str">
        <f t="shared" si="0"/>
        <v/>
      </c>
    </row>
    <row r="38" spans="1:239" s="48" customFormat="1" ht="15.6" customHeight="1">
      <c r="A38" s="180" t="s">
        <v>444</v>
      </c>
      <c r="B38" s="56" t="str">
        <f>IF(VLOOKUP(A38,过渡表!$A$3:$R$194,18,0)&lt;&gt;0,VLOOKUP(A38,过渡表!$A$3:$R$194,18,0),"")</f>
        <v/>
      </c>
      <c r="C38" s="56"/>
      <c r="D38" s="132">
        <f t="shared" si="1"/>
        <v>0</v>
      </c>
      <c r="E38" s="52" t="str">
        <f t="shared" si="0"/>
        <v/>
      </c>
    </row>
    <row r="39" spans="1:239" s="48" customFormat="1" ht="15.6" customHeight="1">
      <c r="A39" s="180" t="s">
        <v>445</v>
      </c>
      <c r="B39" s="56" t="str">
        <f>IF(VLOOKUP(A39,过渡表!$A$3:$R$194,18,0)&lt;&gt;0,VLOOKUP(A39,过渡表!$A$3:$R$194,18,0),"")</f>
        <v/>
      </c>
      <c r="C39" s="56"/>
      <c r="D39" s="132">
        <f t="shared" si="1"/>
        <v>0</v>
      </c>
      <c r="E39" s="52" t="str">
        <f t="shared" si="0"/>
        <v/>
      </c>
    </row>
    <row r="40" spans="1:239" s="48" customFormat="1" ht="15.6" customHeight="1">
      <c r="A40" s="180" t="s">
        <v>446</v>
      </c>
      <c r="B40" s="258" t="str">
        <f>IF(VLOOKUP(A40,过渡表!$A$3:$R$194,18,0)&lt;&gt;0,VLOOKUP(A40,过渡表!$A$3:$R$194,18,0),"")</f>
        <v/>
      </c>
      <c r="C40" s="258"/>
      <c r="D40" s="132">
        <f t="shared" si="1"/>
        <v>0</v>
      </c>
      <c r="E40" s="52" t="str">
        <f t="shared" si="0"/>
        <v/>
      </c>
    </row>
    <row r="41" spans="1:239" s="48" customFormat="1" ht="15.6" customHeight="1">
      <c r="A41" s="105" t="s">
        <v>155</v>
      </c>
      <c r="B41" s="259">
        <f>SUM(B22:B40)</f>
        <v>0</v>
      </c>
      <c r="C41" s="259">
        <f>SUM(C22:C40)</f>
        <v>0</v>
      </c>
      <c r="D41" s="132">
        <f t="shared" si="1"/>
        <v>0</v>
      </c>
      <c r="E41" s="52">
        <f t="shared" si="0"/>
        <v>0</v>
      </c>
    </row>
    <row r="42" spans="1:239" s="48" customFormat="1" ht="15.6" customHeight="1" thickBot="1">
      <c r="A42" s="105" t="s">
        <v>156</v>
      </c>
      <c r="B42" s="260">
        <f>B41+B20</f>
        <v>0</v>
      </c>
      <c r="C42" s="260">
        <f>C41+C20</f>
        <v>0</v>
      </c>
      <c r="D42" s="132">
        <f t="shared" si="1"/>
        <v>0</v>
      </c>
      <c r="E42" s="52">
        <f t="shared" si="0"/>
        <v>0</v>
      </c>
    </row>
    <row r="43" spans="1:239" s="48" customFormat="1" ht="15.6" customHeight="1" thickTop="1">
      <c r="A43" s="106"/>
      <c r="B43" s="81"/>
      <c r="C43" s="63"/>
      <c r="D43" s="132">
        <f t="shared" si="1"/>
        <v>0</v>
      </c>
      <c r="E43" s="52">
        <f t="shared" si="0"/>
        <v>0</v>
      </c>
    </row>
    <row r="44" spans="1:239" s="48" customFormat="1" ht="15.6" customHeight="1">
      <c r="A44" s="107"/>
      <c r="B44" s="82"/>
      <c r="C44" s="64"/>
      <c r="D44" s="132">
        <f t="shared" si="1"/>
        <v>0</v>
      </c>
      <c r="E44" s="52">
        <f t="shared" si="0"/>
        <v>0</v>
      </c>
    </row>
    <row r="45" spans="1:239" s="48" customFormat="1" ht="16.5" customHeight="1">
      <c r="A45" s="108"/>
      <c r="B45" s="82"/>
      <c r="D45" s="132">
        <f>IFERROR(#REF!/#REF!-1,0)</f>
        <v>0</v>
      </c>
      <c r="E45" s="52" t="str">
        <f>IFERROR(#REF!-#REF!,"")</f>
        <v/>
      </c>
    </row>
    <row r="46" spans="1:239" s="48" customFormat="1" ht="16.5" hidden="1" customHeight="1">
      <c r="A46" s="108" t="s">
        <v>597</v>
      </c>
      <c r="B46" s="82"/>
      <c r="D46" s="132">
        <f>IFERROR(#REF!/#REF!-1,0)</f>
        <v>0</v>
      </c>
      <c r="E46" s="52" t="str">
        <f>IFERROR(#REF!-#REF!,"")</f>
        <v/>
      </c>
    </row>
    <row r="47" spans="1:239" s="48" customFormat="1" ht="16.5" customHeight="1">
      <c r="A47" s="108"/>
      <c r="B47" s="82"/>
      <c r="D47" s="132"/>
      <c r="E47" s="52">
        <f t="shared" si="0"/>
        <v>0</v>
      </c>
    </row>
    <row r="48" spans="1:239" ht="18.75">
      <c r="A48" s="323" t="s">
        <v>521</v>
      </c>
      <c r="B48" s="323"/>
      <c r="C48" s="323"/>
      <c r="D48" s="132">
        <f t="shared" si="1"/>
        <v>0</v>
      </c>
      <c r="E48" s="52">
        <f t="shared" si="0"/>
        <v>0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  <c r="IE48" s="47"/>
    </row>
    <row r="49" spans="1:239" ht="18.75">
      <c r="A49" s="268"/>
      <c r="B49" s="268"/>
      <c r="C49" s="268"/>
      <c r="D49" s="132"/>
      <c r="E49" s="52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  <c r="HG49" s="47"/>
      <c r="HH49" s="47"/>
      <c r="HI49" s="47"/>
      <c r="HJ49" s="47"/>
      <c r="HK49" s="47"/>
      <c r="HL49" s="47"/>
      <c r="HM49" s="47"/>
      <c r="HN49" s="47"/>
      <c r="HO49" s="47"/>
      <c r="HP49" s="47"/>
      <c r="HQ49" s="47"/>
      <c r="HR49" s="47"/>
      <c r="HS49" s="47"/>
      <c r="HT49" s="47"/>
      <c r="HU49" s="47"/>
      <c r="HV49" s="47"/>
      <c r="HW49" s="47"/>
      <c r="HX49" s="47"/>
      <c r="HY49" s="47"/>
      <c r="HZ49" s="47"/>
      <c r="IA49" s="47"/>
      <c r="IB49" s="47"/>
      <c r="IC49" s="47"/>
      <c r="ID49" s="47"/>
      <c r="IE49" s="47"/>
    </row>
    <row r="50" spans="1:239" ht="15.6" customHeight="1">
      <c r="A50" s="101" t="str">
        <f>A3</f>
        <v>编制单位：</v>
      </c>
      <c r="B50" s="79"/>
      <c r="C50" s="48"/>
      <c r="D50" s="132">
        <f t="shared" si="1"/>
        <v>0</v>
      </c>
      <c r="E50" s="52">
        <f t="shared" si="0"/>
        <v>0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  <c r="HG50" s="47"/>
      <c r="HH50" s="47"/>
      <c r="HI50" s="47"/>
      <c r="HJ50" s="47"/>
      <c r="HK50" s="47"/>
      <c r="HL50" s="47"/>
      <c r="HM50" s="47"/>
      <c r="HN50" s="47"/>
      <c r="HO50" s="47"/>
      <c r="HP50" s="47"/>
      <c r="HQ50" s="47"/>
      <c r="HR50" s="47"/>
      <c r="HS50" s="47"/>
      <c r="HT50" s="47"/>
      <c r="HU50" s="47"/>
      <c r="HV50" s="47"/>
      <c r="HW50" s="47"/>
      <c r="HX50" s="47"/>
      <c r="HY50" s="47"/>
      <c r="HZ50" s="47"/>
      <c r="IA50" s="47"/>
      <c r="IB50" s="47"/>
      <c r="IC50" s="47"/>
      <c r="ID50" s="47"/>
      <c r="IE50" s="47"/>
    </row>
    <row r="51" spans="1:239" s="48" customFormat="1" ht="15.6" customHeight="1">
      <c r="A51" s="273" t="s">
        <v>546</v>
      </c>
      <c r="C51" s="57"/>
      <c r="D51" s="132">
        <f t="shared" si="1"/>
        <v>0</v>
      </c>
      <c r="E51" s="52">
        <f t="shared" si="0"/>
        <v>0</v>
      </c>
    </row>
    <row r="52" spans="1:239" s="48" customFormat="1" ht="12" customHeight="1">
      <c r="A52" s="103" t="s">
        <v>157</v>
      </c>
      <c r="B52" s="51">
        <f>B5</f>
        <v>43738</v>
      </c>
      <c r="C52" s="51">
        <f>C5</f>
        <v>43465</v>
      </c>
      <c r="D52" s="132">
        <f t="shared" si="1"/>
        <v>6.2809156792822396E-3</v>
      </c>
      <c r="E52" s="52">
        <f>IFERROR(B52-C52,"")</f>
        <v>273</v>
      </c>
    </row>
    <row r="53" spans="1:239" s="48" customFormat="1" ht="15.4" customHeight="1">
      <c r="A53" s="101" t="s">
        <v>158</v>
      </c>
      <c r="D53" s="132">
        <f t="shared" si="1"/>
        <v>0</v>
      </c>
      <c r="E53" s="52">
        <f t="shared" si="0"/>
        <v>0</v>
      </c>
    </row>
    <row r="54" spans="1:239" s="48" customFormat="1" ht="15.4" customHeight="1">
      <c r="A54" s="180" t="s">
        <v>459</v>
      </c>
      <c r="B54" s="134" t="str">
        <f>IF(VLOOKUP(A54,过渡表!$A$3:$R$194,18,0)&lt;&gt;0,VLOOKUP(A54,过渡表!$A$3:$R$194,18,0),"")</f>
        <v/>
      </c>
      <c r="C54" s="134"/>
      <c r="D54" s="132">
        <f t="shared" si="1"/>
        <v>0</v>
      </c>
      <c r="E54" s="52" t="str">
        <f t="shared" si="0"/>
        <v/>
      </c>
    </row>
    <row r="55" spans="1:239" s="48" customFormat="1" ht="15.4" customHeight="1">
      <c r="A55" s="180" t="s">
        <v>460</v>
      </c>
      <c r="B55" s="134" t="str">
        <f>IF(VLOOKUP(A55,过渡表!$A$3:$R$194,18,0)&lt;&gt;0,VLOOKUP(A55,过渡表!$A$3:$R$194,18,0),"")</f>
        <v/>
      </c>
      <c r="C55" s="134"/>
      <c r="D55" s="132">
        <f t="shared" si="1"/>
        <v>0</v>
      </c>
      <c r="E55" s="52" t="str">
        <f t="shared" si="0"/>
        <v/>
      </c>
    </row>
    <row r="56" spans="1:239" s="48" customFormat="1" ht="24">
      <c r="A56" s="190" t="s">
        <v>505</v>
      </c>
      <c r="B56" s="134" t="str">
        <f>IF(VLOOKUP(A56,过渡表!$A$3:$R$194,18,0)&lt;&gt;0,VLOOKUP(A56,过渡表!$A$3:$R$194,18,0),"")</f>
        <v/>
      </c>
      <c r="C56" s="134"/>
      <c r="D56" s="132">
        <f t="shared" si="1"/>
        <v>0</v>
      </c>
      <c r="E56" s="52" t="str">
        <f t="shared" si="0"/>
        <v/>
      </c>
    </row>
    <row r="57" spans="1:239" s="48" customFormat="1" ht="15.4" customHeight="1">
      <c r="A57" s="180" t="s">
        <v>378</v>
      </c>
      <c r="B57" s="134" t="str">
        <f>IF(VLOOKUP(A57,过渡表!$A$3:$R$194,18,0)&lt;&gt;0,VLOOKUP(A57,过渡表!$A$3:$R$194,18,0),"")</f>
        <v/>
      </c>
      <c r="C57" s="134"/>
      <c r="D57" s="132">
        <f t="shared" si="1"/>
        <v>0</v>
      </c>
      <c r="E57" s="52" t="str">
        <f t="shared" si="0"/>
        <v/>
      </c>
    </row>
    <row r="58" spans="1:239" s="48" customFormat="1" ht="15.4" customHeight="1">
      <c r="A58" s="180" t="s">
        <v>533</v>
      </c>
      <c r="B58" s="134" t="str">
        <f>IF(VLOOKUP(A58,过渡表!$A$3:$R$194,18,0)&lt;&gt;0,VLOOKUP(A58,过渡表!$A$3:$R$194,18,0),"")</f>
        <v/>
      </c>
      <c r="C58" s="134"/>
      <c r="D58" s="132">
        <f t="shared" si="1"/>
        <v>0</v>
      </c>
      <c r="E58" s="52" t="str">
        <f t="shared" si="0"/>
        <v/>
      </c>
    </row>
    <row r="59" spans="1:239" s="48" customFormat="1" ht="15.4" customHeight="1">
      <c r="A59" s="180" t="s">
        <v>531</v>
      </c>
      <c r="B59" s="134" t="str">
        <f>IF(VLOOKUP(A59,过渡表!$A$3:$R$194,18,0)&lt;&gt;0,VLOOKUP(A59,过渡表!$A$3:$R$194,18,0),"")</f>
        <v/>
      </c>
      <c r="C59" s="134"/>
      <c r="D59" s="132">
        <f t="shared" si="1"/>
        <v>0</v>
      </c>
      <c r="E59" s="52" t="str">
        <f t="shared" si="0"/>
        <v/>
      </c>
    </row>
    <row r="60" spans="1:239" s="48" customFormat="1" ht="15.4" customHeight="1">
      <c r="A60" s="180" t="s">
        <v>462</v>
      </c>
      <c r="B60" s="134" t="str">
        <f>IF(VLOOKUP(A60,过渡表!$A$3:$R$194,18,0)&lt;&gt;0,VLOOKUP(A60,过渡表!$A$3:$R$194,18,0),"")</f>
        <v/>
      </c>
      <c r="C60" s="134"/>
      <c r="D60" s="132">
        <f t="shared" si="1"/>
        <v>0</v>
      </c>
      <c r="E60" s="52" t="str">
        <f t="shared" si="0"/>
        <v/>
      </c>
      <c r="F60" s="100"/>
    </row>
    <row r="61" spans="1:239" s="48" customFormat="1" ht="15.4" customHeight="1">
      <c r="A61" s="180" t="s">
        <v>379</v>
      </c>
      <c r="B61" s="134" t="str">
        <f>IF(VLOOKUP(A61,过渡表!$A$3:$R$194,18,0)&lt;&gt;0,VLOOKUP(A61,过渡表!$A$3:$R$194,18,0),"")</f>
        <v/>
      </c>
      <c r="C61" s="134"/>
      <c r="D61" s="132">
        <f t="shared" si="1"/>
        <v>0</v>
      </c>
      <c r="E61" s="52" t="str">
        <f t="shared" si="0"/>
        <v/>
      </c>
      <c r="F61" s="100"/>
    </row>
    <row r="62" spans="1:239" s="48" customFormat="1" ht="15.4" customHeight="1">
      <c r="A62" s="180" t="s">
        <v>463</v>
      </c>
      <c r="B62" s="134" t="str">
        <f>IF(VLOOKUP(A62,过渡表!$A$3:$R$194,18,0)&lt;&gt;0,VLOOKUP(A62,过渡表!$A$3:$R$194,18,0),"")</f>
        <v/>
      </c>
      <c r="C62" s="134"/>
      <c r="D62" s="132">
        <f t="shared" si="1"/>
        <v>0</v>
      </c>
      <c r="E62" s="52" t="str">
        <f t="shared" si="0"/>
        <v/>
      </c>
      <c r="F62" s="52"/>
    </row>
    <row r="63" spans="1:239" s="48" customFormat="1" ht="15.4" customHeight="1">
      <c r="A63" s="180" t="s">
        <v>464</v>
      </c>
      <c r="B63" s="134" t="str">
        <f>IF(VLOOKUP(A63,过渡表!$A$3:$R$194,18,0)&lt;&gt;0,VLOOKUP(A63,过渡表!$A$3:$R$194,18,0),"")</f>
        <v/>
      </c>
      <c r="C63" s="134"/>
      <c r="D63" s="132">
        <f t="shared" si="1"/>
        <v>0</v>
      </c>
      <c r="E63" s="52" t="str">
        <f t="shared" si="0"/>
        <v/>
      </c>
      <c r="F63" s="100"/>
    </row>
    <row r="64" spans="1:239" s="48" customFormat="1" ht="15.4" customHeight="1">
      <c r="A64" s="180" t="s">
        <v>465</v>
      </c>
      <c r="B64" s="134" t="str">
        <f>IF(VLOOKUP(A64,过渡表!$A$3:$R$194,18,0)&lt;&gt;0,VLOOKUP(A64,过渡表!$A$3:$R$194,18,0),"")</f>
        <v/>
      </c>
      <c r="C64" s="134"/>
      <c r="D64" s="132">
        <f t="shared" si="1"/>
        <v>0</v>
      </c>
      <c r="E64" s="52" t="str">
        <f t="shared" si="0"/>
        <v/>
      </c>
    </row>
    <row r="65" spans="1:5" s="48" customFormat="1" ht="15.4" customHeight="1">
      <c r="A65" s="180" t="s">
        <v>381</v>
      </c>
      <c r="B65" s="134" t="str">
        <f>IF(VLOOKUP(A65,过渡表!$A$3:$R$194,18,0)&lt;&gt;0,VLOOKUP(A65,过渡表!$A$3:$R$194,18,0),"")</f>
        <v/>
      </c>
      <c r="C65" s="134"/>
      <c r="D65" s="132">
        <f t="shared" si="1"/>
        <v>0</v>
      </c>
      <c r="E65" s="52" t="str">
        <f t="shared" si="0"/>
        <v/>
      </c>
    </row>
    <row r="66" spans="1:5" s="48" customFormat="1" ht="15.4" customHeight="1">
      <c r="A66" s="180" t="s">
        <v>466</v>
      </c>
      <c r="B66" s="134" t="str">
        <f>IF(VLOOKUP(A66,过渡表!$A$3:$R$194,18,0)&lt;&gt;0,VLOOKUP(A66,过渡表!$A$3:$R$194,18,0),"")</f>
        <v/>
      </c>
      <c r="C66" s="134"/>
      <c r="D66" s="132">
        <f t="shared" si="1"/>
        <v>0</v>
      </c>
      <c r="E66" s="52" t="str">
        <f t="shared" si="0"/>
        <v/>
      </c>
    </row>
    <row r="67" spans="1:5" s="48" customFormat="1" ht="15.4" customHeight="1">
      <c r="A67" s="180" t="s">
        <v>467</v>
      </c>
      <c r="B67" s="134" t="str">
        <f>IF(VLOOKUP(A67,过渡表!$A$3:$R$194,18,0)&lt;&gt;0,VLOOKUP(A67,过渡表!$A$3:$R$194,18,0),"")</f>
        <v/>
      </c>
      <c r="C67" s="147"/>
      <c r="D67" s="132">
        <f t="shared" si="1"/>
        <v>0</v>
      </c>
      <c r="E67" s="52" t="str">
        <f t="shared" si="0"/>
        <v/>
      </c>
    </row>
    <row r="68" spans="1:5" s="48" customFormat="1" ht="15.4" customHeight="1">
      <c r="A68" s="105" t="s">
        <v>159</v>
      </c>
      <c r="B68" s="145">
        <f>SUM(B54:B67)</f>
        <v>0</v>
      </c>
      <c r="C68" s="146">
        <f>SUM(C54:C67)</f>
        <v>0</v>
      </c>
      <c r="D68" s="132">
        <f t="shared" si="1"/>
        <v>0</v>
      </c>
      <c r="E68" s="52">
        <f t="shared" si="0"/>
        <v>0</v>
      </c>
    </row>
    <row r="69" spans="1:5" s="48" customFormat="1" ht="15.4" customHeight="1">
      <c r="A69" s="101" t="s">
        <v>160</v>
      </c>
      <c r="B69" s="143"/>
      <c r="C69" s="143"/>
      <c r="D69" s="132">
        <f t="shared" si="1"/>
        <v>0</v>
      </c>
      <c r="E69" s="52">
        <f t="shared" si="0"/>
        <v>0</v>
      </c>
    </row>
    <row r="70" spans="1:5" s="48" customFormat="1" ht="15.4" customHeight="1">
      <c r="A70" s="180" t="s">
        <v>478</v>
      </c>
      <c r="B70" s="134" t="str">
        <f>IF(VLOOKUP(A70,过渡表!$A$3:$R$194,18,0)&lt;&gt;0,VLOOKUP(A70,过渡表!$A$3:$R$194,18,0),"")</f>
        <v/>
      </c>
      <c r="C70" s="143"/>
      <c r="D70" s="132">
        <f t="shared" si="1"/>
        <v>0</v>
      </c>
      <c r="E70" s="52" t="str">
        <f t="shared" si="0"/>
        <v/>
      </c>
    </row>
    <row r="71" spans="1:5" s="48" customFormat="1" ht="15.4" customHeight="1">
      <c r="A71" s="180" t="s">
        <v>479</v>
      </c>
      <c r="B71" s="134" t="str">
        <f>IF(VLOOKUP(A71,过渡表!$A$3:$R$194,18,0)&lt;&gt;0,VLOOKUP(A71,过渡表!$A$3:$R$194,18,0),"")</f>
        <v/>
      </c>
      <c r="C71" s="143"/>
      <c r="D71" s="132">
        <f t="shared" si="1"/>
        <v>0</v>
      </c>
      <c r="E71" s="52" t="str">
        <f t="shared" si="0"/>
        <v/>
      </c>
    </row>
    <row r="72" spans="1:5" s="48" customFormat="1" ht="15.4" customHeight="1">
      <c r="A72" s="178" t="s">
        <v>406</v>
      </c>
      <c r="B72" s="134" t="str">
        <f>IF(VLOOKUP(A72,过渡表!$A$3:$R$194,18,0)&lt;&gt;0,VLOOKUP(A72,过渡表!$A$3:$R$194,18,0),"")</f>
        <v/>
      </c>
      <c r="C72" s="143"/>
      <c r="D72" s="132">
        <f t="shared" si="1"/>
        <v>0</v>
      </c>
      <c r="E72" s="52" t="str">
        <f t="shared" si="0"/>
        <v/>
      </c>
    </row>
    <row r="73" spans="1:5" s="48" customFormat="1" ht="15.4" customHeight="1">
      <c r="A73" s="179" t="s">
        <v>480</v>
      </c>
      <c r="B73" s="134" t="str">
        <f>IF(VLOOKUP(A73,过渡表!$A$3:$R$194,18,0)&lt;&gt;0,VLOOKUP(A73,过渡表!$A$3:$R$194,18,0),"")</f>
        <v/>
      </c>
      <c r="C73" s="143"/>
      <c r="D73" s="132">
        <f t="shared" si="1"/>
        <v>0</v>
      </c>
      <c r="E73" s="52" t="str">
        <f t="shared" ref="E73:E94" si="2">IFERROR(B73-C73,"")</f>
        <v/>
      </c>
    </row>
    <row r="74" spans="1:5" s="48" customFormat="1" ht="15.4" customHeight="1">
      <c r="A74" s="180" t="s">
        <v>481</v>
      </c>
      <c r="B74" s="134" t="str">
        <f>IF(VLOOKUP(A74,过渡表!$A$3:$R$194,18,0)&lt;&gt;0,VLOOKUP(A74,过渡表!$A$3:$R$194,18,0),"")</f>
        <v/>
      </c>
      <c r="C74" s="134"/>
      <c r="D74" s="132">
        <f t="shared" ref="D74:D94" si="3">IFERROR(B74/C74-1,0)</f>
        <v>0</v>
      </c>
      <c r="E74" s="52" t="str">
        <f t="shared" si="2"/>
        <v/>
      </c>
    </row>
    <row r="75" spans="1:5" s="48" customFormat="1" ht="15.4" customHeight="1">
      <c r="A75" s="180" t="s">
        <v>482</v>
      </c>
      <c r="B75" s="134" t="str">
        <f>IF(VLOOKUP(A75,过渡表!$A$3:$R$194,18,0)&lt;&gt;0,VLOOKUP(A75,过渡表!$A$3:$R$194,18,0),"")</f>
        <v/>
      </c>
      <c r="C75" s="134"/>
      <c r="D75" s="132">
        <f t="shared" si="3"/>
        <v>0</v>
      </c>
      <c r="E75" s="52" t="str">
        <f t="shared" si="2"/>
        <v/>
      </c>
    </row>
    <row r="76" spans="1:5" s="48" customFormat="1" ht="15.4" customHeight="1">
      <c r="A76" s="180" t="s">
        <v>382</v>
      </c>
      <c r="B76" s="134" t="str">
        <f>IF(VLOOKUP(A76,过渡表!$A$3:$R$194,18,0)&lt;&gt;0,VLOOKUP(A76,过渡表!$A$3:$R$194,18,0),"")</f>
        <v/>
      </c>
      <c r="C76" s="134"/>
      <c r="D76" s="132">
        <f t="shared" si="3"/>
        <v>0</v>
      </c>
      <c r="E76" s="52" t="str">
        <f t="shared" si="2"/>
        <v/>
      </c>
    </row>
    <row r="77" spans="1:5" s="48" customFormat="1" ht="15.4" customHeight="1">
      <c r="A77" s="180" t="s">
        <v>483</v>
      </c>
      <c r="B77" s="134" t="str">
        <f>IF(VLOOKUP(A77,过渡表!$A$3:$R$194,18,0)&lt;&gt;0,VLOOKUP(A77,过渡表!$A$3:$R$194,18,0),"")</f>
        <v/>
      </c>
      <c r="C77" s="134"/>
      <c r="D77" s="132">
        <f t="shared" si="3"/>
        <v>0</v>
      </c>
      <c r="E77" s="52" t="str">
        <f t="shared" si="2"/>
        <v/>
      </c>
    </row>
    <row r="78" spans="1:5" s="48" customFormat="1" ht="15.4" customHeight="1">
      <c r="A78" s="180" t="s">
        <v>484</v>
      </c>
      <c r="B78" s="147" t="str">
        <f>IF(VLOOKUP(A78,过渡表!$A$3:$R$194,18,0)&lt;&gt;0,VLOOKUP(A78,过渡表!$A$3:$R$194,18,0),"")</f>
        <v/>
      </c>
      <c r="C78" s="147"/>
      <c r="D78" s="132">
        <f t="shared" si="3"/>
        <v>0</v>
      </c>
      <c r="E78" s="52" t="str">
        <f t="shared" si="2"/>
        <v/>
      </c>
    </row>
    <row r="79" spans="1:5" s="48" customFormat="1" ht="15.4" customHeight="1">
      <c r="A79" s="105" t="s">
        <v>161</v>
      </c>
      <c r="B79" s="146">
        <f>SUM(B70:B78)</f>
        <v>0</v>
      </c>
      <c r="C79" s="146">
        <f>SUM(C70:C78)</f>
        <v>0</v>
      </c>
      <c r="D79" s="132">
        <f t="shared" si="3"/>
        <v>0</v>
      </c>
      <c r="E79" s="52">
        <f t="shared" si="2"/>
        <v>0</v>
      </c>
    </row>
    <row r="80" spans="1:5" s="48" customFormat="1" ht="15.4" customHeight="1" thickBot="1">
      <c r="A80" s="105" t="s">
        <v>162</v>
      </c>
      <c r="B80" s="135">
        <f>B79+B68</f>
        <v>0</v>
      </c>
      <c r="C80" s="135">
        <f>C79+C68</f>
        <v>0</v>
      </c>
      <c r="D80" s="132">
        <f t="shared" si="3"/>
        <v>0</v>
      </c>
      <c r="E80" s="52">
        <f t="shared" si="2"/>
        <v>0</v>
      </c>
    </row>
    <row r="81" spans="1:7" s="48" customFormat="1" ht="15.4" customHeight="1" thickTop="1">
      <c r="A81" s="101" t="s">
        <v>163</v>
      </c>
      <c r="B81" s="143"/>
      <c r="C81" s="143"/>
      <c r="D81" s="132">
        <f t="shared" si="3"/>
        <v>0</v>
      </c>
      <c r="E81" s="52">
        <f t="shared" si="2"/>
        <v>0</v>
      </c>
    </row>
    <row r="82" spans="1:7" s="48" customFormat="1" ht="15.4" customHeight="1">
      <c r="A82" s="180" t="s">
        <v>599</v>
      </c>
      <c r="B82" s="134" t="str">
        <f>IF(VLOOKUP(A82,过渡表!$A$3:$R$194,18,0)&lt;&gt;0,VLOOKUP(A82,过渡表!$A$3:$R$194,18,0),"")</f>
        <v/>
      </c>
      <c r="C82" s="134"/>
      <c r="D82" s="132">
        <f t="shared" si="3"/>
        <v>0</v>
      </c>
      <c r="E82" s="52" t="str">
        <f t="shared" si="2"/>
        <v/>
      </c>
    </row>
    <row r="83" spans="1:7" s="48" customFormat="1" ht="15.4" customHeight="1">
      <c r="A83" s="180" t="s">
        <v>418</v>
      </c>
      <c r="B83" s="134" t="str">
        <f>IF(VLOOKUP(A83,过渡表!$A$3:$R$194,18,0)&lt;&gt;0,VLOOKUP(A83,过渡表!$A$3:$R$194,18,0),"")</f>
        <v/>
      </c>
      <c r="C83" s="134"/>
      <c r="D83" s="132">
        <f t="shared" si="3"/>
        <v>0</v>
      </c>
      <c r="E83" s="52" t="str">
        <f t="shared" si="2"/>
        <v/>
      </c>
    </row>
    <row r="84" spans="1:7" s="48" customFormat="1" ht="15.4" customHeight="1">
      <c r="A84" s="178" t="s">
        <v>406</v>
      </c>
      <c r="B84" s="134" t="str">
        <f>IF(VLOOKUP(A84,过渡表!$A$3:$R$194,18,0)&lt;&gt;0,VLOOKUP(A84,过渡表!$A$3:$R$194,18,0),"")</f>
        <v/>
      </c>
      <c r="C84" s="134"/>
      <c r="D84" s="132">
        <f t="shared" si="3"/>
        <v>0</v>
      </c>
      <c r="E84" s="52" t="str">
        <f t="shared" si="2"/>
        <v/>
      </c>
    </row>
    <row r="85" spans="1:7" s="48" customFormat="1" ht="15.4" customHeight="1">
      <c r="A85" s="179" t="s">
        <v>407</v>
      </c>
      <c r="B85" s="134" t="str">
        <f>IF(VLOOKUP(A85,过渡表!$A$3:$R$194,18,0)&lt;&gt;0,VLOOKUP(A85,过渡表!$A$3:$R$194,18,0),"")</f>
        <v/>
      </c>
      <c r="C85" s="134"/>
      <c r="D85" s="132">
        <f t="shared" si="3"/>
        <v>0</v>
      </c>
      <c r="E85" s="52" t="str">
        <f t="shared" si="2"/>
        <v/>
      </c>
    </row>
    <row r="86" spans="1:7" s="48" customFormat="1" ht="15.4" customHeight="1">
      <c r="A86" s="180" t="s">
        <v>491</v>
      </c>
      <c r="B86" s="134" t="str">
        <f>IF(VLOOKUP(A86,过渡表!$A$3:$R$194,18,0)&lt;&gt;0,VLOOKUP(A86,过渡表!$A$3:$R$194,18,0),"")</f>
        <v/>
      </c>
      <c r="C86" s="134"/>
      <c r="D86" s="132">
        <f t="shared" si="3"/>
        <v>0</v>
      </c>
      <c r="E86" s="52" t="str">
        <f t="shared" si="2"/>
        <v/>
      </c>
      <c r="F86" s="50"/>
    </row>
    <row r="87" spans="1:7" s="48" customFormat="1" ht="15.4" customHeight="1">
      <c r="A87" s="178" t="s">
        <v>492</v>
      </c>
      <c r="B87" s="134" t="str">
        <f>IF(VLOOKUP(A87,过渡表!$A$3:$R$194,18,0)&lt;&gt;0,VLOOKUP(A87,过渡表!$A$3:$R$194,18,0),"")</f>
        <v/>
      </c>
      <c r="C87" s="134"/>
      <c r="D87" s="132">
        <f t="shared" si="3"/>
        <v>0</v>
      </c>
      <c r="E87" s="52" t="str">
        <f t="shared" si="2"/>
        <v/>
      </c>
      <c r="F87" s="100"/>
      <c r="G87" s="50"/>
    </row>
    <row r="88" spans="1:7" s="48" customFormat="1" ht="15.4" customHeight="1">
      <c r="A88" s="180" t="s">
        <v>493</v>
      </c>
      <c r="B88" s="134" t="str">
        <f>IF(VLOOKUP(A88,过渡表!$A$3:$R$194,18,0)&lt;&gt;0,VLOOKUP(A88,过渡表!$A$3:$R$194,18,0),"")</f>
        <v/>
      </c>
      <c r="C88" s="134"/>
      <c r="D88" s="132">
        <f t="shared" si="3"/>
        <v>0</v>
      </c>
      <c r="E88" s="52" t="str">
        <f t="shared" si="2"/>
        <v/>
      </c>
      <c r="F88" s="100"/>
      <c r="G88" s="50"/>
    </row>
    <row r="89" spans="1:7" s="48" customFormat="1" ht="15.4" customHeight="1">
      <c r="A89" s="180" t="s">
        <v>494</v>
      </c>
      <c r="B89" s="134" t="str">
        <f>IF(VLOOKUP(A89,过渡表!$A$3:$R$194,18,0)&lt;&gt;0,VLOOKUP(A89,过渡表!$A$3:$R$194,18,0),"")</f>
        <v/>
      </c>
      <c r="C89" s="134"/>
      <c r="D89" s="132">
        <f t="shared" si="3"/>
        <v>0</v>
      </c>
      <c r="E89" s="52" t="str">
        <f t="shared" si="2"/>
        <v/>
      </c>
      <c r="G89" s="50"/>
    </row>
    <row r="90" spans="1:7" s="48" customFormat="1" ht="15.4" customHeight="1">
      <c r="A90" s="180" t="s">
        <v>495</v>
      </c>
      <c r="B90" s="134" t="str">
        <f>IF(VLOOKUP(A90,过渡表!$A$3:$R$194,18,0)&lt;&gt;0,VLOOKUP(A90,过渡表!$A$3:$R$194,18,0),"")</f>
        <v/>
      </c>
      <c r="C90" s="134"/>
      <c r="D90" s="132">
        <f t="shared" si="3"/>
        <v>0</v>
      </c>
      <c r="E90" s="52" t="str">
        <f t="shared" si="2"/>
        <v/>
      </c>
      <c r="F90" s="50"/>
    </row>
    <row r="91" spans="1:7" s="48" customFormat="1" ht="15.4" customHeight="1">
      <c r="A91" s="180" t="s">
        <v>496</v>
      </c>
      <c r="B91" s="146">
        <f>SUM(B82:B86,B89:B90)-SUM(B87)</f>
        <v>0</v>
      </c>
      <c r="C91" s="146">
        <f>SUM(C82:C86,C89:C90)-C87</f>
        <v>0</v>
      </c>
      <c r="D91" s="132">
        <f t="shared" si="3"/>
        <v>0</v>
      </c>
      <c r="E91" s="52">
        <f t="shared" si="2"/>
        <v>0</v>
      </c>
      <c r="F91" s="50"/>
    </row>
    <row r="92" spans="1:7" s="48" customFormat="1" ht="15.4" customHeight="1">
      <c r="A92" s="180" t="s">
        <v>497</v>
      </c>
      <c r="B92" s="149"/>
      <c r="C92" s="149"/>
      <c r="D92" s="132">
        <f t="shared" si="3"/>
        <v>0</v>
      </c>
      <c r="E92" s="52">
        <f t="shared" si="2"/>
        <v>0</v>
      </c>
      <c r="F92" s="50"/>
    </row>
    <row r="93" spans="1:7" s="48" customFormat="1" ht="15.4" customHeight="1">
      <c r="A93" s="105" t="s">
        <v>164</v>
      </c>
      <c r="B93" s="146">
        <f>B91+B92</f>
        <v>0</v>
      </c>
      <c r="C93" s="146">
        <f>C91+C92</f>
        <v>0</v>
      </c>
      <c r="D93" s="132">
        <f t="shared" si="3"/>
        <v>0</v>
      </c>
      <c r="E93" s="52">
        <f t="shared" si="2"/>
        <v>0</v>
      </c>
      <c r="F93" s="95"/>
    </row>
    <row r="94" spans="1:7" s="48" customFormat="1" ht="15.4" customHeight="1" thickBot="1">
      <c r="A94" s="105" t="s">
        <v>165</v>
      </c>
      <c r="B94" s="135">
        <f>B93+B80</f>
        <v>0</v>
      </c>
      <c r="C94" s="135">
        <f>C93+C80</f>
        <v>0</v>
      </c>
      <c r="D94" s="132">
        <f t="shared" si="3"/>
        <v>0</v>
      </c>
      <c r="E94" s="52">
        <f t="shared" si="2"/>
        <v>0</v>
      </c>
    </row>
    <row r="95" spans="1:7" s="48" customFormat="1" ht="15.4" customHeight="1" thickTop="1">
      <c r="A95" s="106"/>
      <c r="B95" s="81"/>
      <c r="C95" s="63"/>
      <c r="D95" s="132"/>
      <c r="E95" s="50"/>
      <c r="F95" s="50"/>
    </row>
    <row r="96" spans="1:7" s="48" customFormat="1" ht="15.4" customHeight="1">
      <c r="A96" s="107"/>
      <c r="B96" s="74"/>
      <c r="C96" s="64"/>
      <c r="D96" s="132"/>
      <c r="E96" s="50"/>
      <c r="F96" s="50"/>
    </row>
    <row r="97" spans="1:6" s="48" customFormat="1" ht="16.5" customHeight="1">
      <c r="A97" s="108"/>
      <c r="B97" s="82"/>
      <c r="D97" s="132">
        <f>IFERROR(#REF!/#REF!-1,0)</f>
        <v>0</v>
      </c>
      <c r="E97" s="52" t="str">
        <f>IFERROR(#REF!-#REF!,"")</f>
        <v/>
      </c>
    </row>
    <row r="98" spans="1:6" s="48" customFormat="1" ht="15.4" hidden="1" customHeight="1">
      <c r="A98" s="108" t="str">
        <f>A46</f>
        <v xml:space="preserve">    企业法定代表人：                              主管会计工作负责人：                              会计机构负责人： </v>
      </c>
      <c r="B98" s="82"/>
      <c r="C98" s="84"/>
      <c r="D98" s="132"/>
      <c r="E98" s="132" t="e">
        <f>E97/B93</f>
        <v>#VALUE!</v>
      </c>
      <c r="F98" s="50">
        <f>B91-F97</f>
        <v>0</v>
      </c>
    </row>
    <row r="99" spans="1:6" s="48" customFormat="1" ht="15.4" customHeight="1">
      <c r="A99" s="107"/>
      <c r="B99" s="82"/>
      <c r="C99" s="64"/>
      <c r="D99" s="132"/>
      <c r="E99" s="52"/>
    </row>
    <row r="100" spans="1:6" s="48" customFormat="1" ht="11.25" customHeight="1">
      <c r="A100" s="101" t="s">
        <v>310</v>
      </c>
      <c r="B100" s="80">
        <f>B94-B42</f>
        <v>0</v>
      </c>
      <c r="C100" s="80">
        <f>C94-C42</f>
        <v>0</v>
      </c>
      <c r="D100" s="132"/>
    </row>
    <row r="101" spans="1:6" s="48" customFormat="1" ht="12">
      <c r="A101" s="101"/>
      <c r="B101" s="95"/>
      <c r="C101" s="57"/>
      <c r="D101" s="132"/>
    </row>
    <row r="102" spans="1:6" s="48" customFormat="1" ht="12">
      <c r="A102" s="101"/>
      <c r="B102" s="50"/>
      <c r="C102" s="57"/>
      <c r="D102" s="132"/>
    </row>
    <row r="103" spans="1:6" s="48" customFormat="1" ht="12">
      <c r="A103" s="101"/>
      <c r="B103" s="50"/>
      <c r="C103" s="57"/>
      <c r="D103" s="132"/>
    </row>
    <row r="104" spans="1:6" s="48" customFormat="1" ht="12">
      <c r="A104" s="101"/>
      <c r="B104" s="52"/>
      <c r="C104" s="57"/>
      <c r="D104" s="132"/>
    </row>
    <row r="105" spans="1:6" s="48" customFormat="1" ht="12">
      <c r="A105" s="101"/>
      <c r="B105" s="132"/>
      <c r="C105" s="57"/>
      <c r="D105" s="132"/>
    </row>
    <row r="106" spans="1:6" s="48" customFormat="1" ht="12">
      <c r="A106" s="101"/>
      <c r="B106" s="227"/>
      <c r="C106" s="57"/>
      <c r="D106" s="132"/>
    </row>
    <row r="107" spans="1:6" s="48" customFormat="1" ht="12">
      <c r="A107" s="101"/>
      <c r="C107" s="57"/>
      <c r="D107" s="132"/>
    </row>
    <row r="108" spans="1:6" s="48" customFormat="1" ht="12">
      <c r="A108" s="101"/>
      <c r="C108" s="57"/>
      <c r="D108" s="132"/>
    </row>
    <row r="109" spans="1:6" s="48" customFormat="1" ht="12">
      <c r="A109" s="101"/>
      <c r="C109" s="57"/>
      <c r="D109" s="132"/>
    </row>
    <row r="110" spans="1:6" s="48" customFormat="1" ht="12">
      <c r="A110" s="101"/>
      <c r="C110" s="57"/>
      <c r="D110" s="132"/>
    </row>
    <row r="111" spans="1:6" s="48" customFormat="1" ht="12">
      <c r="A111" s="101"/>
      <c r="C111" s="57"/>
      <c r="D111" s="132"/>
    </row>
    <row r="112" spans="1:6" s="48" customFormat="1" ht="12">
      <c r="A112" s="101"/>
      <c r="C112" s="57"/>
      <c r="D112" s="132"/>
    </row>
    <row r="113" spans="1:4" s="48" customFormat="1" ht="12">
      <c r="A113" s="101"/>
      <c r="C113" s="57"/>
      <c r="D113" s="132"/>
    </row>
    <row r="114" spans="1:4" s="48" customFormat="1" ht="12">
      <c r="A114" s="101"/>
      <c r="C114" s="57"/>
      <c r="D114" s="132"/>
    </row>
    <row r="115" spans="1:4" s="48" customFormat="1" ht="12">
      <c r="A115" s="101"/>
      <c r="C115" s="57"/>
      <c r="D115" s="132"/>
    </row>
    <row r="116" spans="1:4" s="48" customFormat="1" ht="12">
      <c r="A116" s="101"/>
      <c r="C116" s="57"/>
      <c r="D116" s="132"/>
    </row>
    <row r="117" spans="1:4" s="48" customFormat="1" ht="12">
      <c r="A117" s="101"/>
      <c r="C117" s="57"/>
      <c r="D117" s="132"/>
    </row>
    <row r="118" spans="1:4" s="48" customFormat="1" ht="12">
      <c r="A118" s="101"/>
      <c r="C118" s="57"/>
      <c r="D118" s="132"/>
    </row>
    <row r="119" spans="1:4" s="48" customFormat="1" ht="12">
      <c r="A119" s="101"/>
      <c r="C119" s="57"/>
      <c r="D119" s="132"/>
    </row>
    <row r="120" spans="1:4" s="48" customFormat="1" ht="12">
      <c r="A120" s="101"/>
      <c r="C120" s="57"/>
      <c r="D120" s="132"/>
    </row>
    <row r="121" spans="1:4" s="48" customFormat="1" ht="12">
      <c r="A121" s="101"/>
      <c r="C121" s="57"/>
      <c r="D121" s="132"/>
    </row>
    <row r="122" spans="1:4" s="48" customFormat="1" ht="12">
      <c r="A122" s="101"/>
      <c r="C122" s="57"/>
      <c r="D122" s="132"/>
    </row>
    <row r="123" spans="1:4" s="48" customFormat="1" ht="12">
      <c r="A123" s="101"/>
      <c r="C123" s="57"/>
      <c r="D123" s="132"/>
    </row>
    <row r="124" spans="1:4" s="48" customFormat="1" ht="12">
      <c r="A124" s="101"/>
      <c r="C124" s="57"/>
      <c r="D124" s="132"/>
    </row>
    <row r="125" spans="1:4" s="48" customFormat="1" ht="12">
      <c r="A125" s="101"/>
      <c r="C125" s="57"/>
      <c r="D125" s="132"/>
    </row>
    <row r="126" spans="1:4" s="48" customFormat="1" ht="12">
      <c r="A126" s="101"/>
      <c r="C126" s="57"/>
      <c r="D126" s="132"/>
    </row>
    <row r="127" spans="1:4" s="48" customFormat="1" ht="12">
      <c r="A127" s="101"/>
      <c r="C127" s="57"/>
      <c r="D127" s="132"/>
    </row>
    <row r="128" spans="1:4" s="48" customFormat="1" ht="12">
      <c r="A128" s="101"/>
      <c r="C128" s="57"/>
      <c r="D128" s="132"/>
    </row>
    <row r="129" spans="1:4" s="48" customFormat="1" ht="12">
      <c r="A129" s="101"/>
      <c r="C129" s="57"/>
      <c r="D129" s="132"/>
    </row>
    <row r="130" spans="1:4" s="48" customFormat="1" ht="12">
      <c r="A130" s="101"/>
      <c r="C130" s="57"/>
      <c r="D130" s="132"/>
    </row>
    <row r="131" spans="1:4" s="48" customFormat="1" ht="12">
      <c r="A131" s="101"/>
      <c r="C131" s="57"/>
      <c r="D131" s="132"/>
    </row>
    <row r="132" spans="1:4" s="48" customFormat="1" ht="12">
      <c r="A132" s="101"/>
      <c r="C132" s="57"/>
      <c r="D132" s="132"/>
    </row>
    <row r="133" spans="1:4" s="48" customFormat="1">
      <c r="A133" s="109"/>
      <c r="B133" s="54"/>
      <c r="C133" s="66"/>
      <c r="D133" s="133"/>
    </row>
  </sheetData>
  <mergeCells count="2">
    <mergeCell ref="A1:C1"/>
    <mergeCell ref="A48:C48"/>
  </mergeCells>
  <phoneticPr fontId="7" type="noConversion"/>
  <pageMargins left="1.1200000000000001" right="0.7" top="0.74" bottom="0.64" header="0.3" footer="0.3"/>
  <pageSetup paperSize="9" scale="94" orientation="portrait" r:id="rId1"/>
  <rowBreaks count="1" manualBreakCount="1">
    <brk id="47" max="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G155"/>
  <sheetViews>
    <sheetView showZeros="0" topLeftCell="A2" zoomScaleNormal="100" zoomScaleSheetLayoutView="100" workbookViewId="0">
      <pane ySplit="5" topLeftCell="A40" activePane="bottomLeft" state="frozen"/>
      <selection activeCell="A2" sqref="A2"/>
      <selection pane="bottomLeft" activeCell="A65" sqref="A65"/>
    </sheetView>
  </sheetViews>
  <sheetFormatPr defaultColWidth="10.28515625" defaultRowHeight="12.75"/>
  <cols>
    <col min="1" max="1" width="45.7109375" style="47" customWidth="1"/>
    <col min="2" max="4" width="25.7109375" style="55" customWidth="1"/>
    <col min="5" max="5" width="23" style="55" customWidth="1"/>
    <col min="6" max="6" width="19.7109375" style="47" bestFit="1" customWidth="1"/>
    <col min="7" max="7" width="17.5703125" style="47" bestFit="1" customWidth="1"/>
    <col min="8" max="207" width="10.28515625" style="47"/>
    <col min="208" max="208" width="42.28515625" style="47" customWidth="1"/>
    <col min="209" max="209" width="25.42578125" style="47" customWidth="1"/>
    <col min="210" max="210" width="0" style="47" hidden="1" customWidth="1"/>
    <col min="211" max="211" width="18.42578125" style="47" bestFit="1" customWidth="1"/>
    <col min="212" max="212" width="15" style="47" bestFit="1" customWidth="1"/>
    <col min="213" max="213" width="16.140625" style="47" bestFit="1" customWidth="1"/>
    <col min="214" max="214" width="17.28515625" style="47" bestFit="1" customWidth="1"/>
    <col min="215" max="215" width="16.140625" style="47" bestFit="1" customWidth="1"/>
    <col min="216" max="463" width="10.28515625" style="47"/>
    <col min="464" max="464" width="42.28515625" style="47" customWidth="1"/>
    <col min="465" max="465" width="25.42578125" style="47" customWidth="1"/>
    <col min="466" max="466" width="0" style="47" hidden="1" customWidth="1"/>
    <col min="467" max="467" width="18.42578125" style="47" bestFit="1" customWidth="1"/>
    <col min="468" max="468" width="15" style="47" bestFit="1" customWidth="1"/>
    <col min="469" max="469" width="16.140625" style="47" bestFit="1" customWidth="1"/>
    <col min="470" max="470" width="17.28515625" style="47" bestFit="1" customWidth="1"/>
    <col min="471" max="471" width="16.140625" style="47" bestFit="1" customWidth="1"/>
    <col min="472" max="719" width="10.28515625" style="47"/>
    <col min="720" max="720" width="42.28515625" style="47" customWidth="1"/>
    <col min="721" max="721" width="25.42578125" style="47" customWidth="1"/>
    <col min="722" max="722" width="0" style="47" hidden="1" customWidth="1"/>
    <col min="723" max="723" width="18.42578125" style="47" bestFit="1" customWidth="1"/>
    <col min="724" max="724" width="15" style="47" bestFit="1" customWidth="1"/>
    <col min="725" max="725" width="16.140625" style="47" bestFit="1" customWidth="1"/>
    <col min="726" max="726" width="17.28515625" style="47" bestFit="1" customWidth="1"/>
    <col min="727" max="727" width="16.140625" style="47" bestFit="1" customWidth="1"/>
    <col min="728" max="975" width="10.28515625" style="47"/>
    <col min="976" max="976" width="42.28515625" style="47" customWidth="1"/>
    <col min="977" max="977" width="25.42578125" style="47" customWidth="1"/>
    <col min="978" max="978" width="0" style="47" hidden="1" customWidth="1"/>
    <col min="979" max="979" width="18.42578125" style="47" bestFit="1" customWidth="1"/>
    <col min="980" max="980" width="15" style="47" bestFit="1" customWidth="1"/>
    <col min="981" max="981" width="16.140625" style="47" bestFit="1" customWidth="1"/>
    <col min="982" max="982" width="17.28515625" style="47" bestFit="1" customWidth="1"/>
    <col min="983" max="983" width="16.140625" style="47" bestFit="1" customWidth="1"/>
    <col min="984" max="1231" width="10.28515625" style="47"/>
    <col min="1232" max="1232" width="42.28515625" style="47" customWidth="1"/>
    <col min="1233" max="1233" width="25.42578125" style="47" customWidth="1"/>
    <col min="1234" max="1234" width="0" style="47" hidden="1" customWidth="1"/>
    <col min="1235" max="1235" width="18.42578125" style="47" bestFit="1" customWidth="1"/>
    <col min="1236" max="1236" width="15" style="47" bestFit="1" customWidth="1"/>
    <col min="1237" max="1237" width="16.140625" style="47" bestFit="1" customWidth="1"/>
    <col min="1238" max="1238" width="17.28515625" style="47" bestFit="1" customWidth="1"/>
    <col min="1239" max="1239" width="16.140625" style="47" bestFit="1" customWidth="1"/>
    <col min="1240" max="1487" width="10.28515625" style="47"/>
    <col min="1488" max="1488" width="42.28515625" style="47" customWidth="1"/>
    <col min="1489" max="1489" width="25.42578125" style="47" customWidth="1"/>
    <col min="1490" max="1490" width="0" style="47" hidden="1" customWidth="1"/>
    <col min="1491" max="1491" width="18.42578125" style="47" bestFit="1" customWidth="1"/>
    <col min="1492" max="1492" width="15" style="47" bestFit="1" customWidth="1"/>
    <col min="1493" max="1493" width="16.140625" style="47" bestFit="1" customWidth="1"/>
    <col min="1494" max="1494" width="17.28515625" style="47" bestFit="1" customWidth="1"/>
    <col min="1495" max="1495" width="16.140625" style="47" bestFit="1" customWidth="1"/>
    <col min="1496" max="1743" width="10.28515625" style="47"/>
    <col min="1744" max="1744" width="42.28515625" style="47" customWidth="1"/>
    <col min="1745" max="1745" width="25.42578125" style="47" customWidth="1"/>
    <col min="1746" max="1746" width="0" style="47" hidden="1" customWidth="1"/>
    <col min="1747" max="1747" width="18.42578125" style="47" bestFit="1" customWidth="1"/>
    <col min="1748" max="1748" width="15" style="47" bestFit="1" customWidth="1"/>
    <col min="1749" max="1749" width="16.140625" style="47" bestFit="1" customWidth="1"/>
    <col min="1750" max="1750" width="17.28515625" style="47" bestFit="1" customWidth="1"/>
    <col min="1751" max="1751" width="16.140625" style="47" bestFit="1" customWidth="1"/>
    <col min="1752" max="1999" width="10.28515625" style="47"/>
    <col min="2000" max="2000" width="42.28515625" style="47" customWidth="1"/>
    <col min="2001" max="2001" width="25.42578125" style="47" customWidth="1"/>
    <col min="2002" max="2002" width="0" style="47" hidden="1" customWidth="1"/>
    <col min="2003" max="2003" width="18.42578125" style="47" bestFit="1" customWidth="1"/>
    <col min="2004" max="2004" width="15" style="47" bestFit="1" customWidth="1"/>
    <col min="2005" max="2005" width="16.140625" style="47" bestFit="1" customWidth="1"/>
    <col min="2006" max="2006" width="17.28515625" style="47" bestFit="1" customWidth="1"/>
    <col min="2007" max="2007" width="16.140625" style="47" bestFit="1" customWidth="1"/>
    <col min="2008" max="2255" width="10.28515625" style="47"/>
    <col min="2256" max="2256" width="42.28515625" style="47" customWidth="1"/>
    <col min="2257" max="2257" width="25.42578125" style="47" customWidth="1"/>
    <col min="2258" max="2258" width="0" style="47" hidden="1" customWidth="1"/>
    <col min="2259" max="2259" width="18.42578125" style="47" bestFit="1" customWidth="1"/>
    <col min="2260" max="2260" width="15" style="47" bestFit="1" customWidth="1"/>
    <col min="2261" max="2261" width="16.140625" style="47" bestFit="1" customWidth="1"/>
    <col min="2262" max="2262" width="17.28515625" style="47" bestFit="1" customWidth="1"/>
    <col min="2263" max="2263" width="16.140625" style="47" bestFit="1" customWidth="1"/>
    <col min="2264" max="2511" width="10.28515625" style="47"/>
    <col min="2512" max="2512" width="42.28515625" style="47" customWidth="1"/>
    <col min="2513" max="2513" width="25.42578125" style="47" customWidth="1"/>
    <col min="2514" max="2514" width="0" style="47" hidden="1" customWidth="1"/>
    <col min="2515" max="2515" width="18.42578125" style="47" bestFit="1" customWidth="1"/>
    <col min="2516" max="2516" width="15" style="47" bestFit="1" customWidth="1"/>
    <col min="2517" max="2517" width="16.140625" style="47" bestFit="1" customWidth="1"/>
    <col min="2518" max="2518" width="17.28515625" style="47" bestFit="1" customWidth="1"/>
    <col min="2519" max="2519" width="16.140625" style="47" bestFit="1" customWidth="1"/>
    <col min="2520" max="2767" width="10.28515625" style="47"/>
    <col min="2768" max="2768" width="42.28515625" style="47" customWidth="1"/>
    <col min="2769" max="2769" width="25.42578125" style="47" customWidth="1"/>
    <col min="2770" max="2770" width="0" style="47" hidden="1" customWidth="1"/>
    <col min="2771" max="2771" width="18.42578125" style="47" bestFit="1" customWidth="1"/>
    <col min="2772" max="2772" width="15" style="47" bestFit="1" customWidth="1"/>
    <col min="2773" max="2773" width="16.140625" style="47" bestFit="1" customWidth="1"/>
    <col min="2774" max="2774" width="17.28515625" style="47" bestFit="1" customWidth="1"/>
    <col min="2775" max="2775" width="16.140625" style="47" bestFit="1" customWidth="1"/>
    <col min="2776" max="3023" width="10.28515625" style="47"/>
    <col min="3024" max="3024" width="42.28515625" style="47" customWidth="1"/>
    <col min="3025" max="3025" width="25.42578125" style="47" customWidth="1"/>
    <col min="3026" max="3026" width="0" style="47" hidden="1" customWidth="1"/>
    <col min="3027" max="3027" width="18.42578125" style="47" bestFit="1" customWidth="1"/>
    <col min="3028" max="3028" width="15" style="47" bestFit="1" customWidth="1"/>
    <col min="3029" max="3029" width="16.140625" style="47" bestFit="1" customWidth="1"/>
    <col min="3030" max="3030" width="17.28515625" style="47" bestFit="1" customWidth="1"/>
    <col min="3031" max="3031" width="16.140625" style="47" bestFit="1" customWidth="1"/>
    <col min="3032" max="3279" width="10.28515625" style="47"/>
    <col min="3280" max="3280" width="42.28515625" style="47" customWidth="1"/>
    <col min="3281" max="3281" width="25.42578125" style="47" customWidth="1"/>
    <col min="3282" max="3282" width="0" style="47" hidden="1" customWidth="1"/>
    <col min="3283" max="3283" width="18.42578125" style="47" bestFit="1" customWidth="1"/>
    <col min="3284" max="3284" width="15" style="47" bestFit="1" customWidth="1"/>
    <col min="3285" max="3285" width="16.140625" style="47" bestFit="1" customWidth="1"/>
    <col min="3286" max="3286" width="17.28515625" style="47" bestFit="1" customWidth="1"/>
    <col min="3287" max="3287" width="16.140625" style="47" bestFit="1" customWidth="1"/>
    <col min="3288" max="3535" width="10.28515625" style="47"/>
    <col min="3536" max="3536" width="42.28515625" style="47" customWidth="1"/>
    <col min="3537" max="3537" width="25.42578125" style="47" customWidth="1"/>
    <col min="3538" max="3538" width="0" style="47" hidden="1" customWidth="1"/>
    <col min="3539" max="3539" width="18.42578125" style="47" bestFit="1" customWidth="1"/>
    <col min="3540" max="3540" width="15" style="47" bestFit="1" customWidth="1"/>
    <col min="3541" max="3541" width="16.140625" style="47" bestFit="1" customWidth="1"/>
    <col min="3542" max="3542" width="17.28515625" style="47" bestFit="1" customWidth="1"/>
    <col min="3543" max="3543" width="16.140625" style="47" bestFit="1" customWidth="1"/>
    <col min="3544" max="3791" width="10.28515625" style="47"/>
    <col min="3792" max="3792" width="42.28515625" style="47" customWidth="1"/>
    <col min="3793" max="3793" width="25.42578125" style="47" customWidth="1"/>
    <col min="3794" max="3794" width="0" style="47" hidden="1" customWidth="1"/>
    <col min="3795" max="3795" width="18.42578125" style="47" bestFit="1" customWidth="1"/>
    <col min="3796" max="3796" width="15" style="47" bestFit="1" customWidth="1"/>
    <col min="3797" max="3797" width="16.140625" style="47" bestFit="1" customWidth="1"/>
    <col min="3798" max="3798" width="17.28515625" style="47" bestFit="1" customWidth="1"/>
    <col min="3799" max="3799" width="16.140625" style="47" bestFit="1" customWidth="1"/>
    <col min="3800" max="4047" width="10.28515625" style="47"/>
    <col min="4048" max="4048" width="42.28515625" style="47" customWidth="1"/>
    <col min="4049" max="4049" width="25.42578125" style="47" customWidth="1"/>
    <col min="4050" max="4050" width="0" style="47" hidden="1" customWidth="1"/>
    <col min="4051" max="4051" width="18.42578125" style="47" bestFit="1" customWidth="1"/>
    <col min="4052" max="4052" width="15" style="47" bestFit="1" customWidth="1"/>
    <col min="4053" max="4053" width="16.140625" style="47" bestFit="1" customWidth="1"/>
    <col min="4054" max="4054" width="17.28515625" style="47" bestFit="1" customWidth="1"/>
    <col min="4055" max="4055" width="16.140625" style="47" bestFit="1" customWidth="1"/>
    <col min="4056" max="4303" width="10.28515625" style="47"/>
    <col min="4304" max="4304" width="42.28515625" style="47" customWidth="1"/>
    <col min="4305" max="4305" width="25.42578125" style="47" customWidth="1"/>
    <col min="4306" max="4306" width="0" style="47" hidden="1" customWidth="1"/>
    <col min="4307" max="4307" width="18.42578125" style="47" bestFit="1" customWidth="1"/>
    <col min="4308" max="4308" width="15" style="47" bestFit="1" customWidth="1"/>
    <col min="4309" max="4309" width="16.140625" style="47" bestFit="1" customWidth="1"/>
    <col min="4310" max="4310" width="17.28515625" style="47" bestFit="1" customWidth="1"/>
    <col min="4311" max="4311" width="16.140625" style="47" bestFit="1" customWidth="1"/>
    <col min="4312" max="4559" width="10.28515625" style="47"/>
    <col min="4560" max="4560" width="42.28515625" style="47" customWidth="1"/>
    <col min="4561" max="4561" width="25.42578125" style="47" customWidth="1"/>
    <col min="4562" max="4562" width="0" style="47" hidden="1" customWidth="1"/>
    <col min="4563" max="4563" width="18.42578125" style="47" bestFit="1" customWidth="1"/>
    <col min="4564" max="4564" width="15" style="47" bestFit="1" customWidth="1"/>
    <col min="4565" max="4565" width="16.140625" style="47" bestFit="1" customWidth="1"/>
    <col min="4566" max="4566" width="17.28515625" style="47" bestFit="1" customWidth="1"/>
    <col min="4567" max="4567" width="16.140625" style="47" bestFit="1" customWidth="1"/>
    <col min="4568" max="4815" width="10.28515625" style="47"/>
    <col min="4816" max="4816" width="42.28515625" style="47" customWidth="1"/>
    <col min="4817" max="4817" width="25.42578125" style="47" customWidth="1"/>
    <col min="4818" max="4818" width="0" style="47" hidden="1" customWidth="1"/>
    <col min="4819" max="4819" width="18.42578125" style="47" bestFit="1" customWidth="1"/>
    <col min="4820" max="4820" width="15" style="47" bestFit="1" customWidth="1"/>
    <col min="4821" max="4821" width="16.140625" style="47" bestFit="1" customWidth="1"/>
    <col min="4822" max="4822" width="17.28515625" style="47" bestFit="1" customWidth="1"/>
    <col min="4823" max="4823" width="16.140625" style="47" bestFit="1" customWidth="1"/>
    <col min="4824" max="5071" width="10.28515625" style="47"/>
    <col min="5072" max="5072" width="42.28515625" style="47" customWidth="1"/>
    <col min="5073" max="5073" width="25.42578125" style="47" customWidth="1"/>
    <col min="5074" max="5074" width="0" style="47" hidden="1" customWidth="1"/>
    <col min="5075" max="5075" width="18.42578125" style="47" bestFit="1" customWidth="1"/>
    <col min="5076" max="5076" width="15" style="47" bestFit="1" customWidth="1"/>
    <col min="5077" max="5077" width="16.140625" style="47" bestFit="1" customWidth="1"/>
    <col min="5078" max="5078" width="17.28515625" style="47" bestFit="1" customWidth="1"/>
    <col min="5079" max="5079" width="16.140625" style="47" bestFit="1" customWidth="1"/>
    <col min="5080" max="5327" width="10.28515625" style="47"/>
    <col min="5328" max="5328" width="42.28515625" style="47" customWidth="1"/>
    <col min="5329" max="5329" width="25.42578125" style="47" customWidth="1"/>
    <col min="5330" max="5330" width="0" style="47" hidden="1" customWidth="1"/>
    <col min="5331" max="5331" width="18.42578125" style="47" bestFit="1" customWidth="1"/>
    <col min="5332" max="5332" width="15" style="47" bestFit="1" customWidth="1"/>
    <col min="5333" max="5333" width="16.140625" style="47" bestFit="1" customWidth="1"/>
    <col min="5334" max="5334" width="17.28515625" style="47" bestFit="1" customWidth="1"/>
    <col min="5335" max="5335" width="16.140625" style="47" bestFit="1" customWidth="1"/>
    <col min="5336" max="5583" width="10.28515625" style="47"/>
    <col min="5584" max="5584" width="42.28515625" style="47" customWidth="1"/>
    <col min="5585" max="5585" width="25.42578125" style="47" customWidth="1"/>
    <col min="5586" max="5586" width="0" style="47" hidden="1" customWidth="1"/>
    <col min="5587" max="5587" width="18.42578125" style="47" bestFit="1" customWidth="1"/>
    <col min="5588" max="5588" width="15" style="47" bestFit="1" customWidth="1"/>
    <col min="5589" max="5589" width="16.140625" style="47" bestFit="1" customWidth="1"/>
    <col min="5590" max="5590" width="17.28515625" style="47" bestFit="1" customWidth="1"/>
    <col min="5591" max="5591" width="16.140625" style="47" bestFit="1" customWidth="1"/>
    <col min="5592" max="5839" width="10.28515625" style="47"/>
    <col min="5840" max="5840" width="42.28515625" style="47" customWidth="1"/>
    <col min="5841" max="5841" width="25.42578125" style="47" customWidth="1"/>
    <col min="5842" max="5842" width="0" style="47" hidden="1" customWidth="1"/>
    <col min="5843" max="5843" width="18.42578125" style="47" bestFit="1" customWidth="1"/>
    <col min="5844" max="5844" width="15" style="47" bestFit="1" customWidth="1"/>
    <col min="5845" max="5845" width="16.140625" style="47" bestFit="1" customWidth="1"/>
    <col min="5846" max="5846" width="17.28515625" style="47" bestFit="1" customWidth="1"/>
    <col min="5847" max="5847" width="16.140625" style="47" bestFit="1" customWidth="1"/>
    <col min="5848" max="6095" width="10.28515625" style="47"/>
    <col min="6096" max="6096" width="42.28515625" style="47" customWidth="1"/>
    <col min="6097" max="6097" width="25.42578125" style="47" customWidth="1"/>
    <col min="6098" max="6098" width="0" style="47" hidden="1" customWidth="1"/>
    <col min="6099" max="6099" width="18.42578125" style="47" bestFit="1" customWidth="1"/>
    <col min="6100" max="6100" width="15" style="47" bestFit="1" customWidth="1"/>
    <col min="6101" max="6101" width="16.140625" style="47" bestFit="1" customWidth="1"/>
    <col min="6102" max="6102" width="17.28515625" style="47" bestFit="1" customWidth="1"/>
    <col min="6103" max="6103" width="16.140625" style="47" bestFit="1" customWidth="1"/>
    <col min="6104" max="6351" width="10.28515625" style="47"/>
    <col min="6352" max="6352" width="42.28515625" style="47" customWidth="1"/>
    <col min="6353" max="6353" width="25.42578125" style="47" customWidth="1"/>
    <col min="6354" max="6354" width="0" style="47" hidden="1" customWidth="1"/>
    <col min="6355" max="6355" width="18.42578125" style="47" bestFit="1" customWidth="1"/>
    <col min="6356" max="6356" width="15" style="47" bestFit="1" customWidth="1"/>
    <col min="6357" max="6357" width="16.140625" style="47" bestFit="1" customWidth="1"/>
    <col min="6358" max="6358" width="17.28515625" style="47" bestFit="1" customWidth="1"/>
    <col min="6359" max="6359" width="16.140625" style="47" bestFit="1" customWidth="1"/>
    <col min="6360" max="6607" width="10.28515625" style="47"/>
    <col min="6608" max="6608" width="42.28515625" style="47" customWidth="1"/>
    <col min="6609" max="6609" width="25.42578125" style="47" customWidth="1"/>
    <col min="6610" max="6610" width="0" style="47" hidden="1" customWidth="1"/>
    <col min="6611" max="6611" width="18.42578125" style="47" bestFit="1" customWidth="1"/>
    <col min="6612" max="6612" width="15" style="47" bestFit="1" customWidth="1"/>
    <col min="6613" max="6613" width="16.140625" style="47" bestFit="1" customWidth="1"/>
    <col min="6614" max="6614" width="17.28515625" style="47" bestFit="1" customWidth="1"/>
    <col min="6615" max="6615" width="16.140625" style="47" bestFit="1" customWidth="1"/>
    <col min="6616" max="6863" width="10.28515625" style="47"/>
    <col min="6864" max="6864" width="42.28515625" style="47" customWidth="1"/>
    <col min="6865" max="6865" width="25.42578125" style="47" customWidth="1"/>
    <col min="6866" max="6866" width="0" style="47" hidden="1" customWidth="1"/>
    <col min="6867" max="6867" width="18.42578125" style="47" bestFit="1" customWidth="1"/>
    <col min="6868" max="6868" width="15" style="47" bestFit="1" customWidth="1"/>
    <col min="6869" max="6869" width="16.140625" style="47" bestFit="1" customWidth="1"/>
    <col min="6870" max="6870" width="17.28515625" style="47" bestFit="1" customWidth="1"/>
    <col min="6871" max="6871" width="16.140625" style="47" bestFit="1" customWidth="1"/>
    <col min="6872" max="7119" width="10.28515625" style="47"/>
    <col min="7120" max="7120" width="42.28515625" style="47" customWidth="1"/>
    <col min="7121" max="7121" width="25.42578125" style="47" customWidth="1"/>
    <col min="7122" max="7122" width="0" style="47" hidden="1" customWidth="1"/>
    <col min="7123" max="7123" width="18.42578125" style="47" bestFit="1" customWidth="1"/>
    <col min="7124" max="7124" width="15" style="47" bestFit="1" customWidth="1"/>
    <col min="7125" max="7125" width="16.140625" style="47" bestFit="1" customWidth="1"/>
    <col min="7126" max="7126" width="17.28515625" style="47" bestFit="1" customWidth="1"/>
    <col min="7127" max="7127" width="16.140625" style="47" bestFit="1" customWidth="1"/>
    <col min="7128" max="7375" width="10.28515625" style="47"/>
    <col min="7376" max="7376" width="42.28515625" style="47" customWidth="1"/>
    <col min="7377" max="7377" width="25.42578125" style="47" customWidth="1"/>
    <col min="7378" max="7378" width="0" style="47" hidden="1" customWidth="1"/>
    <col min="7379" max="7379" width="18.42578125" style="47" bestFit="1" customWidth="1"/>
    <col min="7380" max="7380" width="15" style="47" bestFit="1" customWidth="1"/>
    <col min="7381" max="7381" width="16.140625" style="47" bestFit="1" customWidth="1"/>
    <col min="7382" max="7382" width="17.28515625" style="47" bestFit="1" customWidth="1"/>
    <col min="7383" max="7383" width="16.140625" style="47" bestFit="1" customWidth="1"/>
    <col min="7384" max="7631" width="10.28515625" style="47"/>
    <col min="7632" max="7632" width="42.28515625" style="47" customWidth="1"/>
    <col min="7633" max="7633" width="25.42578125" style="47" customWidth="1"/>
    <col min="7634" max="7634" width="0" style="47" hidden="1" customWidth="1"/>
    <col min="7635" max="7635" width="18.42578125" style="47" bestFit="1" customWidth="1"/>
    <col min="7636" max="7636" width="15" style="47" bestFit="1" customWidth="1"/>
    <col min="7637" max="7637" width="16.140625" style="47" bestFit="1" customWidth="1"/>
    <col min="7638" max="7638" width="17.28515625" style="47" bestFit="1" customWidth="1"/>
    <col min="7639" max="7639" width="16.140625" style="47" bestFit="1" customWidth="1"/>
    <col min="7640" max="7887" width="10.28515625" style="47"/>
    <col min="7888" max="7888" width="42.28515625" style="47" customWidth="1"/>
    <col min="7889" max="7889" width="25.42578125" style="47" customWidth="1"/>
    <col min="7890" max="7890" width="0" style="47" hidden="1" customWidth="1"/>
    <col min="7891" max="7891" width="18.42578125" style="47" bestFit="1" customWidth="1"/>
    <col min="7892" max="7892" width="15" style="47" bestFit="1" customWidth="1"/>
    <col min="7893" max="7893" width="16.140625" style="47" bestFit="1" customWidth="1"/>
    <col min="7894" max="7894" width="17.28515625" style="47" bestFit="1" customWidth="1"/>
    <col min="7895" max="7895" width="16.140625" style="47" bestFit="1" customWidth="1"/>
    <col min="7896" max="8143" width="10.28515625" style="47"/>
    <col min="8144" max="8144" width="42.28515625" style="47" customWidth="1"/>
    <col min="8145" max="8145" width="25.42578125" style="47" customWidth="1"/>
    <col min="8146" max="8146" width="0" style="47" hidden="1" customWidth="1"/>
    <col min="8147" max="8147" width="18.42578125" style="47" bestFit="1" customWidth="1"/>
    <col min="8148" max="8148" width="15" style="47" bestFit="1" customWidth="1"/>
    <col min="8149" max="8149" width="16.140625" style="47" bestFit="1" customWidth="1"/>
    <col min="8150" max="8150" width="17.28515625" style="47" bestFit="1" customWidth="1"/>
    <col min="8151" max="8151" width="16.140625" style="47" bestFit="1" customWidth="1"/>
    <col min="8152" max="8399" width="10.28515625" style="47"/>
    <col min="8400" max="8400" width="42.28515625" style="47" customWidth="1"/>
    <col min="8401" max="8401" width="25.42578125" style="47" customWidth="1"/>
    <col min="8402" max="8402" width="0" style="47" hidden="1" customWidth="1"/>
    <col min="8403" max="8403" width="18.42578125" style="47" bestFit="1" customWidth="1"/>
    <col min="8404" max="8404" width="15" style="47" bestFit="1" customWidth="1"/>
    <col min="8405" max="8405" width="16.140625" style="47" bestFit="1" customWidth="1"/>
    <col min="8406" max="8406" width="17.28515625" style="47" bestFit="1" customWidth="1"/>
    <col min="8407" max="8407" width="16.140625" style="47" bestFit="1" customWidth="1"/>
    <col min="8408" max="8655" width="10.28515625" style="47"/>
    <col min="8656" max="8656" width="42.28515625" style="47" customWidth="1"/>
    <col min="8657" max="8657" width="25.42578125" style="47" customWidth="1"/>
    <col min="8658" max="8658" width="0" style="47" hidden="1" customWidth="1"/>
    <col min="8659" max="8659" width="18.42578125" style="47" bestFit="1" customWidth="1"/>
    <col min="8660" max="8660" width="15" style="47" bestFit="1" customWidth="1"/>
    <col min="8661" max="8661" width="16.140625" style="47" bestFit="1" customWidth="1"/>
    <col min="8662" max="8662" width="17.28515625" style="47" bestFit="1" customWidth="1"/>
    <col min="8663" max="8663" width="16.140625" style="47" bestFit="1" customWidth="1"/>
    <col min="8664" max="8911" width="10.28515625" style="47"/>
    <col min="8912" max="8912" width="42.28515625" style="47" customWidth="1"/>
    <col min="8913" max="8913" width="25.42578125" style="47" customWidth="1"/>
    <col min="8914" max="8914" width="0" style="47" hidden="1" customWidth="1"/>
    <col min="8915" max="8915" width="18.42578125" style="47" bestFit="1" customWidth="1"/>
    <col min="8916" max="8916" width="15" style="47" bestFit="1" customWidth="1"/>
    <col min="8917" max="8917" width="16.140625" style="47" bestFit="1" customWidth="1"/>
    <col min="8918" max="8918" width="17.28515625" style="47" bestFit="1" customWidth="1"/>
    <col min="8919" max="8919" width="16.140625" style="47" bestFit="1" customWidth="1"/>
    <col min="8920" max="9167" width="10.28515625" style="47"/>
    <col min="9168" max="9168" width="42.28515625" style="47" customWidth="1"/>
    <col min="9169" max="9169" width="25.42578125" style="47" customWidth="1"/>
    <col min="9170" max="9170" width="0" style="47" hidden="1" customWidth="1"/>
    <col min="9171" max="9171" width="18.42578125" style="47" bestFit="1" customWidth="1"/>
    <col min="9172" max="9172" width="15" style="47" bestFit="1" customWidth="1"/>
    <col min="9173" max="9173" width="16.140625" style="47" bestFit="1" customWidth="1"/>
    <col min="9174" max="9174" width="17.28515625" style="47" bestFit="1" customWidth="1"/>
    <col min="9175" max="9175" width="16.140625" style="47" bestFit="1" customWidth="1"/>
    <col min="9176" max="9423" width="10.28515625" style="47"/>
    <col min="9424" max="9424" width="42.28515625" style="47" customWidth="1"/>
    <col min="9425" max="9425" width="25.42578125" style="47" customWidth="1"/>
    <col min="9426" max="9426" width="0" style="47" hidden="1" customWidth="1"/>
    <col min="9427" max="9427" width="18.42578125" style="47" bestFit="1" customWidth="1"/>
    <col min="9428" max="9428" width="15" style="47" bestFit="1" customWidth="1"/>
    <col min="9429" max="9429" width="16.140625" style="47" bestFit="1" customWidth="1"/>
    <col min="9430" max="9430" width="17.28515625" style="47" bestFit="1" customWidth="1"/>
    <col min="9431" max="9431" width="16.140625" style="47" bestFit="1" customWidth="1"/>
    <col min="9432" max="9679" width="10.28515625" style="47"/>
    <col min="9680" max="9680" width="42.28515625" style="47" customWidth="1"/>
    <col min="9681" max="9681" width="25.42578125" style="47" customWidth="1"/>
    <col min="9682" max="9682" width="0" style="47" hidden="1" customWidth="1"/>
    <col min="9683" max="9683" width="18.42578125" style="47" bestFit="1" customWidth="1"/>
    <col min="9684" max="9684" width="15" style="47" bestFit="1" customWidth="1"/>
    <col min="9685" max="9685" width="16.140625" style="47" bestFit="1" customWidth="1"/>
    <col min="9686" max="9686" width="17.28515625" style="47" bestFit="1" customWidth="1"/>
    <col min="9687" max="9687" width="16.140625" style="47" bestFit="1" customWidth="1"/>
    <col min="9688" max="9935" width="10.28515625" style="47"/>
    <col min="9936" max="9936" width="42.28515625" style="47" customWidth="1"/>
    <col min="9937" max="9937" width="25.42578125" style="47" customWidth="1"/>
    <col min="9938" max="9938" width="0" style="47" hidden="1" customWidth="1"/>
    <col min="9939" max="9939" width="18.42578125" style="47" bestFit="1" customWidth="1"/>
    <col min="9940" max="9940" width="15" style="47" bestFit="1" customWidth="1"/>
    <col min="9941" max="9941" width="16.140625" style="47" bestFit="1" customWidth="1"/>
    <col min="9942" max="9942" width="17.28515625" style="47" bestFit="1" customWidth="1"/>
    <col min="9943" max="9943" width="16.140625" style="47" bestFit="1" customWidth="1"/>
    <col min="9944" max="10191" width="10.28515625" style="47"/>
    <col min="10192" max="10192" width="42.28515625" style="47" customWidth="1"/>
    <col min="10193" max="10193" width="25.42578125" style="47" customWidth="1"/>
    <col min="10194" max="10194" width="0" style="47" hidden="1" customWidth="1"/>
    <col min="10195" max="10195" width="18.42578125" style="47" bestFit="1" customWidth="1"/>
    <col min="10196" max="10196" width="15" style="47" bestFit="1" customWidth="1"/>
    <col min="10197" max="10197" width="16.140625" style="47" bestFit="1" customWidth="1"/>
    <col min="10198" max="10198" width="17.28515625" style="47" bestFit="1" customWidth="1"/>
    <col min="10199" max="10199" width="16.140625" style="47" bestFit="1" customWidth="1"/>
    <col min="10200" max="10447" width="10.28515625" style="47"/>
    <col min="10448" max="10448" width="42.28515625" style="47" customWidth="1"/>
    <col min="10449" max="10449" width="25.42578125" style="47" customWidth="1"/>
    <col min="10450" max="10450" width="0" style="47" hidden="1" customWidth="1"/>
    <col min="10451" max="10451" width="18.42578125" style="47" bestFit="1" customWidth="1"/>
    <col min="10452" max="10452" width="15" style="47" bestFit="1" customWidth="1"/>
    <col min="10453" max="10453" width="16.140625" style="47" bestFit="1" customWidth="1"/>
    <col min="10454" max="10454" width="17.28515625" style="47" bestFit="1" customWidth="1"/>
    <col min="10455" max="10455" width="16.140625" style="47" bestFit="1" customWidth="1"/>
    <col min="10456" max="10703" width="10.28515625" style="47"/>
    <col min="10704" max="10704" width="42.28515625" style="47" customWidth="1"/>
    <col min="10705" max="10705" width="25.42578125" style="47" customWidth="1"/>
    <col min="10706" max="10706" width="0" style="47" hidden="1" customWidth="1"/>
    <col min="10707" max="10707" width="18.42578125" style="47" bestFit="1" customWidth="1"/>
    <col min="10708" max="10708" width="15" style="47" bestFit="1" customWidth="1"/>
    <col min="10709" max="10709" width="16.140625" style="47" bestFit="1" customWidth="1"/>
    <col min="10710" max="10710" width="17.28515625" style="47" bestFit="1" customWidth="1"/>
    <col min="10711" max="10711" width="16.140625" style="47" bestFit="1" customWidth="1"/>
    <col min="10712" max="10959" width="10.28515625" style="47"/>
    <col min="10960" max="10960" width="42.28515625" style="47" customWidth="1"/>
    <col min="10961" max="10961" width="25.42578125" style="47" customWidth="1"/>
    <col min="10962" max="10962" width="0" style="47" hidden="1" customWidth="1"/>
    <col min="10963" max="10963" width="18.42578125" style="47" bestFit="1" customWidth="1"/>
    <col min="10964" max="10964" width="15" style="47" bestFit="1" customWidth="1"/>
    <col min="10965" max="10965" width="16.140625" style="47" bestFit="1" customWidth="1"/>
    <col min="10966" max="10966" width="17.28515625" style="47" bestFit="1" customWidth="1"/>
    <col min="10967" max="10967" width="16.140625" style="47" bestFit="1" customWidth="1"/>
    <col min="10968" max="11215" width="10.28515625" style="47"/>
    <col min="11216" max="11216" width="42.28515625" style="47" customWidth="1"/>
    <col min="11217" max="11217" width="25.42578125" style="47" customWidth="1"/>
    <col min="11218" max="11218" width="0" style="47" hidden="1" customWidth="1"/>
    <col min="11219" max="11219" width="18.42578125" style="47" bestFit="1" customWidth="1"/>
    <col min="11220" max="11220" width="15" style="47" bestFit="1" customWidth="1"/>
    <col min="11221" max="11221" width="16.140625" style="47" bestFit="1" customWidth="1"/>
    <col min="11222" max="11222" width="17.28515625" style="47" bestFit="1" customWidth="1"/>
    <col min="11223" max="11223" width="16.140625" style="47" bestFit="1" customWidth="1"/>
    <col min="11224" max="11471" width="10.28515625" style="47"/>
    <col min="11472" max="11472" width="42.28515625" style="47" customWidth="1"/>
    <col min="11473" max="11473" width="25.42578125" style="47" customWidth="1"/>
    <col min="11474" max="11474" width="0" style="47" hidden="1" customWidth="1"/>
    <col min="11475" max="11475" width="18.42578125" style="47" bestFit="1" customWidth="1"/>
    <col min="11476" max="11476" width="15" style="47" bestFit="1" customWidth="1"/>
    <col min="11477" max="11477" width="16.140625" style="47" bestFit="1" customWidth="1"/>
    <col min="11478" max="11478" width="17.28515625" style="47" bestFit="1" customWidth="1"/>
    <col min="11479" max="11479" width="16.140625" style="47" bestFit="1" customWidth="1"/>
    <col min="11480" max="11727" width="10.28515625" style="47"/>
    <col min="11728" max="11728" width="42.28515625" style="47" customWidth="1"/>
    <col min="11729" max="11729" width="25.42578125" style="47" customWidth="1"/>
    <col min="11730" max="11730" width="0" style="47" hidden="1" customWidth="1"/>
    <col min="11731" max="11731" width="18.42578125" style="47" bestFit="1" customWidth="1"/>
    <col min="11732" max="11732" width="15" style="47" bestFit="1" customWidth="1"/>
    <col min="11733" max="11733" width="16.140625" style="47" bestFit="1" customWidth="1"/>
    <col min="11734" max="11734" width="17.28515625" style="47" bestFit="1" customWidth="1"/>
    <col min="11735" max="11735" width="16.140625" style="47" bestFit="1" customWidth="1"/>
    <col min="11736" max="11983" width="10.28515625" style="47"/>
    <col min="11984" max="11984" width="42.28515625" style="47" customWidth="1"/>
    <col min="11985" max="11985" width="25.42578125" style="47" customWidth="1"/>
    <col min="11986" max="11986" width="0" style="47" hidden="1" customWidth="1"/>
    <col min="11987" max="11987" width="18.42578125" style="47" bestFit="1" customWidth="1"/>
    <col min="11988" max="11988" width="15" style="47" bestFit="1" customWidth="1"/>
    <col min="11989" max="11989" width="16.140625" style="47" bestFit="1" customWidth="1"/>
    <col min="11990" max="11990" width="17.28515625" style="47" bestFit="1" customWidth="1"/>
    <col min="11991" max="11991" width="16.140625" style="47" bestFit="1" customWidth="1"/>
    <col min="11992" max="12239" width="10.28515625" style="47"/>
    <col min="12240" max="12240" width="42.28515625" style="47" customWidth="1"/>
    <col min="12241" max="12241" width="25.42578125" style="47" customWidth="1"/>
    <col min="12242" max="12242" width="0" style="47" hidden="1" customWidth="1"/>
    <col min="12243" max="12243" width="18.42578125" style="47" bestFit="1" customWidth="1"/>
    <col min="12244" max="12244" width="15" style="47" bestFit="1" customWidth="1"/>
    <col min="12245" max="12245" width="16.140625" style="47" bestFit="1" customWidth="1"/>
    <col min="12246" max="12246" width="17.28515625" style="47" bestFit="1" customWidth="1"/>
    <col min="12247" max="12247" width="16.140625" style="47" bestFit="1" customWidth="1"/>
    <col min="12248" max="12495" width="10.28515625" style="47"/>
    <col min="12496" max="12496" width="42.28515625" style="47" customWidth="1"/>
    <col min="12497" max="12497" width="25.42578125" style="47" customWidth="1"/>
    <col min="12498" max="12498" width="0" style="47" hidden="1" customWidth="1"/>
    <col min="12499" max="12499" width="18.42578125" style="47" bestFit="1" customWidth="1"/>
    <col min="12500" max="12500" width="15" style="47" bestFit="1" customWidth="1"/>
    <col min="12501" max="12501" width="16.140625" style="47" bestFit="1" customWidth="1"/>
    <col min="12502" max="12502" width="17.28515625" style="47" bestFit="1" customWidth="1"/>
    <col min="12503" max="12503" width="16.140625" style="47" bestFit="1" customWidth="1"/>
    <col min="12504" max="12751" width="10.28515625" style="47"/>
    <col min="12752" max="12752" width="42.28515625" style="47" customWidth="1"/>
    <col min="12753" max="12753" width="25.42578125" style="47" customWidth="1"/>
    <col min="12754" max="12754" width="0" style="47" hidden="1" customWidth="1"/>
    <col min="12755" max="12755" width="18.42578125" style="47" bestFit="1" customWidth="1"/>
    <col min="12756" max="12756" width="15" style="47" bestFit="1" customWidth="1"/>
    <col min="12757" max="12757" width="16.140625" style="47" bestFit="1" customWidth="1"/>
    <col min="12758" max="12758" width="17.28515625" style="47" bestFit="1" customWidth="1"/>
    <col min="12759" max="12759" width="16.140625" style="47" bestFit="1" customWidth="1"/>
    <col min="12760" max="13007" width="10.28515625" style="47"/>
    <col min="13008" max="13008" width="42.28515625" style="47" customWidth="1"/>
    <col min="13009" max="13009" width="25.42578125" style="47" customWidth="1"/>
    <col min="13010" max="13010" width="0" style="47" hidden="1" customWidth="1"/>
    <col min="13011" max="13011" width="18.42578125" style="47" bestFit="1" customWidth="1"/>
    <col min="13012" max="13012" width="15" style="47" bestFit="1" customWidth="1"/>
    <col min="13013" max="13013" width="16.140625" style="47" bestFit="1" customWidth="1"/>
    <col min="13014" max="13014" width="17.28515625" style="47" bestFit="1" customWidth="1"/>
    <col min="13015" max="13015" width="16.140625" style="47" bestFit="1" customWidth="1"/>
    <col min="13016" max="13263" width="10.28515625" style="47"/>
    <col min="13264" max="13264" width="42.28515625" style="47" customWidth="1"/>
    <col min="13265" max="13265" width="25.42578125" style="47" customWidth="1"/>
    <col min="13266" max="13266" width="0" style="47" hidden="1" customWidth="1"/>
    <col min="13267" max="13267" width="18.42578125" style="47" bestFit="1" customWidth="1"/>
    <col min="13268" max="13268" width="15" style="47" bestFit="1" customWidth="1"/>
    <col min="13269" max="13269" width="16.140625" style="47" bestFit="1" customWidth="1"/>
    <col min="13270" max="13270" width="17.28515625" style="47" bestFit="1" customWidth="1"/>
    <col min="13271" max="13271" width="16.140625" style="47" bestFit="1" customWidth="1"/>
    <col min="13272" max="13519" width="10.28515625" style="47"/>
    <col min="13520" max="13520" width="42.28515625" style="47" customWidth="1"/>
    <col min="13521" max="13521" width="25.42578125" style="47" customWidth="1"/>
    <col min="13522" max="13522" width="0" style="47" hidden="1" customWidth="1"/>
    <col min="13523" max="13523" width="18.42578125" style="47" bestFit="1" customWidth="1"/>
    <col min="13524" max="13524" width="15" style="47" bestFit="1" customWidth="1"/>
    <col min="13525" max="13525" width="16.140625" style="47" bestFit="1" customWidth="1"/>
    <col min="13526" max="13526" width="17.28515625" style="47" bestFit="1" customWidth="1"/>
    <col min="13527" max="13527" width="16.140625" style="47" bestFit="1" customWidth="1"/>
    <col min="13528" max="13775" width="10.28515625" style="47"/>
    <col min="13776" max="13776" width="42.28515625" style="47" customWidth="1"/>
    <col min="13777" max="13777" width="25.42578125" style="47" customWidth="1"/>
    <col min="13778" max="13778" width="0" style="47" hidden="1" customWidth="1"/>
    <col min="13779" max="13779" width="18.42578125" style="47" bestFit="1" customWidth="1"/>
    <col min="13780" max="13780" width="15" style="47" bestFit="1" customWidth="1"/>
    <col min="13781" max="13781" width="16.140625" style="47" bestFit="1" customWidth="1"/>
    <col min="13782" max="13782" width="17.28515625" style="47" bestFit="1" customWidth="1"/>
    <col min="13783" max="13783" width="16.140625" style="47" bestFit="1" customWidth="1"/>
    <col min="13784" max="14031" width="10.28515625" style="47"/>
    <col min="14032" max="14032" width="42.28515625" style="47" customWidth="1"/>
    <col min="14033" max="14033" width="25.42578125" style="47" customWidth="1"/>
    <col min="14034" max="14034" width="0" style="47" hidden="1" customWidth="1"/>
    <col min="14035" max="14035" width="18.42578125" style="47" bestFit="1" customWidth="1"/>
    <col min="14036" max="14036" width="15" style="47" bestFit="1" customWidth="1"/>
    <col min="14037" max="14037" width="16.140625" style="47" bestFit="1" customWidth="1"/>
    <col min="14038" max="14038" width="17.28515625" style="47" bestFit="1" customWidth="1"/>
    <col min="14039" max="14039" width="16.140625" style="47" bestFit="1" customWidth="1"/>
    <col min="14040" max="14287" width="10.28515625" style="47"/>
    <col min="14288" max="14288" width="42.28515625" style="47" customWidth="1"/>
    <col min="14289" max="14289" width="25.42578125" style="47" customWidth="1"/>
    <col min="14290" max="14290" width="0" style="47" hidden="1" customWidth="1"/>
    <col min="14291" max="14291" width="18.42578125" style="47" bestFit="1" customWidth="1"/>
    <col min="14292" max="14292" width="15" style="47" bestFit="1" customWidth="1"/>
    <col min="14293" max="14293" width="16.140625" style="47" bestFit="1" customWidth="1"/>
    <col min="14294" max="14294" width="17.28515625" style="47" bestFit="1" customWidth="1"/>
    <col min="14295" max="14295" width="16.140625" style="47" bestFit="1" customWidth="1"/>
    <col min="14296" max="14543" width="10.28515625" style="47"/>
    <col min="14544" max="14544" width="42.28515625" style="47" customWidth="1"/>
    <col min="14545" max="14545" width="25.42578125" style="47" customWidth="1"/>
    <col min="14546" max="14546" width="0" style="47" hidden="1" customWidth="1"/>
    <col min="14547" max="14547" width="18.42578125" style="47" bestFit="1" customWidth="1"/>
    <col min="14548" max="14548" width="15" style="47" bestFit="1" customWidth="1"/>
    <col min="14549" max="14549" width="16.140625" style="47" bestFit="1" customWidth="1"/>
    <col min="14550" max="14550" width="17.28515625" style="47" bestFit="1" customWidth="1"/>
    <col min="14551" max="14551" width="16.140625" style="47" bestFit="1" customWidth="1"/>
    <col min="14552" max="14799" width="10.28515625" style="47"/>
    <col min="14800" max="14800" width="42.28515625" style="47" customWidth="1"/>
    <col min="14801" max="14801" width="25.42578125" style="47" customWidth="1"/>
    <col min="14802" max="14802" width="0" style="47" hidden="1" customWidth="1"/>
    <col min="14803" max="14803" width="18.42578125" style="47" bestFit="1" customWidth="1"/>
    <col min="14804" max="14804" width="15" style="47" bestFit="1" customWidth="1"/>
    <col min="14805" max="14805" width="16.140625" style="47" bestFit="1" customWidth="1"/>
    <col min="14806" max="14806" width="17.28515625" style="47" bestFit="1" customWidth="1"/>
    <col min="14807" max="14807" width="16.140625" style="47" bestFit="1" customWidth="1"/>
    <col min="14808" max="15055" width="10.28515625" style="47"/>
    <col min="15056" max="15056" width="42.28515625" style="47" customWidth="1"/>
    <col min="15057" max="15057" width="25.42578125" style="47" customWidth="1"/>
    <col min="15058" max="15058" width="0" style="47" hidden="1" customWidth="1"/>
    <col min="15059" max="15059" width="18.42578125" style="47" bestFit="1" customWidth="1"/>
    <col min="15060" max="15060" width="15" style="47" bestFit="1" customWidth="1"/>
    <col min="15061" max="15061" width="16.140625" style="47" bestFit="1" customWidth="1"/>
    <col min="15062" max="15062" width="17.28515625" style="47" bestFit="1" customWidth="1"/>
    <col min="15063" max="15063" width="16.140625" style="47" bestFit="1" customWidth="1"/>
    <col min="15064" max="15311" width="10.28515625" style="47"/>
    <col min="15312" max="15312" width="42.28515625" style="47" customWidth="1"/>
    <col min="15313" max="15313" width="25.42578125" style="47" customWidth="1"/>
    <col min="15314" max="15314" width="0" style="47" hidden="1" customWidth="1"/>
    <col min="15315" max="15315" width="18.42578125" style="47" bestFit="1" customWidth="1"/>
    <col min="15316" max="15316" width="15" style="47" bestFit="1" customWidth="1"/>
    <col min="15317" max="15317" width="16.140625" style="47" bestFit="1" customWidth="1"/>
    <col min="15318" max="15318" width="17.28515625" style="47" bestFit="1" customWidth="1"/>
    <col min="15319" max="15319" width="16.140625" style="47" bestFit="1" customWidth="1"/>
    <col min="15320" max="15567" width="10.28515625" style="47"/>
    <col min="15568" max="15568" width="42.28515625" style="47" customWidth="1"/>
    <col min="15569" max="15569" width="25.42578125" style="47" customWidth="1"/>
    <col min="15570" max="15570" width="0" style="47" hidden="1" customWidth="1"/>
    <col min="15571" max="15571" width="18.42578125" style="47" bestFit="1" customWidth="1"/>
    <col min="15572" max="15572" width="15" style="47" bestFit="1" customWidth="1"/>
    <col min="15573" max="15573" width="16.140625" style="47" bestFit="1" customWidth="1"/>
    <col min="15574" max="15574" width="17.28515625" style="47" bestFit="1" customWidth="1"/>
    <col min="15575" max="15575" width="16.140625" style="47" bestFit="1" customWidth="1"/>
    <col min="15576" max="15823" width="10.28515625" style="47"/>
    <col min="15824" max="15824" width="42.28515625" style="47" customWidth="1"/>
    <col min="15825" max="15825" width="25.42578125" style="47" customWidth="1"/>
    <col min="15826" max="15826" width="0" style="47" hidden="1" customWidth="1"/>
    <col min="15827" max="15827" width="18.42578125" style="47" bestFit="1" customWidth="1"/>
    <col min="15828" max="15828" width="15" style="47" bestFit="1" customWidth="1"/>
    <col min="15829" max="15829" width="16.140625" style="47" bestFit="1" customWidth="1"/>
    <col min="15830" max="15830" width="17.28515625" style="47" bestFit="1" customWidth="1"/>
    <col min="15831" max="15831" width="16.140625" style="47" bestFit="1" customWidth="1"/>
    <col min="15832" max="16079" width="10.28515625" style="47"/>
    <col min="16080" max="16080" width="42.28515625" style="47" customWidth="1"/>
    <col min="16081" max="16081" width="25.42578125" style="47" customWidth="1"/>
    <col min="16082" max="16082" width="0" style="47" hidden="1" customWidth="1"/>
    <col min="16083" max="16083" width="18.42578125" style="47" bestFit="1" customWidth="1"/>
    <col min="16084" max="16084" width="15" style="47" bestFit="1" customWidth="1"/>
    <col min="16085" max="16085" width="16.140625" style="47" bestFit="1" customWidth="1"/>
    <col min="16086" max="16086" width="17.28515625" style="47" bestFit="1" customWidth="1"/>
    <col min="16087" max="16087" width="16.140625" style="47" bestFit="1" customWidth="1"/>
    <col min="16088" max="16384" width="10.28515625" style="47"/>
  </cols>
  <sheetData>
    <row r="1" spans="1:6" ht="18.75" hidden="1">
      <c r="A1" s="324"/>
      <c r="B1" s="324"/>
      <c r="C1" s="228"/>
    </row>
    <row r="2" spans="1:6" ht="18.75">
      <c r="A2" s="324" t="s">
        <v>217</v>
      </c>
      <c r="B2" s="324"/>
      <c r="C2" s="324"/>
      <c r="D2" s="324"/>
    </row>
    <row r="3" spans="1:6" ht="15" customHeight="1">
      <c r="A3" s="269"/>
      <c r="B3" s="269"/>
      <c r="C3" s="269"/>
      <c r="D3" s="269"/>
    </row>
    <row r="4" spans="1:6" ht="18.75">
      <c r="A4" s="48" t="str">
        <f>合并资产负债表!A3</f>
        <v>编制单位：</v>
      </c>
      <c r="B4" s="223"/>
      <c r="C4" s="228"/>
      <c r="D4" s="223"/>
    </row>
    <row r="5" spans="1:6" s="57" customFormat="1" ht="16.5" customHeight="1">
      <c r="A5" s="273" t="s">
        <v>546</v>
      </c>
      <c r="B5" s="56"/>
      <c r="C5" s="56"/>
      <c r="E5" s="310"/>
    </row>
    <row r="6" spans="1:6" s="57" customFormat="1" ht="16.5" customHeight="1">
      <c r="A6" s="58" t="s">
        <v>166</v>
      </c>
      <c r="B6" s="68" t="s">
        <v>636</v>
      </c>
      <c r="C6" s="68" t="s">
        <v>637</v>
      </c>
      <c r="D6" s="68" t="s">
        <v>638</v>
      </c>
      <c r="E6" s="311"/>
    </row>
    <row r="7" spans="1:6" s="57" customFormat="1" ht="16.5" customHeight="1">
      <c r="A7" s="60" t="s">
        <v>601</v>
      </c>
      <c r="B7" s="284">
        <f>B8</f>
        <v>0</v>
      </c>
      <c r="C7" s="284">
        <f>C8</f>
        <v>0</v>
      </c>
      <c r="D7" s="284">
        <f>D8</f>
        <v>0</v>
      </c>
      <c r="E7" s="56"/>
      <c r="F7" s="80"/>
    </row>
    <row r="8" spans="1:6" s="57" customFormat="1" ht="16.5" customHeight="1">
      <c r="A8" s="172" t="s">
        <v>602</v>
      </c>
      <c r="B8" s="146">
        <f>过渡表!R83</f>
        <v>0</v>
      </c>
      <c r="C8" s="146">
        <f>过渡表!U83</f>
        <v>0</v>
      </c>
      <c r="D8" s="146"/>
      <c r="E8" s="56"/>
      <c r="F8" s="80"/>
    </row>
    <row r="9" spans="1:6" s="57" customFormat="1" ht="16.5" customHeight="1">
      <c r="A9" s="60" t="s">
        <v>509</v>
      </c>
      <c r="B9" s="184">
        <f>SUM(B10:B15)</f>
        <v>0</v>
      </c>
      <c r="C9" s="184">
        <f>SUM(C10:C15)</f>
        <v>0</v>
      </c>
      <c r="D9" s="184">
        <f>SUM(D10:D15)</f>
        <v>0</v>
      </c>
      <c r="E9" s="56"/>
      <c r="F9" s="80"/>
    </row>
    <row r="10" spans="1:6" s="57" customFormat="1" ht="16.5" customHeight="1">
      <c r="A10" s="172" t="s">
        <v>399</v>
      </c>
      <c r="B10" s="185" t="str">
        <f>IF(VLOOKUP(A10,过渡表!$A$3:$R$194,18,0)=0,"",VLOOKUP(A10,过渡表!$A$3:$R$194,18,0))</f>
        <v/>
      </c>
      <c r="C10" s="134" t="str">
        <f>IF(VLOOKUP(A10,过渡表!$A$3:$V$194,21,0)&lt;&gt;0,VLOOKUP(A10,过渡表!$A$3:$V$194,21,0),"")</f>
        <v/>
      </c>
      <c r="D10" s="185"/>
      <c r="E10" s="56"/>
      <c r="F10" s="80"/>
    </row>
    <row r="11" spans="1:6" s="57" customFormat="1" ht="16.5" customHeight="1">
      <c r="A11" s="173" t="s">
        <v>390</v>
      </c>
      <c r="B11" s="136" t="str">
        <f>IF(VLOOKUP(A11,过渡表!$A$3:$R$194,18,0)=0,"",VLOOKUP(A11,过渡表!$A$3:$R$194,18,0))</f>
        <v/>
      </c>
      <c r="C11" s="134" t="str">
        <f>IF(VLOOKUP(A11,过渡表!$A$3:$V$194,21,0)&lt;&gt;0,VLOOKUP(A11,过渡表!$A$3:$V$194,21,0),"")</f>
        <v/>
      </c>
      <c r="D11" s="159"/>
      <c r="E11" s="56"/>
      <c r="F11" s="80"/>
    </row>
    <row r="12" spans="1:6" s="57" customFormat="1" ht="16.5" customHeight="1">
      <c r="A12" s="173" t="s">
        <v>397</v>
      </c>
      <c r="B12" s="136" t="str">
        <f>IF(VLOOKUP(A12,过渡表!$A$3:$R$194,18,0)=0,"",VLOOKUP(A12,过渡表!$A$3:$R$194,18,0))</f>
        <v/>
      </c>
      <c r="C12" s="134" t="str">
        <f>IF(VLOOKUP(A12,过渡表!$A$3:$V$194,21,0)&lt;&gt;0,VLOOKUP(A12,过渡表!$A$3:$V$194,21,0),"")</f>
        <v/>
      </c>
      <c r="D12" s="140"/>
      <c r="E12" s="56"/>
      <c r="F12" s="80"/>
    </row>
    <row r="13" spans="1:6" s="57" customFormat="1" ht="16.5" customHeight="1">
      <c r="A13" s="173" t="s">
        <v>398</v>
      </c>
      <c r="B13" s="136" t="str">
        <f>IF(VLOOKUP(A13,过渡表!$A$3:$R$194,18,0)=0,"",VLOOKUP(A13,过渡表!$A$3:$R$194,18,0))</f>
        <v/>
      </c>
      <c r="C13" s="134" t="str">
        <f>IF(VLOOKUP(A13,过渡表!$A$3:$V$194,21,0)&lt;&gt;0,VLOOKUP(A13,过渡表!$A$3:$V$194,21,0),"")</f>
        <v/>
      </c>
      <c r="D13" s="222"/>
      <c r="E13" s="56"/>
      <c r="F13" s="80"/>
    </row>
    <row r="14" spans="1:6" s="57" customFormat="1" ht="16.5" customHeight="1">
      <c r="A14" s="173" t="s">
        <v>400</v>
      </c>
      <c r="B14" s="136" t="str">
        <f>IF(VLOOKUP(A14,过渡表!$A$3:$R$194,18,0)=0,"",VLOOKUP(A14,过渡表!$A$3:$R$194,18,0))</f>
        <v/>
      </c>
      <c r="C14" s="134" t="str">
        <f>IF(VLOOKUP(A14,过渡表!$A$3:$V$194,21,0)&lt;&gt;0,VLOOKUP(A14,过渡表!$A$3:$V$194,21,0),"")</f>
        <v/>
      </c>
      <c r="D14" s="140"/>
      <c r="E14" s="56"/>
      <c r="F14" s="80"/>
    </row>
    <row r="15" spans="1:6" s="57" customFormat="1" ht="16.5" customHeight="1">
      <c r="A15" s="173" t="s">
        <v>401</v>
      </c>
      <c r="B15" s="136" t="str">
        <f>IF(VLOOKUP(A15,过渡表!$A$3:$R$194,18,0)=0,"",VLOOKUP(A15,过渡表!$A$3:$R$194,18,0))</f>
        <v/>
      </c>
      <c r="C15" s="134" t="str">
        <f>IF(VLOOKUP(A15,过渡表!$A$3:$V$194,21,0)&lt;&gt;0,VLOOKUP(A15,过渡表!$A$3:$V$194,21,0),"")</f>
        <v/>
      </c>
      <c r="D15" s="140"/>
      <c r="E15" s="56"/>
      <c r="F15" s="80"/>
    </row>
    <row r="16" spans="1:6" s="57" customFormat="1" ht="16.5" customHeight="1">
      <c r="A16" s="174" t="s">
        <v>402</v>
      </c>
      <c r="B16" s="136" t="str">
        <f>IF(VLOOKUP(A16,过渡表!$A$3:$R$194,18,0)=0,"",VLOOKUP(A16,过渡表!$A$3:$R$194,18,0))</f>
        <v/>
      </c>
      <c r="C16" s="134" t="str">
        <f>IF(VLOOKUP(A16,过渡表!$A$3:$V$194,21,0)&lt;&gt;0,VLOOKUP(A16,过渡表!$A$3:$V$194,21,0),"")</f>
        <v/>
      </c>
      <c r="D16" s="140"/>
      <c r="E16" s="56"/>
      <c r="F16" s="80"/>
    </row>
    <row r="17" spans="1:7" s="57" customFormat="1" ht="16.5" customHeight="1">
      <c r="A17" s="175" t="s">
        <v>403</v>
      </c>
      <c r="B17" s="136" t="str">
        <f>IF(VLOOKUP(A17,过渡表!$A$3:$R$194,18,0)=0,"",VLOOKUP(A17,过渡表!$A$3:$R$194,18,0))</f>
        <v/>
      </c>
      <c r="C17" s="134" t="str">
        <f>IF(VLOOKUP(A17,过渡表!$A$3:$V$194,21,0)&lt;&gt;0,VLOOKUP(A17,过渡表!$A$3:$V$194,21,0),"")</f>
        <v/>
      </c>
      <c r="D17" s="140"/>
      <c r="E17" s="56"/>
      <c r="F17" s="80"/>
    </row>
    <row r="18" spans="1:7" s="57" customFormat="1" ht="16.5" customHeight="1">
      <c r="A18" s="172" t="s">
        <v>412</v>
      </c>
      <c r="B18" s="136" t="str">
        <f>IF(VLOOKUP(A18,过渡表!$A$3:$R$194,18,0)=0,"",VLOOKUP(A18,过渡表!$A$3:$R$194,18,0))</f>
        <v/>
      </c>
      <c r="C18" s="134" t="str">
        <f>IF(VLOOKUP(A18,过渡表!$A$3:$V$194,21,0)&lt;&gt;0,VLOOKUP(A18,过渡表!$A$3:$V$194,21,0),"")</f>
        <v/>
      </c>
      <c r="D18" s="140"/>
      <c r="E18" s="56"/>
      <c r="F18" s="80"/>
    </row>
    <row r="19" spans="1:7" s="57" customFormat="1" ht="16.5" customHeight="1">
      <c r="A19" s="173" t="s">
        <v>662</v>
      </c>
      <c r="B19" s="136" t="str">
        <f>IF(VLOOKUP(A19,过渡表!$A$3:$R$194,18,0)=0,"",VLOOKUP(A19,过渡表!$A$3:$R$194,18,0))</f>
        <v/>
      </c>
      <c r="C19" s="134" t="str">
        <f>IF(VLOOKUP(A19,过渡表!$A$3:$V$194,21,0)&lt;&gt;0,VLOOKUP(A19,过渡表!$A$3:$V$194,21,0),"")</f>
        <v/>
      </c>
      <c r="D19" s="134"/>
      <c r="E19" s="56"/>
      <c r="F19" s="80"/>
    </row>
    <row r="20" spans="1:7" s="57" customFormat="1" ht="16.5" customHeight="1">
      <c r="A20" s="174" t="s">
        <v>413</v>
      </c>
      <c r="B20" s="136" t="str">
        <f>IF(VLOOKUP(A20,过渡表!$A$3:$R$194,18,0)=0,"",VLOOKUP(A20,过渡表!$A$3:$R$194,18,0))</f>
        <v/>
      </c>
      <c r="C20" s="134" t="str">
        <f>IF(VLOOKUP(A20,过渡表!$A$3:$V$194,21,0)&lt;&gt;0,VLOOKUP(A20,过渡表!$A$3:$V$194,21,0),"")</f>
        <v/>
      </c>
      <c r="D20" s="134"/>
      <c r="E20" s="56"/>
      <c r="F20" s="80"/>
    </row>
    <row r="21" spans="1:7" s="57" customFormat="1" ht="27" customHeight="1">
      <c r="A21" s="266" t="s">
        <v>663</v>
      </c>
      <c r="B21" s="136" t="str">
        <f>IF(VLOOKUP(A21,过渡表!$A$3:$R$194,18,0)=0,"",VLOOKUP(A21,过渡表!$A$3:$R$194,18,0))</f>
        <v/>
      </c>
      <c r="C21" s="134" t="str">
        <f>IF(VLOOKUP(A21,过渡表!$A$3:$V$194,21,0)&lt;&gt;0,VLOOKUP(A21,过渡表!$A$3:$V$194,21,0),"")</f>
        <v/>
      </c>
      <c r="D21" s="134"/>
      <c r="E21" s="56"/>
      <c r="F21" s="80"/>
    </row>
    <row r="22" spans="1:7" s="57" customFormat="1" ht="16.5" customHeight="1">
      <c r="A22" s="173" t="s">
        <v>639</v>
      </c>
      <c r="B22" s="136" t="str">
        <f>IF(VLOOKUP(A22,过渡表!$A$3:$R$194,18,0)=0,"",VLOOKUP(A22,过渡表!$A$3:$R$194,18,0))</f>
        <v/>
      </c>
      <c r="C22" s="134" t="str">
        <f>IF(VLOOKUP(A22,过渡表!$A$3:$V$194,21,0)&lt;&gt;0,VLOOKUP(A22,过渡表!$A$3:$V$194,21,0),"")</f>
        <v/>
      </c>
      <c r="D22" s="134"/>
      <c r="E22" s="56"/>
      <c r="F22" s="80"/>
    </row>
    <row r="23" spans="1:7" s="57" customFormat="1" ht="16.5" customHeight="1">
      <c r="A23" s="173" t="s">
        <v>660</v>
      </c>
      <c r="B23" s="136" t="str">
        <f>IF(VLOOKUP(A23,过渡表!$A$3:$R$194,18,0)=0,"",VLOOKUP(A23,过渡表!$A$3:$R$194,18,0))</f>
        <v/>
      </c>
      <c r="C23" s="134" t="str">
        <f>IF(VLOOKUP(A23,过渡表!$A$3:$V$194,21,0)&lt;&gt;0,VLOOKUP(A23,过渡表!$A$3:$V$194,21,0),"")</f>
        <v/>
      </c>
      <c r="D23" s="134"/>
      <c r="E23" s="56"/>
      <c r="F23" s="80"/>
    </row>
    <row r="24" spans="1:7" s="57" customFormat="1" ht="16.5" customHeight="1">
      <c r="A24" s="173" t="s">
        <v>649</v>
      </c>
      <c r="B24" s="136" t="str">
        <f>IF(VLOOKUP(A24,过渡表!$A$3:$R$194,18,0)=0,"",VLOOKUP(A24,过渡表!$A$3:$R$194,18,0))</f>
        <v/>
      </c>
      <c r="C24" s="134" t="str">
        <f>IF(VLOOKUP(A24,过渡表!$A$3:$V$194,21,0)&lt;&gt;0,VLOOKUP(A24,过渡表!$A$3:$V$194,21,0),"")</f>
        <v/>
      </c>
      <c r="D24" s="134"/>
      <c r="E24" s="56"/>
      <c r="F24" s="80"/>
    </row>
    <row r="25" spans="1:7" s="57" customFormat="1" ht="16.5" customHeight="1">
      <c r="A25" s="173" t="s">
        <v>661</v>
      </c>
      <c r="B25" s="136" t="str">
        <f>IF(VLOOKUP(A25,过渡表!$A$3:$R$194,18,0)=0,"",VLOOKUP(A25,过渡表!$A$3:$R$194,18,0))</f>
        <v/>
      </c>
      <c r="C25" s="134" t="str">
        <f>IF(VLOOKUP(A25,过渡表!$A$3:$V$194,21,0)&lt;&gt;0,VLOOKUP(A25,过渡表!$A$3:$V$194,21,0),"")</f>
        <v/>
      </c>
      <c r="D25" s="140"/>
      <c r="E25" s="56"/>
      <c r="F25" s="80"/>
    </row>
    <row r="26" spans="1:7" s="57" customFormat="1" ht="16.5" customHeight="1">
      <c r="A26" s="173" t="s">
        <v>659</v>
      </c>
      <c r="B26" s="136" t="str">
        <f>IF(VLOOKUP(A26,过渡表!$A$3:$R$194,18,0)=0,"",VLOOKUP(A26,过渡表!$A$3:$R$194,18,0))</f>
        <v/>
      </c>
      <c r="C26" s="134" t="str">
        <f>IF(VLOOKUP(A26,过渡表!$A$3:$V$194,21,0)&lt;&gt;0,VLOOKUP(A26,过渡表!$A$3:$V$194,21,0),"")</f>
        <v/>
      </c>
      <c r="D26" s="140"/>
      <c r="E26" s="56"/>
      <c r="F26" s="80"/>
    </row>
    <row r="27" spans="1:7" s="57" customFormat="1" ht="16.5" customHeight="1">
      <c r="A27" s="173" t="s">
        <v>535</v>
      </c>
      <c r="B27" s="136" t="str">
        <f>IF(VLOOKUP(A27,过渡表!$A$3:$R$194,18,0)=0,"",VLOOKUP(A27,过渡表!$A$3:$R$194,18,0))</f>
        <v/>
      </c>
      <c r="C27" s="134" t="str">
        <f>IF(VLOOKUP(A27,过渡表!$A$3:$V$194,21,0)&lt;&gt;0,VLOOKUP(A27,过渡表!$A$3:$V$194,21,0),"")</f>
        <v/>
      </c>
      <c r="D27" s="136"/>
      <c r="E27" s="56"/>
      <c r="F27" s="80"/>
    </row>
    <row r="28" spans="1:7" s="57" customFormat="1" ht="16.5" customHeight="1">
      <c r="A28" s="60" t="s">
        <v>510</v>
      </c>
      <c r="B28" s="184">
        <f>B7-B9+SUM(B18:B19,B22:B27)</f>
        <v>0</v>
      </c>
      <c r="C28" s="184">
        <f t="shared" ref="C28:D28" si="0">C7-C9+SUM(C18:C19,C22:C27)</f>
        <v>0</v>
      </c>
      <c r="D28" s="184">
        <f t="shared" si="0"/>
        <v>0</v>
      </c>
      <c r="E28" s="56"/>
      <c r="F28" s="80"/>
      <c r="G28" s="80"/>
    </row>
    <row r="29" spans="1:7" s="57" customFormat="1" ht="16.5" customHeight="1">
      <c r="A29" s="101" t="s">
        <v>416</v>
      </c>
      <c r="B29" s="134" t="str">
        <f>IF(VLOOKUP(A29,过渡表!$A$3:$R$194,18,0)&lt;&gt;0,VLOOKUP(A29,过渡表!$A$3:$R$194,18,0),"")</f>
        <v/>
      </c>
      <c r="C29" s="134">
        <f>VLOOKUP(A29,过渡表!$A$3:$V$194,21,0)</f>
        <v>0</v>
      </c>
      <c r="D29" s="134"/>
      <c r="E29" s="56"/>
      <c r="F29" s="80"/>
    </row>
    <row r="30" spans="1:7" s="57" customFormat="1" ht="16.5" customHeight="1">
      <c r="A30" s="101" t="s">
        <v>417</v>
      </c>
      <c r="B30" s="134" t="str">
        <f>IF(VLOOKUP(A30,过渡表!$A$3:$R$194,18,0)&lt;&gt;0,VLOOKUP(A30,过渡表!$A$3:$R$194,18,0),"")</f>
        <v/>
      </c>
      <c r="C30" s="134">
        <f>VLOOKUP(A30,过渡表!$A$3:$V$194,21,0)</f>
        <v>0</v>
      </c>
      <c r="D30" s="134"/>
      <c r="E30" s="56"/>
      <c r="F30" s="80"/>
    </row>
    <row r="31" spans="1:7" s="57" customFormat="1" ht="16.5" customHeight="1">
      <c r="A31" s="60" t="s">
        <v>511</v>
      </c>
      <c r="B31" s="184">
        <f>ROUND(SUM(B28,B29)-SUM(B30),2)</f>
        <v>0</v>
      </c>
      <c r="C31" s="184">
        <f t="shared" ref="C31:D31" si="1">ROUND(SUM(C28,C29)-SUM(C30),2)</f>
        <v>0</v>
      </c>
      <c r="D31" s="184">
        <f t="shared" si="1"/>
        <v>0</v>
      </c>
      <c r="E31" s="56"/>
      <c r="F31" s="80"/>
    </row>
    <row r="32" spans="1:7" s="57" customFormat="1" ht="16.5" customHeight="1">
      <c r="A32" s="101" t="s">
        <v>508</v>
      </c>
      <c r="B32" s="149" t="str">
        <f>IF(VLOOKUP(A32,过渡表!$A$3:$R$194,18,0)&lt;&gt;0,VLOOKUP(A32,过渡表!$A$3:$R$194,18,0),"")</f>
        <v/>
      </c>
      <c r="C32" s="149">
        <f>VLOOKUP(A32,过渡表!$A$3:$V$194,21,0)</f>
        <v>0</v>
      </c>
      <c r="D32" s="149"/>
      <c r="E32" s="56"/>
      <c r="F32" s="80"/>
    </row>
    <row r="33" spans="1:7" s="57" customFormat="1" ht="16.5" customHeight="1">
      <c r="A33" s="60" t="s">
        <v>512</v>
      </c>
      <c r="B33" s="187">
        <f>ROUND(SUM(B31)-SUM(B32),2)</f>
        <v>0</v>
      </c>
      <c r="C33" s="187">
        <f t="shared" ref="C33:D33" si="2">ROUND(SUM(C31)-SUM(C32),2)</f>
        <v>0</v>
      </c>
      <c r="D33" s="187">
        <f t="shared" si="2"/>
        <v>0</v>
      </c>
      <c r="E33" s="56"/>
      <c r="F33" s="80"/>
      <c r="G33" s="267"/>
    </row>
    <row r="34" spans="1:7" s="57" customFormat="1" ht="16.5" customHeight="1">
      <c r="A34" s="62" t="s">
        <v>333</v>
      </c>
      <c r="B34" s="138">
        <f>B33</f>
        <v>0</v>
      </c>
      <c r="C34" s="138">
        <f>C33</f>
        <v>0</v>
      </c>
      <c r="D34" s="138">
        <f>D33</f>
        <v>0</v>
      </c>
      <c r="E34" s="56"/>
      <c r="F34" s="249"/>
      <c r="G34" s="267"/>
    </row>
    <row r="35" spans="1:7" s="57" customFormat="1" ht="16.5" customHeight="1">
      <c r="A35" s="62" t="s">
        <v>334</v>
      </c>
      <c r="B35" s="136"/>
      <c r="C35" s="136"/>
      <c r="D35" s="134"/>
      <c r="E35" s="56"/>
    </row>
    <row r="36" spans="1:7" s="57" customFormat="1" ht="16.5" customHeight="1">
      <c r="A36" s="62" t="s">
        <v>335</v>
      </c>
      <c r="B36" s="134">
        <f>B33</f>
        <v>0</v>
      </c>
      <c r="C36" s="134">
        <f>C33</f>
        <v>0</v>
      </c>
      <c r="D36" s="134">
        <f>D33</f>
        <v>0</v>
      </c>
      <c r="E36" s="56"/>
    </row>
    <row r="37" spans="1:7" s="57" customFormat="1" ht="16.5" customHeight="1">
      <c r="A37" s="57" t="s">
        <v>336</v>
      </c>
      <c r="B37" s="134"/>
      <c r="C37" s="134"/>
      <c r="D37" s="134"/>
      <c r="E37" s="56"/>
    </row>
    <row r="38" spans="1:7" s="57" customFormat="1" ht="16.5" customHeight="1">
      <c r="A38" s="53" t="s">
        <v>513</v>
      </c>
      <c r="B38" s="142"/>
      <c r="C38" s="142"/>
      <c r="D38" s="142"/>
      <c r="E38" s="56"/>
    </row>
    <row r="39" spans="1:7" s="57" customFormat="1" ht="12">
      <c r="A39" s="155" t="s">
        <v>328</v>
      </c>
      <c r="B39" s="142"/>
      <c r="C39" s="142"/>
      <c r="D39" s="142"/>
      <c r="E39" s="56"/>
    </row>
    <row r="40" spans="1:7" s="57" customFormat="1" ht="16.5" customHeight="1">
      <c r="A40" s="155" t="s">
        <v>324</v>
      </c>
      <c r="B40" s="142"/>
      <c r="C40" s="142"/>
      <c r="D40" s="142"/>
      <c r="E40" s="56"/>
    </row>
    <row r="41" spans="1:7" s="57" customFormat="1" ht="12">
      <c r="A41" s="155" t="s">
        <v>355</v>
      </c>
      <c r="B41" s="159"/>
      <c r="C41" s="159"/>
      <c r="D41" s="80"/>
      <c r="E41" s="56"/>
    </row>
    <row r="42" spans="1:7" s="57" customFormat="1" ht="16.5" customHeight="1">
      <c r="A42" s="155" t="s">
        <v>356</v>
      </c>
      <c r="B42" s="159"/>
      <c r="C42" s="159"/>
      <c r="D42" s="80"/>
      <c r="E42" s="56"/>
    </row>
    <row r="43" spans="1:7" s="57" customFormat="1" ht="16.5" customHeight="1">
      <c r="A43" s="155" t="s">
        <v>357</v>
      </c>
      <c r="B43" s="159"/>
      <c r="C43" s="159"/>
      <c r="D43" s="80"/>
      <c r="E43" s="56"/>
    </row>
    <row r="44" spans="1:7" s="57" customFormat="1" ht="16.5" customHeight="1">
      <c r="A44" s="155" t="s">
        <v>358</v>
      </c>
      <c r="B44" s="159"/>
      <c r="C44" s="159"/>
      <c r="D44" s="80"/>
      <c r="E44" s="56"/>
    </row>
    <row r="45" spans="1:7" s="57" customFormat="1" ht="16.5" customHeight="1">
      <c r="A45" s="155" t="s">
        <v>325</v>
      </c>
      <c r="B45" s="139"/>
      <c r="C45" s="139"/>
      <c r="D45" s="139"/>
      <c r="E45" s="56"/>
    </row>
    <row r="46" spans="1:7" s="57" customFormat="1" ht="16.5" customHeight="1">
      <c r="A46" s="155" t="s">
        <v>359</v>
      </c>
      <c r="B46" s="159"/>
      <c r="C46" s="159"/>
      <c r="D46" s="80"/>
      <c r="E46" s="56"/>
    </row>
    <row r="47" spans="1:7" s="57" customFormat="1" ht="16.5" customHeight="1">
      <c r="A47" s="155" t="s">
        <v>360</v>
      </c>
      <c r="B47" s="159"/>
      <c r="C47" s="159"/>
      <c r="D47" s="80"/>
      <c r="E47" s="56"/>
    </row>
    <row r="48" spans="1:7" s="57" customFormat="1" ht="16.5" customHeight="1">
      <c r="A48" s="155" t="s">
        <v>361</v>
      </c>
      <c r="B48" s="159"/>
      <c r="C48" s="159"/>
      <c r="D48" s="80"/>
      <c r="E48" s="56"/>
    </row>
    <row r="49" spans="1:5" s="57" customFormat="1" ht="16.5" customHeight="1">
      <c r="A49" s="155" t="s">
        <v>362</v>
      </c>
      <c r="B49" s="159"/>
      <c r="C49" s="159"/>
      <c r="D49" s="80"/>
      <c r="E49" s="56"/>
    </row>
    <row r="50" spans="1:5" s="57" customFormat="1" ht="16.5" customHeight="1">
      <c r="A50" s="155" t="s">
        <v>364</v>
      </c>
      <c r="B50" s="159"/>
      <c r="C50" s="159"/>
      <c r="D50" s="80"/>
      <c r="E50" s="56"/>
    </row>
    <row r="51" spans="1:5" s="57" customFormat="1" ht="16.5" customHeight="1">
      <c r="A51" s="155" t="s">
        <v>363</v>
      </c>
      <c r="B51" s="159"/>
      <c r="C51" s="159"/>
      <c r="D51" s="80"/>
      <c r="E51" s="56"/>
    </row>
    <row r="52" spans="1:5" s="57" customFormat="1" ht="16.5" customHeight="1">
      <c r="A52" s="155" t="s">
        <v>327</v>
      </c>
      <c r="B52" s="142"/>
      <c r="C52" s="142"/>
      <c r="D52" s="160"/>
      <c r="E52" s="56"/>
    </row>
    <row r="53" spans="1:5" s="57" customFormat="1" ht="16.5" customHeight="1">
      <c r="A53" s="53" t="s">
        <v>514</v>
      </c>
      <c r="B53" s="188">
        <f>B33+B38</f>
        <v>0</v>
      </c>
      <c r="C53" s="188">
        <f>C33+C38</f>
        <v>0</v>
      </c>
      <c r="D53" s="188">
        <f>D33+D38</f>
        <v>0</v>
      </c>
      <c r="E53" s="56"/>
    </row>
    <row r="54" spans="1:5" s="57" customFormat="1" ht="16.5" customHeight="1">
      <c r="A54" s="86" t="s">
        <v>326</v>
      </c>
      <c r="B54" s="159">
        <f>B53</f>
        <v>0</v>
      </c>
      <c r="C54" s="159">
        <f>C53</f>
        <v>0</v>
      </c>
      <c r="D54" s="159">
        <f>D53</f>
        <v>0</v>
      </c>
      <c r="E54" s="56"/>
    </row>
    <row r="55" spans="1:5" s="57" customFormat="1" ht="16.5" customHeight="1">
      <c r="A55" s="48" t="s">
        <v>218</v>
      </c>
      <c r="B55" s="134"/>
      <c r="C55" s="134"/>
      <c r="D55" s="80"/>
      <c r="E55" s="56"/>
    </row>
    <row r="56" spans="1:5" s="57" customFormat="1" ht="16.5" customHeight="1">
      <c r="A56" s="60" t="s">
        <v>515</v>
      </c>
      <c r="B56" s="134"/>
      <c r="C56" s="134"/>
      <c r="D56" s="80"/>
      <c r="E56" s="56"/>
    </row>
    <row r="57" spans="1:5" s="57" customFormat="1" ht="16.5" customHeight="1">
      <c r="A57" s="57" t="s">
        <v>167</v>
      </c>
      <c r="B57" s="191"/>
      <c r="C57" s="191"/>
      <c r="D57" s="191"/>
      <c r="E57" s="56"/>
    </row>
    <row r="58" spans="1:5" s="57" customFormat="1" ht="16.5" customHeight="1">
      <c r="A58" s="48" t="s">
        <v>168</v>
      </c>
      <c r="B58" s="191"/>
      <c r="C58" s="191"/>
      <c r="D58" s="191"/>
      <c r="E58" s="56"/>
    </row>
    <row r="59" spans="1:5" s="57" customFormat="1" ht="9" customHeight="1">
      <c r="A59" s="63"/>
      <c r="B59" s="162"/>
      <c r="C59" s="162"/>
      <c r="D59" s="162"/>
      <c r="E59" s="56"/>
    </row>
    <row r="60" spans="1:5" s="57" customFormat="1" ht="12">
      <c r="A60" s="64"/>
      <c r="B60" s="72"/>
      <c r="C60" s="72"/>
      <c r="D60" s="65"/>
      <c r="E60" s="56"/>
    </row>
    <row r="61" spans="1:5" s="57" customFormat="1" ht="17.25" customHeight="1">
      <c r="A61" s="75"/>
      <c r="B61" s="72"/>
      <c r="C61" s="72"/>
      <c r="D61" s="56"/>
      <c r="E61" s="56"/>
    </row>
    <row r="62" spans="1:5" s="57" customFormat="1" ht="17.25" hidden="1" customHeight="1">
      <c r="A62" s="75" t="s">
        <v>594</v>
      </c>
      <c r="B62" s="72"/>
      <c r="C62" s="72"/>
      <c r="D62" s="56"/>
      <c r="E62" s="56"/>
    </row>
    <row r="63" spans="1:5" s="57" customFormat="1" ht="19.5" customHeight="1">
      <c r="A63" s="325"/>
      <c r="B63" s="325"/>
      <c r="C63" s="229"/>
      <c r="D63" s="56"/>
      <c r="E63" s="56"/>
    </row>
    <row r="64" spans="1:5" s="57" customFormat="1" ht="20.100000000000001" customHeight="1">
      <c r="A64" s="57" t="s">
        <v>534</v>
      </c>
      <c r="B64" s="56"/>
      <c r="C64" s="56" t="e">
        <f>合并资产负债表!B90-合并资产负债表!C90-合并利润表!C33</f>
        <v>#VALUE!</v>
      </c>
      <c r="D64" s="56"/>
      <c r="E64" s="56"/>
    </row>
    <row r="65" spans="2:5" s="57" customFormat="1" ht="12">
      <c r="B65" s="56"/>
      <c r="C65" s="56"/>
      <c r="D65" s="56"/>
      <c r="E65" s="56"/>
    </row>
    <row r="66" spans="2:5" s="57" customFormat="1" ht="12">
      <c r="B66" s="134"/>
      <c r="C66" s="134"/>
      <c r="D66" s="134"/>
      <c r="E66" s="56"/>
    </row>
    <row r="67" spans="2:5" s="57" customFormat="1" ht="12">
      <c r="B67" s="134"/>
      <c r="C67" s="134"/>
      <c r="D67" s="134"/>
      <c r="E67" s="56"/>
    </row>
    <row r="68" spans="2:5" s="57" customFormat="1" ht="12">
      <c r="B68" s="56"/>
      <c r="C68" s="56"/>
      <c r="D68" s="56"/>
      <c r="E68" s="56"/>
    </row>
    <row r="69" spans="2:5" s="57" customFormat="1" ht="12">
      <c r="B69" s="56"/>
      <c r="C69" s="56"/>
      <c r="D69" s="56"/>
      <c r="E69" s="56"/>
    </row>
    <row r="70" spans="2:5" s="57" customFormat="1" ht="12">
      <c r="B70" s="56"/>
      <c r="C70" s="56"/>
      <c r="D70" s="56"/>
      <c r="E70" s="56"/>
    </row>
    <row r="71" spans="2:5" s="57" customFormat="1" ht="12">
      <c r="B71" s="56"/>
      <c r="C71" s="56"/>
      <c r="D71" s="56"/>
      <c r="E71" s="56"/>
    </row>
    <row r="72" spans="2:5" s="57" customFormat="1" ht="12">
      <c r="B72" s="56"/>
      <c r="C72" s="56"/>
      <c r="D72" s="56"/>
      <c r="E72" s="56"/>
    </row>
    <row r="73" spans="2:5" s="57" customFormat="1" ht="12">
      <c r="B73" s="56"/>
      <c r="C73" s="56"/>
      <c r="D73" s="56"/>
      <c r="E73" s="56"/>
    </row>
    <row r="74" spans="2:5" s="57" customFormat="1" ht="12">
      <c r="B74" s="56"/>
      <c r="C74" s="56"/>
      <c r="D74" s="56"/>
      <c r="E74" s="56"/>
    </row>
    <row r="75" spans="2:5" s="57" customFormat="1" ht="12">
      <c r="B75" s="56"/>
      <c r="C75" s="56"/>
      <c r="D75" s="56"/>
      <c r="E75" s="56"/>
    </row>
    <row r="76" spans="2:5" s="57" customFormat="1" ht="12">
      <c r="B76" s="56"/>
      <c r="C76" s="56"/>
      <c r="D76" s="56"/>
      <c r="E76" s="56"/>
    </row>
    <row r="77" spans="2:5" s="57" customFormat="1" ht="12">
      <c r="B77" s="56"/>
      <c r="C77" s="56"/>
      <c r="D77" s="56"/>
      <c r="E77" s="56"/>
    </row>
    <row r="78" spans="2:5" s="57" customFormat="1" ht="12">
      <c r="B78" s="56"/>
      <c r="C78" s="56"/>
      <c r="D78" s="56"/>
      <c r="E78" s="56"/>
    </row>
    <row r="79" spans="2:5" s="57" customFormat="1" ht="12">
      <c r="B79" s="56"/>
      <c r="C79" s="56"/>
      <c r="D79" s="56"/>
      <c r="E79" s="56"/>
    </row>
    <row r="80" spans="2:5" s="57" customFormat="1" ht="12">
      <c r="B80" s="56"/>
      <c r="C80" s="56"/>
      <c r="D80" s="56"/>
      <c r="E80" s="56"/>
    </row>
    <row r="81" spans="2:5" s="57" customFormat="1" ht="12">
      <c r="B81" s="56"/>
      <c r="C81" s="56"/>
      <c r="D81" s="56"/>
      <c r="E81" s="56"/>
    </row>
    <row r="82" spans="2:5" s="57" customFormat="1" ht="12">
      <c r="B82" s="56"/>
      <c r="C82" s="56"/>
      <c r="D82" s="56"/>
      <c r="E82" s="56"/>
    </row>
    <row r="83" spans="2:5" s="57" customFormat="1" ht="12">
      <c r="B83" s="56"/>
      <c r="C83" s="56"/>
      <c r="D83" s="56"/>
      <c r="E83" s="56"/>
    </row>
    <row r="84" spans="2:5" s="57" customFormat="1" ht="12">
      <c r="B84" s="56"/>
      <c r="C84" s="56"/>
      <c r="D84" s="56"/>
      <c r="E84" s="56"/>
    </row>
    <row r="85" spans="2:5" s="57" customFormat="1" ht="12">
      <c r="B85" s="56"/>
      <c r="C85" s="56"/>
      <c r="D85" s="56"/>
      <c r="E85" s="56"/>
    </row>
    <row r="86" spans="2:5" s="57" customFormat="1" ht="12">
      <c r="B86" s="56"/>
      <c r="C86" s="56"/>
      <c r="D86" s="56"/>
      <c r="E86" s="56"/>
    </row>
    <row r="87" spans="2:5" s="57" customFormat="1" ht="12">
      <c r="B87" s="56"/>
      <c r="C87" s="56"/>
      <c r="D87" s="56"/>
      <c r="E87" s="56"/>
    </row>
    <row r="88" spans="2:5" s="57" customFormat="1" ht="12">
      <c r="B88" s="56"/>
      <c r="C88" s="56"/>
      <c r="D88" s="56"/>
      <c r="E88" s="56"/>
    </row>
    <row r="89" spans="2:5" s="57" customFormat="1" ht="12">
      <c r="B89" s="56"/>
      <c r="C89" s="56"/>
      <c r="D89" s="56"/>
      <c r="E89" s="56"/>
    </row>
    <row r="90" spans="2:5" s="57" customFormat="1" ht="12">
      <c r="B90" s="56"/>
      <c r="C90" s="56"/>
      <c r="D90" s="56"/>
      <c r="E90" s="56"/>
    </row>
    <row r="91" spans="2:5" s="57" customFormat="1" ht="12">
      <c r="B91" s="56"/>
      <c r="C91" s="56"/>
      <c r="D91" s="56"/>
      <c r="E91" s="56"/>
    </row>
    <row r="92" spans="2:5" s="57" customFormat="1" ht="12">
      <c r="B92" s="56"/>
      <c r="C92" s="56"/>
      <c r="D92" s="56"/>
      <c r="E92" s="56"/>
    </row>
    <row r="93" spans="2:5" s="57" customFormat="1" ht="12">
      <c r="B93" s="56"/>
      <c r="C93" s="56"/>
      <c r="D93" s="56"/>
      <c r="E93" s="56"/>
    </row>
    <row r="94" spans="2:5" s="57" customFormat="1" ht="12">
      <c r="B94" s="56"/>
      <c r="C94" s="56"/>
      <c r="D94" s="56"/>
      <c r="E94" s="56"/>
    </row>
    <row r="95" spans="2:5" s="57" customFormat="1" ht="12">
      <c r="B95" s="56"/>
      <c r="C95" s="56"/>
      <c r="D95" s="56"/>
      <c r="E95" s="56"/>
    </row>
    <row r="96" spans="2:5" s="57" customFormat="1" ht="12">
      <c r="B96" s="56"/>
      <c r="C96" s="56"/>
      <c r="D96" s="56"/>
      <c r="E96" s="56"/>
    </row>
    <row r="97" spans="2:5" s="57" customFormat="1" ht="12">
      <c r="B97" s="56"/>
      <c r="C97" s="56"/>
      <c r="D97" s="56"/>
      <c r="E97" s="56"/>
    </row>
    <row r="98" spans="2:5" s="57" customFormat="1" ht="12">
      <c r="B98" s="56"/>
      <c r="C98" s="56"/>
      <c r="D98" s="56"/>
      <c r="E98" s="56"/>
    </row>
    <row r="99" spans="2:5" s="57" customFormat="1" ht="12">
      <c r="B99" s="56"/>
      <c r="C99" s="56"/>
      <c r="D99" s="56"/>
      <c r="E99" s="56"/>
    </row>
    <row r="100" spans="2:5" s="57" customFormat="1" ht="12">
      <c r="B100" s="56"/>
      <c r="C100" s="56"/>
      <c r="D100" s="56"/>
      <c r="E100" s="56"/>
    </row>
    <row r="101" spans="2:5" s="57" customFormat="1" ht="12">
      <c r="B101" s="56"/>
      <c r="C101" s="56"/>
      <c r="D101" s="56"/>
      <c r="E101" s="56"/>
    </row>
    <row r="102" spans="2:5" s="57" customFormat="1" ht="12">
      <c r="B102" s="56"/>
      <c r="C102" s="56"/>
      <c r="D102" s="56"/>
      <c r="E102" s="56"/>
    </row>
    <row r="103" spans="2:5" s="57" customFormat="1" ht="12">
      <c r="B103" s="56"/>
      <c r="C103" s="56"/>
      <c r="D103" s="56"/>
      <c r="E103" s="56"/>
    </row>
    <row r="104" spans="2:5" s="57" customFormat="1" ht="12">
      <c r="B104" s="56"/>
      <c r="C104" s="56"/>
      <c r="D104" s="56"/>
      <c r="E104" s="56"/>
    </row>
    <row r="105" spans="2:5" s="57" customFormat="1" ht="12">
      <c r="B105" s="56"/>
      <c r="C105" s="56"/>
      <c r="D105" s="56"/>
      <c r="E105" s="56"/>
    </row>
    <row r="106" spans="2:5" s="57" customFormat="1" ht="12">
      <c r="B106" s="56"/>
      <c r="C106" s="56"/>
      <c r="D106" s="56"/>
      <c r="E106" s="56"/>
    </row>
    <row r="107" spans="2:5" s="57" customFormat="1" ht="12">
      <c r="B107" s="56"/>
      <c r="C107" s="56"/>
      <c r="D107" s="56"/>
      <c r="E107" s="56"/>
    </row>
    <row r="108" spans="2:5" s="57" customFormat="1" ht="12">
      <c r="B108" s="56"/>
      <c r="C108" s="56"/>
      <c r="D108" s="56"/>
      <c r="E108" s="56"/>
    </row>
    <row r="109" spans="2:5" s="57" customFormat="1" ht="12">
      <c r="B109" s="56"/>
      <c r="C109" s="56"/>
      <c r="D109" s="56"/>
      <c r="E109" s="56"/>
    </row>
    <row r="110" spans="2:5" s="57" customFormat="1" ht="12">
      <c r="B110" s="56"/>
      <c r="C110" s="56"/>
      <c r="D110" s="56"/>
      <c r="E110" s="56"/>
    </row>
    <row r="111" spans="2:5" s="57" customFormat="1" ht="12">
      <c r="B111" s="56"/>
      <c r="C111" s="56"/>
      <c r="D111" s="56"/>
      <c r="E111" s="56"/>
    </row>
    <row r="112" spans="2:5" s="57" customFormat="1" ht="12">
      <c r="B112" s="56"/>
      <c r="C112" s="56"/>
      <c r="D112" s="56"/>
      <c r="E112" s="56"/>
    </row>
    <row r="113" spans="2:5" s="57" customFormat="1" ht="12">
      <c r="B113" s="56"/>
      <c r="C113" s="56"/>
      <c r="D113" s="56"/>
      <c r="E113" s="56"/>
    </row>
    <row r="114" spans="2:5" s="57" customFormat="1" ht="12">
      <c r="B114" s="56"/>
      <c r="C114" s="56"/>
      <c r="D114" s="56"/>
      <c r="E114" s="56"/>
    </row>
    <row r="115" spans="2:5" s="57" customFormat="1" ht="12">
      <c r="B115" s="56"/>
      <c r="C115" s="56"/>
      <c r="D115" s="56"/>
      <c r="E115" s="56"/>
    </row>
    <row r="116" spans="2:5" s="57" customFormat="1" ht="12">
      <c r="B116" s="56"/>
      <c r="C116" s="56"/>
      <c r="D116" s="56"/>
      <c r="E116" s="56"/>
    </row>
    <row r="117" spans="2:5" s="57" customFormat="1" ht="12">
      <c r="B117" s="56"/>
      <c r="C117" s="56"/>
      <c r="D117" s="56"/>
      <c r="E117" s="56"/>
    </row>
    <row r="118" spans="2:5" s="57" customFormat="1" ht="12">
      <c r="B118" s="56"/>
      <c r="C118" s="56"/>
      <c r="D118" s="56"/>
      <c r="E118" s="56"/>
    </row>
    <row r="119" spans="2:5" s="57" customFormat="1" ht="12">
      <c r="B119" s="56"/>
      <c r="C119" s="56"/>
      <c r="D119" s="56"/>
      <c r="E119" s="56"/>
    </row>
    <row r="120" spans="2:5" s="57" customFormat="1" ht="12">
      <c r="B120" s="56"/>
      <c r="C120" s="56"/>
      <c r="D120" s="56"/>
      <c r="E120" s="56"/>
    </row>
    <row r="121" spans="2:5" s="57" customFormat="1" ht="12">
      <c r="B121" s="56"/>
      <c r="C121" s="56"/>
      <c r="D121" s="56"/>
      <c r="E121" s="56"/>
    </row>
    <row r="122" spans="2:5" s="57" customFormat="1" ht="12">
      <c r="B122" s="56"/>
      <c r="C122" s="56"/>
      <c r="D122" s="56"/>
      <c r="E122" s="56"/>
    </row>
    <row r="123" spans="2:5" s="57" customFormat="1" ht="12">
      <c r="B123" s="56"/>
      <c r="C123" s="56"/>
      <c r="D123" s="56"/>
      <c r="E123" s="56"/>
    </row>
    <row r="124" spans="2:5" s="57" customFormat="1" ht="12">
      <c r="B124" s="56"/>
      <c r="C124" s="56"/>
      <c r="D124" s="56"/>
      <c r="E124" s="56"/>
    </row>
    <row r="125" spans="2:5" s="57" customFormat="1" ht="12">
      <c r="B125" s="56"/>
      <c r="C125" s="56"/>
      <c r="D125" s="56"/>
      <c r="E125" s="56"/>
    </row>
    <row r="126" spans="2:5" s="57" customFormat="1" ht="12">
      <c r="B126" s="56"/>
      <c r="C126" s="56"/>
      <c r="D126" s="56"/>
      <c r="E126" s="56"/>
    </row>
    <row r="127" spans="2:5" s="57" customFormat="1" ht="12">
      <c r="B127" s="56"/>
      <c r="C127" s="56"/>
      <c r="D127" s="56"/>
      <c r="E127" s="56"/>
    </row>
    <row r="128" spans="2:5" s="57" customFormat="1" ht="12">
      <c r="B128" s="56"/>
      <c r="C128" s="56"/>
      <c r="D128" s="56"/>
      <c r="E128" s="56"/>
    </row>
    <row r="129" spans="2:5" s="57" customFormat="1" ht="12">
      <c r="B129" s="56"/>
      <c r="C129" s="56"/>
      <c r="D129" s="56"/>
      <c r="E129" s="56"/>
    </row>
    <row r="130" spans="2:5" s="57" customFormat="1" ht="12">
      <c r="B130" s="56"/>
      <c r="C130" s="56"/>
      <c r="D130" s="56"/>
      <c r="E130" s="56"/>
    </row>
    <row r="131" spans="2:5" s="57" customFormat="1" ht="12">
      <c r="B131" s="56"/>
      <c r="C131" s="56"/>
      <c r="D131" s="56"/>
      <c r="E131" s="56"/>
    </row>
    <row r="132" spans="2:5" s="57" customFormat="1" ht="12">
      <c r="B132" s="56"/>
      <c r="C132" s="56"/>
      <c r="D132" s="56"/>
      <c r="E132" s="56"/>
    </row>
    <row r="133" spans="2:5" s="57" customFormat="1" ht="12">
      <c r="B133" s="56"/>
      <c r="C133" s="56"/>
      <c r="D133" s="56"/>
      <c r="E133" s="56"/>
    </row>
    <row r="134" spans="2:5" s="57" customFormat="1" ht="12">
      <c r="B134" s="56"/>
      <c r="C134" s="56"/>
      <c r="D134" s="56"/>
      <c r="E134" s="56"/>
    </row>
    <row r="135" spans="2:5" s="57" customFormat="1" ht="12">
      <c r="B135" s="56"/>
      <c r="C135" s="56"/>
      <c r="D135" s="56"/>
      <c r="E135" s="56"/>
    </row>
    <row r="136" spans="2:5" s="57" customFormat="1" ht="12">
      <c r="B136" s="56"/>
      <c r="C136" s="56"/>
      <c r="D136" s="56"/>
      <c r="E136" s="56"/>
    </row>
    <row r="137" spans="2:5" s="57" customFormat="1" ht="12">
      <c r="B137" s="56"/>
      <c r="C137" s="56"/>
      <c r="D137" s="56"/>
      <c r="E137" s="56"/>
    </row>
    <row r="138" spans="2:5" s="57" customFormat="1" ht="12">
      <c r="B138" s="56"/>
      <c r="C138" s="56"/>
      <c r="D138" s="56"/>
      <c r="E138" s="56"/>
    </row>
    <row r="139" spans="2:5" s="57" customFormat="1" ht="12">
      <c r="B139" s="56"/>
      <c r="C139" s="56"/>
      <c r="D139" s="56"/>
      <c r="E139" s="56"/>
    </row>
    <row r="140" spans="2:5" s="57" customFormat="1" ht="12">
      <c r="B140" s="56"/>
      <c r="C140" s="56"/>
      <c r="D140" s="56"/>
      <c r="E140" s="56"/>
    </row>
    <row r="141" spans="2:5" s="57" customFormat="1" ht="12">
      <c r="B141" s="56"/>
      <c r="C141" s="56"/>
      <c r="D141" s="56"/>
      <c r="E141" s="56"/>
    </row>
    <row r="142" spans="2:5" s="57" customFormat="1" ht="12">
      <c r="B142" s="56"/>
      <c r="C142" s="56"/>
      <c r="D142" s="56"/>
      <c r="E142" s="56"/>
    </row>
    <row r="143" spans="2:5" s="57" customFormat="1" ht="12">
      <c r="B143" s="56"/>
      <c r="C143" s="56"/>
      <c r="D143" s="56"/>
      <c r="E143" s="56"/>
    </row>
    <row r="144" spans="2:5" s="57" customFormat="1" ht="12">
      <c r="B144" s="56"/>
      <c r="C144" s="56"/>
      <c r="D144" s="56"/>
      <c r="E144" s="56"/>
    </row>
    <row r="145" spans="2:5" s="57" customFormat="1" ht="12">
      <c r="B145" s="56"/>
      <c r="C145" s="56"/>
      <c r="D145" s="56"/>
      <c r="E145" s="56"/>
    </row>
    <row r="146" spans="2:5" s="57" customFormat="1" ht="12">
      <c r="B146" s="56"/>
      <c r="C146" s="56"/>
      <c r="D146" s="56"/>
      <c r="E146" s="56"/>
    </row>
    <row r="147" spans="2:5" s="57" customFormat="1" ht="12">
      <c r="B147" s="56"/>
      <c r="C147" s="56"/>
      <c r="D147" s="56"/>
      <c r="E147" s="56"/>
    </row>
    <row r="148" spans="2:5" s="57" customFormat="1" ht="12">
      <c r="B148" s="56"/>
      <c r="C148" s="56"/>
      <c r="D148" s="56"/>
      <c r="E148" s="56"/>
    </row>
    <row r="149" spans="2:5" s="57" customFormat="1" ht="12">
      <c r="B149" s="56"/>
      <c r="C149" s="56"/>
      <c r="D149" s="56"/>
      <c r="E149" s="56"/>
    </row>
    <row r="150" spans="2:5" s="57" customFormat="1" ht="12">
      <c r="B150" s="56"/>
      <c r="C150" s="56"/>
      <c r="D150" s="56"/>
      <c r="E150" s="56"/>
    </row>
    <row r="151" spans="2:5" s="57" customFormat="1" ht="12">
      <c r="B151" s="56"/>
      <c r="C151" s="56"/>
      <c r="D151" s="56"/>
      <c r="E151" s="56"/>
    </row>
    <row r="152" spans="2:5" s="57" customFormat="1" ht="12">
      <c r="B152" s="56"/>
      <c r="C152" s="56"/>
      <c r="D152" s="56"/>
      <c r="E152" s="56"/>
    </row>
    <row r="153" spans="2:5" s="57" customFormat="1" ht="12">
      <c r="B153" s="56"/>
      <c r="C153" s="56"/>
      <c r="D153" s="56"/>
      <c r="E153" s="56"/>
    </row>
    <row r="154" spans="2:5" s="57" customFormat="1" ht="12">
      <c r="B154" s="56"/>
      <c r="C154" s="56"/>
      <c r="D154" s="56"/>
      <c r="E154" s="56"/>
    </row>
    <row r="155" spans="2:5" s="57" customFormat="1" ht="12">
      <c r="B155" s="56"/>
      <c r="C155" s="56"/>
      <c r="D155" s="56"/>
      <c r="E155" s="56"/>
    </row>
  </sheetData>
  <mergeCells count="3">
    <mergeCell ref="A1:B1"/>
    <mergeCell ref="A63:B63"/>
    <mergeCell ref="A2:D2"/>
  </mergeCells>
  <phoneticPr fontId="7" type="noConversion"/>
  <printOptions horizontalCentered="1"/>
  <pageMargins left="0.70866141732283472" right="0.70866141732283472" top="0.69" bottom="0.57999999999999996" header="0.31496062992125984" footer="0.31496062992125984"/>
  <pageSetup paperSize="9"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D90"/>
  <sheetViews>
    <sheetView showZeros="0" zoomScaleNormal="100" zoomScaleSheetLayoutView="100" workbookViewId="0">
      <pane ySplit="5" topLeftCell="A60" activePane="bottomLeft" state="frozen"/>
      <selection activeCell="A2" sqref="A2"/>
      <selection pane="bottomLeft" activeCell="F77" sqref="F77"/>
    </sheetView>
  </sheetViews>
  <sheetFormatPr defaultRowHeight="12.75"/>
  <cols>
    <col min="1" max="1" width="47.5703125" style="62" customWidth="1"/>
    <col min="2" max="4" width="21.7109375" style="56" customWidth="1"/>
    <col min="5" max="5" width="12.7109375" style="57" bestFit="1" customWidth="1"/>
    <col min="6" max="7" width="17.5703125" style="57" bestFit="1" customWidth="1"/>
    <col min="8" max="238" width="9.140625" style="57"/>
    <col min="239" max="250" width="9.140625" style="47"/>
    <col min="251" max="251" width="52.42578125" style="47" customWidth="1"/>
    <col min="252" max="252" width="34.140625" style="47" customWidth="1"/>
    <col min="253" max="253" width="0" style="47" hidden="1" customWidth="1"/>
    <col min="254" max="506" width="9.140625" style="47"/>
    <col min="507" max="507" width="52.42578125" style="47" customWidth="1"/>
    <col min="508" max="508" width="34.140625" style="47" customWidth="1"/>
    <col min="509" max="509" width="0" style="47" hidden="1" customWidth="1"/>
    <col min="510" max="762" width="9.140625" style="47"/>
    <col min="763" max="763" width="52.42578125" style="47" customWidth="1"/>
    <col min="764" max="764" width="34.140625" style="47" customWidth="1"/>
    <col min="765" max="765" width="0" style="47" hidden="1" customWidth="1"/>
    <col min="766" max="1018" width="9.140625" style="47"/>
    <col min="1019" max="1019" width="52.42578125" style="47" customWidth="1"/>
    <col min="1020" max="1020" width="34.140625" style="47" customWidth="1"/>
    <col min="1021" max="1021" width="0" style="47" hidden="1" customWidth="1"/>
    <col min="1022" max="1274" width="9.140625" style="47"/>
    <col min="1275" max="1275" width="52.42578125" style="47" customWidth="1"/>
    <col min="1276" max="1276" width="34.140625" style="47" customWidth="1"/>
    <col min="1277" max="1277" width="0" style="47" hidden="1" customWidth="1"/>
    <col min="1278" max="1530" width="9.140625" style="47"/>
    <col min="1531" max="1531" width="52.42578125" style="47" customWidth="1"/>
    <col min="1532" max="1532" width="34.140625" style="47" customWidth="1"/>
    <col min="1533" max="1533" width="0" style="47" hidden="1" customWidth="1"/>
    <col min="1534" max="1786" width="9.140625" style="47"/>
    <col min="1787" max="1787" width="52.42578125" style="47" customWidth="1"/>
    <col min="1788" max="1788" width="34.140625" style="47" customWidth="1"/>
    <col min="1789" max="1789" width="0" style="47" hidden="1" customWidth="1"/>
    <col min="1790" max="2042" width="9.140625" style="47"/>
    <col min="2043" max="2043" width="52.42578125" style="47" customWidth="1"/>
    <col min="2044" max="2044" width="34.140625" style="47" customWidth="1"/>
    <col min="2045" max="2045" width="0" style="47" hidden="1" customWidth="1"/>
    <col min="2046" max="2298" width="9.140625" style="47"/>
    <col min="2299" max="2299" width="52.42578125" style="47" customWidth="1"/>
    <col min="2300" max="2300" width="34.140625" style="47" customWidth="1"/>
    <col min="2301" max="2301" width="0" style="47" hidden="1" customWidth="1"/>
    <col min="2302" max="2554" width="9.140625" style="47"/>
    <col min="2555" max="2555" width="52.42578125" style="47" customWidth="1"/>
    <col min="2556" max="2556" width="34.140625" style="47" customWidth="1"/>
    <col min="2557" max="2557" width="0" style="47" hidden="1" customWidth="1"/>
    <col min="2558" max="2810" width="9.140625" style="47"/>
    <col min="2811" max="2811" width="52.42578125" style="47" customWidth="1"/>
    <col min="2812" max="2812" width="34.140625" style="47" customWidth="1"/>
    <col min="2813" max="2813" width="0" style="47" hidden="1" customWidth="1"/>
    <col min="2814" max="3066" width="9.140625" style="47"/>
    <col min="3067" max="3067" width="52.42578125" style="47" customWidth="1"/>
    <col min="3068" max="3068" width="34.140625" style="47" customWidth="1"/>
    <col min="3069" max="3069" width="0" style="47" hidden="1" customWidth="1"/>
    <col min="3070" max="3322" width="9.140625" style="47"/>
    <col min="3323" max="3323" width="52.42578125" style="47" customWidth="1"/>
    <col min="3324" max="3324" width="34.140625" style="47" customWidth="1"/>
    <col min="3325" max="3325" width="0" style="47" hidden="1" customWidth="1"/>
    <col min="3326" max="3578" width="9.140625" style="47"/>
    <col min="3579" max="3579" width="52.42578125" style="47" customWidth="1"/>
    <col min="3580" max="3580" width="34.140625" style="47" customWidth="1"/>
    <col min="3581" max="3581" width="0" style="47" hidden="1" customWidth="1"/>
    <col min="3582" max="3834" width="9.140625" style="47"/>
    <col min="3835" max="3835" width="52.42578125" style="47" customWidth="1"/>
    <col min="3836" max="3836" width="34.140625" style="47" customWidth="1"/>
    <col min="3837" max="3837" width="0" style="47" hidden="1" customWidth="1"/>
    <col min="3838" max="4090" width="9.140625" style="47"/>
    <col min="4091" max="4091" width="52.42578125" style="47" customWidth="1"/>
    <col min="4092" max="4092" width="34.140625" style="47" customWidth="1"/>
    <col min="4093" max="4093" width="0" style="47" hidden="1" customWidth="1"/>
    <col min="4094" max="4346" width="9.140625" style="47"/>
    <col min="4347" max="4347" width="52.42578125" style="47" customWidth="1"/>
    <col min="4348" max="4348" width="34.140625" style="47" customWidth="1"/>
    <col min="4349" max="4349" width="0" style="47" hidden="1" customWidth="1"/>
    <col min="4350" max="4602" width="9.140625" style="47"/>
    <col min="4603" max="4603" width="52.42578125" style="47" customWidth="1"/>
    <col min="4604" max="4604" width="34.140625" style="47" customWidth="1"/>
    <col min="4605" max="4605" width="0" style="47" hidden="1" customWidth="1"/>
    <col min="4606" max="4858" width="9.140625" style="47"/>
    <col min="4859" max="4859" width="52.42578125" style="47" customWidth="1"/>
    <col min="4860" max="4860" width="34.140625" style="47" customWidth="1"/>
    <col min="4861" max="4861" width="0" style="47" hidden="1" customWidth="1"/>
    <col min="4862" max="5114" width="9.140625" style="47"/>
    <col min="5115" max="5115" width="52.42578125" style="47" customWidth="1"/>
    <col min="5116" max="5116" width="34.140625" style="47" customWidth="1"/>
    <col min="5117" max="5117" width="0" style="47" hidden="1" customWidth="1"/>
    <col min="5118" max="5370" width="9.140625" style="47"/>
    <col min="5371" max="5371" width="52.42578125" style="47" customWidth="1"/>
    <col min="5372" max="5372" width="34.140625" style="47" customWidth="1"/>
    <col min="5373" max="5373" width="0" style="47" hidden="1" customWidth="1"/>
    <col min="5374" max="5626" width="9.140625" style="47"/>
    <col min="5627" max="5627" width="52.42578125" style="47" customWidth="1"/>
    <col min="5628" max="5628" width="34.140625" style="47" customWidth="1"/>
    <col min="5629" max="5629" width="0" style="47" hidden="1" customWidth="1"/>
    <col min="5630" max="5882" width="9.140625" style="47"/>
    <col min="5883" max="5883" width="52.42578125" style="47" customWidth="1"/>
    <col min="5884" max="5884" width="34.140625" style="47" customWidth="1"/>
    <col min="5885" max="5885" width="0" style="47" hidden="1" customWidth="1"/>
    <col min="5886" max="6138" width="9.140625" style="47"/>
    <col min="6139" max="6139" width="52.42578125" style="47" customWidth="1"/>
    <col min="6140" max="6140" width="34.140625" style="47" customWidth="1"/>
    <col min="6141" max="6141" width="0" style="47" hidden="1" customWidth="1"/>
    <col min="6142" max="6394" width="9.140625" style="47"/>
    <col min="6395" max="6395" width="52.42578125" style="47" customWidth="1"/>
    <col min="6396" max="6396" width="34.140625" style="47" customWidth="1"/>
    <col min="6397" max="6397" width="0" style="47" hidden="1" customWidth="1"/>
    <col min="6398" max="6650" width="9.140625" style="47"/>
    <col min="6651" max="6651" width="52.42578125" style="47" customWidth="1"/>
    <col min="6652" max="6652" width="34.140625" style="47" customWidth="1"/>
    <col min="6653" max="6653" width="0" style="47" hidden="1" customWidth="1"/>
    <col min="6654" max="6906" width="9.140625" style="47"/>
    <col min="6907" max="6907" width="52.42578125" style="47" customWidth="1"/>
    <col min="6908" max="6908" width="34.140625" style="47" customWidth="1"/>
    <col min="6909" max="6909" width="0" style="47" hidden="1" customWidth="1"/>
    <col min="6910" max="7162" width="9.140625" style="47"/>
    <col min="7163" max="7163" width="52.42578125" style="47" customWidth="1"/>
    <col min="7164" max="7164" width="34.140625" style="47" customWidth="1"/>
    <col min="7165" max="7165" width="0" style="47" hidden="1" customWidth="1"/>
    <col min="7166" max="7418" width="9.140625" style="47"/>
    <col min="7419" max="7419" width="52.42578125" style="47" customWidth="1"/>
    <col min="7420" max="7420" width="34.140625" style="47" customWidth="1"/>
    <col min="7421" max="7421" width="0" style="47" hidden="1" customWidth="1"/>
    <col min="7422" max="7674" width="9.140625" style="47"/>
    <col min="7675" max="7675" width="52.42578125" style="47" customWidth="1"/>
    <col min="7676" max="7676" width="34.140625" style="47" customWidth="1"/>
    <col min="7677" max="7677" width="0" style="47" hidden="1" customWidth="1"/>
    <col min="7678" max="7930" width="9.140625" style="47"/>
    <col min="7931" max="7931" width="52.42578125" style="47" customWidth="1"/>
    <col min="7932" max="7932" width="34.140625" style="47" customWidth="1"/>
    <col min="7933" max="7933" width="0" style="47" hidden="1" customWidth="1"/>
    <col min="7934" max="8186" width="9.140625" style="47"/>
    <col min="8187" max="8187" width="52.42578125" style="47" customWidth="1"/>
    <col min="8188" max="8188" width="34.140625" style="47" customWidth="1"/>
    <col min="8189" max="8189" width="0" style="47" hidden="1" customWidth="1"/>
    <col min="8190" max="8442" width="9.140625" style="47"/>
    <col min="8443" max="8443" width="52.42578125" style="47" customWidth="1"/>
    <col min="8444" max="8444" width="34.140625" style="47" customWidth="1"/>
    <col min="8445" max="8445" width="0" style="47" hidden="1" customWidth="1"/>
    <col min="8446" max="8698" width="9.140625" style="47"/>
    <col min="8699" max="8699" width="52.42578125" style="47" customWidth="1"/>
    <col min="8700" max="8700" width="34.140625" style="47" customWidth="1"/>
    <col min="8701" max="8701" width="0" style="47" hidden="1" customWidth="1"/>
    <col min="8702" max="8954" width="9.140625" style="47"/>
    <col min="8955" max="8955" width="52.42578125" style="47" customWidth="1"/>
    <col min="8956" max="8956" width="34.140625" style="47" customWidth="1"/>
    <col min="8957" max="8957" width="0" style="47" hidden="1" customWidth="1"/>
    <col min="8958" max="9210" width="9.140625" style="47"/>
    <col min="9211" max="9211" width="52.42578125" style="47" customWidth="1"/>
    <col min="9212" max="9212" width="34.140625" style="47" customWidth="1"/>
    <col min="9213" max="9213" width="0" style="47" hidden="1" customWidth="1"/>
    <col min="9214" max="9466" width="9.140625" style="47"/>
    <col min="9467" max="9467" width="52.42578125" style="47" customWidth="1"/>
    <col min="9468" max="9468" width="34.140625" style="47" customWidth="1"/>
    <col min="9469" max="9469" width="0" style="47" hidden="1" customWidth="1"/>
    <col min="9470" max="9722" width="9.140625" style="47"/>
    <col min="9723" max="9723" width="52.42578125" style="47" customWidth="1"/>
    <col min="9724" max="9724" width="34.140625" style="47" customWidth="1"/>
    <col min="9725" max="9725" width="0" style="47" hidden="1" customWidth="1"/>
    <col min="9726" max="9978" width="9.140625" style="47"/>
    <col min="9979" max="9979" width="52.42578125" style="47" customWidth="1"/>
    <col min="9980" max="9980" width="34.140625" style="47" customWidth="1"/>
    <col min="9981" max="9981" width="0" style="47" hidden="1" customWidth="1"/>
    <col min="9982" max="10234" width="9.140625" style="47"/>
    <col min="10235" max="10235" width="52.42578125" style="47" customWidth="1"/>
    <col min="10236" max="10236" width="34.140625" style="47" customWidth="1"/>
    <col min="10237" max="10237" width="0" style="47" hidden="1" customWidth="1"/>
    <col min="10238" max="10490" width="9.140625" style="47"/>
    <col min="10491" max="10491" width="52.42578125" style="47" customWidth="1"/>
    <col min="10492" max="10492" width="34.140625" style="47" customWidth="1"/>
    <col min="10493" max="10493" width="0" style="47" hidden="1" customWidth="1"/>
    <col min="10494" max="10746" width="9.140625" style="47"/>
    <col min="10747" max="10747" width="52.42578125" style="47" customWidth="1"/>
    <col min="10748" max="10748" width="34.140625" style="47" customWidth="1"/>
    <col min="10749" max="10749" width="0" style="47" hidden="1" customWidth="1"/>
    <col min="10750" max="11002" width="9.140625" style="47"/>
    <col min="11003" max="11003" width="52.42578125" style="47" customWidth="1"/>
    <col min="11004" max="11004" width="34.140625" style="47" customWidth="1"/>
    <col min="11005" max="11005" width="0" style="47" hidden="1" customWidth="1"/>
    <col min="11006" max="11258" width="9.140625" style="47"/>
    <col min="11259" max="11259" width="52.42578125" style="47" customWidth="1"/>
    <col min="11260" max="11260" width="34.140625" style="47" customWidth="1"/>
    <col min="11261" max="11261" width="0" style="47" hidden="1" customWidth="1"/>
    <col min="11262" max="11514" width="9.140625" style="47"/>
    <col min="11515" max="11515" width="52.42578125" style="47" customWidth="1"/>
    <col min="11516" max="11516" width="34.140625" style="47" customWidth="1"/>
    <col min="11517" max="11517" width="0" style="47" hidden="1" customWidth="1"/>
    <col min="11518" max="11770" width="9.140625" style="47"/>
    <col min="11771" max="11771" width="52.42578125" style="47" customWidth="1"/>
    <col min="11772" max="11772" width="34.140625" style="47" customWidth="1"/>
    <col min="11773" max="11773" width="0" style="47" hidden="1" customWidth="1"/>
    <col min="11774" max="12026" width="9.140625" style="47"/>
    <col min="12027" max="12027" width="52.42578125" style="47" customWidth="1"/>
    <col min="12028" max="12028" width="34.140625" style="47" customWidth="1"/>
    <col min="12029" max="12029" width="0" style="47" hidden="1" customWidth="1"/>
    <col min="12030" max="12282" width="9.140625" style="47"/>
    <col min="12283" max="12283" width="52.42578125" style="47" customWidth="1"/>
    <col min="12284" max="12284" width="34.140625" style="47" customWidth="1"/>
    <col min="12285" max="12285" width="0" style="47" hidden="1" customWidth="1"/>
    <col min="12286" max="12538" width="9.140625" style="47"/>
    <col min="12539" max="12539" width="52.42578125" style="47" customWidth="1"/>
    <col min="12540" max="12540" width="34.140625" style="47" customWidth="1"/>
    <col min="12541" max="12541" width="0" style="47" hidden="1" customWidth="1"/>
    <col min="12542" max="12794" width="9.140625" style="47"/>
    <col min="12795" max="12795" width="52.42578125" style="47" customWidth="1"/>
    <col min="12796" max="12796" width="34.140625" style="47" customWidth="1"/>
    <col min="12797" max="12797" width="0" style="47" hidden="1" customWidth="1"/>
    <col min="12798" max="13050" width="9.140625" style="47"/>
    <col min="13051" max="13051" width="52.42578125" style="47" customWidth="1"/>
    <col min="13052" max="13052" width="34.140625" style="47" customWidth="1"/>
    <col min="13053" max="13053" width="0" style="47" hidden="1" customWidth="1"/>
    <col min="13054" max="13306" width="9.140625" style="47"/>
    <col min="13307" max="13307" width="52.42578125" style="47" customWidth="1"/>
    <col min="13308" max="13308" width="34.140625" style="47" customWidth="1"/>
    <col min="13309" max="13309" width="0" style="47" hidden="1" customWidth="1"/>
    <col min="13310" max="13562" width="9.140625" style="47"/>
    <col min="13563" max="13563" width="52.42578125" style="47" customWidth="1"/>
    <col min="13564" max="13564" width="34.140625" style="47" customWidth="1"/>
    <col min="13565" max="13565" width="0" style="47" hidden="1" customWidth="1"/>
    <col min="13566" max="13818" width="9.140625" style="47"/>
    <col min="13819" max="13819" width="52.42578125" style="47" customWidth="1"/>
    <col min="13820" max="13820" width="34.140625" style="47" customWidth="1"/>
    <col min="13821" max="13821" width="0" style="47" hidden="1" customWidth="1"/>
    <col min="13822" max="14074" width="9.140625" style="47"/>
    <col min="14075" max="14075" width="52.42578125" style="47" customWidth="1"/>
    <col min="14076" max="14076" width="34.140625" style="47" customWidth="1"/>
    <col min="14077" max="14077" width="0" style="47" hidden="1" customWidth="1"/>
    <col min="14078" max="14330" width="9.140625" style="47"/>
    <col min="14331" max="14331" width="52.42578125" style="47" customWidth="1"/>
    <col min="14332" max="14332" width="34.140625" style="47" customWidth="1"/>
    <col min="14333" max="14333" width="0" style="47" hidden="1" customWidth="1"/>
    <col min="14334" max="14586" width="9.140625" style="47"/>
    <col min="14587" max="14587" width="52.42578125" style="47" customWidth="1"/>
    <col min="14588" max="14588" width="34.140625" style="47" customWidth="1"/>
    <col min="14589" max="14589" width="0" style="47" hidden="1" customWidth="1"/>
    <col min="14590" max="14842" width="9.140625" style="47"/>
    <col min="14843" max="14843" width="52.42578125" style="47" customWidth="1"/>
    <col min="14844" max="14844" width="34.140625" style="47" customWidth="1"/>
    <col min="14845" max="14845" width="0" style="47" hidden="1" customWidth="1"/>
    <col min="14846" max="15098" width="9.140625" style="47"/>
    <col min="15099" max="15099" width="52.42578125" style="47" customWidth="1"/>
    <col min="15100" max="15100" width="34.140625" style="47" customWidth="1"/>
    <col min="15101" max="15101" width="0" style="47" hidden="1" customWidth="1"/>
    <col min="15102" max="15354" width="9.140625" style="47"/>
    <col min="15355" max="15355" width="52.42578125" style="47" customWidth="1"/>
    <col min="15356" max="15356" width="34.140625" style="47" customWidth="1"/>
    <col min="15357" max="15357" width="0" style="47" hidden="1" customWidth="1"/>
    <col min="15358" max="15610" width="9.140625" style="47"/>
    <col min="15611" max="15611" width="52.42578125" style="47" customWidth="1"/>
    <col min="15612" max="15612" width="34.140625" style="47" customWidth="1"/>
    <col min="15613" max="15613" width="0" style="47" hidden="1" customWidth="1"/>
    <col min="15614" max="15866" width="9.140625" style="47"/>
    <col min="15867" max="15867" width="52.42578125" style="47" customWidth="1"/>
    <col min="15868" max="15868" width="34.140625" style="47" customWidth="1"/>
    <col min="15869" max="15869" width="0" style="47" hidden="1" customWidth="1"/>
    <col min="15870" max="16122" width="9.140625" style="47"/>
    <col min="16123" max="16123" width="52.42578125" style="47" customWidth="1"/>
    <col min="16124" max="16124" width="34.140625" style="47" customWidth="1"/>
    <col min="16125" max="16125" width="0" style="47" hidden="1" customWidth="1"/>
    <col min="16126" max="16384" width="9.140625" style="47"/>
  </cols>
  <sheetData>
    <row r="1" spans="1:238" ht="18.75">
      <c r="A1" s="326" t="s">
        <v>219</v>
      </c>
      <c r="B1" s="326"/>
      <c r="C1" s="326"/>
      <c r="D1" s="326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</row>
    <row r="2" spans="1:238" ht="15" customHeight="1">
      <c r="A2" s="270"/>
      <c r="B2" s="270"/>
      <c r="C2" s="270"/>
      <c r="D2" s="270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7"/>
      <c r="HC2" s="47"/>
      <c r="HD2" s="47"/>
      <c r="HE2" s="47"/>
      <c r="HF2" s="47"/>
      <c r="HG2" s="47"/>
      <c r="HH2" s="47"/>
      <c r="HI2" s="47"/>
      <c r="HJ2" s="47"/>
      <c r="HK2" s="47"/>
      <c r="HL2" s="47"/>
      <c r="HM2" s="47"/>
      <c r="HN2" s="47"/>
      <c r="HO2" s="47"/>
      <c r="HP2" s="47"/>
      <c r="HQ2" s="47"/>
      <c r="HR2" s="47"/>
      <c r="HS2" s="47"/>
      <c r="HT2" s="47"/>
      <c r="HU2" s="47"/>
      <c r="HV2" s="47"/>
      <c r="HW2" s="47"/>
      <c r="HX2" s="47"/>
      <c r="HY2" s="47"/>
      <c r="HZ2" s="47"/>
      <c r="IA2" s="47"/>
      <c r="IB2" s="47"/>
      <c r="IC2" s="47"/>
      <c r="ID2" s="47"/>
    </row>
    <row r="3" spans="1:238" ht="14.25" customHeight="1">
      <c r="A3" s="86" t="str">
        <f>合并资产负债表!A3</f>
        <v>编制单位：</v>
      </c>
      <c r="B3" s="69"/>
      <c r="C3" s="69"/>
      <c r="D3" s="69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  <c r="CH3" s="47"/>
      <c r="CI3" s="47"/>
      <c r="CJ3" s="47"/>
      <c r="CK3" s="47"/>
      <c r="CL3" s="47"/>
      <c r="CM3" s="47"/>
      <c r="CN3" s="47"/>
      <c r="CO3" s="47"/>
      <c r="CP3" s="47"/>
      <c r="CQ3" s="47"/>
      <c r="CR3" s="47"/>
      <c r="CS3" s="47"/>
      <c r="CT3" s="47"/>
      <c r="CU3" s="47"/>
      <c r="CV3" s="47"/>
      <c r="CW3" s="47"/>
      <c r="CX3" s="47"/>
      <c r="CY3" s="47"/>
      <c r="CZ3" s="47"/>
      <c r="DA3" s="47"/>
      <c r="DB3" s="47"/>
      <c r="DC3" s="47"/>
      <c r="DD3" s="47"/>
      <c r="DE3" s="47"/>
      <c r="DF3" s="47"/>
      <c r="DG3" s="47"/>
      <c r="DH3" s="47"/>
      <c r="DI3" s="47"/>
      <c r="DJ3" s="47"/>
      <c r="DK3" s="47"/>
      <c r="DL3" s="47"/>
      <c r="DM3" s="47"/>
      <c r="DN3" s="47"/>
      <c r="DO3" s="47"/>
      <c r="DP3" s="47"/>
      <c r="DQ3" s="47"/>
      <c r="DR3" s="47"/>
      <c r="DS3" s="47"/>
      <c r="DT3" s="47"/>
      <c r="DU3" s="47"/>
      <c r="DV3" s="47"/>
      <c r="DW3" s="47"/>
      <c r="DX3" s="47"/>
      <c r="DY3" s="47"/>
      <c r="DZ3" s="47"/>
      <c r="EA3" s="47"/>
      <c r="EB3" s="47"/>
      <c r="EC3" s="47"/>
      <c r="ED3" s="47"/>
      <c r="EE3" s="47"/>
      <c r="EF3" s="47"/>
      <c r="EG3" s="47"/>
      <c r="EH3" s="47"/>
      <c r="EI3" s="47"/>
      <c r="EJ3" s="47"/>
      <c r="EK3" s="47"/>
      <c r="EL3" s="47"/>
      <c r="EM3" s="47"/>
      <c r="EN3" s="47"/>
      <c r="EO3" s="47"/>
      <c r="EP3" s="47"/>
      <c r="EQ3" s="47"/>
      <c r="ER3" s="47"/>
      <c r="ES3" s="47"/>
      <c r="ET3" s="47"/>
      <c r="EU3" s="47"/>
      <c r="EV3" s="47"/>
      <c r="EW3" s="47"/>
      <c r="EX3" s="47"/>
      <c r="EY3" s="47"/>
      <c r="EZ3" s="47"/>
      <c r="FA3" s="47"/>
      <c r="FB3" s="47"/>
      <c r="FC3" s="47"/>
      <c r="FD3" s="47"/>
      <c r="FE3" s="47"/>
      <c r="FF3" s="47"/>
      <c r="FG3" s="47"/>
      <c r="FH3" s="47"/>
      <c r="FI3" s="47"/>
      <c r="FJ3" s="47"/>
      <c r="FK3" s="47"/>
      <c r="FL3" s="47"/>
      <c r="FM3" s="47"/>
      <c r="FN3" s="47"/>
      <c r="FO3" s="47"/>
      <c r="FP3" s="47"/>
      <c r="FQ3" s="47"/>
      <c r="FR3" s="47"/>
      <c r="FS3" s="47"/>
      <c r="FT3" s="47"/>
      <c r="FU3" s="47"/>
      <c r="FV3" s="47"/>
      <c r="FW3" s="47"/>
      <c r="FX3" s="47"/>
      <c r="FY3" s="47"/>
      <c r="FZ3" s="47"/>
      <c r="GA3" s="47"/>
      <c r="GB3" s="47"/>
      <c r="GC3" s="47"/>
      <c r="GD3" s="47"/>
      <c r="GE3" s="47"/>
      <c r="GF3" s="47"/>
      <c r="GG3" s="47"/>
      <c r="GH3" s="47"/>
      <c r="GI3" s="47"/>
      <c r="GJ3" s="47"/>
      <c r="GK3" s="47"/>
      <c r="GL3" s="47"/>
      <c r="GM3" s="47"/>
      <c r="GN3" s="47"/>
      <c r="GO3" s="47"/>
      <c r="GP3" s="47"/>
      <c r="GQ3" s="47"/>
      <c r="GR3" s="47"/>
      <c r="GS3" s="47"/>
      <c r="GT3" s="47"/>
      <c r="GU3" s="47"/>
      <c r="GV3" s="47"/>
      <c r="GW3" s="47"/>
      <c r="GX3" s="47"/>
      <c r="GY3" s="47"/>
      <c r="GZ3" s="47"/>
      <c r="HA3" s="47"/>
      <c r="HB3" s="47"/>
      <c r="HC3" s="47"/>
      <c r="HD3" s="47"/>
      <c r="HE3" s="47"/>
      <c r="HF3" s="47"/>
      <c r="HG3" s="47"/>
      <c r="HH3" s="47"/>
      <c r="HI3" s="47"/>
      <c r="HJ3" s="47"/>
      <c r="HK3" s="47"/>
      <c r="HL3" s="47"/>
      <c r="HM3" s="47"/>
      <c r="HN3" s="47"/>
      <c r="HO3" s="47"/>
      <c r="HP3" s="47"/>
      <c r="HQ3" s="47"/>
      <c r="HR3" s="47"/>
      <c r="HS3" s="47"/>
      <c r="HT3" s="47"/>
      <c r="HU3" s="47"/>
      <c r="HV3" s="47"/>
      <c r="HW3" s="47"/>
      <c r="HX3" s="47"/>
      <c r="HY3" s="47"/>
      <c r="HZ3" s="47"/>
      <c r="IA3" s="47"/>
      <c r="IB3" s="47"/>
      <c r="IC3" s="47"/>
      <c r="ID3" s="47"/>
    </row>
    <row r="4" spans="1:238" ht="16.5" customHeight="1">
      <c r="A4" s="273" t="s">
        <v>546</v>
      </c>
      <c r="E4" s="200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7"/>
      <c r="CM4" s="47"/>
      <c r="CN4" s="47"/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7"/>
      <c r="CZ4" s="47"/>
      <c r="DA4" s="47"/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7"/>
      <c r="DM4" s="47"/>
      <c r="DN4" s="47"/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7"/>
      <c r="DZ4" s="47"/>
      <c r="EA4" s="47"/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7"/>
      <c r="EM4" s="47"/>
      <c r="EN4" s="47"/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7"/>
      <c r="EZ4" s="47"/>
      <c r="FA4" s="47"/>
      <c r="FB4" s="47"/>
      <c r="FC4" s="47"/>
      <c r="FD4" s="47"/>
      <c r="FE4" s="47"/>
      <c r="FF4" s="47"/>
      <c r="FG4" s="47"/>
      <c r="FH4" s="47"/>
      <c r="FI4" s="47"/>
      <c r="FJ4" s="47"/>
      <c r="FK4" s="47"/>
      <c r="FL4" s="47"/>
      <c r="FM4" s="47"/>
      <c r="FN4" s="47"/>
      <c r="FO4" s="47"/>
      <c r="FP4" s="47"/>
      <c r="FQ4" s="47"/>
      <c r="FR4" s="47"/>
      <c r="FS4" s="47"/>
      <c r="FT4" s="47"/>
      <c r="FU4" s="47"/>
      <c r="FV4" s="47"/>
      <c r="FW4" s="47"/>
      <c r="FX4" s="47"/>
      <c r="FY4" s="47"/>
      <c r="FZ4" s="47"/>
      <c r="GA4" s="47"/>
      <c r="GB4" s="47"/>
      <c r="GC4" s="47"/>
      <c r="GD4" s="47"/>
      <c r="GE4" s="47"/>
      <c r="GF4" s="47"/>
      <c r="GG4" s="47"/>
      <c r="GH4" s="47"/>
      <c r="GI4" s="47"/>
      <c r="GJ4" s="47"/>
      <c r="GK4" s="47"/>
      <c r="GL4" s="47"/>
      <c r="GM4" s="47"/>
      <c r="GN4" s="47"/>
      <c r="GO4" s="47"/>
      <c r="GP4" s="47"/>
      <c r="GQ4" s="47"/>
      <c r="GR4" s="47"/>
      <c r="GS4" s="47"/>
      <c r="GT4" s="47"/>
      <c r="GU4" s="47"/>
      <c r="GV4" s="47"/>
      <c r="GW4" s="47"/>
      <c r="GX4" s="47"/>
      <c r="GY4" s="47"/>
      <c r="GZ4" s="47"/>
      <c r="HA4" s="47"/>
      <c r="HB4" s="47"/>
      <c r="HC4" s="47"/>
      <c r="HD4" s="47"/>
      <c r="HE4" s="47"/>
      <c r="HF4" s="47"/>
      <c r="HG4" s="47"/>
      <c r="HH4" s="47"/>
      <c r="HI4" s="47"/>
      <c r="HJ4" s="47"/>
      <c r="HK4" s="47"/>
      <c r="HL4" s="47"/>
      <c r="HM4" s="47"/>
      <c r="HN4" s="47"/>
      <c r="HO4" s="47"/>
      <c r="HP4" s="47"/>
      <c r="HQ4" s="47"/>
      <c r="HR4" s="47"/>
      <c r="HS4" s="47"/>
      <c r="HT4" s="47"/>
      <c r="HU4" s="47"/>
      <c r="HV4" s="47"/>
      <c r="HW4" s="47"/>
      <c r="HX4" s="47"/>
      <c r="HY4" s="47"/>
      <c r="HZ4" s="47"/>
      <c r="IA4" s="47"/>
      <c r="IB4" s="47"/>
      <c r="IC4" s="47"/>
      <c r="ID4" s="47"/>
    </row>
    <row r="5" spans="1:238" ht="16.5" customHeight="1">
      <c r="A5" s="87" t="s">
        <v>170</v>
      </c>
      <c r="B5" s="96" t="str">
        <f>合并利润表!B6</f>
        <v>2019年9月发生额</v>
      </c>
      <c r="C5" s="96" t="str">
        <f>合并利润表!C6</f>
        <v>2019年1-9月发生额</v>
      </c>
      <c r="D5" s="96" t="str">
        <f>合并利润表!D6</f>
        <v>2018年1-9月发生额</v>
      </c>
      <c r="E5" s="123" t="s">
        <v>290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  <c r="CB5" s="47"/>
      <c r="CC5" s="47"/>
      <c r="CD5" s="47"/>
      <c r="CE5" s="47"/>
      <c r="CF5" s="47"/>
      <c r="CG5" s="47"/>
      <c r="CH5" s="47"/>
      <c r="CI5" s="47"/>
      <c r="CJ5" s="47"/>
      <c r="CK5" s="47"/>
      <c r="CL5" s="47"/>
      <c r="CM5" s="47"/>
      <c r="CN5" s="47"/>
      <c r="CO5" s="47"/>
      <c r="CP5" s="47"/>
      <c r="CQ5" s="47"/>
      <c r="CR5" s="47"/>
      <c r="CS5" s="47"/>
      <c r="CT5" s="47"/>
      <c r="CU5" s="47"/>
      <c r="CV5" s="47"/>
      <c r="CW5" s="47"/>
      <c r="CX5" s="47"/>
      <c r="CY5" s="47"/>
      <c r="CZ5" s="47"/>
      <c r="DA5" s="47"/>
      <c r="DB5" s="47"/>
      <c r="DC5" s="47"/>
      <c r="DD5" s="47"/>
      <c r="DE5" s="47"/>
      <c r="DF5" s="47"/>
      <c r="DG5" s="47"/>
      <c r="DH5" s="47"/>
      <c r="DI5" s="47"/>
      <c r="DJ5" s="47"/>
      <c r="DK5" s="47"/>
      <c r="DL5" s="47"/>
      <c r="DM5" s="47"/>
      <c r="DN5" s="47"/>
      <c r="DO5" s="47"/>
      <c r="DP5" s="47"/>
      <c r="DQ5" s="47"/>
      <c r="DR5" s="47"/>
      <c r="DS5" s="47"/>
      <c r="DT5" s="47"/>
      <c r="DU5" s="47"/>
      <c r="DV5" s="47"/>
      <c r="DW5" s="47"/>
      <c r="DX5" s="47"/>
      <c r="DY5" s="47"/>
      <c r="DZ5" s="47"/>
      <c r="EA5" s="47"/>
      <c r="EB5" s="47"/>
      <c r="EC5" s="47"/>
      <c r="ED5" s="47"/>
      <c r="EE5" s="47"/>
      <c r="EF5" s="47"/>
      <c r="EG5" s="47"/>
      <c r="EH5" s="47"/>
      <c r="EI5" s="47"/>
      <c r="EJ5" s="47"/>
      <c r="EK5" s="47"/>
      <c r="EL5" s="47"/>
      <c r="EM5" s="47"/>
      <c r="EN5" s="47"/>
      <c r="EO5" s="47"/>
      <c r="EP5" s="47"/>
      <c r="EQ5" s="47"/>
      <c r="ER5" s="47"/>
      <c r="ES5" s="47"/>
      <c r="ET5" s="47"/>
      <c r="EU5" s="47"/>
      <c r="EV5" s="47"/>
      <c r="EW5" s="47"/>
      <c r="EX5" s="47"/>
      <c r="EY5" s="47"/>
      <c r="EZ5" s="47"/>
      <c r="FA5" s="47"/>
      <c r="FB5" s="47"/>
      <c r="FC5" s="47"/>
      <c r="FD5" s="47"/>
      <c r="FE5" s="47"/>
      <c r="FF5" s="47"/>
      <c r="FG5" s="47"/>
      <c r="FH5" s="47"/>
      <c r="FI5" s="47"/>
      <c r="FJ5" s="47"/>
      <c r="FK5" s="47"/>
      <c r="FL5" s="47"/>
      <c r="FM5" s="47"/>
      <c r="FN5" s="47"/>
      <c r="FO5" s="47"/>
      <c r="FP5" s="47"/>
      <c r="FQ5" s="47"/>
      <c r="FR5" s="47"/>
      <c r="FS5" s="47"/>
      <c r="FT5" s="47"/>
      <c r="FU5" s="47"/>
      <c r="FV5" s="47"/>
      <c r="FW5" s="47"/>
      <c r="FX5" s="47"/>
      <c r="FY5" s="47"/>
      <c r="FZ5" s="47"/>
      <c r="GA5" s="47"/>
      <c r="GB5" s="47"/>
      <c r="GC5" s="47"/>
      <c r="GD5" s="47"/>
      <c r="GE5" s="47"/>
      <c r="GF5" s="47"/>
      <c r="GG5" s="47"/>
      <c r="GH5" s="47"/>
      <c r="GI5" s="47"/>
      <c r="GJ5" s="47"/>
      <c r="GK5" s="47"/>
      <c r="GL5" s="47"/>
      <c r="GM5" s="47"/>
      <c r="GN5" s="47"/>
      <c r="GO5" s="47"/>
      <c r="GP5" s="47"/>
      <c r="GQ5" s="47"/>
      <c r="GR5" s="47"/>
      <c r="GS5" s="47"/>
      <c r="GT5" s="47"/>
      <c r="GU5" s="47"/>
      <c r="GV5" s="47"/>
      <c r="GW5" s="47"/>
      <c r="GX5" s="47"/>
      <c r="GY5" s="47"/>
      <c r="GZ5" s="47"/>
      <c r="HA5" s="47"/>
      <c r="HB5" s="47"/>
      <c r="HC5" s="47"/>
      <c r="HD5" s="47"/>
      <c r="HE5" s="47"/>
      <c r="HF5" s="47"/>
      <c r="HG5" s="47"/>
      <c r="HH5" s="47"/>
      <c r="HI5" s="47"/>
      <c r="HJ5" s="47"/>
      <c r="HK5" s="47"/>
      <c r="HL5" s="47"/>
      <c r="HM5" s="47"/>
      <c r="HN5" s="47"/>
      <c r="HO5" s="47"/>
      <c r="HP5" s="47"/>
      <c r="HQ5" s="47"/>
      <c r="HR5" s="47"/>
      <c r="HS5" s="47"/>
      <c r="HT5" s="47"/>
      <c r="HU5" s="47"/>
      <c r="HV5" s="47"/>
      <c r="HW5" s="47"/>
      <c r="HX5" s="47"/>
      <c r="HY5" s="47"/>
      <c r="HZ5" s="47"/>
      <c r="IA5" s="47"/>
      <c r="IB5" s="47"/>
      <c r="IC5" s="47"/>
      <c r="ID5" s="47"/>
    </row>
    <row r="6" spans="1:238" ht="16.5" customHeight="1">
      <c r="A6" s="88" t="s">
        <v>171</v>
      </c>
      <c r="B6" s="69"/>
      <c r="C6" s="69"/>
      <c r="D6" s="69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7"/>
      <c r="CF6" s="47"/>
      <c r="CG6" s="47"/>
      <c r="CH6" s="47"/>
      <c r="CI6" s="47"/>
      <c r="CJ6" s="47"/>
      <c r="CK6" s="47"/>
      <c r="CL6" s="47"/>
      <c r="CM6" s="47"/>
      <c r="CN6" s="47"/>
      <c r="CO6" s="47"/>
      <c r="CP6" s="47"/>
      <c r="CQ6" s="47"/>
      <c r="CR6" s="47"/>
      <c r="CS6" s="47"/>
      <c r="CT6" s="47"/>
      <c r="CU6" s="47"/>
      <c r="CV6" s="47"/>
      <c r="CW6" s="47"/>
      <c r="CX6" s="47"/>
      <c r="CY6" s="47"/>
      <c r="CZ6" s="47"/>
      <c r="DA6" s="47"/>
      <c r="DB6" s="47"/>
      <c r="DC6" s="47"/>
      <c r="DD6" s="47"/>
      <c r="DE6" s="47"/>
      <c r="DF6" s="47"/>
      <c r="DG6" s="47"/>
      <c r="DH6" s="47"/>
      <c r="DI6" s="47"/>
      <c r="DJ6" s="47"/>
      <c r="DK6" s="47"/>
      <c r="DL6" s="47"/>
      <c r="DM6" s="47"/>
      <c r="DN6" s="47"/>
      <c r="DO6" s="47"/>
      <c r="DP6" s="47"/>
      <c r="DQ6" s="47"/>
      <c r="DR6" s="47"/>
      <c r="DS6" s="47"/>
      <c r="DT6" s="47"/>
      <c r="DU6" s="47"/>
      <c r="DV6" s="47"/>
      <c r="DW6" s="47"/>
      <c r="DX6" s="47"/>
      <c r="DY6" s="47"/>
      <c r="DZ6" s="47"/>
      <c r="EA6" s="47"/>
      <c r="EB6" s="47"/>
      <c r="EC6" s="47"/>
      <c r="ED6" s="47"/>
      <c r="EE6" s="47"/>
      <c r="EF6" s="47"/>
      <c r="EG6" s="47"/>
      <c r="EH6" s="47"/>
      <c r="EI6" s="47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7"/>
      <c r="FA6" s="47"/>
      <c r="FB6" s="47"/>
      <c r="FC6" s="47"/>
      <c r="FD6" s="47"/>
      <c r="FE6" s="47"/>
      <c r="FF6" s="47"/>
      <c r="FG6" s="47"/>
      <c r="FH6" s="47"/>
      <c r="FI6" s="47"/>
      <c r="FJ6" s="47"/>
      <c r="FK6" s="47"/>
      <c r="FL6" s="47"/>
      <c r="FM6" s="47"/>
      <c r="FN6" s="47"/>
      <c r="FO6" s="47"/>
      <c r="FP6" s="47"/>
      <c r="FQ6" s="47"/>
      <c r="FR6" s="47"/>
      <c r="FS6" s="47"/>
      <c r="FT6" s="47"/>
      <c r="FU6" s="47"/>
      <c r="FV6" s="47"/>
      <c r="FW6" s="47"/>
      <c r="FX6" s="47"/>
      <c r="FY6" s="47"/>
      <c r="FZ6" s="47"/>
      <c r="GA6" s="47"/>
      <c r="GB6" s="47"/>
      <c r="GC6" s="47"/>
      <c r="GD6" s="47"/>
      <c r="GE6" s="47"/>
      <c r="GF6" s="47"/>
      <c r="GG6" s="47"/>
      <c r="GH6" s="47"/>
      <c r="GI6" s="47"/>
      <c r="GJ6" s="47"/>
      <c r="GK6" s="47"/>
      <c r="GL6" s="47"/>
      <c r="GM6" s="47"/>
      <c r="GN6" s="47"/>
      <c r="GO6" s="47"/>
      <c r="GP6" s="47"/>
      <c r="GQ6" s="47"/>
      <c r="GR6" s="47"/>
      <c r="GS6" s="47"/>
      <c r="GT6" s="47"/>
      <c r="GU6" s="47"/>
      <c r="GV6" s="47"/>
      <c r="GW6" s="47"/>
      <c r="GX6" s="47"/>
      <c r="GY6" s="47"/>
      <c r="GZ6" s="47"/>
      <c r="HA6" s="47"/>
      <c r="HB6" s="47"/>
      <c r="HC6" s="47"/>
      <c r="HD6" s="47"/>
      <c r="HE6" s="47"/>
      <c r="HF6" s="47"/>
      <c r="HG6" s="47"/>
      <c r="HH6" s="47"/>
      <c r="HI6" s="47"/>
      <c r="HJ6" s="47"/>
      <c r="HK6" s="47"/>
      <c r="HL6" s="47"/>
      <c r="HM6" s="47"/>
      <c r="HN6" s="47"/>
      <c r="HO6" s="47"/>
      <c r="HP6" s="47"/>
      <c r="HQ6" s="47"/>
      <c r="HR6" s="47"/>
      <c r="HS6" s="47"/>
      <c r="HT6" s="47"/>
      <c r="HU6" s="47"/>
      <c r="HV6" s="47"/>
      <c r="HW6" s="47"/>
      <c r="HX6" s="47"/>
      <c r="HY6" s="47"/>
      <c r="HZ6" s="47"/>
      <c r="IA6" s="47"/>
      <c r="IB6" s="47"/>
      <c r="IC6" s="47"/>
      <c r="ID6" s="47"/>
    </row>
    <row r="7" spans="1:238" ht="16.5" customHeight="1">
      <c r="A7" s="62" t="s">
        <v>330</v>
      </c>
      <c r="B7" s="140" t="str">
        <f>IF(VLOOKUP(A7,过渡表!$A$3:$R$194,18,0)&lt;&gt;0,VLOOKUP(A7,过渡表!$A$3:$R$194,18,0),"")</f>
        <v/>
      </c>
      <c r="C7" s="140" t="str">
        <f>IF(VLOOKUP(A7,过渡表!$A$3:$V$194,21,0)&lt;&gt;0,VLOOKUP(A7,过渡表!$A$3:$V$194,21,0),"")</f>
        <v/>
      </c>
      <c r="D7" s="140"/>
      <c r="E7" s="110">
        <f>IFERROR((C7-D7)/D7,0)</f>
        <v>0</v>
      </c>
      <c r="F7" s="71" t="e">
        <f>C7-D7</f>
        <v>#VALUE!</v>
      </c>
      <c r="G7" s="80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  <c r="CC7" s="47"/>
      <c r="CD7" s="47"/>
      <c r="CE7" s="47"/>
      <c r="CF7" s="47"/>
      <c r="CG7" s="47"/>
      <c r="CH7" s="47"/>
      <c r="CI7" s="47"/>
      <c r="CJ7" s="47"/>
      <c r="CK7" s="47"/>
      <c r="CL7" s="47"/>
      <c r="CM7" s="47"/>
      <c r="CN7" s="47"/>
      <c r="CO7" s="47"/>
      <c r="CP7" s="47"/>
      <c r="CQ7" s="47"/>
      <c r="CR7" s="47"/>
      <c r="CS7" s="47"/>
      <c r="CT7" s="47"/>
      <c r="CU7" s="47"/>
      <c r="CV7" s="47"/>
      <c r="CW7" s="47"/>
      <c r="CX7" s="47"/>
      <c r="CY7" s="47"/>
      <c r="CZ7" s="47"/>
      <c r="DA7" s="47"/>
      <c r="DB7" s="47"/>
      <c r="DC7" s="47"/>
      <c r="DD7" s="47"/>
      <c r="DE7" s="47"/>
      <c r="DF7" s="47"/>
      <c r="DG7" s="47"/>
      <c r="DH7" s="47"/>
      <c r="DI7" s="47"/>
      <c r="DJ7" s="47"/>
      <c r="DK7" s="47"/>
      <c r="DL7" s="47"/>
      <c r="DM7" s="47"/>
      <c r="DN7" s="47"/>
      <c r="DO7" s="47"/>
      <c r="DP7" s="47"/>
      <c r="DQ7" s="47"/>
      <c r="DR7" s="47"/>
      <c r="DS7" s="47"/>
      <c r="DT7" s="47"/>
      <c r="DU7" s="47"/>
      <c r="DV7" s="47"/>
      <c r="DW7" s="47"/>
      <c r="DX7" s="47"/>
      <c r="DY7" s="47"/>
      <c r="DZ7" s="47"/>
      <c r="EA7" s="47"/>
      <c r="EB7" s="47"/>
      <c r="EC7" s="47"/>
      <c r="ED7" s="47"/>
      <c r="EE7" s="47"/>
      <c r="EF7" s="47"/>
      <c r="EG7" s="47"/>
      <c r="EH7" s="47"/>
      <c r="EI7" s="47"/>
      <c r="EJ7" s="47"/>
      <c r="EK7" s="47"/>
      <c r="EL7" s="47"/>
      <c r="EM7" s="47"/>
      <c r="EN7" s="47"/>
      <c r="EO7" s="47"/>
      <c r="EP7" s="47"/>
      <c r="EQ7" s="47"/>
      <c r="ER7" s="47"/>
      <c r="ES7" s="47"/>
      <c r="ET7" s="47"/>
      <c r="EU7" s="47"/>
      <c r="EV7" s="47"/>
      <c r="EW7" s="47"/>
      <c r="EX7" s="47"/>
      <c r="EY7" s="47"/>
      <c r="EZ7" s="47"/>
      <c r="FA7" s="47"/>
      <c r="FB7" s="47"/>
      <c r="FC7" s="47"/>
      <c r="FD7" s="47"/>
      <c r="FE7" s="47"/>
      <c r="FF7" s="47"/>
      <c r="FG7" s="47"/>
      <c r="FH7" s="47"/>
      <c r="FI7" s="47"/>
      <c r="FJ7" s="47"/>
      <c r="FK7" s="47"/>
      <c r="FL7" s="47"/>
      <c r="FM7" s="47"/>
      <c r="FN7" s="47"/>
      <c r="FO7" s="47"/>
      <c r="FP7" s="47"/>
      <c r="FQ7" s="47"/>
      <c r="FR7" s="47"/>
      <c r="FS7" s="47"/>
      <c r="FT7" s="47"/>
      <c r="FU7" s="47"/>
      <c r="FV7" s="47"/>
      <c r="FW7" s="47"/>
      <c r="FX7" s="47"/>
      <c r="FY7" s="47"/>
      <c r="FZ7" s="47"/>
      <c r="GA7" s="47"/>
      <c r="GB7" s="47"/>
      <c r="GC7" s="47"/>
      <c r="GD7" s="47"/>
      <c r="GE7" s="47"/>
      <c r="GF7" s="47"/>
      <c r="GG7" s="47"/>
      <c r="GH7" s="47"/>
      <c r="GI7" s="47"/>
      <c r="GJ7" s="47"/>
      <c r="GK7" s="47"/>
      <c r="GL7" s="47"/>
      <c r="GM7" s="47"/>
      <c r="GN7" s="47"/>
      <c r="GO7" s="47"/>
      <c r="GP7" s="47"/>
      <c r="GQ7" s="47"/>
      <c r="GR7" s="47"/>
      <c r="GS7" s="47"/>
      <c r="GT7" s="47"/>
      <c r="GU7" s="47"/>
      <c r="GV7" s="47"/>
      <c r="GW7" s="47"/>
      <c r="GX7" s="47"/>
      <c r="GY7" s="47"/>
      <c r="GZ7" s="47"/>
      <c r="HA7" s="47"/>
      <c r="HB7" s="47"/>
      <c r="HC7" s="47"/>
      <c r="HD7" s="47"/>
      <c r="HE7" s="47"/>
      <c r="HF7" s="47"/>
      <c r="HG7" s="47"/>
      <c r="HH7" s="47"/>
      <c r="HI7" s="47"/>
      <c r="HJ7" s="47"/>
      <c r="HK7" s="47"/>
      <c r="HL7" s="47"/>
      <c r="HM7" s="47"/>
      <c r="HN7" s="47"/>
      <c r="HO7" s="47"/>
      <c r="HP7" s="47"/>
      <c r="HQ7" s="47"/>
      <c r="HR7" s="47"/>
      <c r="HS7" s="47"/>
      <c r="HT7" s="47"/>
      <c r="HU7" s="47"/>
      <c r="HV7" s="47"/>
      <c r="HW7" s="47"/>
      <c r="HX7" s="47"/>
      <c r="HY7" s="47"/>
      <c r="HZ7" s="47"/>
      <c r="IA7" s="47"/>
      <c r="IB7" s="47"/>
      <c r="IC7" s="47"/>
      <c r="ID7" s="47"/>
    </row>
    <row r="8" spans="1:238" ht="16.5" customHeight="1">
      <c r="A8" s="99" t="s">
        <v>1</v>
      </c>
      <c r="B8" s="140" t="str">
        <f>IF(VLOOKUP(A8,过渡表!$A$3:$R$194,18,0)&lt;&gt;0,VLOOKUP(A8,过渡表!$A$3:$R$194,18,0),"")</f>
        <v/>
      </c>
      <c r="C8" s="140" t="str">
        <f>IF(VLOOKUP(A8,过渡表!$A$3:$V$194,21,0)&lt;&gt;0,VLOOKUP(A8,过渡表!$A$3:$V$194,21,0),"")</f>
        <v/>
      </c>
      <c r="D8" s="140"/>
      <c r="E8" s="110">
        <f t="shared" ref="E8:E46" si="0">IFERROR((C8-D8)/D8,0)</f>
        <v>0</v>
      </c>
      <c r="F8" s="71" t="e">
        <f t="shared" ref="F8:F16" si="1">C8-D8</f>
        <v>#VALUE!</v>
      </c>
      <c r="G8" s="80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</row>
    <row r="9" spans="1:238" ht="16.5" customHeight="1">
      <c r="A9" s="99" t="s">
        <v>295</v>
      </c>
      <c r="B9" s="148" t="str">
        <f>IF(VLOOKUP(A9,过渡表!$A$3:$R$194,18,0)&lt;&gt;0,VLOOKUP(A9,过渡表!$A$3:$R$194,18,0),"")</f>
        <v/>
      </c>
      <c r="C9" s="148" t="str">
        <f>IF(VLOOKUP(A9,过渡表!$A$3:$V$194,21,0)&lt;&gt;0,VLOOKUP(A9,过渡表!$A$3:$V$194,21,0),"")</f>
        <v/>
      </c>
      <c r="D9" s="148"/>
      <c r="E9" s="110">
        <f t="shared" si="0"/>
        <v>0</v>
      </c>
      <c r="F9" s="71" t="e">
        <f t="shared" si="1"/>
        <v>#VALUE!</v>
      </c>
      <c r="G9" s="80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  <c r="GI9" s="47"/>
      <c r="GJ9" s="47"/>
      <c r="GK9" s="47"/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47"/>
      <c r="GX9" s="47"/>
      <c r="GY9" s="47"/>
      <c r="GZ9" s="47"/>
      <c r="HA9" s="47"/>
      <c r="HB9" s="47"/>
      <c r="HC9" s="47"/>
      <c r="HD9" s="47"/>
      <c r="HE9" s="47"/>
      <c r="HF9" s="47"/>
      <c r="HG9" s="47"/>
      <c r="HH9" s="47"/>
      <c r="HI9" s="47"/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C9" s="47"/>
      <c r="ID9" s="47"/>
    </row>
    <row r="10" spans="1:238" ht="16.5" customHeight="1">
      <c r="A10" s="89" t="s">
        <v>173</v>
      </c>
      <c r="B10" s="139">
        <f t="shared" ref="B10:C10" si="2">ROUND(SUM(B7:B9),2)</f>
        <v>0</v>
      </c>
      <c r="C10" s="139">
        <f t="shared" si="2"/>
        <v>0</v>
      </c>
      <c r="D10" s="139">
        <f>ROUND(SUM(D7:D9),2)</f>
        <v>0</v>
      </c>
      <c r="E10" s="110">
        <f t="shared" si="0"/>
        <v>0</v>
      </c>
      <c r="F10" s="71">
        <f t="shared" si="1"/>
        <v>0</v>
      </c>
      <c r="G10" s="80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</row>
    <row r="11" spans="1:238" ht="16.5" customHeight="1">
      <c r="A11" s="62" t="s">
        <v>329</v>
      </c>
      <c r="B11" s="140" t="str">
        <f>IF(VLOOKUP(A11,过渡表!$A$3:$R$194,18,0)&lt;&gt;0,VLOOKUP(A11,过渡表!$A$3:$R$194,18,0),"")</f>
        <v/>
      </c>
      <c r="C11" s="140" t="str">
        <f>IF(VLOOKUP(A11,过渡表!$A$3:$V$194,21,0)&lt;&gt;0,VLOOKUP(A11,过渡表!$A$3:$V$194,21,0),"")</f>
        <v/>
      </c>
      <c r="D11" s="140"/>
      <c r="E11" s="110">
        <f t="shared" si="0"/>
        <v>0</v>
      </c>
      <c r="F11" s="71" t="e">
        <f t="shared" si="1"/>
        <v>#VALUE!</v>
      </c>
      <c r="G11" s="80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FX11" s="47"/>
      <c r="FY11" s="47"/>
      <c r="FZ11" s="47"/>
      <c r="GA11" s="47"/>
      <c r="GB11" s="47"/>
      <c r="GC11" s="47"/>
      <c r="GD11" s="47"/>
      <c r="GE11" s="47"/>
      <c r="GF11" s="47"/>
      <c r="GG11" s="47"/>
      <c r="GH11" s="47"/>
      <c r="GI11" s="47"/>
      <c r="GJ11" s="47"/>
      <c r="GK11" s="47"/>
      <c r="GL11" s="47"/>
      <c r="GM11" s="47"/>
      <c r="GN11" s="47"/>
      <c r="GO11" s="47"/>
      <c r="GP11" s="47"/>
      <c r="GQ11" s="47"/>
      <c r="GR11" s="47"/>
      <c r="GS11" s="47"/>
      <c r="GT11" s="47"/>
      <c r="GU11" s="47"/>
      <c r="GV11" s="47"/>
      <c r="GW11" s="47"/>
      <c r="GX11" s="47"/>
      <c r="GY11" s="47"/>
      <c r="GZ11" s="47"/>
      <c r="HA11" s="47"/>
      <c r="HB11" s="47"/>
      <c r="HC11" s="47"/>
      <c r="HD11" s="47"/>
      <c r="HE11" s="47"/>
      <c r="HF11" s="47"/>
      <c r="HG11" s="47"/>
      <c r="HH11" s="47"/>
      <c r="HI11" s="47"/>
      <c r="HJ11" s="47"/>
      <c r="HK11" s="47"/>
      <c r="HL11" s="47"/>
      <c r="HM11" s="47"/>
      <c r="HN11" s="47"/>
      <c r="HO11" s="47"/>
      <c r="HP11" s="47"/>
      <c r="HQ11" s="47"/>
      <c r="HR11" s="47"/>
      <c r="HS11" s="47"/>
      <c r="HT11" s="47"/>
      <c r="HU11" s="47"/>
      <c r="HV11" s="47"/>
      <c r="HW11" s="47"/>
      <c r="HX11" s="47"/>
      <c r="HY11" s="47"/>
      <c r="HZ11" s="47"/>
      <c r="IA11" s="47"/>
      <c r="IB11" s="47"/>
      <c r="IC11" s="47"/>
      <c r="ID11" s="47"/>
    </row>
    <row r="12" spans="1:238" ht="16.5" customHeight="1">
      <c r="A12" s="57" t="s">
        <v>174</v>
      </c>
      <c r="B12" s="140" t="str">
        <f>IF(VLOOKUP(A12,过渡表!$A$3:$R$194,18,0)&lt;&gt;0,VLOOKUP(A12,过渡表!$A$3:$R$194,18,0),"")</f>
        <v/>
      </c>
      <c r="C12" s="140" t="str">
        <f>IF(VLOOKUP(A12,过渡表!$A$3:$V$194,21,0)&lt;&gt;0,VLOOKUP(A12,过渡表!$A$3:$V$194,21,0),"")</f>
        <v/>
      </c>
      <c r="D12" s="140"/>
      <c r="E12" s="110">
        <f t="shared" si="0"/>
        <v>0</v>
      </c>
      <c r="F12" s="71" t="e">
        <f t="shared" si="1"/>
        <v>#VALUE!</v>
      </c>
      <c r="G12" s="80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  <c r="HG12" s="47"/>
      <c r="HH12" s="47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/>
      <c r="IB12" s="47"/>
      <c r="IC12" s="47"/>
      <c r="ID12" s="47"/>
    </row>
    <row r="13" spans="1:238" ht="16.5" customHeight="1">
      <c r="A13" s="62" t="s">
        <v>3</v>
      </c>
      <c r="B13" s="140" t="str">
        <f>IF(VLOOKUP(A13,过渡表!$A$3:$R$194,18,0)&lt;&gt;0,VLOOKUP(A13,过渡表!$A$3:$R$194,18,0),"")</f>
        <v/>
      </c>
      <c r="C13" s="140" t="str">
        <f>IF(VLOOKUP(A13,过渡表!$A$3:$V$194,21,0)&lt;&gt;0,VLOOKUP(A13,过渡表!$A$3:$V$194,21,0),"")</f>
        <v/>
      </c>
      <c r="D13" s="140"/>
      <c r="E13" s="110">
        <f t="shared" si="0"/>
        <v>0</v>
      </c>
      <c r="F13" s="71" t="e">
        <f t="shared" si="1"/>
        <v>#VALUE!</v>
      </c>
      <c r="G13" s="80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</row>
    <row r="14" spans="1:238" ht="16.5" customHeight="1">
      <c r="A14" s="62" t="s">
        <v>220</v>
      </c>
      <c r="B14" s="140" t="str">
        <f>IF(VLOOKUP(A14,过渡表!$A$3:$R$194,18,0)&lt;&gt;0,VLOOKUP(A14,过渡表!$A$3:$R$194,18,0),"")</f>
        <v/>
      </c>
      <c r="C14" s="140" t="str">
        <f>IF(VLOOKUP(A14,过渡表!$A$3:$V$194,21,0)&lt;&gt;0,VLOOKUP(A14,过渡表!$A$3:$V$194,21,0),"")</f>
        <v/>
      </c>
      <c r="D14" s="148"/>
      <c r="E14" s="110">
        <f t="shared" si="0"/>
        <v>0</v>
      </c>
      <c r="F14" s="71" t="e">
        <f t="shared" si="1"/>
        <v>#VALUE!</v>
      </c>
      <c r="G14" s="80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</row>
    <row r="15" spans="1:238" ht="16.5" customHeight="1">
      <c r="A15" s="89" t="s">
        <v>176</v>
      </c>
      <c r="B15" s="139">
        <f t="shared" ref="B15:C15" si="3">ROUND(SUM(B11:B14),2)</f>
        <v>0</v>
      </c>
      <c r="C15" s="139">
        <f t="shared" si="3"/>
        <v>0</v>
      </c>
      <c r="D15" s="139">
        <f>ROUND(SUM(D11:D14),2)</f>
        <v>0</v>
      </c>
      <c r="E15" s="110">
        <f t="shared" si="0"/>
        <v>0</v>
      </c>
      <c r="F15" s="71">
        <f>C15-D15</f>
        <v>0</v>
      </c>
      <c r="G15" s="80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</row>
    <row r="16" spans="1:238" ht="16.5" customHeight="1" thickBot="1">
      <c r="A16" s="88" t="s">
        <v>72</v>
      </c>
      <c r="B16" s="238">
        <f t="shared" ref="B16:C16" si="4">ROUND(B10-B15,2)</f>
        <v>0</v>
      </c>
      <c r="C16" s="238">
        <f t="shared" si="4"/>
        <v>0</v>
      </c>
      <c r="D16" s="238">
        <f>ROUND(D10-D15,2)</f>
        <v>0</v>
      </c>
      <c r="E16" s="110">
        <f t="shared" si="0"/>
        <v>0</v>
      </c>
      <c r="F16" s="71">
        <f t="shared" si="1"/>
        <v>0</v>
      </c>
      <c r="G16" s="80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47"/>
      <c r="HH16" s="47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  <c r="IB16" s="47"/>
      <c r="IC16" s="47"/>
      <c r="ID16" s="47"/>
    </row>
    <row r="17" spans="1:238" ht="16.5" customHeight="1" thickTop="1">
      <c r="A17" s="88" t="s">
        <v>177</v>
      </c>
      <c r="B17" s="140" t="str">
        <f>IF(VLOOKUP(A17,过渡表!$A$3:$R$194,18,0)&lt;&gt;0,VLOOKUP(A17,过渡表!$A$3:$R$194,18,0),"")</f>
        <v/>
      </c>
      <c r="C17" s="140" t="str">
        <f>IF(VLOOKUP(A17,过渡表!$A$3:$V$194,21,0)&lt;&gt;0,VLOOKUP(A17,过渡表!$A$3:$V$194,21,0),"")</f>
        <v/>
      </c>
      <c r="D17" s="134"/>
      <c r="E17" s="110">
        <f t="shared" si="0"/>
        <v>0</v>
      </c>
      <c r="F17" s="71"/>
      <c r="G17" s="80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  <c r="HG17" s="47"/>
      <c r="HH17" s="47"/>
      <c r="HI17" s="47"/>
      <c r="HJ17" s="47"/>
      <c r="HK17" s="47"/>
      <c r="HL17" s="47"/>
      <c r="HM17" s="47"/>
      <c r="HN17" s="47"/>
      <c r="HO17" s="47"/>
      <c r="HP17" s="47"/>
      <c r="HQ17" s="47"/>
      <c r="HR17" s="47"/>
      <c r="HS17" s="47"/>
      <c r="HT17" s="47"/>
      <c r="HU17" s="47"/>
      <c r="HV17" s="47"/>
      <c r="HW17" s="47"/>
      <c r="HX17" s="47"/>
      <c r="HY17" s="47"/>
      <c r="HZ17" s="47"/>
      <c r="IA17" s="47"/>
      <c r="IB17" s="47"/>
      <c r="IC17" s="47"/>
      <c r="ID17" s="47"/>
    </row>
    <row r="18" spans="1:238" ht="16.5" customHeight="1">
      <c r="A18" s="62" t="s">
        <v>4</v>
      </c>
      <c r="B18" s="140" t="str">
        <f>IF(VLOOKUP(A18,过渡表!$A$3:$R$194,18,0)&lt;&gt;0,VLOOKUP(A18,过渡表!$A$3:$R$194,18,0),"")</f>
        <v/>
      </c>
      <c r="C18" s="140" t="str">
        <f>IF(VLOOKUP(A18,过渡表!$A$3:$V$194,21,0)&lt;&gt;0,VLOOKUP(A18,过渡表!$A$3:$V$194,21,0),"")</f>
        <v/>
      </c>
      <c r="D18" s="134"/>
      <c r="E18" s="110">
        <f t="shared" si="0"/>
        <v>0</v>
      </c>
      <c r="F18" s="71"/>
      <c r="G18" s="80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  <c r="HG18" s="47"/>
      <c r="HH18" s="47"/>
      <c r="HI18" s="47"/>
      <c r="HJ18" s="47"/>
      <c r="HK18" s="47"/>
      <c r="HL18" s="47"/>
      <c r="HM18" s="47"/>
      <c r="HN18" s="47"/>
      <c r="HO18" s="47"/>
      <c r="HP18" s="47"/>
      <c r="HQ18" s="47"/>
      <c r="HR18" s="47"/>
      <c r="HS18" s="47"/>
      <c r="HT18" s="47"/>
      <c r="HU18" s="47"/>
      <c r="HV18" s="47"/>
      <c r="HW18" s="47"/>
      <c r="HX18" s="47"/>
      <c r="HY18" s="47"/>
      <c r="HZ18" s="47"/>
      <c r="IA18" s="47"/>
      <c r="IB18" s="47"/>
      <c r="IC18" s="47"/>
      <c r="ID18" s="47"/>
    </row>
    <row r="19" spans="1:238" ht="16.5" customHeight="1">
      <c r="A19" s="62" t="s">
        <v>221</v>
      </c>
      <c r="B19" s="140" t="str">
        <f>IF(VLOOKUP(A19,过渡表!$A$3:$R$194,18,0)&lt;&gt;0,VLOOKUP(A19,过渡表!$A$3:$R$194,18,0),"")</f>
        <v/>
      </c>
      <c r="C19" s="140" t="str">
        <f>IF(VLOOKUP(A19,过渡表!$A$3:$V$194,21,0)&lt;&gt;0,VLOOKUP(A19,过渡表!$A$3:$V$194,21,0),"")</f>
        <v/>
      </c>
      <c r="D19" s="134"/>
      <c r="E19" s="110">
        <f t="shared" si="0"/>
        <v>0</v>
      </c>
      <c r="F19" s="71"/>
      <c r="G19" s="80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</row>
    <row r="20" spans="1:238" ht="24">
      <c r="A20" s="70" t="s">
        <v>180</v>
      </c>
      <c r="B20" s="140" t="str">
        <f>IF(VLOOKUP(A20,过渡表!$A$3:$R$194,18,0)&lt;&gt;0,VLOOKUP(A20,过渡表!$A$3:$R$194,18,0),"")</f>
        <v/>
      </c>
      <c r="C20" s="140" t="str">
        <f>IF(VLOOKUP(A20,过渡表!$A$3:$V$194,21,0)&lt;&gt;0,VLOOKUP(A20,过渡表!$A$3:$V$194,21,0),"")</f>
        <v/>
      </c>
      <c r="D20" s="134"/>
      <c r="E20" s="110">
        <f t="shared" si="0"/>
        <v>0</v>
      </c>
      <c r="F20" s="71"/>
      <c r="G20" s="80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  <c r="HV20" s="47"/>
      <c r="HW20" s="47"/>
      <c r="HX20" s="47"/>
      <c r="HY20" s="47"/>
      <c r="HZ20" s="47"/>
      <c r="IA20" s="47"/>
      <c r="IB20" s="47"/>
      <c r="IC20" s="47"/>
      <c r="ID20" s="47"/>
    </row>
    <row r="21" spans="1:238" ht="16.5" customHeight="1">
      <c r="A21" s="62" t="s">
        <v>222</v>
      </c>
      <c r="B21" s="140" t="str">
        <f>IF(VLOOKUP(A21,过渡表!$A$3:$R$194,18,0)&lt;&gt;0,VLOOKUP(A21,过渡表!$A$3:$R$194,18,0),"")</f>
        <v/>
      </c>
      <c r="C21" s="140" t="str">
        <f>IF(VLOOKUP(A21,过渡表!$A$3:$V$194,21,0)&lt;&gt;0,VLOOKUP(A21,过渡表!$A$3:$V$194,21,0),"")</f>
        <v/>
      </c>
      <c r="D21" s="134"/>
      <c r="E21" s="110">
        <f t="shared" si="0"/>
        <v>0</v>
      </c>
      <c r="F21" s="71"/>
      <c r="G21" s="80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C21" s="47"/>
      <c r="ID21" s="47"/>
    </row>
    <row r="22" spans="1:238" ht="16.5" customHeight="1">
      <c r="A22" s="62" t="s">
        <v>223</v>
      </c>
      <c r="B22" s="148" t="str">
        <f>IF(VLOOKUP(A22,过渡表!$A$3:$R$194,18,0)&lt;&gt;0,VLOOKUP(A22,过渡表!$A$3:$R$194,18,0),"")</f>
        <v/>
      </c>
      <c r="C22" s="148" t="str">
        <f>IF(VLOOKUP(A22,过渡表!$A$3:$V$194,21,0)&lt;&gt;0,VLOOKUP(A22,过渡表!$A$3:$V$194,21,0),"")</f>
        <v/>
      </c>
      <c r="D22" s="147"/>
      <c r="E22" s="110">
        <f t="shared" si="0"/>
        <v>0</v>
      </c>
      <c r="F22" s="71"/>
      <c r="G22" s="80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</row>
    <row r="23" spans="1:238" ht="16.5" customHeight="1">
      <c r="A23" s="89" t="s">
        <v>183</v>
      </c>
      <c r="B23" s="146">
        <f t="shared" ref="B23:C23" si="5">ROUND(SUM(B18:B22),2)</f>
        <v>0</v>
      </c>
      <c r="C23" s="146">
        <f t="shared" si="5"/>
        <v>0</v>
      </c>
      <c r="D23" s="146">
        <f>ROUND(SUM(D18:D22),2)</f>
        <v>0</v>
      </c>
      <c r="E23" s="110">
        <f t="shared" si="0"/>
        <v>0</v>
      </c>
      <c r="F23" s="71"/>
      <c r="G23" s="80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/>
      <c r="IC23" s="47"/>
      <c r="ID23" s="47"/>
    </row>
    <row r="24" spans="1:238" ht="16.5" customHeight="1">
      <c r="A24" s="62" t="s">
        <v>309</v>
      </c>
      <c r="B24" s="140" t="str">
        <f>IF(VLOOKUP(A24,过渡表!$A$3:$R$194,18,0)&lt;&gt;0,VLOOKUP(A24,过渡表!$A$3:$R$194,18,0),"")</f>
        <v/>
      </c>
      <c r="C24" s="140" t="str">
        <f>IF(VLOOKUP(A24,过渡表!$A$3:$V$194,21,0)&lt;&gt;0,VLOOKUP(A24,过渡表!$A$3:$V$194,21,0),"")</f>
        <v/>
      </c>
      <c r="D24" s="134"/>
      <c r="E24" s="110">
        <f t="shared" si="0"/>
        <v>0</v>
      </c>
      <c r="F24" s="71"/>
      <c r="G24" s="80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</row>
    <row r="25" spans="1:238" ht="16.5" customHeight="1">
      <c r="A25" s="62" t="s">
        <v>306</v>
      </c>
      <c r="B25" s="140" t="str">
        <f>IF(VLOOKUP(A25,过渡表!$A$3:$R$194,18,0)&lt;&gt;0,VLOOKUP(A25,过渡表!$A$3:$R$194,18,0),"")</f>
        <v/>
      </c>
      <c r="C25" s="140" t="str">
        <f>IF(VLOOKUP(A25,过渡表!$A$3:$V$194,21,0)&lt;&gt;0,VLOOKUP(A25,过渡表!$A$3:$V$194,21,0),"")</f>
        <v/>
      </c>
      <c r="D25" s="134"/>
      <c r="E25" s="110">
        <f>IFERROR((C25-D25)/D25,0)</f>
        <v>0</v>
      </c>
      <c r="F25" s="71"/>
      <c r="G25" s="80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</row>
    <row r="26" spans="1:238" ht="16.5" customHeight="1">
      <c r="A26" s="62" t="s">
        <v>307</v>
      </c>
      <c r="B26" s="140" t="str">
        <f>IF(VLOOKUP(A26,过渡表!$A$3:$R$194,18,0)&lt;&gt;0,VLOOKUP(A26,过渡表!$A$3:$R$194,18,0),"")</f>
        <v/>
      </c>
      <c r="C26" s="140" t="str">
        <f>IF(VLOOKUP(A26,过渡表!$A$3:$V$194,21,0)&lt;&gt;0,VLOOKUP(A26,过渡表!$A$3:$V$194,21,0),"")</f>
        <v/>
      </c>
      <c r="D26" s="134"/>
      <c r="E26" s="110">
        <f t="shared" si="0"/>
        <v>0</v>
      </c>
      <c r="F26" s="71"/>
      <c r="G26" s="80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  <c r="HG26" s="47"/>
      <c r="HH26" s="47"/>
      <c r="HI26" s="47"/>
      <c r="HJ26" s="47"/>
      <c r="HK26" s="47"/>
      <c r="HL26" s="47"/>
      <c r="HM26" s="47"/>
      <c r="HN26" s="47"/>
      <c r="HO26" s="47"/>
      <c r="HP26" s="47"/>
      <c r="HQ26" s="47"/>
      <c r="HR26" s="47"/>
      <c r="HS26" s="47"/>
      <c r="HT26" s="47"/>
      <c r="HU26" s="47"/>
      <c r="HV26" s="47"/>
      <c r="HW26" s="47"/>
      <c r="HX26" s="47"/>
      <c r="HY26" s="47"/>
      <c r="HZ26" s="47"/>
      <c r="IA26" s="47"/>
      <c r="IB26" s="47"/>
      <c r="IC26" s="47"/>
      <c r="ID26" s="47"/>
    </row>
    <row r="27" spans="1:238" ht="16.5" customHeight="1">
      <c r="A27" s="62" t="s">
        <v>224</v>
      </c>
      <c r="B27" s="148" t="str">
        <f>IF(VLOOKUP(A27,过渡表!$A$3:$R$194,18,0)&lt;&gt;0,VLOOKUP(A27,过渡表!$A$3:$R$194,18,0),"")</f>
        <v/>
      </c>
      <c r="C27" s="148" t="str">
        <f>IF(VLOOKUP(A27,过渡表!$A$3:$V$194,21,0)&lt;&gt;0,VLOOKUP(A27,过渡表!$A$3:$V$194,21,0),"")</f>
        <v/>
      </c>
      <c r="D27" s="147"/>
      <c r="E27" s="110">
        <f t="shared" si="0"/>
        <v>0</v>
      </c>
      <c r="F27" s="71"/>
      <c r="G27" s="80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</row>
    <row r="28" spans="1:238" ht="16.5" customHeight="1">
      <c r="A28" s="89" t="s">
        <v>188</v>
      </c>
      <c r="B28" s="146">
        <f t="shared" ref="B28:C28" si="6">ROUND(SUM(B24:B27),2)</f>
        <v>0</v>
      </c>
      <c r="C28" s="146">
        <f t="shared" si="6"/>
        <v>0</v>
      </c>
      <c r="D28" s="146">
        <f>ROUND(SUM(D24:D27),2)</f>
        <v>0</v>
      </c>
      <c r="E28" s="110">
        <f t="shared" si="0"/>
        <v>0</v>
      </c>
      <c r="F28" s="71"/>
      <c r="G28" s="80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  <c r="HZ28" s="47"/>
      <c r="IA28" s="47"/>
      <c r="IB28" s="47"/>
      <c r="IC28" s="47"/>
      <c r="ID28" s="47"/>
    </row>
    <row r="29" spans="1:238" ht="16.5" customHeight="1" thickBot="1">
      <c r="A29" s="88" t="s">
        <v>189</v>
      </c>
      <c r="B29" s="239">
        <f t="shared" ref="B29:C29" si="7">ROUND(B23-B28,2)</f>
        <v>0</v>
      </c>
      <c r="C29" s="239">
        <f t="shared" si="7"/>
        <v>0</v>
      </c>
      <c r="D29" s="239">
        <f>ROUND(D23-D28,2)</f>
        <v>0</v>
      </c>
      <c r="E29" s="110">
        <f t="shared" si="0"/>
        <v>0</v>
      </c>
      <c r="F29" s="71"/>
      <c r="G29" s="80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7"/>
      <c r="HL29" s="47"/>
      <c r="HM29" s="47"/>
      <c r="HN29" s="47"/>
      <c r="HO29" s="47"/>
      <c r="HP29" s="47"/>
      <c r="HQ29" s="47"/>
      <c r="HR29" s="47"/>
      <c r="HS29" s="47"/>
      <c r="HT29" s="47"/>
      <c r="HU29" s="47"/>
      <c r="HV29" s="47"/>
      <c r="HW29" s="47"/>
      <c r="HX29" s="47"/>
      <c r="HY29" s="47"/>
      <c r="HZ29" s="47"/>
      <c r="IA29" s="47"/>
      <c r="IB29" s="47"/>
      <c r="IC29" s="47"/>
      <c r="ID29" s="47"/>
    </row>
    <row r="30" spans="1:238" ht="16.5" customHeight="1" thickTop="1">
      <c r="A30" s="88" t="s">
        <v>190</v>
      </c>
      <c r="B30" s="140" t="str">
        <f>IF(VLOOKUP(A30,过渡表!$A$3:$R$194,18,0)&lt;&gt;0,VLOOKUP(A30,过渡表!$A$3:$R$194,18,0),"")</f>
        <v/>
      </c>
      <c r="C30" s="140" t="str">
        <f>IF(VLOOKUP(A30,过渡表!$A$3:$V$194,21,0)&lt;&gt;0,VLOOKUP(A30,过渡表!$A$3:$V$194,21,0),"")</f>
        <v/>
      </c>
      <c r="D30" s="134"/>
      <c r="E30" s="110">
        <f t="shared" si="0"/>
        <v>0</v>
      </c>
      <c r="F30" s="71"/>
      <c r="G30" s="80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7"/>
      <c r="HL30" s="47"/>
      <c r="HM30" s="47"/>
      <c r="HN30" s="47"/>
      <c r="HO30" s="47"/>
      <c r="HP30" s="47"/>
      <c r="HQ30" s="47"/>
      <c r="HR30" s="47"/>
      <c r="HS30" s="47"/>
      <c r="HT30" s="47"/>
      <c r="HU30" s="47"/>
      <c r="HV30" s="47"/>
      <c r="HW30" s="47"/>
      <c r="HX30" s="47"/>
      <c r="HY30" s="47"/>
      <c r="HZ30" s="47"/>
      <c r="IA30" s="47"/>
      <c r="IB30" s="47"/>
      <c r="IC30" s="47"/>
      <c r="ID30" s="47"/>
    </row>
    <row r="31" spans="1:238" ht="16.5" customHeight="1">
      <c r="A31" s="62" t="s">
        <v>225</v>
      </c>
      <c r="B31" s="140" t="str">
        <f>IF(VLOOKUP(A31,过渡表!$A$3:$R$194,18,0)&lt;&gt;0,VLOOKUP(A31,过渡表!$A$3:$R$194,18,0),"")</f>
        <v/>
      </c>
      <c r="C31" s="140" t="str">
        <f>IF(VLOOKUP(A31,过渡表!$A$3:$V$194,21,0)&lt;&gt;0,VLOOKUP(A31,过渡表!$A$3:$V$194,21,0),"")</f>
        <v/>
      </c>
      <c r="D31" s="134"/>
      <c r="E31" s="110">
        <f t="shared" si="0"/>
        <v>0</v>
      </c>
      <c r="F31" s="71"/>
      <c r="G31" s="80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</row>
    <row r="32" spans="1:238" ht="16.5" customHeight="1">
      <c r="A32" s="62" t="s">
        <v>226</v>
      </c>
      <c r="B32" s="140"/>
      <c r="C32" s="140"/>
      <c r="D32" s="134"/>
      <c r="E32" s="110">
        <f t="shared" si="0"/>
        <v>0</v>
      </c>
      <c r="F32" s="71"/>
      <c r="G32" s="80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C32" s="47"/>
      <c r="ID32" s="47"/>
    </row>
    <row r="33" spans="1:238" ht="16.5" customHeight="1">
      <c r="A33" s="62" t="s">
        <v>227</v>
      </c>
      <c r="B33" s="140" t="str">
        <f>IF(VLOOKUP(A33,过渡表!$A$3:$R$194,18,0)&lt;&gt;0,VLOOKUP(A33,过渡表!$A$3:$R$194,18,0),"")</f>
        <v/>
      </c>
      <c r="C33" s="140" t="str">
        <f>IF(VLOOKUP(A33,过渡表!$A$3:$V$194,21,0)&lt;&gt;0,VLOOKUP(A33,过渡表!$A$3:$V$194,21,0),"")</f>
        <v/>
      </c>
      <c r="D33" s="134"/>
      <c r="E33" s="110">
        <f t="shared" si="0"/>
        <v>0</v>
      </c>
      <c r="F33" s="71"/>
      <c r="G33" s="80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7"/>
      <c r="HL33" s="47"/>
      <c r="HM33" s="47"/>
      <c r="HN33" s="47"/>
      <c r="HO33" s="47"/>
      <c r="HP33" s="47"/>
      <c r="HQ33" s="47"/>
      <c r="HR33" s="47"/>
      <c r="HS33" s="47"/>
      <c r="HT33" s="47"/>
      <c r="HU33" s="47"/>
      <c r="HV33" s="47"/>
      <c r="HW33" s="47"/>
      <c r="HX33" s="47"/>
      <c r="HY33" s="47"/>
      <c r="HZ33" s="47"/>
      <c r="IA33" s="47"/>
      <c r="IB33" s="47"/>
      <c r="IC33" s="47"/>
      <c r="ID33" s="47"/>
    </row>
    <row r="34" spans="1:238" ht="16.5" customHeight="1">
      <c r="A34" s="62" t="s">
        <v>657</v>
      </c>
      <c r="B34" s="140" t="str">
        <f>IF(VLOOKUP(A34,过渡表!$A$3:$R$194,18,0)&lt;&gt;0,VLOOKUP(A34,过渡表!$A$3:$R$194,18,0),"")</f>
        <v/>
      </c>
      <c r="C34" s="140" t="str">
        <f>IF(VLOOKUP(A34,过渡表!$A$3:$V$194,21,0)&lt;&gt;0,VLOOKUP(A34,过渡表!$A$3:$V$194,21,0),"")</f>
        <v/>
      </c>
      <c r="D34" s="134"/>
      <c r="E34" s="110"/>
      <c r="F34" s="71"/>
      <c r="G34" s="80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  <c r="HG34" s="47"/>
      <c r="HH34" s="47"/>
      <c r="HI34" s="47"/>
      <c r="HJ34" s="47"/>
      <c r="HK34" s="47"/>
      <c r="HL34" s="47"/>
      <c r="HM34" s="47"/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</row>
    <row r="35" spans="1:238" ht="16.5" customHeight="1">
      <c r="A35" s="62" t="s">
        <v>228</v>
      </c>
      <c r="B35" s="148" t="str">
        <f>IF(VLOOKUP(A35,过渡表!$A$3:$R$194,18,0)&lt;&gt;0,VLOOKUP(A35,过渡表!$A$3:$R$194,18,0),"")</f>
        <v/>
      </c>
      <c r="C35" s="148" t="str">
        <f>IF(VLOOKUP(A35,过渡表!$A$3:$V$194,21,0)&lt;&gt;0,VLOOKUP(A35,过渡表!$A$3:$V$194,21,0),"")</f>
        <v/>
      </c>
      <c r="D35" s="147"/>
      <c r="E35" s="110">
        <f t="shared" si="0"/>
        <v>0</v>
      </c>
      <c r="F35" s="71"/>
      <c r="G35" s="80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L35" s="47"/>
      <c r="HM35" s="47"/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</row>
    <row r="36" spans="1:238" ht="16.5" customHeight="1">
      <c r="A36" s="89" t="s">
        <v>194</v>
      </c>
      <c r="B36" s="146">
        <f>SUM(B31:B35)</f>
        <v>0</v>
      </c>
      <c r="C36" s="146">
        <f>SUM(C31:C35)</f>
        <v>0</v>
      </c>
      <c r="D36" s="146">
        <f>SUM(D31:D35)</f>
        <v>0</v>
      </c>
      <c r="E36" s="110">
        <f t="shared" si="0"/>
        <v>0</v>
      </c>
      <c r="F36" s="71"/>
      <c r="G36" s="80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</row>
    <row r="37" spans="1:238" ht="16.5" customHeight="1">
      <c r="A37" s="62" t="s">
        <v>229</v>
      </c>
      <c r="B37" s="140" t="str">
        <f>IF(VLOOKUP(A37,过渡表!$A$3:$R$194,18,0)&lt;&gt;0,VLOOKUP(A37,过渡表!$A$3:$R$194,18,0),"")</f>
        <v/>
      </c>
      <c r="C37" s="140" t="str">
        <f>IF(VLOOKUP(A37,过渡表!$A$3:$V$194,21,0)&lt;&gt;0,VLOOKUP(A37,过渡表!$A$3:$V$194,21,0),"")</f>
        <v/>
      </c>
      <c r="D37" s="134"/>
      <c r="E37" s="110">
        <f t="shared" si="0"/>
        <v>0</v>
      </c>
      <c r="F37" s="71"/>
      <c r="G37" s="80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</row>
    <row r="38" spans="1:238" ht="16.5" customHeight="1">
      <c r="A38" s="62" t="s">
        <v>230</v>
      </c>
      <c r="B38" s="140" t="str">
        <f>IF(VLOOKUP(A38,过渡表!$A$3:$R$194,18,0)&lt;&gt;0,VLOOKUP(A38,过渡表!$A$3:$R$194,18,0),"")</f>
        <v/>
      </c>
      <c r="C38" s="140" t="str">
        <f>IF(VLOOKUP(A38,过渡表!$A$3:$V$194,21,0)&lt;&gt;0,VLOOKUP(A38,过渡表!$A$3:$V$194,21,0),"")</f>
        <v/>
      </c>
      <c r="D38" s="134"/>
      <c r="E38" s="110">
        <f t="shared" si="0"/>
        <v>0</v>
      </c>
      <c r="F38" s="71"/>
      <c r="G38" s="80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</row>
    <row r="39" spans="1:238" ht="16.5" customHeight="1">
      <c r="A39" s="62" t="s">
        <v>231</v>
      </c>
      <c r="B39" s="140"/>
      <c r="C39" s="140"/>
      <c r="D39" s="140"/>
      <c r="E39" s="110">
        <f t="shared" si="0"/>
        <v>0</v>
      </c>
      <c r="F39" s="71"/>
      <c r="G39" s="80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</row>
    <row r="40" spans="1:238" ht="16.5" customHeight="1">
      <c r="A40" s="62" t="s">
        <v>232</v>
      </c>
      <c r="B40" s="148" t="str">
        <f>IF(VLOOKUP(A40,过渡表!$A$3:$R$194,18,0)&lt;&gt;0,VLOOKUP(A40,过渡表!$A$3:$R$194,18,0),"")</f>
        <v/>
      </c>
      <c r="C40" s="148" t="str">
        <f>IF(VLOOKUP(A40,过渡表!$A$3:$V$194,21,0)&lt;&gt;0,VLOOKUP(A40,过渡表!$A$3:$V$194,21,0),"")</f>
        <v/>
      </c>
      <c r="D40" s="147"/>
      <c r="E40" s="110">
        <f t="shared" si="0"/>
        <v>0</v>
      </c>
      <c r="F40" s="71"/>
      <c r="G40" s="80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/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</row>
    <row r="41" spans="1:238" ht="16.5" customHeight="1">
      <c r="A41" s="89" t="s">
        <v>198</v>
      </c>
      <c r="B41" s="145">
        <f>SUM(B37:B40)-B39</f>
        <v>0</v>
      </c>
      <c r="C41" s="145">
        <f>SUM(C37:C40)-C39</f>
        <v>0</v>
      </c>
      <c r="D41" s="146">
        <f>SUM(D37:D40)-D39</f>
        <v>0</v>
      </c>
      <c r="E41" s="110">
        <f t="shared" si="0"/>
        <v>0</v>
      </c>
      <c r="F41" s="71"/>
      <c r="G41" s="80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</row>
    <row r="42" spans="1:238" ht="16.5" customHeight="1" thickBot="1">
      <c r="A42" s="88" t="s">
        <v>199</v>
      </c>
      <c r="B42" s="135">
        <f>B36-B41</f>
        <v>0</v>
      </c>
      <c r="C42" s="135">
        <f>C36-C41</f>
        <v>0</v>
      </c>
      <c r="D42" s="135">
        <f>D36-D41</f>
        <v>0</v>
      </c>
      <c r="E42" s="110">
        <f t="shared" si="0"/>
        <v>0</v>
      </c>
      <c r="F42" s="71"/>
      <c r="G42" s="80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</row>
    <row r="43" spans="1:238" ht="16.5" customHeight="1" thickTop="1">
      <c r="A43" s="88" t="s">
        <v>200</v>
      </c>
      <c r="B43" s="134"/>
      <c r="C43" s="134"/>
      <c r="D43" s="134"/>
      <c r="E43" s="110">
        <f t="shared" si="0"/>
        <v>0</v>
      </c>
      <c r="F43" s="71"/>
      <c r="G43" s="80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47"/>
      <c r="GY43" s="47"/>
      <c r="GZ43" s="47"/>
      <c r="HA43" s="47"/>
      <c r="HB43" s="47"/>
      <c r="HC43" s="47"/>
      <c r="HD43" s="47"/>
      <c r="HE43" s="47"/>
      <c r="HF43" s="47"/>
      <c r="HG43" s="47"/>
      <c r="HH43" s="47"/>
      <c r="HI43" s="47"/>
      <c r="HJ43" s="47"/>
      <c r="HK43" s="47"/>
      <c r="HL43" s="47"/>
      <c r="HM43" s="47"/>
      <c r="HN43" s="47"/>
      <c r="HO43" s="47"/>
      <c r="HP43" s="47"/>
      <c r="HQ43" s="47"/>
      <c r="HR43" s="47"/>
      <c r="HS43" s="47"/>
      <c r="HT43" s="47"/>
      <c r="HU43" s="47"/>
      <c r="HV43" s="47"/>
      <c r="HW43" s="47"/>
      <c r="HX43" s="47"/>
      <c r="HY43" s="47"/>
      <c r="HZ43" s="47"/>
      <c r="IA43" s="47"/>
      <c r="IB43" s="47"/>
      <c r="IC43" s="47"/>
      <c r="ID43" s="47"/>
    </row>
    <row r="44" spans="1:238" ht="16.5" customHeight="1">
      <c r="A44" s="88" t="s">
        <v>323</v>
      </c>
      <c r="B44" s="187">
        <f>B16+B29+B42+B43</f>
        <v>0</v>
      </c>
      <c r="C44" s="187">
        <f>C16+C29+C42+C43</f>
        <v>0</v>
      </c>
      <c r="D44" s="187">
        <f>D16+D29+D42+D43</f>
        <v>0</v>
      </c>
      <c r="E44" s="110">
        <f t="shared" si="0"/>
        <v>0</v>
      </c>
      <c r="F44" s="71"/>
      <c r="G44" s="80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/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</row>
    <row r="45" spans="1:238" ht="16.5" customHeight="1">
      <c r="A45" s="62" t="s">
        <v>233</v>
      </c>
      <c r="B45" s="137">
        <f>过渡表!R162</f>
        <v>0</v>
      </c>
      <c r="C45" s="137">
        <f>过渡表!U162</f>
        <v>0</v>
      </c>
      <c r="D45" s="137"/>
      <c r="E45" s="110"/>
      <c r="G45" s="80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/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</row>
    <row r="46" spans="1:238" ht="16.5" customHeight="1" thickBot="1">
      <c r="A46" s="88" t="s">
        <v>203</v>
      </c>
      <c r="B46" s="239">
        <f>B44+B45</f>
        <v>0</v>
      </c>
      <c r="C46" s="239">
        <f>C44+C45</f>
        <v>0</v>
      </c>
      <c r="D46" s="239">
        <f>ROUND(D44+D45,2)</f>
        <v>0</v>
      </c>
      <c r="E46" s="110">
        <f t="shared" si="0"/>
        <v>0</v>
      </c>
      <c r="G46" s="80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7"/>
      <c r="HL46" s="47"/>
      <c r="HM46" s="47"/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7"/>
      <c r="ID46" s="47"/>
    </row>
    <row r="47" spans="1:238" ht="13.5" thickTop="1">
      <c r="A47" s="282"/>
      <c r="B47" s="184"/>
      <c r="C47" s="184"/>
      <c r="D47" s="184"/>
      <c r="E47" s="110"/>
      <c r="G47" s="80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  <c r="HG47" s="47"/>
      <c r="HH47" s="47"/>
      <c r="HI47" s="47"/>
      <c r="HJ47" s="47"/>
      <c r="HK47" s="47"/>
      <c r="HL47" s="47"/>
      <c r="HM47" s="47"/>
      <c r="HN47" s="47"/>
      <c r="HO47" s="47"/>
      <c r="HP47" s="47"/>
      <c r="HQ47" s="47"/>
      <c r="HR47" s="47"/>
      <c r="HS47" s="47"/>
      <c r="HT47" s="47"/>
      <c r="HU47" s="47"/>
      <c r="HV47" s="47"/>
      <c r="HW47" s="47"/>
      <c r="HX47" s="47"/>
      <c r="HY47" s="47"/>
      <c r="HZ47" s="47"/>
      <c r="IA47" s="47"/>
      <c r="IB47" s="47"/>
      <c r="IC47" s="47"/>
      <c r="ID47" s="47"/>
    </row>
    <row r="48" spans="1:238" ht="15.95" customHeight="1">
      <c r="A48" s="88"/>
      <c r="B48" s="65"/>
      <c r="C48" s="65"/>
      <c r="D48" s="136"/>
      <c r="G48" s="80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</row>
    <row r="49" spans="1:238" ht="15.95" customHeight="1">
      <c r="A49" s="75" t="s">
        <v>633</v>
      </c>
      <c r="B49" s="72"/>
      <c r="C49" s="72"/>
      <c r="D49" s="136"/>
      <c r="G49" s="80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  <c r="HG49" s="47"/>
      <c r="HH49" s="47"/>
      <c r="HI49" s="47"/>
      <c r="HJ49" s="47"/>
      <c r="HK49" s="47"/>
      <c r="HL49" s="47"/>
      <c r="HM49" s="47"/>
      <c r="HN49" s="47"/>
      <c r="HO49" s="47"/>
      <c r="HP49" s="47"/>
      <c r="HQ49" s="47"/>
      <c r="HR49" s="47"/>
      <c r="HS49" s="47"/>
      <c r="HT49" s="47"/>
      <c r="HU49" s="47"/>
      <c r="HV49" s="47"/>
      <c r="HW49" s="47"/>
      <c r="HX49" s="47"/>
      <c r="HY49" s="47"/>
      <c r="HZ49" s="47"/>
      <c r="IA49" s="47"/>
      <c r="IB49" s="47"/>
      <c r="IC49" s="47"/>
      <c r="ID49" s="47"/>
    </row>
    <row r="50" spans="1:238" ht="15.95" hidden="1" customHeight="1">
      <c r="A50" s="75" t="s">
        <v>595</v>
      </c>
      <c r="B50" s="72"/>
      <c r="C50" s="72"/>
      <c r="D50" s="136"/>
      <c r="G50" s="80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  <c r="HG50" s="47"/>
      <c r="HH50" s="47"/>
      <c r="HI50" s="47"/>
      <c r="HJ50" s="47"/>
      <c r="HK50" s="47"/>
      <c r="HL50" s="47"/>
      <c r="HM50" s="47"/>
      <c r="HN50" s="47"/>
      <c r="HO50" s="47"/>
      <c r="HP50" s="47"/>
      <c r="HQ50" s="47"/>
      <c r="HR50" s="47"/>
      <c r="HS50" s="47"/>
      <c r="HT50" s="47"/>
      <c r="HU50" s="47"/>
      <c r="HV50" s="47"/>
      <c r="HW50" s="47"/>
      <c r="HX50" s="47"/>
      <c r="HY50" s="47"/>
      <c r="HZ50" s="47"/>
      <c r="IA50" s="47"/>
      <c r="IB50" s="47"/>
      <c r="IC50" s="47"/>
      <c r="ID50" s="47"/>
    </row>
    <row r="51" spans="1:238" ht="20.100000000000001" customHeight="1">
      <c r="A51" s="90"/>
      <c r="B51" s="72"/>
      <c r="C51" s="72"/>
      <c r="D51" s="136"/>
      <c r="G51" s="80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  <c r="HG51" s="47"/>
      <c r="HH51" s="47"/>
      <c r="HI51" s="47"/>
      <c r="HJ51" s="47"/>
      <c r="HK51" s="47"/>
      <c r="HL51" s="47"/>
      <c r="HM51" s="47"/>
      <c r="HN51" s="47"/>
      <c r="HO51" s="47"/>
      <c r="HP51" s="47"/>
      <c r="HQ51" s="47"/>
      <c r="HR51" s="47"/>
      <c r="HS51" s="47"/>
      <c r="HT51" s="47"/>
      <c r="HU51" s="47"/>
      <c r="HV51" s="47"/>
      <c r="HW51" s="47"/>
      <c r="HX51" s="47"/>
      <c r="HY51" s="47"/>
      <c r="HZ51" s="47"/>
      <c r="IA51" s="47"/>
      <c r="IB51" s="47"/>
      <c r="IC51" s="47"/>
      <c r="ID51" s="47"/>
    </row>
    <row r="52" spans="1:238" ht="20.100000000000001" customHeight="1">
      <c r="A52" s="64" t="s">
        <v>204</v>
      </c>
      <c r="B52" s="73"/>
      <c r="C52" s="73"/>
      <c r="D52" s="152"/>
      <c r="G52" s="80"/>
      <c r="IB52" s="47"/>
      <c r="IC52" s="47"/>
      <c r="ID52" s="47"/>
    </row>
    <row r="53" spans="1:238" ht="20.100000000000001" customHeight="1">
      <c r="A53" s="75" t="s">
        <v>205</v>
      </c>
      <c r="B53" s="76"/>
      <c r="C53" s="76"/>
      <c r="D53" s="153"/>
      <c r="G53" s="80"/>
      <c r="IB53" s="47"/>
      <c r="IC53" s="47"/>
      <c r="ID53" s="47"/>
    </row>
    <row r="54" spans="1:238" ht="15.95" customHeight="1">
      <c r="A54" s="87" t="s">
        <v>170</v>
      </c>
      <c r="B54" s="96" t="str">
        <f>B5</f>
        <v>2019年9月发生额</v>
      </c>
      <c r="C54" s="96" t="str">
        <f t="shared" ref="C54:D54" si="8">C5</f>
        <v>2019年1-9月发生额</v>
      </c>
      <c r="D54" s="96" t="str">
        <f t="shared" si="8"/>
        <v>2018年1-9月发生额</v>
      </c>
      <c r="E54" s="151" t="s">
        <v>290</v>
      </c>
      <c r="G54" s="80"/>
    </row>
    <row r="55" spans="1:238">
      <c r="A55" s="75" t="s">
        <v>206</v>
      </c>
      <c r="B55" s="134">
        <f>合并利润表!B33</f>
        <v>0</v>
      </c>
      <c r="C55" s="134">
        <f>合并利润表!C33</f>
        <v>0</v>
      </c>
      <c r="D55" s="138">
        <f>合并利润表!D33</f>
        <v>0</v>
      </c>
      <c r="E55" s="157"/>
      <c r="F55" s="80"/>
      <c r="G55" s="80"/>
      <c r="HZ55" s="47"/>
      <c r="IA55" s="47"/>
      <c r="IB55" s="47"/>
      <c r="IC55" s="47"/>
      <c r="ID55" s="47"/>
    </row>
    <row r="56" spans="1:238">
      <c r="A56" s="57" t="s">
        <v>207</v>
      </c>
      <c r="B56" s="134"/>
      <c r="C56" s="140"/>
      <c r="D56" s="138"/>
      <c r="E56" s="157"/>
      <c r="F56" s="80"/>
      <c r="G56" s="80"/>
      <c r="HZ56" s="47"/>
      <c r="IA56" s="47"/>
      <c r="IB56" s="47"/>
      <c r="IC56" s="47"/>
      <c r="ID56" s="47"/>
    </row>
    <row r="57" spans="1:238">
      <c r="A57" s="57" t="s">
        <v>664</v>
      </c>
      <c r="B57" s="134">
        <f>-SUM(合并利润表!B26)</f>
        <v>0</v>
      </c>
      <c r="C57" s="140">
        <f>-VLOOKUP(A57,过渡表!$A$3:$V$194,21,0)</f>
        <v>0</v>
      </c>
      <c r="D57" s="134">
        <f>-合并利润表!D26</f>
        <v>0</v>
      </c>
      <c r="E57" s="157"/>
      <c r="F57" s="80"/>
      <c r="G57" s="80"/>
      <c r="HZ57" s="47"/>
      <c r="IA57" s="47"/>
      <c r="IB57" s="47"/>
      <c r="IC57" s="47"/>
      <c r="ID57" s="47"/>
    </row>
    <row r="58" spans="1:238">
      <c r="A58" s="57" t="s">
        <v>5</v>
      </c>
      <c r="B58" s="140" t="str">
        <f>IF(VLOOKUP(A58,过渡表!$A$3:$R$194,18,0)&lt;&gt;0,VLOOKUP(A58,过渡表!$A$3:$R$194,18,0),"")</f>
        <v/>
      </c>
      <c r="C58" s="140" t="str">
        <f>IF(VLOOKUP(A58,过渡表!$A$3:$V$194,21,0)&lt;&gt;0,VLOOKUP(A58,过渡表!$A$3:$V$194,21,0),"")</f>
        <v/>
      </c>
      <c r="D58" s="134"/>
      <c r="E58" s="157"/>
      <c r="F58" s="80"/>
      <c r="G58" s="80"/>
      <c r="HZ58" s="47"/>
      <c r="IA58" s="47"/>
      <c r="IB58" s="47"/>
      <c r="IC58" s="47"/>
      <c r="ID58" s="47"/>
    </row>
    <row r="59" spans="1:238">
      <c r="A59" s="57" t="s">
        <v>6</v>
      </c>
      <c r="B59" s="140" t="str">
        <f>IF(VLOOKUP(A59,过渡表!$A$3:$R$194,18,0)&lt;&gt;0,VLOOKUP(A59,过渡表!$A$3:$R$194,18,0),"")</f>
        <v/>
      </c>
      <c r="C59" s="140" t="str">
        <f>IF(VLOOKUP(A59,过渡表!$A$3:$V$194,21,0)&lt;&gt;0,VLOOKUP(A59,过渡表!$A$3:$V$194,21,0),"")</f>
        <v/>
      </c>
      <c r="D59" s="134"/>
      <c r="E59" s="157"/>
      <c r="F59" s="80"/>
      <c r="G59" s="80"/>
      <c r="HZ59" s="47"/>
      <c r="IA59" s="47"/>
      <c r="IB59" s="47"/>
      <c r="IC59" s="47"/>
      <c r="ID59" s="47"/>
    </row>
    <row r="60" spans="1:238">
      <c r="A60" s="57" t="s">
        <v>7</v>
      </c>
      <c r="B60" s="140" t="str">
        <f>IF(VLOOKUP(A60,过渡表!$A$3:$R$194,18,0)&lt;&gt;0,VLOOKUP(A60,过渡表!$A$3:$R$194,18,0),"")</f>
        <v/>
      </c>
      <c r="C60" s="140" t="str">
        <f>IF(VLOOKUP(A60,过渡表!$A$3:$V$194,21,0)&lt;&gt;0,VLOOKUP(A60,过渡表!$A$3:$V$194,21,0),"")</f>
        <v/>
      </c>
      <c r="D60" s="134"/>
      <c r="E60" s="157"/>
      <c r="F60" s="80"/>
      <c r="G60" s="80"/>
      <c r="HZ60" s="47"/>
      <c r="IA60" s="47"/>
      <c r="IB60" s="47"/>
      <c r="IC60" s="47"/>
      <c r="ID60" s="47"/>
    </row>
    <row r="61" spans="1:238">
      <c r="A61" s="57" t="s">
        <v>8</v>
      </c>
      <c r="B61" s="140" t="str">
        <f>IF(VLOOKUP(A61,过渡表!$A$3:$R$194,18,0)&lt;&gt;0,VLOOKUP(A61,过渡表!$A$3:$R$194,18,0),"")</f>
        <v/>
      </c>
      <c r="C61" s="140" t="str">
        <f>IF(VLOOKUP(A61,过渡表!$A$3:$V$194,21,0)&lt;&gt;0,VLOOKUP(A61,过渡表!$A$3:$V$194,21,0),"")</f>
        <v/>
      </c>
      <c r="D61" s="134"/>
      <c r="E61" s="157"/>
      <c r="F61" s="80"/>
      <c r="G61" s="80"/>
      <c r="HZ61" s="47"/>
      <c r="IA61" s="47"/>
      <c r="IB61" s="47"/>
      <c r="IC61" s="47"/>
      <c r="ID61" s="47"/>
    </row>
    <row r="62" spans="1:238">
      <c r="A62" s="57" t="s">
        <v>9</v>
      </c>
      <c r="B62" s="140" t="str">
        <f>IF(VLOOKUP(A62,过渡表!$A$3:$R$194,18,0)&lt;&gt;0,VLOOKUP(A62,过渡表!$A$3:$R$194,18,0),"")</f>
        <v/>
      </c>
      <c r="C62" s="140" t="str">
        <f>IF(VLOOKUP(A62,过渡表!$A$3:$V$194,21,0)&lt;&gt;0,VLOOKUP(A62,过渡表!$A$3:$V$194,21,0),"")</f>
        <v/>
      </c>
      <c r="D62" s="134"/>
      <c r="E62" s="157"/>
      <c r="F62" s="80"/>
      <c r="G62" s="80"/>
      <c r="HZ62" s="47"/>
      <c r="IA62" s="47"/>
      <c r="IB62" s="47"/>
      <c r="IC62" s="47"/>
      <c r="ID62" s="47"/>
    </row>
    <row r="63" spans="1:238" ht="24">
      <c r="A63" s="62" t="s">
        <v>10</v>
      </c>
      <c r="B63" s="140" t="str">
        <f>IF(VLOOKUP(A63,过渡表!$A$3:$R$194,18,0)&lt;&gt;0,VLOOKUP(A63,过渡表!$A$3:$R$194,18,0),"")</f>
        <v/>
      </c>
      <c r="C63" s="140" t="str">
        <f>IF(VLOOKUP(A63,过渡表!$A$3:$V$194,21,0)&lt;&gt;0,VLOOKUP(A63,过渡表!$A$3:$V$194,21,0),"")</f>
        <v/>
      </c>
      <c r="D63" s="134"/>
      <c r="E63" s="157"/>
      <c r="F63" s="80"/>
      <c r="G63" s="80"/>
      <c r="HZ63" s="47"/>
      <c r="IA63" s="47"/>
      <c r="IB63" s="47"/>
      <c r="IC63" s="47"/>
      <c r="ID63" s="47"/>
    </row>
    <row r="64" spans="1:238">
      <c r="A64" s="57" t="s">
        <v>11</v>
      </c>
      <c r="B64" s="140" t="str">
        <f>IF(VLOOKUP(A64,过渡表!$A$3:$R$194,18,0)&lt;&gt;0,VLOOKUP(A64,过渡表!$A$3:$R$194,18,0),"")</f>
        <v/>
      </c>
      <c r="C64" s="140" t="str">
        <f>IF(VLOOKUP(A64,过渡表!$A$3:$V$194,21,0)&lt;&gt;0,VLOOKUP(A64,过渡表!$A$3:$V$194,21,0),"")</f>
        <v/>
      </c>
      <c r="D64" s="134"/>
      <c r="E64" s="158"/>
      <c r="F64" s="80"/>
      <c r="G64" s="80"/>
      <c r="HZ64" s="47"/>
      <c r="IA64" s="47"/>
      <c r="IB64" s="47"/>
      <c r="IC64" s="47"/>
      <c r="ID64" s="47"/>
    </row>
    <row r="65" spans="1:238">
      <c r="A65" s="57" t="s">
        <v>12</v>
      </c>
      <c r="B65" s="140" t="str">
        <f>IF(VLOOKUP(A65,过渡表!$A$3:$R$194,18,0)&lt;&gt;0,VLOOKUP(A65,过渡表!$A$3:$R$194,18,0),"")</f>
        <v/>
      </c>
      <c r="C65" s="140" t="str">
        <f>IF(VLOOKUP(A65,过渡表!$A$3:$V$194,21,0)&lt;&gt;0,VLOOKUP(A65,过渡表!$A$3:$V$194,21,0),"")</f>
        <v/>
      </c>
      <c r="D65" s="134"/>
      <c r="E65" s="158"/>
      <c r="F65" s="80"/>
      <c r="G65" s="80"/>
      <c r="HZ65" s="47"/>
      <c r="IA65" s="47"/>
      <c r="IB65" s="47"/>
      <c r="IC65" s="47"/>
      <c r="ID65" s="47"/>
    </row>
    <row r="66" spans="1:238">
      <c r="A66" s="57" t="s">
        <v>13</v>
      </c>
      <c r="B66" s="140" t="str">
        <f>IF(VLOOKUP(A66,过渡表!$A$3:$R$194,18,0)&lt;&gt;0,VLOOKUP(A66,过渡表!$A$3:$R$194,18,0),"")</f>
        <v/>
      </c>
      <c r="C66" s="140" t="str">
        <f>IF(VLOOKUP(A66,过渡表!$A$3:$V$194,21,0)&lt;&gt;0,VLOOKUP(A66,过渡表!$A$3:$V$194,21,0),"")</f>
        <v/>
      </c>
      <c r="D66" s="134"/>
      <c r="E66" s="157"/>
      <c r="F66" s="80"/>
      <c r="G66" s="80"/>
      <c r="HZ66" s="47"/>
      <c r="IA66" s="47"/>
      <c r="IB66" s="47"/>
      <c r="IC66" s="47"/>
      <c r="ID66" s="47"/>
    </row>
    <row r="67" spans="1:238">
      <c r="A67" s="57" t="s">
        <v>14</v>
      </c>
      <c r="B67" s="140" t="str">
        <f>IF(VLOOKUP(A67,过渡表!$A$3:$R$194,18,0)&lt;&gt;0,VLOOKUP(A67,过渡表!$A$3:$R$194,18,0),"")</f>
        <v/>
      </c>
      <c r="C67" s="140" t="str">
        <f>IF(VLOOKUP(A67,过渡表!$A$3:$V$194,21,0)&lt;&gt;0,VLOOKUP(A67,过渡表!$A$3:$V$194,21,0),"")</f>
        <v/>
      </c>
      <c r="D67" s="134"/>
      <c r="E67" s="157"/>
      <c r="F67" s="80"/>
      <c r="G67" s="80"/>
      <c r="HZ67" s="47"/>
      <c r="IA67" s="47"/>
      <c r="IB67" s="47"/>
      <c r="IC67" s="47"/>
      <c r="ID67" s="47"/>
    </row>
    <row r="68" spans="1:238">
      <c r="A68" s="57" t="s">
        <v>15</v>
      </c>
      <c r="B68" s="140" t="str">
        <f>IF(VLOOKUP(A68,过渡表!$A$3:$R$194,18,0)&lt;&gt;0,VLOOKUP(A68,过渡表!$A$3:$R$194,18,0),"")</f>
        <v/>
      </c>
      <c r="C68" s="140" t="str">
        <f>IF(VLOOKUP(A68,过渡表!$A$3:$V$194,21,0)&lt;&gt;0,VLOOKUP(A68,过渡表!$A$3:$V$194,21,0),"")</f>
        <v/>
      </c>
      <c r="D68" s="134"/>
      <c r="E68" s="157"/>
      <c r="F68" s="80"/>
      <c r="G68" s="80"/>
      <c r="HZ68" s="47"/>
      <c r="IA68" s="47"/>
      <c r="IB68" s="47"/>
      <c r="IC68" s="47"/>
      <c r="ID68" s="47"/>
    </row>
    <row r="69" spans="1:238">
      <c r="A69" s="57" t="s">
        <v>16</v>
      </c>
      <c r="B69" s="140" t="str">
        <f>IF(VLOOKUP(A69,过渡表!$A$3:$R$194,18,0)&lt;&gt;0,VLOOKUP(A69,过渡表!$A$3:$R$194,18,0),"")</f>
        <v/>
      </c>
      <c r="C69" s="140" t="str">
        <f>IF(VLOOKUP(A69,过渡表!$A$3:$V$194,21,0)&lt;&gt;0,VLOOKUP(A69,过渡表!$A$3:$V$194,21,0),"")</f>
        <v/>
      </c>
      <c r="D69" s="134"/>
      <c r="E69" s="157"/>
      <c r="F69" s="80"/>
      <c r="G69" s="80"/>
      <c r="HZ69" s="47"/>
      <c r="IA69" s="47"/>
      <c r="IB69" s="47"/>
      <c r="IC69" s="47"/>
      <c r="ID69" s="47"/>
    </row>
    <row r="70" spans="1:238">
      <c r="A70" s="57" t="s">
        <v>17</v>
      </c>
      <c r="B70" s="140" t="str">
        <f>IF(VLOOKUP(A70,过渡表!$A$3:$R$194,18,0)&lt;&gt;0,VLOOKUP(A70,过渡表!$A$3:$R$194,18,0),"")</f>
        <v/>
      </c>
      <c r="C70" s="140" t="str">
        <f>IF(VLOOKUP(A70,过渡表!$A$3:$V$194,21,0)&lt;&gt;0,VLOOKUP(A70,过渡表!$A$3:$V$194,21,0),"")</f>
        <v/>
      </c>
      <c r="D70" s="134"/>
      <c r="E70" s="157"/>
      <c r="F70" s="80"/>
      <c r="G70" s="80"/>
      <c r="HZ70" s="47"/>
      <c r="IA70" s="47"/>
      <c r="IB70" s="47"/>
      <c r="IC70" s="47"/>
      <c r="ID70" s="47"/>
    </row>
    <row r="71" spans="1:238">
      <c r="A71" s="57" t="s">
        <v>18</v>
      </c>
      <c r="B71" s="140" t="str">
        <f>IF(VLOOKUP(A71,过渡表!$A$3:$R$194,18,0)&lt;&gt;0,VLOOKUP(A71,过渡表!$A$3:$R$194,18,0),"")</f>
        <v/>
      </c>
      <c r="C71" s="140" t="str">
        <f>IF(VLOOKUP(A71,过渡表!$A$3:$V$194,21,0)&lt;&gt;0,VLOOKUP(A71,过渡表!$A$3:$V$194,21,0),"")</f>
        <v/>
      </c>
      <c r="D71" s="134"/>
      <c r="E71" s="157"/>
      <c r="F71" s="80"/>
      <c r="G71" s="80"/>
      <c r="HZ71" s="47"/>
      <c r="IA71" s="47"/>
      <c r="IB71" s="47"/>
      <c r="IC71" s="47"/>
      <c r="ID71" s="47"/>
    </row>
    <row r="72" spans="1:238">
      <c r="A72" s="57" t="s">
        <v>209</v>
      </c>
      <c r="B72" s="139">
        <f>SUM(B55:B71)</f>
        <v>0</v>
      </c>
      <c r="C72" s="139">
        <f>SUM(C55:C71)</f>
        <v>0</v>
      </c>
      <c r="D72" s="139">
        <f>SUM(D55:D71)</f>
        <v>0</v>
      </c>
      <c r="E72" s="158"/>
      <c r="F72" s="80"/>
      <c r="G72" s="80"/>
      <c r="HZ72" s="47"/>
      <c r="IA72" s="47"/>
      <c r="IB72" s="47"/>
      <c r="IC72" s="47"/>
      <c r="ID72" s="47"/>
    </row>
    <row r="73" spans="1:238">
      <c r="A73" s="57" t="s">
        <v>19</v>
      </c>
      <c r="B73" s="134"/>
      <c r="C73" s="134"/>
      <c r="D73" s="134"/>
      <c r="E73" s="157"/>
      <c r="G73" s="80"/>
      <c r="HZ73" s="47"/>
      <c r="IA73" s="47"/>
      <c r="IB73" s="47"/>
      <c r="IC73" s="47"/>
      <c r="ID73" s="47"/>
    </row>
    <row r="74" spans="1:238">
      <c r="A74" s="57" t="s">
        <v>20</v>
      </c>
      <c r="B74" s="140" t="str">
        <f>IF(VLOOKUP(A74,过渡表!$A$3:$R$194,18,0)&lt;&gt;0,VLOOKUP(A74,过渡表!$A$3:$R$194,18,0),"")</f>
        <v/>
      </c>
      <c r="C74" s="140" t="str">
        <f>IF(VLOOKUP(A74,过渡表!$A$3:$V$194,21,0)&lt;&gt;0,VLOOKUP(A74,过渡表!$A$3:$V$194,21,0),"")</f>
        <v/>
      </c>
      <c r="D74" s="134"/>
      <c r="G74" s="80"/>
      <c r="HZ74" s="47"/>
      <c r="IA74" s="47"/>
      <c r="IB74" s="47"/>
      <c r="IC74" s="47"/>
      <c r="ID74" s="47"/>
    </row>
    <row r="75" spans="1:238">
      <c r="A75" s="57" t="s">
        <v>21</v>
      </c>
      <c r="B75" s="140" t="str">
        <f>IF(VLOOKUP(A75,过渡表!$A$3:$R$194,18,0)&lt;&gt;0,VLOOKUP(A75,过渡表!$A$3:$R$194,18,0),"")</f>
        <v/>
      </c>
      <c r="C75" s="140" t="str">
        <f>IF(VLOOKUP(A75,过渡表!$A$3:$V$194,21,0)&lt;&gt;0,VLOOKUP(A75,过渡表!$A$3:$V$194,21,0),"")</f>
        <v/>
      </c>
      <c r="D75" s="134"/>
      <c r="G75" s="80"/>
      <c r="HZ75" s="47"/>
      <c r="IA75" s="47"/>
      <c r="IB75" s="47"/>
      <c r="IC75" s="47"/>
      <c r="ID75" s="47"/>
    </row>
    <row r="76" spans="1:238">
      <c r="A76" s="57" t="s">
        <v>22</v>
      </c>
      <c r="B76" s="140" t="str">
        <f>IF(VLOOKUP(A76,过渡表!$A$3:$R$194,18,0)&lt;&gt;0,VLOOKUP(A76,过渡表!$A$3:$R$194,18,0),"")</f>
        <v/>
      </c>
      <c r="C76" s="140" t="str">
        <f>IF(VLOOKUP(A76,过渡表!$A$3:$V$194,21,0)&lt;&gt;0,VLOOKUP(A76,过渡表!$A$3:$V$194,21,0),"")</f>
        <v/>
      </c>
      <c r="D76" s="134"/>
      <c r="G76" s="80"/>
      <c r="HZ76" s="47"/>
      <c r="IA76" s="47"/>
      <c r="IB76" s="47"/>
      <c r="IC76" s="47"/>
      <c r="ID76" s="47"/>
    </row>
    <row r="77" spans="1:238">
      <c r="A77" s="57" t="s">
        <v>23</v>
      </c>
      <c r="B77" s="140"/>
      <c r="C77" s="140"/>
      <c r="D77" s="134"/>
      <c r="G77" s="80"/>
      <c r="HZ77" s="47"/>
      <c r="IA77" s="47"/>
      <c r="IB77" s="47"/>
      <c r="IC77" s="47"/>
      <c r="ID77" s="47"/>
    </row>
    <row r="78" spans="1:238">
      <c r="A78" s="57" t="s">
        <v>24</v>
      </c>
      <c r="B78" s="140">
        <f>过渡表!R190</f>
        <v>0</v>
      </c>
      <c r="C78" s="140">
        <f>VLOOKUP(A78,过渡表!$A$3:$V$194,21,0)</f>
        <v>0</v>
      </c>
      <c r="D78" s="134">
        <f>D46</f>
        <v>0</v>
      </c>
      <c r="G78" s="80"/>
      <c r="HZ78" s="47"/>
      <c r="IA78" s="47"/>
      <c r="IB78" s="47"/>
      <c r="IC78" s="47"/>
      <c r="ID78" s="47"/>
    </row>
    <row r="79" spans="1:238">
      <c r="A79" s="57" t="s">
        <v>210</v>
      </c>
      <c r="B79" s="139">
        <f>过渡表!R162</f>
        <v>0</v>
      </c>
      <c r="C79" s="139">
        <f>过渡表!U162</f>
        <v>0</v>
      </c>
      <c r="D79" s="139"/>
      <c r="G79" s="80"/>
      <c r="HZ79" s="47"/>
      <c r="IA79" s="47"/>
      <c r="IB79" s="47"/>
      <c r="IC79" s="47"/>
      <c r="ID79" s="47"/>
    </row>
    <row r="80" spans="1:238" ht="13.5" thickBot="1">
      <c r="A80" s="57" t="s">
        <v>211</v>
      </c>
      <c r="B80" s="141">
        <f>B78-B79</f>
        <v>0</v>
      </c>
      <c r="C80" s="141">
        <f>C78-C79</f>
        <v>0</v>
      </c>
      <c r="D80" s="141">
        <f>ROUND(D78-D79,2)</f>
        <v>0</v>
      </c>
      <c r="G80" s="80"/>
      <c r="HZ80" s="47"/>
      <c r="IA80" s="47"/>
      <c r="IB80" s="47"/>
      <c r="IC80" s="47"/>
      <c r="ID80" s="47"/>
    </row>
    <row r="81" spans="1:238" ht="20.100000000000001" customHeight="1" thickTop="1">
      <c r="A81" s="75" t="str">
        <f>A49</f>
        <v xml:space="preserve">    企业法定代表人：黄永军                        主管会计工作负责人：徐少璞                          会计机构负责人： 王巧瑞</v>
      </c>
      <c r="B81" s="72"/>
      <c r="C81" s="72"/>
      <c r="D81" s="111"/>
    </row>
    <row r="82" spans="1:238" ht="20.100000000000001" hidden="1" customHeight="1">
      <c r="A82" s="75" t="str">
        <f>A50</f>
        <v xml:space="preserve">    企业法定代表人：                                           主管会计工作负责人：                                        会计机构负责人： </v>
      </c>
      <c r="B82" s="72"/>
      <c r="C82" s="72"/>
      <c r="D82" s="111"/>
    </row>
    <row r="83" spans="1:238" ht="20.100000000000001" customHeight="1">
      <c r="A83" s="90"/>
      <c r="B83" s="72"/>
      <c r="C83" s="72"/>
      <c r="D83" s="65"/>
    </row>
    <row r="84" spans="1:238" ht="14.25" customHeight="1"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</row>
    <row r="85" spans="1:238" ht="14.25" customHeight="1"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</row>
    <row r="86" spans="1:238" ht="14.25" customHeight="1"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</row>
    <row r="87" spans="1:238">
      <c r="A87" s="57" t="s">
        <v>212</v>
      </c>
      <c r="B87" s="134">
        <f>B46-B78</f>
        <v>0</v>
      </c>
      <c r="C87" s="134">
        <f>C46-C78</f>
        <v>0</v>
      </c>
      <c r="D87" s="134">
        <f>D46-D78</f>
        <v>0</v>
      </c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</row>
    <row r="88" spans="1:238">
      <c r="A88" s="57" t="s">
        <v>213</v>
      </c>
      <c r="B88" s="134">
        <f>B80-B44</f>
        <v>0</v>
      </c>
      <c r="C88" s="134">
        <f>C80-C44</f>
        <v>0</v>
      </c>
      <c r="D88" s="134">
        <f t="shared" ref="D88" si="9">D80-D44</f>
        <v>0</v>
      </c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</row>
    <row r="89" spans="1:238">
      <c r="A89" s="57" t="s">
        <v>214</v>
      </c>
      <c r="B89" s="134">
        <f>B16-B72</f>
        <v>0</v>
      </c>
      <c r="C89" s="134">
        <f>C16-C72</f>
        <v>0</v>
      </c>
      <c r="D89" s="134">
        <f>D16-D72</f>
        <v>0</v>
      </c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</row>
    <row r="90" spans="1:238">
      <c r="B90" s="134"/>
      <c r="C90" s="134"/>
      <c r="D90" s="134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</row>
  </sheetData>
  <mergeCells count="1">
    <mergeCell ref="A1:D1"/>
  </mergeCells>
  <phoneticPr fontId="7" type="noConversion"/>
  <pageMargins left="0.7" right="0.7" top="0.75" bottom="0.75" header="0.3" footer="0.3"/>
  <pageSetup paperSize="9" scale="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L127"/>
  <sheetViews>
    <sheetView showZeros="0" zoomScaleNormal="100" zoomScaleSheetLayoutView="100" workbookViewId="0">
      <pane ySplit="5" topLeftCell="A67" activePane="bottomLeft" state="frozen"/>
      <selection pane="bottomLeft" activeCell="D84" sqref="D84"/>
    </sheetView>
  </sheetViews>
  <sheetFormatPr defaultRowHeight="17.100000000000001" customHeight="1"/>
  <cols>
    <col min="1" max="1" width="34.7109375" style="109" customWidth="1"/>
    <col min="2" max="2" width="21.7109375" style="54" customWidth="1"/>
    <col min="3" max="3" width="21.7109375" style="66" customWidth="1"/>
    <col min="4" max="4" width="22" style="133" bestFit="1" customWidth="1"/>
    <col min="5" max="5" width="20" style="54" bestFit="1" customWidth="1"/>
    <col min="6" max="6" width="19.7109375" style="54" bestFit="1" customWidth="1"/>
    <col min="7" max="246" width="9.140625" style="54"/>
    <col min="247" max="256" width="9.140625" style="47"/>
    <col min="257" max="257" width="30.140625" style="47" customWidth="1"/>
    <col min="258" max="258" width="26" style="47" customWidth="1"/>
    <col min="259" max="259" width="33.28515625" style="47" customWidth="1"/>
    <col min="260" max="260" width="28" style="47" customWidth="1"/>
    <col min="261" max="512" width="9.140625" style="47"/>
    <col min="513" max="513" width="30.140625" style="47" customWidth="1"/>
    <col min="514" max="514" width="26" style="47" customWidth="1"/>
    <col min="515" max="515" width="33.28515625" style="47" customWidth="1"/>
    <col min="516" max="516" width="28" style="47" customWidth="1"/>
    <col min="517" max="768" width="9.140625" style="47"/>
    <col min="769" max="769" width="30.140625" style="47" customWidth="1"/>
    <col min="770" max="770" width="26" style="47" customWidth="1"/>
    <col min="771" max="771" width="33.28515625" style="47" customWidth="1"/>
    <col min="772" max="772" width="28" style="47" customWidth="1"/>
    <col min="773" max="1024" width="9.140625" style="47"/>
    <col min="1025" max="1025" width="30.140625" style="47" customWidth="1"/>
    <col min="1026" max="1026" width="26" style="47" customWidth="1"/>
    <col min="1027" max="1027" width="33.28515625" style="47" customWidth="1"/>
    <col min="1028" max="1028" width="28" style="47" customWidth="1"/>
    <col min="1029" max="1280" width="9.140625" style="47"/>
    <col min="1281" max="1281" width="30.140625" style="47" customWidth="1"/>
    <col min="1282" max="1282" width="26" style="47" customWidth="1"/>
    <col min="1283" max="1283" width="33.28515625" style="47" customWidth="1"/>
    <col min="1284" max="1284" width="28" style="47" customWidth="1"/>
    <col min="1285" max="1536" width="9.140625" style="47"/>
    <col min="1537" max="1537" width="30.140625" style="47" customWidth="1"/>
    <col min="1538" max="1538" width="26" style="47" customWidth="1"/>
    <col min="1539" max="1539" width="33.28515625" style="47" customWidth="1"/>
    <col min="1540" max="1540" width="28" style="47" customWidth="1"/>
    <col min="1541" max="1792" width="9.140625" style="47"/>
    <col min="1793" max="1793" width="30.140625" style="47" customWidth="1"/>
    <col min="1794" max="1794" width="26" style="47" customWidth="1"/>
    <col min="1795" max="1795" width="33.28515625" style="47" customWidth="1"/>
    <col min="1796" max="1796" width="28" style="47" customWidth="1"/>
    <col min="1797" max="2048" width="9.140625" style="47"/>
    <col min="2049" max="2049" width="30.140625" style="47" customWidth="1"/>
    <col min="2050" max="2050" width="26" style="47" customWidth="1"/>
    <col min="2051" max="2051" width="33.28515625" style="47" customWidth="1"/>
    <col min="2052" max="2052" width="28" style="47" customWidth="1"/>
    <col min="2053" max="2304" width="9.140625" style="47"/>
    <col min="2305" max="2305" width="30.140625" style="47" customWidth="1"/>
    <col min="2306" max="2306" width="26" style="47" customWidth="1"/>
    <col min="2307" max="2307" width="33.28515625" style="47" customWidth="1"/>
    <col min="2308" max="2308" width="28" style="47" customWidth="1"/>
    <col min="2309" max="2560" width="9.140625" style="47"/>
    <col min="2561" max="2561" width="30.140625" style="47" customWidth="1"/>
    <col min="2562" max="2562" width="26" style="47" customWidth="1"/>
    <col min="2563" max="2563" width="33.28515625" style="47" customWidth="1"/>
    <col min="2564" max="2564" width="28" style="47" customWidth="1"/>
    <col min="2565" max="2816" width="9.140625" style="47"/>
    <col min="2817" max="2817" width="30.140625" style="47" customWidth="1"/>
    <col min="2818" max="2818" width="26" style="47" customWidth="1"/>
    <col min="2819" max="2819" width="33.28515625" style="47" customWidth="1"/>
    <col min="2820" max="2820" width="28" style="47" customWidth="1"/>
    <col min="2821" max="3072" width="9.140625" style="47"/>
    <col min="3073" max="3073" width="30.140625" style="47" customWidth="1"/>
    <col min="3074" max="3074" width="26" style="47" customWidth="1"/>
    <col min="3075" max="3075" width="33.28515625" style="47" customWidth="1"/>
    <col min="3076" max="3076" width="28" style="47" customWidth="1"/>
    <col min="3077" max="3328" width="9.140625" style="47"/>
    <col min="3329" max="3329" width="30.140625" style="47" customWidth="1"/>
    <col min="3330" max="3330" width="26" style="47" customWidth="1"/>
    <col min="3331" max="3331" width="33.28515625" style="47" customWidth="1"/>
    <col min="3332" max="3332" width="28" style="47" customWidth="1"/>
    <col min="3333" max="3584" width="9.140625" style="47"/>
    <col min="3585" max="3585" width="30.140625" style="47" customWidth="1"/>
    <col min="3586" max="3586" width="26" style="47" customWidth="1"/>
    <col min="3587" max="3587" width="33.28515625" style="47" customWidth="1"/>
    <col min="3588" max="3588" width="28" style="47" customWidth="1"/>
    <col min="3589" max="3840" width="9.140625" style="47"/>
    <col min="3841" max="3841" width="30.140625" style="47" customWidth="1"/>
    <col min="3842" max="3842" width="26" style="47" customWidth="1"/>
    <col min="3843" max="3843" width="33.28515625" style="47" customWidth="1"/>
    <col min="3844" max="3844" width="28" style="47" customWidth="1"/>
    <col min="3845" max="4096" width="9.140625" style="47"/>
    <col min="4097" max="4097" width="30.140625" style="47" customWidth="1"/>
    <col min="4098" max="4098" width="26" style="47" customWidth="1"/>
    <col min="4099" max="4099" width="33.28515625" style="47" customWidth="1"/>
    <col min="4100" max="4100" width="28" style="47" customWidth="1"/>
    <col min="4101" max="4352" width="9.140625" style="47"/>
    <col min="4353" max="4353" width="30.140625" style="47" customWidth="1"/>
    <col min="4354" max="4354" width="26" style="47" customWidth="1"/>
    <col min="4355" max="4355" width="33.28515625" style="47" customWidth="1"/>
    <col min="4356" max="4356" width="28" style="47" customWidth="1"/>
    <col min="4357" max="4608" width="9.140625" style="47"/>
    <col min="4609" max="4609" width="30.140625" style="47" customWidth="1"/>
    <col min="4610" max="4610" width="26" style="47" customWidth="1"/>
    <col min="4611" max="4611" width="33.28515625" style="47" customWidth="1"/>
    <col min="4612" max="4612" width="28" style="47" customWidth="1"/>
    <col min="4613" max="4864" width="9.140625" style="47"/>
    <col min="4865" max="4865" width="30.140625" style="47" customWidth="1"/>
    <col min="4866" max="4866" width="26" style="47" customWidth="1"/>
    <col min="4867" max="4867" width="33.28515625" style="47" customWidth="1"/>
    <col min="4868" max="4868" width="28" style="47" customWidth="1"/>
    <col min="4869" max="5120" width="9.140625" style="47"/>
    <col min="5121" max="5121" width="30.140625" style="47" customWidth="1"/>
    <col min="5122" max="5122" width="26" style="47" customWidth="1"/>
    <col min="5123" max="5123" width="33.28515625" style="47" customWidth="1"/>
    <col min="5124" max="5124" width="28" style="47" customWidth="1"/>
    <col min="5125" max="5376" width="9.140625" style="47"/>
    <col min="5377" max="5377" width="30.140625" style="47" customWidth="1"/>
    <col min="5378" max="5378" width="26" style="47" customWidth="1"/>
    <col min="5379" max="5379" width="33.28515625" style="47" customWidth="1"/>
    <col min="5380" max="5380" width="28" style="47" customWidth="1"/>
    <col min="5381" max="5632" width="9.140625" style="47"/>
    <col min="5633" max="5633" width="30.140625" style="47" customWidth="1"/>
    <col min="5634" max="5634" width="26" style="47" customWidth="1"/>
    <col min="5635" max="5635" width="33.28515625" style="47" customWidth="1"/>
    <col min="5636" max="5636" width="28" style="47" customWidth="1"/>
    <col min="5637" max="5888" width="9.140625" style="47"/>
    <col min="5889" max="5889" width="30.140625" style="47" customWidth="1"/>
    <col min="5890" max="5890" width="26" style="47" customWidth="1"/>
    <col min="5891" max="5891" width="33.28515625" style="47" customWidth="1"/>
    <col min="5892" max="5892" width="28" style="47" customWidth="1"/>
    <col min="5893" max="6144" width="9.140625" style="47"/>
    <col min="6145" max="6145" width="30.140625" style="47" customWidth="1"/>
    <col min="6146" max="6146" width="26" style="47" customWidth="1"/>
    <col min="6147" max="6147" width="33.28515625" style="47" customWidth="1"/>
    <col min="6148" max="6148" width="28" style="47" customWidth="1"/>
    <col min="6149" max="6400" width="9.140625" style="47"/>
    <col min="6401" max="6401" width="30.140625" style="47" customWidth="1"/>
    <col min="6402" max="6402" width="26" style="47" customWidth="1"/>
    <col min="6403" max="6403" width="33.28515625" style="47" customWidth="1"/>
    <col min="6404" max="6404" width="28" style="47" customWidth="1"/>
    <col min="6405" max="6656" width="9.140625" style="47"/>
    <col min="6657" max="6657" width="30.140625" style="47" customWidth="1"/>
    <col min="6658" max="6658" width="26" style="47" customWidth="1"/>
    <col min="6659" max="6659" width="33.28515625" style="47" customWidth="1"/>
    <col min="6660" max="6660" width="28" style="47" customWidth="1"/>
    <col min="6661" max="6912" width="9.140625" style="47"/>
    <col min="6913" max="6913" width="30.140625" style="47" customWidth="1"/>
    <col min="6914" max="6914" width="26" style="47" customWidth="1"/>
    <col min="6915" max="6915" width="33.28515625" style="47" customWidth="1"/>
    <col min="6916" max="6916" width="28" style="47" customWidth="1"/>
    <col min="6917" max="7168" width="9.140625" style="47"/>
    <col min="7169" max="7169" width="30.140625" style="47" customWidth="1"/>
    <col min="7170" max="7170" width="26" style="47" customWidth="1"/>
    <col min="7171" max="7171" width="33.28515625" style="47" customWidth="1"/>
    <col min="7172" max="7172" width="28" style="47" customWidth="1"/>
    <col min="7173" max="7424" width="9.140625" style="47"/>
    <col min="7425" max="7425" width="30.140625" style="47" customWidth="1"/>
    <col min="7426" max="7426" width="26" style="47" customWidth="1"/>
    <col min="7427" max="7427" width="33.28515625" style="47" customWidth="1"/>
    <col min="7428" max="7428" width="28" style="47" customWidth="1"/>
    <col min="7429" max="7680" width="9.140625" style="47"/>
    <col min="7681" max="7681" width="30.140625" style="47" customWidth="1"/>
    <col min="7682" max="7682" width="26" style="47" customWidth="1"/>
    <col min="7683" max="7683" width="33.28515625" style="47" customWidth="1"/>
    <col min="7684" max="7684" width="28" style="47" customWidth="1"/>
    <col min="7685" max="7936" width="9.140625" style="47"/>
    <col min="7937" max="7937" width="30.140625" style="47" customWidth="1"/>
    <col min="7938" max="7938" width="26" style="47" customWidth="1"/>
    <col min="7939" max="7939" width="33.28515625" style="47" customWidth="1"/>
    <col min="7940" max="7940" width="28" style="47" customWidth="1"/>
    <col min="7941" max="8192" width="9.140625" style="47"/>
    <col min="8193" max="8193" width="30.140625" style="47" customWidth="1"/>
    <col min="8194" max="8194" width="26" style="47" customWidth="1"/>
    <col min="8195" max="8195" width="33.28515625" style="47" customWidth="1"/>
    <col min="8196" max="8196" width="28" style="47" customWidth="1"/>
    <col min="8197" max="8448" width="9.140625" style="47"/>
    <col min="8449" max="8449" width="30.140625" style="47" customWidth="1"/>
    <col min="8450" max="8450" width="26" style="47" customWidth="1"/>
    <col min="8451" max="8451" width="33.28515625" style="47" customWidth="1"/>
    <col min="8452" max="8452" width="28" style="47" customWidth="1"/>
    <col min="8453" max="8704" width="9.140625" style="47"/>
    <col min="8705" max="8705" width="30.140625" style="47" customWidth="1"/>
    <col min="8706" max="8706" width="26" style="47" customWidth="1"/>
    <col min="8707" max="8707" width="33.28515625" style="47" customWidth="1"/>
    <col min="8708" max="8708" width="28" style="47" customWidth="1"/>
    <col min="8709" max="8960" width="9.140625" style="47"/>
    <col min="8961" max="8961" width="30.140625" style="47" customWidth="1"/>
    <col min="8962" max="8962" width="26" style="47" customWidth="1"/>
    <col min="8963" max="8963" width="33.28515625" style="47" customWidth="1"/>
    <col min="8964" max="8964" width="28" style="47" customWidth="1"/>
    <col min="8965" max="9216" width="9.140625" style="47"/>
    <col min="9217" max="9217" width="30.140625" style="47" customWidth="1"/>
    <col min="9218" max="9218" width="26" style="47" customWidth="1"/>
    <col min="9219" max="9219" width="33.28515625" style="47" customWidth="1"/>
    <col min="9220" max="9220" width="28" style="47" customWidth="1"/>
    <col min="9221" max="9472" width="9.140625" style="47"/>
    <col min="9473" max="9473" width="30.140625" style="47" customWidth="1"/>
    <col min="9474" max="9474" width="26" style="47" customWidth="1"/>
    <col min="9475" max="9475" width="33.28515625" style="47" customWidth="1"/>
    <col min="9476" max="9476" width="28" style="47" customWidth="1"/>
    <col min="9477" max="9728" width="9.140625" style="47"/>
    <col min="9729" max="9729" width="30.140625" style="47" customWidth="1"/>
    <col min="9730" max="9730" width="26" style="47" customWidth="1"/>
    <col min="9731" max="9731" width="33.28515625" style="47" customWidth="1"/>
    <col min="9732" max="9732" width="28" style="47" customWidth="1"/>
    <col min="9733" max="9984" width="9.140625" style="47"/>
    <col min="9985" max="9985" width="30.140625" style="47" customWidth="1"/>
    <col min="9986" max="9986" width="26" style="47" customWidth="1"/>
    <col min="9987" max="9987" width="33.28515625" style="47" customWidth="1"/>
    <col min="9988" max="9988" width="28" style="47" customWidth="1"/>
    <col min="9989" max="10240" width="9.140625" style="47"/>
    <col min="10241" max="10241" width="30.140625" style="47" customWidth="1"/>
    <col min="10242" max="10242" width="26" style="47" customWidth="1"/>
    <col min="10243" max="10243" width="33.28515625" style="47" customWidth="1"/>
    <col min="10244" max="10244" width="28" style="47" customWidth="1"/>
    <col min="10245" max="10496" width="9.140625" style="47"/>
    <col min="10497" max="10497" width="30.140625" style="47" customWidth="1"/>
    <col min="10498" max="10498" width="26" style="47" customWidth="1"/>
    <col min="10499" max="10499" width="33.28515625" style="47" customWidth="1"/>
    <col min="10500" max="10500" width="28" style="47" customWidth="1"/>
    <col min="10501" max="10752" width="9.140625" style="47"/>
    <col min="10753" max="10753" width="30.140625" style="47" customWidth="1"/>
    <col min="10754" max="10754" width="26" style="47" customWidth="1"/>
    <col min="10755" max="10755" width="33.28515625" style="47" customWidth="1"/>
    <col min="10756" max="10756" width="28" style="47" customWidth="1"/>
    <col min="10757" max="11008" width="9.140625" style="47"/>
    <col min="11009" max="11009" width="30.140625" style="47" customWidth="1"/>
    <col min="11010" max="11010" width="26" style="47" customWidth="1"/>
    <col min="11011" max="11011" width="33.28515625" style="47" customWidth="1"/>
    <col min="11012" max="11012" width="28" style="47" customWidth="1"/>
    <col min="11013" max="11264" width="9.140625" style="47"/>
    <col min="11265" max="11265" width="30.140625" style="47" customWidth="1"/>
    <col min="11266" max="11266" width="26" style="47" customWidth="1"/>
    <col min="11267" max="11267" width="33.28515625" style="47" customWidth="1"/>
    <col min="11268" max="11268" width="28" style="47" customWidth="1"/>
    <col min="11269" max="11520" width="9.140625" style="47"/>
    <col min="11521" max="11521" width="30.140625" style="47" customWidth="1"/>
    <col min="11522" max="11522" width="26" style="47" customWidth="1"/>
    <col min="11523" max="11523" width="33.28515625" style="47" customWidth="1"/>
    <col min="11524" max="11524" width="28" style="47" customWidth="1"/>
    <col min="11525" max="11776" width="9.140625" style="47"/>
    <col min="11777" max="11777" width="30.140625" style="47" customWidth="1"/>
    <col min="11778" max="11778" width="26" style="47" customWidth="1"/>
    <col min="11779" max="11779" width="33.28515625" style="47" customWidth="1"/>
    <col min="11780" max="11780" width="28" style="47" customWidth="1"/>
    <col min="11781" max="12032" width="9.140625" style="47"/>
    <col min="12033" max="12033" width="30.140625" style="47" customWidth="1"/>
    <col min="12034" max="12034" width="26" style="47" customWidth="1"/>
    <col min="12035" max="12035" width="33.28515625" style="47" customWidth="1"/>
    <col min="12036" max="12036" width="28" style="47" customWidth="1"/>
    <col min="12037" max="12288" width="9.140625" style="47"/>
    <col min="12289" max="12289" width="30.140625" style="47" customWidth="1"/>
    <col min="12290" max="12290" width="26" style="47" customWidth="1"/>
    <col min="12291" max="12291" width="33.28515625" style="47" customWidth="1"/>
    <col min="12292" max="12292" width="28" style="47" customWidth="1"/>
    <col min="12293" max="12544" width="9.140625" style="47"/>
    <col min="12545" max="12545" width="30.140625" style="47" customWidth="1"/>
    <col min="12546" max="12546" width="26" style="47" customWidth="1"/>
    <col min="12547" max="12547" width="33.28515625" style="47" customWidth="1"/>
    <col min="12548" max="12548" width="28" style="47" customWidth="1"/>
    <col min="12549" max="12800" width="9.140625" style="47"/>
    <col min="12801" max="12801" width="30.140625" style="47" customWidth="1"/>
    <col min="12802" max="12802" width="26" style="47" customWidth="1"/>
    <col min="12803" max="12803" width="33.28515625" style="47" customWidth="1"/>
    <col min="12804" max="12804" width="28" style="47" customWidth="1"/>
    <col min="12805" max="13056" width="9.140625" style="47"/>
    <col min="13057" max="13057" width="30.140625" style="47" customWidth="1"/>
    <col min="13058" max="13058" width="26" style="47" customWidth="1"/>
    <col min="13059" max="13059" width="33.28515625" style="47" customWidth="1"/>
    <col min="13060" max="13060" width="28" style="47" customWidth="1"/>
    <col min="13061" max="13312" width="9.140625" style="47"/>
    <col min="13313" max="13313" width="30.140625" style="47" customWidth="1"/>
    <col min="13314" max="13314" width="26" style="47" customWidth="1"/>
    <col min="13315" max="13315" width="33.28515625" style="47" customWidth="1"/>
    <col min="13316" max="13316" width="28" style="47" customWidth="1"/>
    <col min="13317" max="13568" width="9.140625" style="47"/>
    <col min="13569" max="13569" width="30.140625" style="47" customWidth="1"/>
    <col min="13570" max="13570" width="26" style="47" customWidth="1"/>
    <col min="13571" max="13571" width="33.28515625" style="47" customWidth="1"/>
    <col min="13572" max="13572" width="28" style="47" customWidth="1"/>
    <col min="13573" max="13824" width="9.140625" style="47"/>
    <col min="13825" max="13825" width="30.140625" style="47" customWidth="1"/>
    <col min="13826" max="13826" width="26" style="47" customWidth="1"/>
    <col min="13827" max="13827" width="33.28515625" style="47" customWidth="1"/>
    <col min="13828" max="13828" width="28" style="47" customWidth="1"/>
    <col min="13829" max="14080" width="9.140625" style="47"/>
    <col min="14081" max="14081" width="30.140625" style="47" customWidth="1"/>
    <col min="14082" max="14082" width="26" style="47" customWidth="1"/>
    <col min="14083" max="14083" width="33.28515625" style="47" customWidth="1"/>
    <col min="14084" max="14084" width="28" style="47" customWidth="1"/>
    <col min="14085" max="14336" width="9.140625" style="47"/>
    <col min="14337" max="14337" width="30.140625" style="47" customWidth="1"/>
    <col min="14338" max="14338" width="26" style="47" customWidth="1"/>
    <col min="14339" max="14339" width="33.28515625" style="47" customWidth="1"/>
    <col min="14340" max="14340" width="28" style="47" customWidth="1"/>
    <col min="14341" max="14592" width="9.140625" style="47"/>
    <col min="14593" max="14593" width="30.140625" style="47" customWidth="1"/>
    <col min="14594" max="14594" width="26" style="47" customWidth="1"/>
    <col min="14595" max="14595" width="33.28515625" style="47" customWidth="1"/>
    <col min="14596" max="14596" width="28" style="47" customWidth="1"/>
    <col min="14597" max="14848" width="9.140625" style="47"/>
    <col min="14849" max="14849" width="30.140625" style="47" customWidth="1"/>
    <col min="14850" max="14850" width="26" style="47" customWidth="1"/>
    <col min="14851" max="14851" width="33.28515625" style="47" customWidth="1"/>
    <col min="14852" max="14852" width="28" style="47" customWidth="1"/>
    <col min="14853" max="15104" width="9.140625" style="47"/>
    <col min="15105" max="15105" width="30.140625" style="47" customWidth="1"/>
    <col min="15106" max="15106" width="26" style="47" customWidth="1"/>
    <col min="15107" max="15107" width="33.28515625" style="47" customWidth="1"/>
    <col min="15108" max="15108" width="28" style="47" customWidth="1"/>
    <col min="15109" max="15360" width="9.140625" style="47"/>
    <col min="15361" max="15361" width="30.140625" style="47" customWidth="1"/>
    <col min="15362" max="15362" width="26" style="47" customWidth="1"/>
    <col min="15363" max="15363" width="33.28515625" style="47" customWidth="1"/>
    <col min="15364" max="15364" width="28" style="47" customWidth="1"/>
    <col min="15365" max="15616" width="9.140625" style="47"/>
    <col min="15617" max="15617" width="30.140625" style="47" customWidth="1"/>
    <col min="15618" max="15618" width="26" style="47" customWidth="1"/>
    <col min="15619" max="15619" width="33.28515625" style="47" customWidth="1"/>
    <col min="15620" max="15620" width="28" style="47" customWidth="1"/>
    <col min="15621" max="15872" width="9.140625" style="47"/>
    <col min="15873" max="15873" width="30.140625" style="47" customWidth="1"/>
    <col min="15874" max="15874" width="26" style="47" customWidth="1"/>
    <col min="15875" max="15875" width="33.28515625" style="47" customWidth="1"/>
    <col min="15876" max="15876" width="28" style="47" customWidth="1"/>
    <col min="15877" max="16128" width="9.140625" style="47"/>
    <col min="16129" max="16129" width="30.140625" style="47" customWidth="1"/>
    <col min="16130" max="16130" width="26" style="47" customWidth="1"/>
    <col min="16131" max="16131" width="33.28515625" style="47" customWidth="1"/>
    <col min="16132" max="16132" width="28" style="47" customWidth="1"/>
    <col min="16133" max="16384" width="9.140625" style="47"/>
  </cols>
  <sheetData>
    <row r="1" spans="1:246" ht="18.75" customHeight="1">
      <c r="A1" s="323" t="s">
        <v>367</v>
      </c>
      <c r="B1" s="323"/>
      <c r="C1" s="323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</row>
    <row r="2" spans="1:246" ht="15" customHeight="1">
      <c r="A2" s="271"/>
      <c r="B2" s="271"/>
      <c r="C2" s="271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7"/>
      <c r="HC2" s="47"/>
      <c r="HD2" s="47"/>
      <c r="HE2" s="47"/>
      <c r="HF2" s="47"/>
      <c r="HG2" s="47"/>
      <c r="HH2" s="47"/>
      <c r="HI2" s="47"/>
      <c r="HJ2" s="47"/>
      <c r="HK2" s="47"/>
      <c r="HL2" s="47"/>
      <c r="HM2" s="47"/>
      <c r="HN2" s="47"/>
      <c r="HO2" s="47"/>
      <c r="HP2" s="47"/>
      <c r="HQ2" s="47"/>
      <c r="HR2" s="47"/>
      <c r="HS2" s="47"/>
      <c r="HT2" s="47"/>
      <c r="HU2" s="47"/>
      <c r="HV2" s="47"/>
      <c r="HW2" s="47"/>
      <c r="HX2" s="47"/>
      <c r="HY2" s="47"/>
      <c r="HZ2" s="47"/>
      <c r="IA2" s="47"/>
      <c r="IB2" s="47"/>
      <c r="IC2" s="47"/>
      <c r="ID2" s="47"/>
      <c r="IE2" s="47"/>
      <c r="IF2" s="47"/>
      <c r="IG2" s="47"/>
      <c r="IH2" s="47"/>
      <c r="II2" s="47"/>
      <c r="IJ2" s="47"/>
      <c r="IK2" s="47"/>
      <c r="IL2" s="47"/>
    </row>
    <row r="3" spans="1:246" s="48" customFormat="1" ht="17.100000000000001" customHeight="1">
      <c r="A3" s="101" t="s">
        <v>681</v>
      </c>
      <c r="B3" s="79"/>
      <c r="D3" s="132"/>
    </row>
    <row r="4" spans="1:246" s="48" customFormat="1" ht="17.100000000000001" customHeight="1">
      <c r="A4" s="273" t="s">
        <v>546</v>
      </c>
      <c r="B4" s="79"/>
      <c r="D4" s="132"/>
    </row>
    <row r="5" spans="1:246" s="48" customFormat="1" ht="17.100000000000001" customHeight="1">
      <c r="A5" s="103" t="s">
        <v>151</v>
      </c>
      <c r="B5" s="51">
        <v>43738</v>
      </c>
      <c r="C5" s="51">
        <v>43465</v>
      </c>
      <c r="D5" s="132"/>
    </row>
    <row r="6" spans="1:246" s="48" customFormat="1" ht="17.100000000000001" customHeight="1">
      <c r="A6" s="101" t="s">
        <v>152</v>
      </c>
      <c r="D6" s="132"/>
    </row>
    <row r="7" spans="1:246" s="48" customFormat="1" ht="17.100000000000001" customHeight="1">
      <c r="A7" s="180" t="s">
        <v>426</v>
      </c>
      <c r="B7" s="134" t="str">
        <f>IF(VLOOKUP(A7,过渡表!$A$3:$R$194,12,0)&lt;&gt;0,VLOOKUP(A7,过渡表!$A$3:$R$194,12,0),"")</f>
        <v/>
      </c>
      <c r="C7" s="134"/>
      <c r="D7" s="132">
        <f>IFERROR(B7/C7-1,0)</f>
        <v>0</v>
      </c>
    </row>
    <row r="8" spans="1:246" s="48" customFormat="1" ht="17.100000000000001" customHeight="1">
      <c r="A8" s="180" t="s">
        <v>427</v>
      </c>
      <c r="B8" s="134" t="str">
        <f>IF(VLOOKUP(A8,过渡表!$A$3:$R$194,12,0)&lt;&gt;0,VLOOKUP(A8,过渡表!$A$3:$R$194,12,0),"")</f>
        <v/>
      </c>
      <c r="C8" s="134"/>
      <c r="D8" s="132">
        <f t="shared" ref="D8:D69" si="0">IFERROR(B8/C8-1,0)</f>
        <v>0</v>
      </c>
      <c r="E8" s="50"/>
    </row>
    <row r="9" spans="1:246" s="48" customFormat="1" ht="24">
      <c r="A9" s="190" t="s">
        <v>506</v>
      </c>
      <c r="B9" s="134" t="str">
        <f>IF(VLOOKUP(A9,过渡表!$A$3:$R$194,12,0)&lt;&gt;0,VLOOKUP(A9,过渡表!$A$3:$R$194,12,0),"")</f>
        <v/>
      </c>
      <c r="C9" s="134"/>
      <c r="D9" s="132">
        <f t="shared" si="0"/>
        <v>0</v>
      </c>
      <c r="E9" s="50"/>
    </row>
    <row r="10" spans="1:246" s="48" customFormat="1" ht="15.6" customHeight="1">
      <c r="A10" s="190" t="s">
        <v>371</v>
      </c>
      <c r="B10" s="134" t="str">
        <f>IF(VLOOKUP(A10,过渡表!$A$3:$R$194,12,0)&lt;&gt;0,VLOOKUP(A10,过渡表!$A$3:$R$194,12,0),"")</f>
        <v/>
      </c>
      <c r="C10" s="134"/>
      <c r="D10" s="132">
        <f t="shared" si="0"/>
        <v>0</v>
      </c>
      <c r="E10" s="50"/>
    </row>
    <row r="11" spans="1:246" s="48" customFormat="1" ht="15.6" customHeight="1">
      <c r="A11" s="190" t="s">
        <v>532</v>
      </c>
      <c r="B11" s="134" t="str">
        <f>IF(VLOOKUP(A11,过渡表!$A$3:$R$194,12,0)&lt;&gt;0,VLOOKUP(A11,过渡表!$A$3:$R$194,12,0),"")</f>
        <v/>
      </c>
      <c r="C11" s="143"/>
      <c r="D11" s="132">
        <f t="shared" si="0"/>
        <v>0</v>
      </c>
    </row>
    <row r="12" spans="1:246" s="48" customFormat="1" ht="15.6" customHeight="1">
      <c r="A12" s="190" t="s">
        <v>507</v>
      </c>
      <c r="B12" s="134" t="str">
        <f>IF(VLOOKUP(A12,过渡表!$A$3:$R$194,12,0)&lt;&gt;0,VLOOKUP(A12,过渡表!$A$3:$R$194,12,0),"")</f>
        <v/>
      </c>
      <c r="C12" s="143"/>
      <c r="D12" s="132">
        <f t="shared" si="0"/>
        <v>0</v>
      </c>
    </row>
    <row r="13" spans="1:246" s="48" customFormat="1" ht="17.100000000000001" customHeight="1">
      <c r="A13" s="180" t="s">
        <v>428</v>
      </c>
      <c r="B13" s="134" t="str">
        <f>IF(VLOOKUP(A13,过渡表!$A$3:$R$194,12,0)&lt;&gt;0,VLOOKUP(A13,过渡表!$A$3:$R$194,12,0),"")</f>
        <v/>
      </c>
      <c r="C13" s="134"/>
      <c r="D13" s="132">
        <f t="shared" si="0"/>
        <v>0</v>
      </c>
      <c r="E13" s="50"/>
      <c r="F13" s="50"/>
    </row>
    <row r="14" spans="1:246" s="48" customFormat="1" ht="17.100000000000001" customHeight="1">
      <c r="A14" s="180" t="s">
        <v>429</v>
      </c>
      <c r="B14" s="134" t="str">
        <f>IF(VLOOKUP(A14,过渡表!$A$3:$R$194,12,0)&lt;&gt;0,VLOOKUP(A14,过渡表!$A$3:$R$194,12,0),"")</f>
        <v/>
      </c>
      <c r="C14" s="134"/>
      <c r="D14" s="132">
        <f t="shared" si="0"/>
        <v>0</v>
      </c>
      <c r="E14" s="50"/>
      <c r="F14" s="50"/>
    </row>
    <row r="15" spans="1:246" s="48" customFormat="1" ht="17.100000000000001" customHeight="1">
      <c r="A15" s="180" t="s">
        <v>430</v>
      </c>
      <c r="B15" s="134" t="str">
        <f>IF(VLOOKUP(A15,过渡表!$A$3:$R$194,12,0)&lt;&gt;0,VLOOKUP(A15,过渡表!$A$3:$R$194,12,0),"")</f>
        <v/>
      </c>
      <c r="C15" s="134"/>
      <c r="D15" s="132">
        <f t="shared" si="0"/>
        <v>0</v>
      </c>
    </row>
    <row r="16" spans="1:246" s="48" customFormat="1" ht="17.100000000000001" customHeight="1">
      <c r="A16" s="180" t="s">
        <v>431</v>
      </c>
      <c r="B16" s="134" t="str">
        <f>IF(VLOOKUP(A16,过渡表!$A$3:$R$194,12,0)&lt;&gt;0,VLOOKUP(A16,过渡表!$A$3:$R$194,12,0),"")</f>
        <v/>
      </c>
      <c r="C16" s="134"/>
      <c r="D16" s="132">
        <f t="shared" si="0"/>
        <v>0</v>
      </c>
    </row>
    <row r="17" spans="1:6" s="48" customFormat="1" ht="17.100000000000001" customHeight="1">
      <c r="A17" s="180" t="s">
        <v>380</v>
      </c>
      <c r="B17" s="134" t="str">
        <f>IF(VLOOKUP(A17,过渡表!$A$3:$R$194,12,0)&lt;&gt;0,VLOOKUP(A17,过渡表!$A$3:$R$194,12,0),"")</f>
        <v/>
      </c>
      <c r="C17" s="134"/>
      <c r="D17" s="132">
        <f t="shared" si="0"/>
        <v>0</v>
      </c>
    </row>
    <row r="18" spans="1:6" s="48" customFormat="1" ht="17.100000000000001" customHeight="1">
      <c r="A18" s="180" t="s">
        <v>423</v>
      </c>
      <c r="B18" s="134" t="str">
        <f>IF(VLOOKUP(A18,过渡表!$A$3:$R$194,12,0)&lt;&gt;0,VLOOKUP(A18,过渡表!$A$3:$R$194,12,0),"")</f>
        <v/>
      </c>
      <c r="C18" s="134"/>
      <c r="D18" s="132">
        <f t="shared" si="0"/>
        <v>0</v>
      </c>
    </row>
    <row r="19" spans="1:6" s="48" customFormat="1" ht="17.100000000000001" customHeight="1">
      <c r="A19" s="180" t="s">
        <v>432</v>
      </c>
      <c r="B19" s="134" t="str">
        <f>IF(VLOOKUP(A19,过渡表!$A$3:$R$194,12,0)&lt;&gt;0,VLOOKUP(A19,过渡表!$A$3:$R$194,12,0),"")</f>
        <v/>
      </c>
      <c r="C19" s="147"/>
      <c r="D19" s="132">
        <f t="shared" si="0"/>
        <v>0</v>
      </c>
    </row>
    <row r="20" spans="1:6" s="48" customFormat="1" ht="17.100000000000001" customHeight="1">
      <c r="A20" s="104" t="s">
        <v>153</v>
      </c>
      <c r="B20" s="145">
        <f>SUM(B7:B19)</f>
        <v>0</v>
      </c>
      <c r="C20" s="145">
        <f>SUM(C7:C19)</f>
        <v>0</v>
      </c>
      <c r="D20" s="132">
        <f t="shared" si="0"/>
        <v>0</v>
      </c>
    </row>
    <row r="21" spans="1:6" s="48" customFormat="1" ht="17.100000000000001" customHeight="1">
      <c r="A21" s="101" t="s">
        <v>154</v>
      </c>
      <c r="B21" s="143"/>
      <c r="C21" s="143"/>
      <c r="D21" s="132">
        <f t="shared" si="0"/>
        <v>0</v>
      </c>
    </row>
    <row r="22" spans="1:6" s="48" customFormat="1" ht="17.100000000000001" customHeight="1">
      <c r="A22" s="180" t="s">
        <v>373</v>
      </c>
      <c r="B22" s="134" t="str">
        <f>IF(VLOOKUP(A22,过渡表!$A$3:$R$194,12,0)&lt;&gt;0,VLOOKUP(A22,过渡表!$A$3:$R$194,12,0),"")</f>
        <v/>
      </c>
      <c r="C22" s="143"/>
      <c r="D22" s="132">
        <f t="shared" si="0"/>
        <v>0</v>
      </c>
    </row>
    <row r="23" spans="1:6" s="48" customFormat="1" ht="17.100000000000001" customHeight="1">
      <c r="A23" s="180" t="s">
        <v>433</v>
      </c>
      <c r="B23" s="134" t="str">
        <f>IF(VLOOKUP(A23,过渡表!$A$3:$R$194,12,0)&lt;&gt;0,VLOOKUP(A23,过渡表!$A$3:$R$194,12,0),"")</f>
        <v/>
      </c>
      <c r="C23" s="143"/>
      <c r="D23" s="132">
        <f t="shared" si="0"/>
        <v>0</v>
      </c>
    </row>
    <row r="24" spans="1:6" s="48" customFormat="1" ht="17.100000000000001" customHeight="1">
      <c r="A24" s="180" t="s">
        <v>434</v>
      </c>
      <c r="B24" s="134" t="str">
        <f>IF(VLOOKUP(A24,过渡表!$A$3:$R$194,12,0)&lt;&gt;0,VLOOKUP(A24,过渡表!$A$3:$R$194,12,0),"")</f>
        <v/>
      </c>
      <c r="C24" s="143"/>
      <c r="D24" s="132">
        <f t="shared" si="0"/>
        <v>0</v>
      </c>
    </row>
    <row r="25" spans="1:6" s="48" customFormat="1" ht="17.100000000000001" customHeight="1">
      <c r="A25" s="180" t="s">
        <v>435</v>
      </c>
      <c r="B25" s="134" t="str">
        <f>IF(VLOOKUP(A25,过渡表!$A$3:$R$194,12,0)&lt;&gt;0,VLOOKUP(A25,过渡表!$A$3:$R$194,12,0),"")</f>
        <v/>
      </c>
      <c r="C25" s="134"/>
      <c r="D25" s="132">
        <f t="shared" si="0"/>
        <v>0</v>
      </c>
    </row>
    <row r="26" spans="1:6" s="48" customFormat="1" ht="17.100000000000001" customHeight="1">
      <c r="A26" s="180" t="s">
        <v>375</v>
      </c>
      <c r="B26" s="134" t="str">
        <f>IF(VLOOKUP(A26,过渡表!$A$3:$R$194,12,0)&lt;&gt;0,VLOOKUP(A26,过渡表!$A$3:$R$194,12,0),"")</f>
        <v/>
      </c>
      <c r="C26" s="134"/>
      <c r="D26" s="132">
        <f t="shared" si="0"/>
        <v>0</v>
      </c>
    </row>
    <row r="27" spans="1:6" s="48" customFormat="1" ht="17.100000000000001" customHeight="1">
      <c r="A27" s="180" t="s">
        <v>376</v>
      </c>
      <c r="B27" s="134" t="str">
        <f>IF(VLOOKUP(A27,过渡表!$A$3:$R$194,12,0)&lt;&gt;0,VLOOKUP(A27,过渡表!$A$3:$R$194,12,0),"")</f>
        <v/>
      </c>
      <c r="C27" s="134"/>
      <c r="D27" s="132">
        <f t="shared" si="0"/>
        <v>0</v>
      </c>
    </row>
    <row r="28" spans="1:6" s="48" customFormat="1" ht="17.100000000000001" customHeight="1">
      <c r="A28" s="180" t="s">
        <v>436</v>
      </c>
      <c r="B28" s="134" t="str">
        <f>IF(VLOOKUP(A28,过渡表!$A$3:$R$194,12,0)&lt;&gt;0,VLOOKUP(A28,过渡表!$A$3:$R$194,12,0),"")</f>
        <v/>
      </c>
      <c r="C28" s="134"/>
      <c r="D28" s="132">
        <f t="shared" si="0"/>
        <v>0</v>
      </c>
    </row>
    <row r="29" spans="1:6" s="48" customFormat="1" ht="17.100000000000001" customHeight="1">
      <c r="A29" s="180" t="s">
        <v>437</v>
      </c>
      <c r="B29" s="134" t="str">
        <f>IF(VLOOKUP(A29,过渡表!$A$3:$R$194,12,0)&lt;&gt;0,VLOOKUP(A29,过渡表!$A$3:$R$194,12,0),"")</f>
        <v/>
      </c>
      <c r="C29" s="134"/>
      <c r="D29" s="132">
        <f t="shared" si="0"/>
        <v>0</v>
      </c>
    </row>
    <row r="30" spans="1:6" s="48" customFormat="1" ht="17.100000000000001" customHeight="1">
      <c r="A30" s="180" t="s">
        <v>438</v>
      </c>
      <c r="B30" s="134" t="str">
        <f>IF(VLOOKUP(A30,过渡表!$A$3:$R$194,12,0)&lt;&gt;0,VLOOKUP(A30,过渡表!$A$3:$R$194,12,0),"")</f>
        <v/>
      </c>
      <c r="C30" s="134"/>
      <c r="D30" s="132">
        <f t="shared" si="0"/>
        <v>0</v>
      </c>
    </row>
    <row r="31" spans="1:6" s="48" customFormat="1" ht="17.100000000000001" customHeight="1">
      <c r="A31" s="180" t="s">
        <v>439</v>
      </c>
      <c r="B31" s="134" t="str">
        <f>IF(VLOOKUP(A31,过渡表!$A$3:$R$194,12,0)&lt;&gt;0,VLOOKUP(A31,过渡表!$A$3:$R$194,12,0),"")</f>
        <v/>
      </c>
      <c r="C31" s="134"/>
      <c r="D31" s="132">
        <f t="shared" si="0"/>
        <v>0</v>
      </c>
    </row>
    <row r="32" spans="1:6" s="48" customFormat="1" ht="17.100000000000001" customHeight="1">
      <c r="A32" s="180" t="s">
        <v>440</v>
      </c>
      <c r="B32" s="134" t="str">
        <f>IF(VLOOKUP(A32,过渡表!$A$3:$R$194,12,0)&lt;&gt;0,VLOOKUP(A32,过渡表!$A$3:$R$194,12,0),"")</f>
        <v/>
      </c>
      <c r="C32" s="134"/>
      <c r="D32" s="132">
        <f t="shared" si="0"/>
        <v>0</v>
      </c>
      <c r="E32" s="50"/>
      <c r="F32" s="50"/>
    </row>
    <row r="33" spans="1:4" s="48" customFormat="1" ht="17.100000000000001" customHeight="1">
      <c r="A33" s="180" t="s">
        <v>441</v>
      </c>
      <c r="B33" s="134" t="str">
        <f>IF(VLOOKUP(A33,过渡表!$A$3:$R$194,12,0)&lt;&gt;0,VLOOKUP(A33,过渡表!$A$3:$R$194,12,0),"")</f>
        <v/>
      </c>
      <c r="C33" s="134"/>
      <c r="D33" s="132">
        <f t="shared" si="0"/>
        <v>0</v>
      </c>
    </row>
    <row r="34" spans="1:4" s="48" customFormat="1" ht="17.100000000000001" customHeight="1">
      <c r="A34" s="180" t="s">
        <v>442</v>
      </c>
      <c r="B34" s="134" t="str">
        <f>IF(VLOOKUP(A34,过渡表!$A$3:$R$194,12,0)&lt;&gt;0,VLOOKUP(A34,过渡表!$A$3:$R$194,12,0),"")</f>
        <v/>
      </c>
      <c r="C34" s="134"/>
      <c r="D34" s="132">
        <f t="shared" si="0"/>
        <v>0</v>
      </c>
    </row>
    <row r="35" spans="1:4" s="48" customFormat="1" ht="17.100000000000001" customHeight="1">
      <c r="A35" s="180" t="s">
        <v>443</v>
      </c>
      <c r="B35" s="134" t="str">
        <f>IF(VLOOKUP(A35,过渡表!$A$3:$R$194,12,0)&lt;&gt;0,VLOOKUP(A35,过渡表!$A$3:$R$194,12,0),"")</f>
        <v/>
      </c>
      <c r="C35" s="134"/>
      <c r="D35" s="132">
        <f t="shared" si="0"/>
        <v>0</v>
      </c>
    </row>
    <row r="36" spans="1:4" s="48" customFormat="1" ht="17.100000000000001" customHeight="1">
      <c r="A36" s="180" t="s">
        <v>444</v>
      </c>
      <c r="B36" s="134" t="str">
        <f>IF(VLOOKUP(A36,过渡表!$A$3:$R$194,12,0)&lt;&gt;0,VLOOKUP(A36,过渡表!$A$3:$R$194,12,0),"")</f>
        <v/>
      </c>
      <c r="C36" s="134"/>
      <c r="D36" s="132">
        <f t="shared" si="0"/>
        <v>0</v>
      </c>
    </row>
    <row r="37" spans="1:4" s="48" customFormat="1" ht="17.100000000000001" customHeight="1">
      <c r="A37" s="180" t="s">
        <v>445</v>
      </c>
      <c r="B37" s="134" t="str">
        <f>IF(VLOOKUP(A37,过渡表!$A$3:$R$194,12,0)&lt;&gt;0,VLOOKUP(A37,过渡表!$A$3:$R$194,12,0),"")</f>
        <v/>
      </c>
      <c r="C37" s="134"/>
      <c r="D37" s="132">
        <f t="shared" si="0"/>
        <v>0</v>
      </c>
    </row>
    <row r="38" spans="1:4" s="48" customFormat="1" ht="17.100000000000001" customHeight="1">
      <c r="A38" s="180" t="s">
        <v>446</v>
      </c>
      <c r="B38" s="134" t="str">
        <f>IF(VLOOKUP(A38,过渡表!$A$3:$R$194,12,0)&lt;&gt;0,VLOOKUP(A38,过渡表!$A$3:$R$194,12,0),"")</f>
        <v/>
      </c>
      <c r="C38" s="147"/>
      <c r="D38" s="132">
        <f t="shared" si="0"/>
        <v>0</v>
      </c>
    </row>
    <row r="39" spans="1:4" s="48" customFormat="1" ht="17.100000000000001" customHeight="1">
      <c r="A39" s="105" t="s">
        <v>155</v>
      </c>
      <c r="B39" s="145">
        <f>SUM(B22:B38)</f>
        <v>0</v>
      </c>
      <c r="C39" s="146">
        <f>SUM(C22:C38)</f>
        <v>0</v>
      </c>
      <c r="D39" s="132">
        <f t="shared" si="0"/>
        <v>0</v>
      </c>
    </row>
    <row r="40" spans="1:4" s="48" customFormat="1" ht="17.100000000000001" customHeight="1" thickBot="1">
      <c r="A40" s="105" t="s">
        <v>156</v>
      </c>
      <c r="B40" s="135">
        <f>B39+B20</f>
        <v>0</v>
      </c>
      <c r="C40" s="135">
        <f>C39+C20</f>
        <v>0</v>
      </c>
      <c r="D40" s="132">
        <f t="shared" si="0"/>
        <v>0</v>
      </c>
    </row>
    <row r="41" spans="1:4" s="48" customFormat="1" ht="17.100000000000001" customHeight="1" thickTop="1">
      <c r="A41" s="106"/>
      <c r="B41" s="81"/>
      <c r="C41" s="63"/>
      <c r="D41" s="132">
        <f t="shared" si="0"/>
        <v>0</v>
      </c>
    </row>
    <row r="42" spans="1:4" s="48" customFormat="1" ht="17.100000000000001" customHeight="1">
      <c r="A42" s="107"/>
      <c r="B42" s="82"/>
      <c r="C42" s="64"/>
      <c r="D42" s="132">
        <f t="shared" si="0"/>
        <v>0</v>
      </c>
    </row>
    <row r="43" spans="1:4" s="48" customFormat="1" ht="17.100000000000001" customHeight="1">
      <c r="A43" s="108">
        <f>合并资产负债表!A45</f>
        <v>0</v>
      </c>
      <c r="B43" s="82"/>
      <c r="D43" s="132">
        <f>IFERROR(#REF!/#REF!-1,0)</f>
        <v>0</v>
      </c>
    </row>
    <row r="44" spans="1:4" s="48" customFormat="1" ht="17.100000000000001" hidden="1" customHeight="1">
      <c r="A44" s="108" t="str">
        <f>合并资产负债表!A46</f>
        <v xml:space="preserve">    企业法定代表人：                              主管会计工作负责人：                              会计机构负责人： </v>
      </c>
      <c r="B44" s="82"/>
      <c r="D44" s="132">
        <f>IFERROR(#REF!/#REF!-1,0)</f>
        <v>0</v>
      </c>
    </row>
    <row r="45" spans="1:4" s="48" customFormat="1" ht="17.100000000000001" customHeight="1">
      <c r="A45" s="323" t="s">
        <v>368</v>
      </c>
      <c r="B45" s="323"/>
      <c r="C45" s="323"/>
      <c r="D45" s="132">
        <f t="shared" si="0"/>
        <v>0</v>
      </c>
    </row>
    <row r="46" spans="1:4" s="48" customFormat="1" ht="15" customHeight="1">
      <c r="A46" s="169"/>
      <c r="B46" s="169"/>
      <c r="C46" s="169"/>
      <c r="D46" s="132">
        <f t="shared" si="0"/>
        <v>0</v>
      </c>
    </row>
    <row r="47" spans="1:4" s="48" customFormat="1" ht="15.6" customHeight="1">
      <c r="A47" s="101" t="str">
        <f>A3</f>
        <v>编制单位：</v>
      </c>
      <c r="B47" s="79"/>
      <c r="D47" s="132">
        <f t="shared" si="0"/>
        <v>0</v>
      </c>
    </row>
    <row r="48" spans="1:4" s="48" customFormat="1" ht="15.6" customHeight="1">
      <c r="A48" s="273" t="s">
        <v>546</v>
      </c>
      <c r="C48" s="57"/>
      <c r="D48" s="132">
        <f t="shared" si="0"/>
        <v>0</v>
      </c>
    </row>
    <row r="49" spans="1:6" s="48" customFormat="1" ht="15.6" customHeight="1">
      <c r="A49" s="103" t="s">
        <v>157</v>
      </c>
      <c r="B49" s="51">
        <f>B5</f>
        <v>43738</v>
      </c>
      <c r="C49" s="51">
        <f>C5</f>
        <v>43465</v>
      </c>
      <c r="D49" s="132">
        <f t="shared" si="0"/>
        <v>6.2809156792822396E-3</v>
      </c>
    </row>
    <row r="50" spans="1:6" s="48" customFormat="1" ht="15.6" customHeight="1">
      <c r="A50" s="101" t="s">
        <v>158</v>
      </c>
      <c r="D50" s="132">
        <f t="shared" si="0"/>
        <v>0</v>
      </c>
    </row>
    <row r="51" spans="1:6" s="48" customFormat="1" ht="15.6" customHeight="1">
      <c r="A51" s="180" t="s">
        <v>459</v>
      </c>
      <c r="B51" s="134" t="str">
        <f>IF(VLOOKUP(A51,过渡表!$A$3:$R$194,12,0)&lt;&gt;0,VLOOKUP(A51,过渡表!$A$3:$R$194,12,0),"")</f>
        <v/>
      </c>
      <c r="C51" s="134"/>
      <c r="D51" s="132">
        <f t="shared" si="0"/>
        <v>0</v>
      </c>
    </row>
    <row r="52" spans="1:6" s="48" customFormat="1" ht="15.6" customHeight="1">
      <c r="A52" s="180" t="s">
        <v>460</v>
      </c>
      <c r="B52" s="134" t="str">
        <f>IF(VLOOKUP(A52,过渡表!$A$3:$R$194,12,0)&lt;&gt;0,VLOOKUP(A52,过渡表!$A$3:$R$194,12,0),"")</f>
        <v/>
      </c>
      <c r="C52" s="134"/>
      <c r="D52" s="132">
        <f t="shared" si="0"/>
        <v>0</v>
      </c>
      <c r="E52" s="50"/>
      <c r="F52" s="50"/>
    </row>
    <row r="53" spans="1:6" s="48" customFormat="1" ht="24">
      <c r="A53" s="190" t="s">
        <v>505</v>
      </c>
      <c r="B53" s="134" t="str">
        <f>IF(VLOOKUP(A53,过渡表!$A$3:$R$194,12,0)&lt;&gt;0,VLOOKUP(A53,过渡表!$A$3:$R$194,12,0),"")</f>
        <v/>
      </c>
      <c r="C53" s="134"/>
      <c r="D53" s="132">
        <f t="shared" si="0"/>
        <v>0</v>
      </c>
      <c r="E53" s="50"/>
      <c r="F53" s="100"/>
    </row>
    <row r="54" spans="1:6" s="48" customFormat="1" ht="15.6" customHeight="1">
      <c r="A54" s="180" t="s">
        <v>461</v>
      </c>
      <c r="B54" s="134" t="str">
        <f>IF(VLOOKUP(A54,过渡表!$A$3:$R$194,12,0)&lt;&gt;0,VLOOKUP(A54,过渡表!$A$3:$R$194,12,0),"")</f>
        <v/>
      </c>
      <c r="C54" s="134"/>
      <c r="D54" s="132">
        <f t="shared" si="0"/>
        <v>0</v>
      </c>
      <c r="E54" s="50"/>
      <c r="F54" s="100"/>
    </row>
    <row r="55" spans="1:6" s="48" customFormat="1" ht="15.6" customHeight="1">
      <c r="A55" s="180" t="s">
        <v>533</v>
      </c>
      <c r="B55" s="134" t="str">
        <f>IF(VLOOKUP(A55,过渡表!$A$3:$R$194,12,0)&lt;&gt;0,VLOOKUP(A55,过渡表!$A$3:$R$194,12,0),"")</f>
        <v/>
      </c>
      <c r="C55" s="134"/>
      <c r="D55" s="132">
        <f t="shared" si="0"/>
        <v>0</v>
      </c>
      <c r="E55" s="50"/>
      <c r="F55" s="100"/>
    </row>
    <row r="56" spans="1:6" s="48" customFormat="1" ht="15.6" customHeight="1">
      <c r="A56" s="180" t="s">
        <v>531</v>
      </c>
      <c r="B56" s="134" t="str">
        <f>IF(VLOOKUP(A56,过渡表!$A$3:$R$194,12,0)&lt;&gt;0,VLOOKUP(A56,过渡表!$A$3:$R$194,12,0),"")</f>
        <v/>
      </c>
      <c r="C56" s="134"/>
      <c r="D56" s="132">
        <f t="shared" si="0"/>
        <v>0</v>
      </c>
    </row>
    <row r="57" spans="1:6" s="48" customFormat="1" ht="15.6" customHeight="1">
      <c r="A57" s="180" t="s">
        <v>462</v>
      </c>
      <c r="B57" s="134" t="str">
        <f>IF(VLOOKUP(A57,过渡表!$A$3:$R$194,12,0)&lt;&gt;0,VLOOKUP(A57,过渡表!$A$3:$R$194,12,0),"")</f>
        <v/>
      </c>
      <c r="C57" s="134"/>
      <c r="D57" s="132">
        <f t="shared" si="0"/>
        <v>0</v>
      </c>
    </row>
    <row r="58" spans="1:6" s="48" customFormat="1" ht="15.6" customHeight="1">
      <c r="A58" s="180" t="s">
        <v>379</v>
      </c>
      <c r="B58" s="134" t="str">
        <f>IF(VLOOKUP(A58,过渡表!$A$3:$R$194,12,0)&lt;&gt;0,VLOOKUP(A58,过渡表!$A$3:$R$194,12,0),"")</f>
        <v/>
      </c>
      <c r="C58" s="134"/>
      <c r="D58" s="132">
        <f t="shared" si="0"/>
        <v>0</v>
      </c>
    </row>
    <row r="59" spans="1:6" s="48" customFormat="1" ht="15.6" customHeight="1">
      <c r="A59" s="180" t="s">
        <v>463</v>
      </c>
      <c r="B59" s="134" t="str">
        <f>IF(VLOOKUP(A59,过渡表!$A$3:$R$194,12,0)&lt;&gt;0,VLOOKUP(A59,过渡表!$A$3:$R$194,12,0),"")</f>
        <v/>
      </c>
      <c r="C59" s="134"/>
      <c r="D59" s="132">
        <f t="shared" si="0"/>
        <v>0</v>
      </c>
    </row>
    <row r="60" spans="1:6" s="48" customFormat="1" ht="15.6" customHeight="1">
      <c r="A60" s="180" t="s">
        <v>464</v>
      </c>
      <c r="B60" s="134" t="str">
        <f>IF(VLOOKUP(A60,过渡表!$A$3:$R$194,12,0)&lt;&gt;0,VLOOKUP(A60,过渡表!$A$3:$R$194,12,0),"")</f>
        <v/>
      </c>
      <c r="C60" s="134"/>
      <c r="D60" s="132">
        <f t="shared" si="0"/>
        <v>0</v>
      </c>
      <c r="E60" s="50"/>
    </row>
    <row r="61" spans="1:6" s="48" customFormat="1" ht="15.6" customHeight="1">
      <c r="A61" s="180" t="s">
        <v>465</v>
      </c>
      <c r="B61" s="134" t="str">
        <f>IF(VLOOKUP(A61,过渡表!$A$3:$R$194,12,0)&lt;&gt;0,VLOOKUP(A61,过渡表!$A$3:$R$194,12,0),"")</f>
        <v/>
      </c>
      <c r="C61" s="134"/>
      <c r="D61" s="132">
        <f t="shared" si="0"/>
        <v>0</v>
      </c>
    </row>
    <row r="62" spans="1:6" s="48" customFormat="1" ht="15.6" customHeight="1">
      <c r="A62" s="180" t="s">
        <v>381</v>
      </c>
      <c r="B62" s="134" t="str">
        <f>IF(VLOOKUP(A62,过渡表!$A$3:$R$194,12,0)&lt;&gt;0,VLOOKUP(A62,过渡表!$A$3:$R$194,12,0),"")</f>
        <v/>
      </c>
      <c r="C62" s="134"/>
      <c r="D62" s="132">
        <f t="shared" si="0"/>
        <v>0</v>
      </c>
    </row>
    <row r="63" spans="1:6" s="48" customFormat="1" ht="15.6" customHeight="1">
      <c r="A63" s="180" t="s">
        <v>466</v>
      </c>
      <c r="B63" s="134" t="str">
        <f>IF(VLOOKUP(A63,过渡表!$A$3:$R$194,12,0)&lt;&gt;0,VLOOKUP(A63,过渡表!$A$3:$R$194,12,0),"")</f>
        <v/>
      </c>
      <c r="C63" s="134"/>
      <c r="D63" s="132">
        <f t="shared" si="0"/>
        <v>0</v>
      </c>
    </row>
    <row r="64" spans="1:6" s="48" customFormat="1" ht="15.6" customHeight="1">
      <c r="A64" s="180" t="s">
        <v>467</v>
      </c>
      <c r="B64" s="134" t="str">
        <f>IF(VLOOKUP(A64,过渡表!$A$3:$R$194,12,0)&lt;&gt;0,VLOOKUP(A64,过渡表!$A$3:$R$194,12,0),"")</f>
        <v/>
      </c>
      <c r="C64" s="147"/>
      <c r="D64" s="132">
        <f t="shared" si="0"/>
        <v>0</v>
      </c>
    </row>
    <row r="65" spans="1:4" s="48" customFormat="1" ht="15.6" customHeight="1">
      <c r="A65" s="105" t="s">
        <v>159</v>
      </c>
      <c r="B65" s="145">
        <f>SUM(B51:B64)</f>
        <v>0</v>
      </c>
      <c r="C65" s="146">
        <f>SUM(C51:C64)</f>
        <v>0</v>
      </c>
      <c r="D65" s="132">
        <f t="shared" si="0"/>
        <v>0</v>
      </c>
    </row>
    <row r="66" spans="1:4" s="48" customFormat="1" ht="15.6" customHeight="1">
      <c r="A66" s="101" t="s">
        <v>160</v>
      </c>
      <c r="B66" s="143"/>
      <c r="C66" s="143"/>
      <c r="D66" s="132">
        <f t="shared" si="0"/>
        <v>0</v>
      </c>
    </row>
    <row r="67" spans="1:4" s="48" customFormat="1" ht="15.6" customHeight="1">
      <c r="A67" s="180" t="s">
        <v>478</v>
      </c>
      <c r="B67" s="134" t="str">
        <f>IF(VLOOKUP(A67,过渡表!$A$3:$R$194,12,0)&lt;&gt;0,VLOOKUP(A67,过渡表!$A$3:$R$194,12,0),"")</f>
        <v/>
      </c>
      <c r="C67" s="143"/>
      <c r="D67" s="132">
        <f t="shared" si="0"/>
        <v>0</v>
      </c>
    </row>
    <row r="68" spans="1:4" s="48" customFormat="1" ht="15.6" customHeight="1">
      <c r="A68" s="180" t="s">
        <v>479</v>
      </c>
      <c r="B68" s="134" t="str">
        <f>IF(VLOOKUP(A68,过渡表!$A$3:$R$194,12,0)&lt;&gt;0,VLOOKUP(A68,过渡表!$A$3:$R$194,12,0),"")</f>
        <v/>
      </c>
      <c r="C68" s="143"/>
      <c r="D68" s="132">
        <f t="shared" si="0"/>
        <v>0</v>
      </c>
    </row>
    <row r="69" spans="1:4" s="48" customFormat="1" ht="15.6" customHeight="1">
      <c r="A69" s="178" t="s">
        <v>406</v>
      </c>
      <c r="B69" s="134" t="str">
        <f>IF(VLOOKUP(A69,过渡表!$A$3:$R$194,12,0)&lt;&gt;0,VLOOKUP(A69,过渡表!$A$3:$R$194,12,0),"")</f>
        <v/>
      </c>
      <c r="C69" s="143"/>
      <c r="D69" s="132">
        <f t="shared" si="0"/>
        <v>0</v>
      </c>
    </row>
    <row r="70" spans="1:4" s="48" customFormat="1" ht="15.6" customHeight="1">
      <c r="A70" s="179" t="s">
        <v>480</v>
      </c>
      <c r="B70" s="134" t="str">
        <f>IF(VLOOKUP(A70,过渡表!$A$3:$R$194,12,0)&lt;&gt;0,VLOOKUP(A70,过渡表!$A$3:$R$194,12,0),"")</f>
        <v/>
      </c>
      <c r="C70" s="143"/>
      <c r="D70" s="132">
        <f t="shared" ref="D70:D89" si="1">IFERROR(B70/C70-1,0)</f>
        <v>0</v>
      </c>
    </row>
    <row r="71" spans="1:4" s="48" customFormat="1" ht="15.6" customHeight="1">
      <c r="A71" s="180" t="s">
        <v>481</v>
      </c>
      <c r="B71" s="134" t="str">
        <f>IF(VLOOKUP(A71,过渡表!$A$3:$R$194,12,0)&lt;&gt;0,VLOOKUP(A71,过渡表!$A$3:$R$194,12,0),"")</f>
        <v/>
      </c>
      <c r="C71" s="134"/>
      <c r="D71" s="132">
        <f t="shared" si="1"/>
        <v>0</v>
      </c>
    </row>
    <row r="72" spans="1:4" s="48" customFormat="1" ht="15.6" customHeight="1">
      <c r="A72" s="180" t="s">
        <v>482</v>
      </c>
      <c r="B72" s="134" t="str">
        <f>IF(VLOOKUP(A72,过渡表!$A$3:$R$194,12,0)&lt;&gt;0,VLOOKUP(A72,过渡表!$A$3:$R$194,12,0),"")</f>
        <v/>
      </c>
      <c r="C72" s="134"/>
      <c r="D72" s="132">
        <f t="shared" si="1"/>
        <v>0</v>
      </c>
    </row>
    <row r="73" spans="1:4" s="48" customFormat="1" ht="15.6" customHeight="1">
      <c r="A73" s="180" t="s">
        <v>382</v>
      </c>
      <c r="B73" s="134" t="str">
        <f>IF(VLOOKUP(A73,过渡表!$A$3:$R$194,12,0)&lt;&gt;0,VLOOKUP(A73,过渡表!$A$3:$R$194,12,0),"")</f>
        <v/>
      </c>
      <c r="C73" s="134"/>
      <c r="D73" s="132">
        <f t="shared" si="1"/>
        <v>0</v>
      </c>
    </row>
    <row r="74" spans="1:4" s="48" customFormat="1" ht="15.6" customHeight="1">
      <c r="A74" s="180" t="s">
        <v>483</v>
      </c>
      <c r="B74" s="134" t="str">
        <f>IF(VLOOKUP(A74,过渡表!$A$3:$R$194,12,0)&lt;&gt;0,VLOOKUP(A74,过渡表!$A$3:$R$194,12,0),"")</f>
        <v/>
      </c>
      <c r="C74" s="134"/>
      <c r="D74" s="132">
        <f t="shared" si="1"/>
        <v>0</v>
      </c>
    </row>
    <row r="75" spans="1:4" s="48" customFormat="1" ht="15.6" customHeight="1">
      <c r="A75" s="180" t="s">
        <v>484</v>
      </c>
      <c r="B75" s="134" t="str">
        <f>IF(VLOOKUP(A75,过渡表!$A$3:$R$194,12,0)&lt;&gt;0,VLOOKUP(A75,过渡表!$A$3:$R$194,12,0),"")</f>
        <v/>
      </c>
      <c r="C75" s="147"/>
      <c r="D75" s="132">
        <f t="shared" si="1"/>
        <v>0</v>
      </c>
    </row>
    <row r="76" spans="1:4" s="48" customFormat="1" ht="15.6" customHeight="1">
      <c r="A76" s="105" t="s">
        <v>161</v>
      </c>
      <c r="B76" s="145">
        <f>SUM(B67:B75)</f>
        <v>0</v>
      </c>
      <c r="C76" s="146">
        <f>SUM(C67:C75)</f>
        <v>0</v>
      </c>
      <c r="D76" s="132">
        <f t="shared" si="1"/>
        <v>0</v>
      </c>
    </row>
    <row r="77" spans="1:4" s="48" customFormat="1" ht="15.6" customHeight="1" thickBot="1">
      <c r="A77" s="105" t="s">
        <v>162</v>
      </c>
      <c r="B77" s="135">
        <f>B76+B65</f>
        <v>0</v>
      </c>
      <c r="C77" s="135">
        <f>C76+C65</f>
        <v>0</v>
      </c>
      <c r="D77" s="132">
        <f t="shared" si="1"/>
        <v>0</v>
      </c>
    </row>
    <row r="78" spans="1:4" s="48" customFormat="1" ht="15.6" customHeight="1" thickTop="1">
      <c r="A78" s="101" t="s">
        <v>163</v>
      </c>
      <c r="B78" s="143"/>
      <c r="C78" s="143"/>
      <c r="D78" s="132">
        <f t="shared" si="1"/>
        <v>0</v>
      </c>
    </row>
    <row r="79" spans="1:4" s="48" customFormat="1" ht="15.6" customHeight="1">
      <c r="A79" s="180" t="s">
        <v>599</v>
      </c>
      <c r="B79" s="134" t="str">
        <f>IF(VLOOKUP(A79,过渡表!$A$3:$R$194,12,0)&lt;&gt;0,VLOOKUP(A79,过渡表!$A$3:$R$194,12,0),"")</f>
        <v/>
      </c>
      <c r="C79" s="134"/>
      <c r="D79" s="132">
        <f t="shared" si="1"/>
        <v>0</v>
      </c>
    </row>
    <row r="80" spans="1:4" s="48" customFormat="1" ht="15.6" customHeight="1">
      <c r="A80" s="180" t="s">
        <v>418</v>
      </c>
      <c r="B80" s="134" t="str">
        <f>IF(VLOOKUP(A80,过渡表!$A$3:$R$194,12,0)&lt;&gt;0,VLOOKUP(A80,过渡表!$A$3:$R$194,12,0),"")</f>
        <v/>
      </c>
      <c r="C80" s="134"/>
      <c r="D80" s="132">
        <f t="shared" si="1"/>
        <v>0</v>
      </c>
    </row>
    <row r="81" spans="1:5" s="48" customFormat="1" ht="15.6" customHeight="1">
      <c r="A81" s="178" t="s">
        <v>406</v>
      </c>
      <c r="B81" s="134" t="str">
        <f>IF(VLOOKUP(A81,过渡表!$A$3:$R$194,12,0)&lt;&gt;0,VLOOKUP(A81,过渡表!$A$3:$R$194,12,0),"")</f>
        <v/>
      </c>
      <c r="C81" s="134"/>
      <c r="D81" s="132">
        <f t="shared" si="1"/>
        <v>0</v>
      </c>
    </row>
    <row r="82" spans="1:5" s="48" customFormat="1" ht="15.6" customHeight="1">
      <c r="A82" s="179" t="s">
        <v>407</v>
      </c>
      <c r="B82" s="134" t="str">
        <f>IF(VLOOKUP(A82,过渡表!$A$3:$R$194,12,0)&lt;&gt;0,VLOOKUP(A82,过渡表!$A$3:$R$194,12,0),"")</f>
        <v/>
      </c>
      <c r="C82" s="134"/>
      <c r="D82" s="132">
        <f t="shared" si="1"/>
        <v>0</v>
      </c>
    </row>
    <row r="83" spans="1:5" s="48" customFormat="1" ht="15.6" customHeight="1">
      <c r="A83" s="180" t="s">
        <v>491</v>
      </c>
      <c r="B83" s="134" t="str">
        <f>IF(VLOOKUP(A83,过渡表!$A$3:$R$194,12,0)&lt;&gt;0,VLOOKUP(A83,过渡表!$A$3:$R$194,12,0),"")</f>
        <v/>
      </c>
      <c r="C83" s="134"/>
      <c r="D83" s="132">
        <f t="shared" si="1"/>
        <v>0</v>
      </c>
    </row>
    <row r="84" spans="1:5" s="48" customFormat="1" ht="15.6" customHeight="1">
      <c r="A84" s="178" t="s">
        <v>492</v>
      </c>
      <c r="B84" s="134" t="str">
        <f>IF(VLOOKUP(A84,过渡表!$A$3:$R$194,12,0)&lt;&gt;0,VLOOKUP(A84,过渡表!$A$3:$R$194,12,0),"")</f>
        <v/>
      </c>
      <c r="C84" s="134"/>
      <c r="D84" s="132">
        <f t="shared" si="1"/>
        <v>0</v>
      </c>
    </row>
    <row r="85" spans="1:5" s="48" customFormat="1" ht="15.6" customHeight="1">
      <c r="A85" s="180" t="s">
        <v>493</v>
      </c>
      <c r="B85" s="134" t="str">
        <f>IF(VLOOKUP(A85,过渡表!$A$3:$R$194,12,0)&lt;&gt;0,VLOOKUP(A85,过渡表!$A$3:$R$194,12,0),"")</f>
        <v/>
      </c>
      <c r="C85" s="134"/>
      <c r="D85" s="132">
        <f t="shared" si="1"/>
        <v>0</v>
      </c>
    </row>
    <row r="86" spans="1:5" s="48" customFormat="1" ht="15.6" customHeight="1">
      <c r="A86" s="180" t="s">
        <v>494</v>
      </c>
      <c r="B86" s="134" t="str">
        <f>IF(VLOOKUP(A86,过渡表!$A$3:$R$194,12,0)&lt;&gt;0,VLOOKUP(A86,过渡表!$A$3:$R$194,12,0),"")</f>
        <v/>
      </c>
      <c r="C86" s="134"/>
      <c r="D86" s="132">
        <f t="shared" si="1"/>
        <v>0</v>
      </c>
    </row>
    <row r="87" spans="1:5" s="48" customFormat="1" ht="15.6" customHeight="1">
      <c r="A87" s="180" t="s">
        <v>495</v>
      </c>
      <c r="B87" s="147" t="str">
        <f>IF(VLOOKUP(A87,过渡表!$A$3:$R$194,12,0)&lt;&gt;0,VLOOKUP(A87,过渡表!$A$3:$R$194,12,0),"")</f>
        <v/>
      </c>
      <c r="C87" s="147"/>
      <c r="D87" s="132">
        <f t="shared" si="1"/>
        <v>0</v>
      </c>
      <c r="E87" s="50"/>
    </row>
    <row r="88" spans="1:5" ht="15.6" customHeight="1">
      <c r="A88" s="105" t="s">
        <v>164</v>
      </c>
      <c r="B88" s="146">
        <f>SUM(B79:B80,B83,B85:B87)-SUM(B84)</f>
        <v>0</v>
      </c>
      <c r="C88" s="146">
        <f>SUM(C79:C80,C83,C85:C87)-SUM(C84)</f>
        <v>0</v>
      </c>
      <c r="D88" s="132">
        <f t="shared" si="1"/>
        <v>0</v>
      </c>
      <c r="E88" s="250"/>
    </row>
    <row r="89" spans="1:5" ht="15.6" customHeight="1" thickBot="1">
      <c r="A89" s="105" t="s">
        <v>165</v>
      </c>
      <c r="B89" s="135">
        <f>B88+B77</f>
        <v>0</v>
      </c>
      <c r="C89" s="135">
        <f>C88+C77</f>
        <v>0</v>
      </c>
      <c r="D89" s="132">
        <f t="shared" si="1"/>
        <v>0</v>
      </c>
    </row>
    <row r="90" spans="1:5" ht="15.6" customHeight="1" thickTop="1">
      <c r="A90" s="106"/>
      <c r="B90" s="81"/>
      <c r="C90" s="63"/>
      <c r="D90" s="132"/>
    </row>
    <row r="91" spans="1:5" ht="15.6" customHeight="1">
      <c r="A91" s="107"/>
      <c r="B91" s="82"/>
      <c r="C91" s="83"/>
      <c r="D91" s="132"/>
    </row>
    <row r="92" spans="1:5" s="48" customFormat="1" ht="17.100000000000001" customHeight="1">
      <c r="A92" s="108">
        <f>A43</f>
        <v>0</v>
      </c>
      <c r="B92" s="82"/>
      <c r="D92" s="132">
        <f>IFERROR(#REF!/#REF!-1,0)</f>
        <v>0</v>
      </c>
    </row>
    <row r="93" spans="1:5" ht="15.6" hidden="1" customHeight="1">
      <c r="A93" s="108" t="str">
        <f>A44</f>
        <v xml:space="preserve">    企业法定代表人：                              主管会计工作负责人：                              会计机构负责人： </v>
      </c>
      <c r="B93" s="82"/>
      <c r="C93" s="84"/>
      <c r="D93" s="132"/>
    </row>
    <row r="94" spans="1:5" ht="17.100000000000001" customHeight="1">
      <c r="A94" s="107"/>
      <c r="B94" s="82"/>
      <c r="C94" s="64"/>
      <c r="D94" s="132"/>
    </row>
    <row r="95" spans="1:5" ht="17.100000000000001" customHeight="1">
      <c r="A95" s="101" t="s">
        <v>310</v>
      </c>
      <c r="B95" s="80">
        <f>B89-B40</f>
        <v>0</v>
      </c>
      <c r="C95" s="80">
        <f>C89-C40</f>
        <v>0</v>
      </c>
      <c r="D95" s="132"/>
    </row>
    <row r="96" spans="1:5" ht="17.100000000000001" customHeight="1">
      <c r="A96" s="101"/>
      <c r="B96" s="95"/>
      <c r="C96" s="57"/>
      <c r="D96" s="132"/>
    </row>
    <row r="97" spans="1:4" ht="17.100000000000001" customHeight="1">
      <c r="A97" s="101"/>
      <c r="B97" s="50"/>
      <c r="C97" s="57"/>
      <c r="D97" s="132"/>
    </row>
    <row r="98" spans="1:4" ht="17.100000000000001" customHeight="1">
      <c r="A98" s="101"/>
      <c r="B98" s="48"/>
      <c r="C98" s="57"/>
      <c r="D98" s="132"/>
    </row>
    <row r="99" spans="1:4" ht="17.100000000000001" customHeight="1">
      <c r="A99" s="101"/>
      <c r="B99" s="48"/>
      <c r="C99" s="57"/>
      <c r="D99" s="132"/>
    </row>
    <row r="100" spans="1:4" ht="17.100000000000001" customHeight="1">
      <c r="A100" s="101"/>
      <c r="B100" s="48"/>
      <c r="C100" s="57"/>
      <c r="D100" s="132"/>
    </row>
    <row r="101" spans="1:4" ht="17.100000000000001" customHeight="1">
      <c r="A101" s="101"/>
      <c r="B101" s="48"/>
      <c r="C101" s="57"/>
      <c r="D101" s="132"/>
    </row>
    <row r="102" spans="1:4" ht="17.100000000000001" customHeight="1">
      <c r="A102" s="101"/>
      <c r="B102" s="48"/>
      <c r="C102" s="57"/>
      <c r="D102" s="132"/>
    </row>
    <row r="103" spans="1:4" ht="17.100000000000001" customHeight="1">
      <c r="A103" s="101"/>
      <c r="B103" s="48"/>
      <c r="C103" s="57"/>
      <c r="D103" s="132"/>
    </row>
    <row r="104" spans="1:4" ht="17.100000000000001" customHeight="1">
      <c r="A104" s="101"/>
      <c r="B104" s="48"/>
      <c r="C104" s="57"/>
      <c r="D104" s="132"/>
    </row>
    <row r="105" spans="1:4" ht="17.100000000000001" customHeight="1">
      <c r="A105" s="101"/>
      <c r="B105" s="48"/>
      <c r="C105" s="57"/>
      <c r="D105" s="132"/>
    </row>
    <row r="106" spans="1:4" ht="17.100000000000001" customHeight="1">
      <c r="A106" s="101"/>
      <c r="B106" s="48"/>
      <c r="C106" s="57"/>
      <c r="D106" s="132"/>
    </row>
    <row r="107" spans="1:4" ht="17.100000000000001" customHeight="1">
      <c r="A107" s="101"/>
      <c r="B107" s="48"/>
      <c r="C107" s="57"/>
      <c r="D107" s="132"/>
    </row>
    <row r="108" spans="1:4" ht="17.100000000000001" customHeight="1">
      <c r="A108" s="101"/>
      <c r="B108" s="48"/>
      <c r="C108" s="57"/>
      <c r="D108" s="132"/>
    </row>
    <row r="109" spans="1:4" ht="17.100000000000001" customHeight="1">
      <c r="A109" s="101"/>
      <c r="B109" s="48"/>
      <c r="C109" s="57"/>
      <c r="D109" s="132"/>
    </row>
    <row r="110" spans="1:4" ht="17.100000000000001" customHeight="1">
      <c r="A110" s="101"/>
      <c r="B110" s="48"/>
      <c r="C110" s="57"/>
      <c r="D110" s="132"/>
    </row>
    <row r="111" spans="1:4" ht="17.100000000000001" customHeight="1">
      <c r="A111" s="101"/>
      <c r="B111" s="48"/>
      <c r="C111" s="57"/>
      <c r="D111" s="132"/>
    </row>
    <row r="112" spans="1:4" ht="17.100000000000001" customHeight="1">
      <c r="A112" s="101"/>
      <c r="B112" s="48"/>
      <c r="C112" s="57"/>
      <c r="D112" s="132"/>
    </row>
    <row r="113" spans="1:4" ht="17.100000000000001" customHeight="1">
      <c r="A113" s="101"/>
      <c r="B113" s="48"/>
      <c r="C113" s="57"/>
      <c r="D113" s="132"/>
    </row>
    <row r="114" spans="1:4" ht="17.100000000000001" customHeight="1">
      <c r="A114" s="101"/>
      <c r="B114" s="48"/>
      <c r="C114" s="57"/>
      <c r="D114" s="132"/>
    </row>
    <row r="115" spans="1:4" ht="17.100000000000001" customHeight="1">
      <c r="A115" s="101"/>
      <c r="B115" s="48"/>
      <c r="C115" s="57"/>
      <c r="D115" s="132"/>
    </row>
    <row r="116" spans="1:4" ht="17.100000000000001" customHeight="1">
      <c r="A116" s="101"/>
      <c r="B116" s="48"/>
      <c r="C116" s="57"/>
      <c r="D116" s="132"/>
    </row>
    <row r="117" spans="1:4" ht="17.100000000000001" customHeight="1">
      <c r="A117" s="101"/>
      <c r="B117" s="48"/>
      <c r="C117" s="57"/>
      <c r="D117" s="132"/>
    </row>
    <row r="118" spans="1:4" ht="17.100000000000001" customHeight="1">
      <c r="A118" s="101"/>
      <c r="B118" s="48"/>
      <c r="C118" s="57"/>
      <c r="D118" s="132"/>
    </row>
    <row r="119" spans="1:4" ht="17.100000000000001" customHeight="1">
      <c r="A119" s="101"/>
      <c r="B119" s="48"/>
      <c r="C119" s="57"/>
      <c r="D119" s="132"/>
    </row>
    <row r="120" spans="1:4" ht="17.100000000000001" customHeight="1">
      <c r="A120" s="101"/>
      <c r="B120" s="48"/>
      <c r="C120" s="57"/>
      <c r="D120" s="132"/>
    </row>
    <row r="121" spans="1:4" ht="17.100000000000001" customHeight="1">
      <c r="A121" s="101"/>
      <c r="B121" s="48"/>
      <c r="C121" s="57"/>
      <c r="D121" s="132"/>
    </row>
    <row r="122" spans="1:4" ht="17.100000000000001" customHeight="1">
      <c r="A122" s="101"/>
      <c r="B122" s="48"/>
      <c r="C122" s="57"/>
      <c r="D122" s="132"/>
    </row>
    <row r="123" spans="1:4" ht="17.100000000000001" customHeight="1">
      <c r="A123" s="101"/>
      <c r="B123" s="48"/>
      <c r="C123" s="57"/>
      <c r="D123" s="132"/>
    </row>
    <row r="124" spans="1:4" ht="17.100000000000001" customHeight="1">
      <c r="A124" s="101"/>
      <c r="B124" s="48"/>
      <c r="C124" s="57"/>
      <c r="D124" s="132"/>
    </row>
    <row r="125" spans="1:4" ht="17.100000000000001" customHeight="1">
      <c r="A125" s="101"/>
      <c r="B125" s="48"/>
      <c r="C125" s="57"/>
      <c r="D125" s="132"/>
    </row>
    <row r="126" spans="1:4" ht="17.100000000000001" customHeight="1">
      <c r="A126" s="101"/>
      <c r="B126" s="48"/>
      <c r="C126" s="57"/>
      <c r="D126" s="132"/>
    </row>
    <row r="127" spans="1:4" ht="17.100000000000001" customHeight="1">
      <c r="A127" s="101"/>
      <c r="B127" s="48"/>
      <c r="C127" s="57"/>
      <c r="D127" s="132"/>
    </row>
  </sheetData>
  <mergeCells count="2">
    <mergeCell ref="A1:C1"/>
    <mergeCell ref="A45:C45"/>
  </mergeCells>
  <phoneticPr fontId="7" type="noConversion"/>
  <pageMargins left="1.0236220472440944" right="0.70866141732283472" top="0.74803149606299213" bottom="0.62992125984251968" header="0.31496062992125984" footer="0.31496062992125984"/>
  <pageSetup paperSize="9" scale="98" orientation="portrait" r:id="rId1"/>
  <rowBreaks count="1" manualBreakCount="1">
    <brk id="44" max="2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J135"/>
  <sheetViews>
    <sheetView zoomScaleNormal="100" zoomScaleSheetLayoutView="100" workbookViewId="0">
      <pane ySplit="5" topLeftCell="A6" activePane="bottomLeft" state="frozen"/>
      <selection pane="bottomLeft" activeCell="B33" sqref="B33"/>
    </sheetView>
  </sheetViews>
  <sheetFormatPr defaultRowHeight="12.75"/>
  <cols>
    <col min="1" max="1" width="45.7109375" style="47" customWidth="1"/>
    <col min="2" max="4" width="25.7109375" style="55" customWidth="1"/>
    <col min="5" max="5" width="11.85546875" style="97" bestFit="1" customWidth="1"/>
    <col min="6" max="6" width="20.7109375" style="55" customWidth="1"/>
    <col min="7" max="7" width="16.85546875" style="47" customWidth="1"/>
    <col min="8" max="8" width="19.7109375" style="47" bestFit="1" customWidth="1"/>
    <col min="9" max="253" width="9.140625" style="47"/>
    <col min="254" max="254" width="33.5703125" style="47" customWidth="1"/>
    <col min="255" max="255" width="31.7109375" style="47" customWidth="1"/>
    <col min="256" max="256" width="0" style="47" hidden="1" customWidth="1"/>
    <col min="257" max="509" width="9.140625" style="47"/>
    <col min="510" max="510" width="33.5703125" style="47" customWidth="1"/>
    <col min="511" max="511" width="31.7109375" style="47" customWidth="1"/>
    <col min="512" max="512" width="0" style="47" hidden="1" customWidth="1"/>
    <col min="513" max="765" width="9.140625" style="47"/>
    <col min="766" max="766" width="33.5703125" style="47" customWidth="1"/>
    <col min="767" max="767" width="31.7109375" style="47" customWidth="1"/>
    <col min="768" max="768" width="0" style="47" hidden="1" customWidth="1"/>
    <col min="769" max="1021" width="9.140625" style="47"/>
    <col min="1022" max="1022" width="33.5703125" style="47" customWidth="1"/>
    <col min="1023" max="1023" width="31.7109375" style="47" customWidth="1"/>
    <col min="1024" max="1024" width="0" style="47" hidden="1" customWidth="1"/>
    <col min="1025" max="1277" width="9.140625" style="47"/>
    <col min="1278" max="1278" width="33.5703125" style="47" customWidth="1"/>
    <col min="1279" max="1279" width="31.7109375" style="47" customWidth="1"/>
    <col min="1280" max="1280" width="0" style="47" hidden="1" customWidth="1"/>
    <col min="1281" max="1533" width="9.140625" style="47"/>
    <col min="1534" max="1534" width="33.5703125" style="47" customWidth="1"/>
    <col min="1535" max="1535" width="31.7109375" style="47" customWidth="1"/>
    <col min="1536" max="1536" width="0" style="47" hidden="1" customWidth="1"/>
    <col min="1537" max="1789" width="9.140625" style="47"/>
    <col min="1790" max="1790" width="33.5703125" style="47" customWidth="1"/>
    <col min="1791" max="1791" width="31.7109375" style="47" customWidth="1"/>
    <col min="1792" max="1792" width="0" style="47" hidden="1" customWidth="1"/>
    <col min="1793" max="2045" width="9.140625" style="47"/>
    <col min="2046" max="2046" width="33.5703125" style="47" customWidth="1"/>
    <col min="2047" max="2047" width="31.7109375" style="47" customWidth="1"/>
    <col min="2048" max="2048" width="0" style="47" hidden="1" customWidth="1"/>
    <col min="2049" max="2301" width="9.140625" style="47"/>
    <col min="2302" max="2302" width="33.5703125" style="47" customWidth="1"/>
    <col min="2303" max="2303" width="31.7109375" style="47" customWidth="1"/>
    <col min="2304" max="2304" width="0" style="47" hidden="1" customWidth="1"/>
    <col min="2305" max="2557" width="9.140625" style="47"/>
    <col min="2558" max="2558" width="33.5703125" style="47" customWidth="1"/>
    <col min="2559" max="2559" width="31.7109375" style="47" customWidth="1"/>
    <col min="2560" max="2560" width="0" style="47" hidden="1" customWidth="1"/>
    <col min="2561" max="2813" width="9.140625" style="47"/>
    <col min="2814" max="2814" width="33.5703125" style="47" customWidth="1"/>
    <col min="2815" max="2815" width="31.7109375" style="47" customWidth="1"/>
    <col min="2816" max="2816" width="0" style="47" hidden="1" customWidth="1"/>
    <col min="2817" max="3069" width="9.140625" style="47"/>
    <col min="3070" max="3070" width="33.5703125" style="47" customWidth="1"/>
    <col min="3071" max="3071" width="31.7109375" style="47" customWidth="1"/>
    <col min="3072" max="3072" width="0" style="47" hidden="1" customWidth="1"/>
    <col min="3073" max="3325" width="9.140625" style="47"/>
    <col min="3326" max="3326" width="33.5703125" style="47" customWidth="1"/>
    <col min="3327" max="3327" width="31.7109375" style="47" customWidth="1"/>
    <col min="3328" max="3328" width="0" style="47" hidden="1" customWidth="1"/>
    <col min="3329" max="3581" width="9.140625" style="47"/>
    <col min="3582" max="3582" width="33.5703125" style="47" customWidth="1"/>
    <col min="3583" max="3583" width="31.7109375" style="47" customWidth="1"/>
    <col min="3584" max="3584" width="0" style="47" hidden="1" customWidth="1"/>
    <col min="3585" max="3837" width="9.140625" style="47"/>
    <col min="3838" max="3838" width="33.5703125" style="47" customWidth="1"/>
    <col min="3839" max="3839" width="31.7109375" style="47" customWidth="1"/>
    <col min="3840" max="3840" width="0" style="47" hidden="1" customWidth="1"/>
    <col min="3841" max="4093" width="9.140625" style="47"/>
    <col min="4094" max="4094" width="33.5703125" style="47" customWidth="1"/>
    <col min="4095" max="4095" width="31.7109375" style="47" customWidth="1"/>
    <col min="4096" max="4096" width="0" style="47" hidden="1" customWidth="1"/>
    <col min="4097" max="4349" width="9.140625" style="47"/>
    <col min="4350" max="4350" width="33.5703125" style="47" customWidth="1"/>
    <col min="4351" max="4351" width="31.7109375" style="47" customWidth="1"/>
    <col min="4352" max="4352" width="0" style="47" hidden="1" customWidth="1"/>
    <col min="4353" max="4605" width="9.140625" style="47"/>
    <col min="4606" max="4606" width="33.5703125" style="47" customWidth="1"/>
    <col min="4607" max="4607" width="31.7109375" style="47" customWidth="1"/>
    <col min="4608" max="4608" width="0" style="47" hidden="1" customWidth="1"/>
    <col min="4609" max="4861" width="9.140625" style="47"/>
    <col min="4862" max="4862" width="33.5703125" style="47" customWidth="1"/>
    <col min="4863" max="4863" width="31.7109375" style="47" customWidth="1"/>
    <col min="4864" max="4864" width="0" style="47" hidden="1" customWidth="1"/>
    <col min="4865" max="5117" width="9.140625" style="47"/>
    <col min="5118" max="5118" width="33.5703125" style="47" customWidth="1"/>
    <col min="5119" max="5119" width="31.7109375" style="47" customWidth="1"/>
    <col min="5120" max="5120" width="0" style="47" hidden="1" customWidth="1"/>
    <col min="5121" max="5373" width="9.140625" style="47"/>
    <col min="5374" max="5374" width="33.5703125" style="47" customWidth="1"/>
    <col min="5375" max="5375" width="31.7109375" style="47" customWidth="1"/>
    <col min="5376" max="5376" width="0" style="47" hidden="1" customWidth="1"/>
    <col min="5377" max="5629" width="9.140625" style="47"/>
    <col min="5630" max="5630" width="33.5703125" style="47" customWidth="1"/>
    <col min="5631" max="5631" width="31.7109375" style="47" customWidth="1"/>
    <col min="5632" max="5632" width="0" style="47" hidden="1" customWidth="1"/>
    <col min="5633" max="5885" width="9.140625" style="47"/>
    <col min="5886" max="5886" width="33.5703125" style="47" customWidth="1"/>
    <col min="5887" max="5887" width="31.7109375" style="47" customWidth="1"/>
    <col min="5888" max="5888" width="0" style="47" hidden="1" customWidth="1"/>
    <col min="5889" max="6141" width="9.140625" style="47"/>
    <col min="6142" max="6142" width="33.5703125" style="47" customWidth="1"/>
    <col min="6143" max="6143" width="31.7109375" style="47" customWidth="1"/>
    <col min="6144" max="6144" width="0" style="47" hidden="1" customWidth="1"/>
    <col min="6145" max="6397" width="9.140625" style="47"/>
    <col min="6398" max="6398" width="33.5703125" style="47" customWidth="1"/>
    <col min="6399" max="6399" width="31.7109375" style="47" customWidth="1"/>
    <col min="6400" max="6400" width="0" style="47" hidden="1" customWidth="1"/>
    <col min="6401" max="6653" width="9.140625" style="47"/>
    <col min="6654" max="6654" width="33.5703125" style="47" customWidth="1"/>
    <col min="6655" max="6655" width="31.7109375" style="47" customWidth="1"/>
    <col min="6656" max="6656" width="0" style="47" hidden="1" customWidth="1"/>
    <col min="6657" max="6909" width="9.140625" style="47"/>
    <col min="6910" max="6910" width="33.5703125" style="47" customWidth="1"/>
    <col min="6911" max="6911" width="31.7109375" style="47" customWidth="1"/>
    <col min="6912" max="6912" width="0" style="47" hidden="1" customWidth="1"/>
    <col min="6913" max="7165" width="9.140625" style="47"/>
    <col min="7166" max="7166" width="33.5703125" style="47" customWidth="1"/>
    <col min="7167" max="7167" width="31.7109375" style="47" customWidth="1"/>
    <col min="7168" max="7168" width="0" style="47" hidden="1" customWidth="1"/>
    <col min="7169" max="7421" width="9.140625" style="47"/>
    <col min="7422" max="7422" width="33.5703125" style="47" customWidth="1"/>
    <col min="7423" max="7423" width="31.7109375" style="47" customWidth="1"/>
    <col min="7424" max="7424" width="0" style="47" hidden="1" customWidth="1"/>
    <col min="7425" max="7677" width="9.140625" style="47"/>
    <col min="7678" max="7678" width="33.5703125" style="47" customWidth="1"/>
    <col min="7679" max="7679" width="31.7109375" style="47" customWidth="1"/>
    <col min="7680" max="7680" width="0" style="47" hidden="1" customWidth="1"/>
    <col min="7681" max="7933" width="9.140625" style="47"/>
    <col min="7934" max="7934" width="33.5703125" style="47" customWidth="1"/>
    <col min="7935" max="7935" width="31.7109375" style="47" customWidth="1"/>
    <col min="7936" max="7936" width="0" style="47" hidden="1" customWidth="1"/>
    <col min="7937" max="8189" width="9.140625" style="47"/>
    <col min="8190" max="8190" width="33.5703125" style="47" customWidth="1"/>
    <col min="8191" max="8191" width="31.7109375" style="47" customWidth="1"/>
    <col min="8192" max="8192" width="0" style="47" hidden="1" customWidth="1"/>
    <col min="8193" max="8445" width="9.140625" style="47"/>
    <col min="8446" max="8446" width="33.5703125" style="47" customWidth="1"/>
    <col min="8447" max="8447" width="31.7109375" style="47" customWidth="1"/>
    <col min="8448" max="8448" width="0" style="47" hidden="1" customWidth="1"/>
    <col min="8449" max="8701" width="9.140625" style="47"/>
    <col min="8702" max="8702" width="33.5703125" style="47" customWidth="1"/>
    <col min="8703" max="8703" width="31.7109375" style="47" customWidth="1"/>
    <col min="8704" max="8704" width="0" style="47" hidden="1" customWidth="1"/>
    <col min="8705" max="8957" width="9.140625" style="47"/>
    <col min="8958" max="8958" width="33.5703125" style="47" customWidth="1"/>
    <col min="8959" max="8959" width="31.7109375" style="47" customWidth="1"/>
    <col min="8960" max="8960" width="0" style="47" hidden="1" customWidth="1"/>
    <col min="8961" max="9213" width="9.140625" style="47"/>
    <col min="9214" max="9214" width="33.5703125" style="47" customWidth="1"/>
    <col min="9215" max="9215" width="31.7109375" style="47" customWidth="1"/>
    <col min="9216" max="9216" width="0" style="47" hidden="1" customWidth="1"/>
    <col min="9217" max="9469" width="9.140625" style="47"/>
    <col min="9470" max="9470" width="33.5703125" style="47" customWidth="1"/>
    <col min="9471" max="9471" width="31.7109375" style="47" customWidth="1"/>
    <col min="9472" max="9472" width="0" style="47" hidden="1" customWidth="1"/>
    <col min="9473" max="9725" width="9.140625" style="47"/>
    <col min="9726" max="9726" width="33.5703125" style="47" customWidth="1"/>
    <col min="9727" max="9727" width="31.7109375" style="47" customWidth="1"/>
    <col min="9728" max="9728" width="0" style="47" hidden="1" customWidth="1"/>
    <col min="9729" max="9981" width="9.140625" style="47"/>
    <col min="9982" max="9982" width="33.5703125" style="47" customWidth="1"/>
    <col min="9983" max="9983" width="31.7109375" style="47" customWidth="1"/>
    <col min="9984" max="9984" width="0" style="47" hidden="1" customWidth="1"/>
    <col min="9985" max="10237" width="9.140625" style="47"/>
    <col min="10238" max="10238" width="33.5703125" style="47" customWidth="1"/>
    <col min="10239" max="10239" width="31.7109375" style="47" customWidth="1"/>
    <col min="10240" max="10240" width="0" style="47" hidden="1" customWidth="1"/>
    <col min="10241" max="10493" width="9.140625" style="47"/>
    <col min="10494" max="10494" width="33.5703125" style="47" customWidth="1"/>
    <col min="10495" max="10495" width="31.7109375" style="47" customWidth="1"/>
    <col min="10496" max="10496" width="0" style="47" hidden="1" customWidth="1"/>
    <col min="10497" max="10749" width="9.140625" style="47"/>
    <col min="10750" max="10750" width="33.5703125" style="47" customWidth="1"/>
    <col min="10751" max="10751" width="31.7109375" style="47" customWidth="1"/>
    <col min="10752" max="10752" width="0" style="47" hidden="1" customWidth="1"/>
    <col min="10753" max="11005" width="9.140625" style="47"/>
    <col min="11006" max="11006" width="33.5703125" style="47" customWidth="1"/>
    <col min="11007" max="11007" width="31.7109375" style="47" customWidth="1"/>
    <col min="11008" max="11008" width="0" style="47" hidden="1" customWidth="1"/>
    <col min="11009" max="11261" width="9.140625" style="47"/>
    <col min="11262" max="11262" width="33.5703125" style="47" customWidth="1"/>
    <col min="11263" max="11263" width="31.7109375" style="47" customWidth="1"/>
    <col min="11264" max="11264" width="0" style="47" hidden="1" customWidth="1"/>
    <col min="11265" max="11517" width="9.140625" style="47"/>
    <col min="11518" max="11518" width="33.5703125" style="47" customWidth="1"/>
    <col min="11519" max="11519" width="31.7109375" style="47" customWidth="1"/>
    <col min="11520" max="11520" width="0" style="47" hidden="1" customWidth="1"/>
    <col min="11521" max="11773" width="9.140625" style="47"/>
    <col min="11774" max="11774" width="33.5703125" style="47" customWidth="1"/>
    <col min="11775" max="11775" width="31.7109375" style="47" customWidth="1"/>
    <col min="11776" max="11776" width="0" style="47" hidden="1" customWidth="1"/>
    <col min="11777" max="12029" width="9.140625" style="47"/>
    <col min="12030" max="12030" width="33.5703125" style="47" customWidth="1"/>
    <col min="12031" max="12031" width="31.7109375" style="47" customWidth="1"/>
    <col min="12032" max="12032" width="0" style="47" hidden="1" customWidth="1"/>
    <col min="12033" max="12285" width="9.140625" style="47"/>
    <col min="12286" max="12286" width="33.5703125" style="47" customWidth="1"/>
    <col min="12287" max="12287" width="31.7109375" style="47" customWidth="1"/>
    <col min="12288" max="12288" width="0" style="47" hidden="1" customWidth="1"/>
    <col min="12289" max="12541" width="9.140625" style="47"/>
    <col min="12542" max="12542" width="33.5703125" style="47" customWidth="1"/>
    <col min="12543" max="12543" width="31.7109375" style="47" customWidth="1"/>
    <col min="12544" max="12544" width="0" style="47" hidden="1" customWidth="1"/>
    <col min="12545" max="12797" width="9.140625" style="47"/>
    <col min="12798" max="12798" width="33.5703125" style="47" customWidth="1"/>
    <col min="12799" max="12799" width="31.7109375" style="47" customWidth="1"/>
    <col min="12800" max="12800" width="0" style="47" hidden="1" customWidth="1"/>
    <col min="12801" max="13053" width="9.140625" style="47"/>
    <col min="13054" max="13054" width="33.5703125" style="47" customWidth="1"/>
    <col min="13055" max="13055" width="31.7109375" style="47" customWidth="1"/>
    <col min="13056" max="13056" width="0" style="47" hidden="1" customWidth="1"/>
    <col min="13057" max="13309" width="9.140625" style="47"/>
    <col min="13310" max="13310" width="33.5703125" style="47" customWidth="1"/>
    <col min="13311" max="13311" width="31.7109375" style="47" customWidth="1"/>
    <col min="13312" max="13312" width="0" style="47" hidden="1" customWidth="1"/>
    <col min="13313" max="13565" width="9.140625" style="47"/>
    <col min="13566" max="13566" width="33.5703125" style="47" customWidth="1"/>
    <col min="13567" max="13567" width="31.7109375" style="47" customWidth="1"/>
    <col min="13568" max="13568" width="0" style="47" hidden="1" customWidth="1"/>
    <col min="13569" max="13821" width="9.140625" style="47"/>
    <col min="13822" max="13822" width="33.5703125" style="47" customWidth="1"/>
    <col min="13823" max="13823" width="31.7109375" style="47" customWidth="1"/>
    <col min="13824" max="13824" width="0" style="47" hidden="1" customWidth="1"/>
    <col min="13825" max="14077" width="9.140625" style="47"/>
    <col min="14078" max="14078" width="33.5703125" style="47" customWidth="1"/>
    <col min="14079" max="14079" width="31.7109375" style="47" customWidth="1"/>
    <col min="14080" max="14080" width="0" style="47" hidden="1" customWidth="1"/>
    <col min="14081" max="14333" width="9.140625" style="47"/>
    <col min="14334" max="14334" width="33.5703125" style="47" customWidth="1"/>
    <col min="14335" max="14335" width="31.7109375" style="47" customWidth="1"/>
    <col min="14336" max="14336" width="0" style="47" hidden="1" customWidth="1"/>
    <col min="14337" max="14589" width="9.140625" style="47"/>
    <col min="14590" max="14590" width="33.5703125" style="47" customWidth="1"/>
    <col min="14591" max="14591" width="31.7109375" style="47" customWidth="1"/>
    <col min="14592" max="14592" width="0" style="47" hidden="1" customWidth="1"/>
    <col min="14593" max="14845" width="9.140625" style="47"/>
    <col min="14846" max="14846" width="33.5703125" style="47" customWidth="1"/>
    <col min="14847" max="14847" width="31.7109375" style="47" customWidth="1"/>
    <col min="14848" max="14848" width="0" style="47" hidden="1" customWidth="1"/>
    <col min="14849" max="15101" width="9.140625" style="47"/>
    <col min="15102" max="15102" width="33.5703125" style="47" customWidth="1"/>
    <col min="15103" max="15103" width="31.7109375" style="47" customWidth="1"/>
    <col min="15104" max="15104" width="0" style="47" hidden="1" customWidth="1"/>
    <col min="15105" max="15357" width="9.140625" style="47"/>
    <col min="15358" max="15358" width="33.5703125" style="47" customWidth="1"/>
    <col min="15359" max="15359" width="31.7109375" style="47" customWidth="1"/>
    <col min="15360" max="15360" width="0" style="47" hidden="1" customWidth="1"/>
    <col min="15361" max="15613" width="9.140625" style="47"/>
    <col min="15614" max="15614" width="33.5703125" style="47" customWidth="1"/>
    <col min="15615" max="15615" width="31.7109375" style="47" customWidth="1"/>
    <col min="15616" max="15616" width="0" style="47" hidden="1" customWidth="1"/>
    <col min="15617" max="15869" width="9.140625" style="47"/>
    <col min="15870" max="15870" width="33.5703125" style="47" customWidth="1"/>
    <col min="15871" max="15871" width="31.7109375" style="47" customWidth="1"/>
    <col min="15872" max="15872" width="0" style="47" hidden="1" customWidth="1"/>
    <col min="15873" max="16125" width="9.140625" style="47"/>
    <col min="16126" max="16126" width="33.5703125" style="47" customWidth="1"/>
    <col min="16127" max="16127" width="31.7109375" style="47" customWidth="1"/>
    <col min="16128" max="16128" width="0" style="47" hidden="1" customWidth="1"/>
    <col min="16129" max="16384" width="9.140625" style="47"/>
  </cols>
  <sheetData>
    <row r="1" spans="1:10" s="57" customFormat="1" ht="21.75" customHeight="1">
      <c r="A1" s="324" t="s">
        <v>369</v>
      </c>
      <c r="B1" s="324"/>
      <c r="C1" s="324"/>
      <c r="D1" s="324"/>
      <c r="E1" s="97"/>
      <c r="F1" s="56"/>
    </row>
    <row r="2" spans="1:10" s="57" customFormat="1" ht="15" customHeight="1">
      <c r="A2" s="272"/>
      <c r="B2" s="272"/>
      <c r="C2" s="272"/>
      <c r="D2" s="272"/>
      <c r="E2" s="97"/>
      <c r="F2" s="56"/>
    </row>
    <row r="3" spans="1:10" s="57" customFormat="1" ht="16.5" customHeight="1">
      <c r="A3" s="48" t="str">
        <f>合并资产负债表!A3</f>
        <v>编制单位：</v>
      </c>
      <c r="B3" s="56"/>
      <c r="C3" s="56"/>
      <c r="E3" s="85"/>
      <c r="F3" s="56"/>
    </row>
    <row r="4" spans="1:10" s="57" customFormat="1" ht="16.5" customHeight="1">
      <c r="A4" s="273" t="s">
        <v>546</v>
      </c>
      <c r="B4" s="56"/>
      <c r="C4" s="56"/>
      <c r="D4" s="56"/>
      <c r="E4" s="85"/>
      <c r="F4" s="56"/>
    </row>
    <row r="5" spans="1:10" s="57" customFormat="1" ht="16.5" customHeight="1">
      <c r="A5" s="58" t="s">
        <v>166</v>
      </c>
      <c r="B5" s="68" t="s">
        <v>636</v>
      </c>
      <c r="C5" s="68" t="s">
        <v>637</v>
      </c>
      <c r="D5" s="68" t="s">
        <v>638</v>
      </c>
      <c r="E5" s="98" t="s">
        <v>305</v>
      </c>
      <c r="F5" s="56"/>
      <c r="G5" s="102"/>
      <c r="H5" s="80"/>
      <c r="I5" s="102"/>
      <c r="J5" s="102"/>
    </row>
    <row r="6" spans="1:10" s="57" customFormat="1" ht="16.5" customHeight="1">
      <c r="A6" s="60" t="s">
        <v>337</v>
      </c>
      <c r="B6" s="314" t="str">
        <f>IF(VLOOKUP(A6,过渡表!$A$3:$R$194,12,0)&lt;&gt;0,VLOOKUP(A6,过渡表!$A$3:$R$194,12,0),"")</f>
        <v/>
      </c>
      <c r="C6" s="284" t="str">
        <f>IF(VLOOKUP(A6,过渡表!$A$3:$V$194,22,0)&lt;&gt;0,VLOOKUP(A6,过渡表!$A$3:$V$194,22,0),"")</f>
        <v/>
      </c>
      <c r="D6" s="284"/>
      <c r="E6" s="61"/>
      <c r="F6" s="56"/>
      <c r="G6" s="102"/>
      <c r="H6" s="80"/>
      <c r="I6" s="102"/>
      <c r="J6" s="102"/>
    </row>
    <row r="7" spans="1:10" s="57" customFormat="1" ht="16.5" hidden="1" customHeight="1">
      <c r="A7" s="60" t="s">
        <v>509</v>
      </c>
      <c r="B7" s="314" t="e">
        <f>IF(VLOOKUP(A7,过渡表!$A$3:$R$194,12,0)&lt;&gt;0,VLOOKUP(A7,过渡表!$A$3:$R$194,12,0),"")</f>
        <v>#N/A</v>
      </c>
      <c r="C7" s="184">
        <f>SUM(C8:C13)</f>
        <v>0</v>
      </c>
      <c r="D7" s="184"/>
      <c r="E7" s="61"/>
      <c r="F7" s="56"/>
      <c r="G7" s="102"/>
      <c r="H7" s="80"/>
      <c r="I7" s="102"/>
      <c r="J7" s="102"/>
    </row>
    <row r="8" spans="1:10" s="57" customFormat="1" ht="16.5" customHeight="1">
      <c r="A8" s="172" t="s">
        <v>399</v>
      </c>
      <c r="B8" s="314" t="str">
        <f>IF(VLOOKUP(A8,过渡表!$A$3:$R$194,12,0)&lt;&gt;0,VLOOKUP(A8,过渡表!$A$3:$R$194,12,0),"")</f>
        <v/>
      </c>
      <c r="C8" s="134" t="str">
        <f>IF(VLOOKUP(A8,过渡表!$A$3:$V$194,22,0)&lt;&gt;0,VLOOKUP(A8,过渡表!$A$3:$V$194,22,0),"")</f>
        <v/>
      </c>
      <c r="D8" s="136"/>
      <c r="E8" s="85">
        <f>IFERROR((B8-D8)/D8,0)</f>
        <v>0</v>
      </c>
      <c r="F8" s="56"/>
      <c r="G8" s="102"/>
      <c r="H8" s="80"/>
      <c r="I8" s="102"/>
      <c r="J8" s="102"/>
    </row>
    <row r="9" spans="1:10" s="57" customFormat="1" ht="16.5" customHeight="1">
      <c r="A9" s="173" t="s">
        <v>390</v>
      </c>
      <c r="B9" s="314" t="str">
        <f>IF(VLOOKUP(A9,过渡表!$A$3:$R$194,12,0)&lt;&gt;0,VLOOKUP(A9,过渡表!$A$3:$R$194,12,0),"")</f>
        <v/>
      </c>
      <c r="C9" s="134" t="str">
        <f>IF(VLOOKUP(A9,过渡表!$A$3:$V$194,22,0)&lt;&gt;0,VLOOKUP(A9,过渡表!$A$3:$V$194,22,0),"")</f>
        <v/>
      </c>
      <c r="D9" s="136"/>
      <c r="E9" s="85">
        <f t="shared" ref="E9:E35" si="0">IFERROR((B9-D9)/D9,0)</f>
        <v>0</v>
      </c>
      <c r="F9" s="65"/>
      <c r="G9" s="102"/>
      <c r="H9" s="80"/>
      <c r="I9" s="102"/>
      <c r="J9" s="102"/>
    </row>
    <row r="10" spans="1:10" s="57" customFormat="1" ht="16.5" customHeight="1">
      <c r="A10" s="173" t="s">
        <v>397</v>
      </c>
      <c r="B10" s="314" t="str">
        <f>IF(VLOOKUP(A10,过渡表!$A$3:$R$194,12,0)&lt;&gt;0,VLOOKUP(A10,过渡表!$A$3:$R$194,12,0),"")</f>
        <v/>
      </c>
      <c r="C10" s="134" t="str">
        <f>IF(VLOOKUP(A10,过渡表!$A$3:$V$194,22,0)&lt;&gt;0,VLOOKUP(A10,过渡表!$A$3:$V$194,22,0),"")</f>
        <v/>
      </c>
      <c r="D10" s="134"/>
      <c r="E10" s="85">
        <f t="shared" si="0"/>
        <v>0</v>
      </c>
      <c r="F10" s="65"/>
      <c r="G10" s="102"/>
      <c r="H10" s="80"/>
      <c r="I10" s="102"/>
      <c r="J10" s="102"/>
    </row>
    <row r="11" spans="1:10" s="57" customFormat="1" ht="16.5" customHeight="1">
      <c r="A11" s="173" t="s">
        <v>398</v>
      </c>
      <c r="B11" s="314" t="str">
        <f>IF(VLOOKUP(A11,过渡表!$A$3:$R$194,12,0)&lt;&gt;0,VLOOKUP(A11,过渡表!$A$3:$R$194,12,0),"")</f>
        <v/>
      </c>
      <c r="C11" s="134" t="str">
        <f>IF(VLOOKUP(A11,过渡表!$A$3:$V$194,22,0)&lt;&gt;0,VLOOKUP(A11,过渡表!$A$3:$V$194,22,0),"")</f>
        <v/>
      </c>
      <c r="D11" s="140"/>
      <c r="E11" s="85">
        <f t="shared" si="0"/>
        <v>0</v>
      </c>
      <c r="F11" s="65"/>
      <c r="G11" s="102"/>
      <c r="H11" s="80"/>
      <c r="I11" s="102"/>
      <c r="J11" s="102"/>
    </row>
    <row r="12" spans="1:10" s="57" customFormat="1" ht="16.5" customHeight="1">
      <c r="A12" s="173" t="s">
        <v>400</v>
      </c>
      <c r="B12" s="314" t="str">
        <f>IF(VLOOKUP(A12,过渡表!$A$3:$R$194,12,0)&lt;&gt;0,VLOOKUP(A12,过渡表!$A$3:$R$194,12,0),"")</f>
        <v/>
      </c>
      <c r="C12" s="134" t="str">
        <f>IF(VLOOKUP(A12,过渡表!$A$3:$V$194,22,0)&lt;&gt;0,VLOOKUP(A12,过渡表!$A$3:$V$194,22,0),"")</f>
        <v/>
      </c>
      <c r="D12" s="140"/>
      <c r="E12" s="85">
        <f t="shared" si="0"/>
        <v>0</v>
      </c>
      <c r="F12" s="65"/>
      <c r="G12" s="102"/>
      <c r="H12" s="80"/>
      <c r="I12" s="102"/>
      <c r="J12" s="102"/>
    </row>
    <row r="13" spans="1:10" s="57" customFormat="1" ht="16.5" customHeight="1">
      <c r="A13" s="173" t="s">
        <v>401</v>
      </c>
      <c r="B13" s="314" t="str">
        <f>IF(VLOOKUP(A13,过渡表!$A$3:$R$194,12,0)&lt;&gt;0,VLOOKUP(A13,过渡表!$A$3:$R$194,12,0),"")</f>
        <v/>
      </c>
      <c r="C13" s="134" t="str">
        <f>IF(VLOOKUP(A13,过渡表!$A$3:$V$194,22,0)&lt;&gt;0,VLOOKUP(A13,过渡表!$A$3:$V$194,22,0),"")</f>
        <v/>
      </c>
      <c r="D13" s="140"/>
      <c r="E13" s="85">
        <f t="shared" si="0"/>
        <v>0</v>
      </c>
      <c r="F13" s="130"/>
      <c r="G13" s="102"/>
      <c r="H13" s="80"/>
      <c r="I13" s="102"/>
      <c r="J13" s="102"/>
    </row>
    <row r="14" spans="1:10" s="57" customFormat="1" ht="16.5" customHeight="1">
      <c r="A14" s="174" t="s">
        <v>402</v>
      </c>
      <c r="B14" s="314" t="str">
        <f>IF(VLOOKUP(A14,过渡表!$A$3:$R$194,12,0)&lt;&gt;0,VLOOKUP(A14,过渡表!$A$3:$R$194,12,0),"")</f>
        <v/>
      </c>
      <c r="C14" s="134" t="str">
        <f>IF(VLOOKUP(A14,过渡表!$A$3:$V$194,22,0)&lt;&gt;0,VLOOKUP(A14,过渡表!$A$3:$V$194,22,0),"")</f>
        <v/>
      </c>
      <c r="D14" s="134"/>
      <c r="E14" s="85">
        <f t="shared" si="0"/>
        <v>0</v>
      </c>
      <c r="F14" s="65"/>
      <c r="G14" s="102"/>
      <c r="H14" s="80"/>
      <c r="I14" s="102"/>
      <c r="J14" s="102"/>
    </row>
    <row r="15" spans="1:10" s="57" customFormat="1" ht="16.5" customHeight="1">
      <c r="A15" s="175" t="s">
        <v>403</v>
      </c>
      <c r="B15" s="314" t="str">
        <f>IF(VLOOKUP(A15,过渡表!$A$3:$R$194,12,0)&lt;&gt;0,VLOOKUP(A15,过渡表!$A$3:$R$194,12,0),"")</f>
        <v/>
      </c>
      <c r="C15" s="134" t="str">
        <f>IF(VLOOKUP(A15,过渡表!$A$3:$V$194,22,0)&lt;&gt;0,VLOOKUP(A15,过渡表!$A$3:$V$194,22,0),"")</f>
        <v/>
      </c>
      <c r="D15" s="140"/>
      <c r="E15" s="85">
        <f t="shared" si="0"/>
        <v>0</v>
      </c>
      <c r="F15" s="65"/>
      <c r="G15" s="102"/>
      <c r="H15" s="80"/>
      <c r="I15" s="102"/>
      <c r="J15" s="102"/>
    </row>
    <row r="16" spans="1:10" s="57" customFormat="1" ht="16.5" customHeight="1">
      <c r="A16" s="172" t="s">
        <v>412</v>
      </c>
      <c r="B16" s="314" t="str">
        <f>IF(VLOOKUP(A16,过渡表!$A$3:$R$194,12,0)&lt;&gt;0,VLOOKUP(A16,过渡表!$A$3:$R$194,12,0),"")</f>
        <v/>
      </c>
      <c r="C16" s="134" t="str">
        <f>IF(VLOOKUP(A16,过渡表!$A$3:$V$194,22,0)&lt;&gt;0,VLOOKUP(A16,过渡表!$A$3:$V$194,22,0),"")</f>
        <v/>
      </c>
      <c r="D16" s="134"/>
      <c r="E16" s="85">
        <f t="shared" si="0"/>
        <v>0</v>
      </c>
      <c r="F16" s="130"/>
      <c r="G16" s="102"/>
      <c r="H16" s="80"/>
      <c r="I16" s="102"/>
      <c r="J16" s="102"/>
    </row>
    <row r="17" spans="1:10" s="57" customFormat="1" ht="16.5" customHeight="1">
      <c r="A17" s="173" t="s">
        <v>651</v>
      </c>
      <c r="B17" s="314" t="str">
        <f>IF(VLOOKUP(A17,过渡表!$A$3:$R$194,12,0)&lt;&gt;0,VLOOKUP(A17,过渡表!$A$3:$R$194,12,0),"")</f>
        <v/>
      </c>
      <c r="C17" s="134" t="str">
        <f>IF(VLOOKUP(A17,过渡表!$A$3:$V$194,22,0)&lt;&gt;0,VLOOKUP(A17,过渡表!$A$3:$V$194,22,0),"")</f>
        <v/>
      </c>
      <c r="D17" s="134"/>
      <c r="E17" s="85">
        <f t="shared" si="0"/>
        <v>0</v>
      </c>
      <c r="F17" s="130"/>
      <c r="G17" s="102"/>
      <c r="H17" s="80"/>
      <c r="I17" s="102"/>
      <c r="J17" s="102"/>
    </row>
    <row r="18" spans="1:10" s="57" customFormat="1" ht="16.5" customHeight="1">
      <c r="A18" s="174" t="s">
        <v>413</v>
      </c>
      <c r="B18" s="314" t="str">
        <f>IF(VLOOKUP(A18,过渡表!$A$3:$R$194,12,0)&lt;&gt;0,VLOOKUP(A18,过渡表!$A$3:$R$194,12,0),"")</f>
        <v/>
      </c>
      <c r="C18" s="134" t="str">
        <f>IF(VLOOKUP(A18,过渡表!$A$3:$V$194,22,0)&lt;&gt;0,VLOOKUP(A18,过渡表!$A$3:$V$194,22,0),"")</f>
        <v/>
      </c>
      <c r="D18" s="134"/>
      <c r="E18" s="85">
        <f t="shared" si="0"/>
        <v>0</v>
      </c>
      <c r="F18" s="130"/>
      <c r="G18" s="102"/>
      <c r="H18" s="80"/>
      <c r="I18" s="102"/>
      <c r="J18" s="102"/>
    </row>
    <row r="19" spans="1:10" s="57" customFormat="1" ht="27" customHeight="1">
      <c r="A19" s="266" t="s">
        <v>652</v>
      </c>
      <c r="B19" s="314" t="str">
        <f>IF(VLOOKUP(A19,过渡表!$A$3:$R$194,12,0)&lt;&gt;0,VLOOKUP(A19,过渡表!$A$3:$R$194,12,0),"")</f>
        <v/>
      </c>
      <c r="C19" s="134" t="str">
        <f>IF(VLOOKUP(A19,过渡表!$A$3:$V$194,22,0)&lt;&gt;0,VLOOKUP(A19,过渡表!$A$3:$V$194,22,0),"")</f>
        <v/>
      </c>
      <c r="D19" s="134"/>
      <c r="E19" s="85"/>
      <c r="F19" s="80"/>
      <c r="G19" s="267"/>
    </row>
    <row r="20" spans="1:10" s="57" customFormat="1" ht="16.5" customHeight="1">
      <c r="A20" s="173" t="s">
        <v>650</v>
      </c>
      <c r="B20" s="314" t="str">
        <f>IF(VLOOKUP(A20,过渡表!$A$3:$R$194,12,0)&lt;&gt;0,VLOOKUP(A20,过渡表!$A$3:$R$194,12,0),"")</f>
        <v/>
      </c>
      <c r="C20" s="134" t="str">
        <f>IF(VLOOKUP(A20,过渡表!$A$3:$V$194,22,0)&lt;&gt;0,VLOOKUP(A20,过渡表!$A$3:$V$194,22,0),"")</f>
        <v/>
      </c>
      <c r="D20" s="134"/>
      <c r="E20" s="85"/>
      <c r="F20" s="80"/>
      <c r="G20" s="267"/>
    </row>
    <row r="21" spans="1:10" s="57" customFormat="1" ht="16.5" customHeight="1">
      <c r="A21" s="173" t="s">
        <v>414</v>
      </c>
      <c r="B21" s="314" t="str">
        <f>IF(VLOOKUP(A21,过渡表!$A$3:$R$194,12,0)&lt;&gt;0,VLOOKUP(A21,过渡表!$A$3:$R$194,12,0),"")</f>
        <v/>
      </c>
      <c r="C21" s="134" t="str">
        <f>IF(VLOOKUP(A21,过渡表!$A$3:$V$194,22,0)&lt;&gt;0,VLOOKUP(A21,过渡表!$A$3:$V$194,22,0),"")</f>
        <v/>
      </c>
      <c r="D21" s="134"/>
      <c r="E21" s="85">
        <f t="shared" si="0"/>
        <v>0</v>
      </c>
      <c r="F21" s="65"/>
      <c r="G21" s="102"/>
      <c r="H21" s="80"/>
      <c r="I21" s="102"/>
      <c r="J21" s="102"/>
    </row>
    <row r="22" spans="1:10" s="57" customFormat="1" ht="16.5" customHeight="1">
      <c r="A22" s="173" t="s">
        <v>653</v>
      </c>
      <c r="B22" s="314" t="str">
        <f>IF(VLOOKUP(A22,过渡表!$A$3:$R$194,12,0)&lt;&gt;0,VLOOKUP(A22,过渡表!$A$3:$R$194,12,0),"")</f>
        <v/>
      </c>
      <c r="C22" s="134" t="str">
        <f>IF(VLOOKUP(A22,过渡表!$A$3:$V$194,22,0)&lt;&gt;0,VLOOKUP(A22,过渡表!$A$3:$V$194,22,0),"")</f>
        <v/>
      </c>
      <c r="D22" s="134"/>
      <c r="E22" s="85">
        <f t="shared" si="0"/>
        <v>0</v>
      </c>
      <c r="F22" s="65"/>
      <c r="G22" s="102"/>
      <c r="H22" s="80"/>
      <c r="I22" s="102"/>
      <c r="J22" s="102"/>
    </row>
    <row r="23" spans="1:10" s="57" customFormat="1" ht="16.5" customHeight="1">
      <c r="A23" s="173" t="s">
        <v>654</v>
      </c>
      <c r="B23" s="314" t="str">
        <f>IF(VLOOKUP(A23,过渡表!$A$3:$R$194,12,0)&lt;&gt;0,VLOOKUP(A23,过渡表!$A$3:$R$194,12,0),"")</f>
        <v/>
      </c>
      <c r="C23" s="134" t="str">
        <f>IF(VLOOKUP(A23,过渡表!$A$3:$V$194,22,0)&lt;&gt;0,VLOOKUP(A23,过渡表!$A$3:$V$194,22,0),"")</f>
        <v/>
      </c>
      <c r="D23" s="134"/>
      <c r="E23" s="85">
        <f>IFERROR((B23-D23)/D23,0)</f>
        <v>0</v>
      </c>
      <c r="F23" s="130"/>
      <c r="G23" s="102"/>
      <c r="H23" s="80"/>
      <c r="I23" s="102"/>
      <c r="J23" s="102"/>
    </row>
    <row r="24" spans="1:10" s="57" customFormat="1" ht="16.5" customHeight="1">
      <c r="A24" s="173" t="s">
        <v>655</v>
      </c>
      <c r="B24" s="314" t="str">
        <f>IF(VLOOKUP(A24,过渡表!$A$3:$R$194,12,0)&lt;&gt;0,VLOOKUP(A24,过渡表!$A$3:$R$194,12,0),"")</f>
        <v/>
      </c>
      <c r="C24" s="134" t="str">
        <f>IF(VLOOKUP(A24,过渡表!$A$3:$V$194,22,0)&lt;&gt;0,VLOOKUP(A24,过渡表!$A$3:$V$194,22,0),"")</f>
        <v/>
      </c>
      <c r="D24" s="220"/>
      <c r="E24" s="85">
        <f>IFERROR((B24-D24)/D24,0)</f>
        <v>0</v>
      </c>
      <c r="F24" s="130"/>
      <c r="G24" s="102"/>
      <c r="H24" s="80"/>
      <c r="I24" s="102"/>
      <c r="J24" s="102"/>
    </row>
    <row r="25" spans="1:10" s="57" customFormat="1" ht="16.5" customHeight="1">
      <c r="A25" s="173" t="s">
        <v>415</v>
      </c>
      <c r="B25" s="314" t="str">
        <f>IF(VLOOKUP(A25,过渡表!$A$3:$R$194,12,0)&lt;&gt;0,VLOOKUP(A25,过渡表!$A$3:$R$194,12,0),"")</f>
        <v/>
      </c>
      <c r="C25" s="134" t="str">
        <f>IF(VLOOKUP(A25,过渡表!$A$3:$V$194,22,0)&lt;&gt;0,VLOOKUP(A25,过渡表!$A$3:$V$194,22,0),"")</f>
        <v/>
      </c>
      <c r="D25" s="136"/>
      <c r="E25" s="85">
        <f t="shared" si="0"/>
        <v>0</v>
      </c>
      <c r="F25" s="65"/>
      <c r="G25" s="110"/>
      <c r="H25" s="80"/>
      <c r="I25" s="102"/>
      <c r="J25" s="102"/>
    </row>
    <row r="26" spans="1:10" s="57" customFormat="1" ht="16.5" customHeight="1">
      <c r="A26" s="60" t="s">
        <v>351</v>
      </c>
      <c r="B26" s="184">
        <f>ROUND(SUM(B6)-SUM(B8:B13)+SUM(B16:B17,B20:B25),2)</f>
        <v>0</v>
      </c>
      <c r="C26" s="184">
        <f>ROUND(SUM(C6)-SUM(C8:C13)+SUM(C16:C17,C20:C25),2)</f>
        <v>0</v>
      </c>
      <c r="D26" s="184">
        <f>ROUND(SUM(D6)-SUM(D8:D13)+SUM(D16:D17,D20:D25),2)</f>
        <v>0</v>
      </c>
      <c r="E26" s="85">
        <f t="shared" si="0"/>
        <v>0</v>
      </c>
      <c r="F26" s="131"/>
      <c r="H26" s="80"/>
      <c r="I26" s="102"/>
      <c r="J26" s="102"/>
    </row>
    <row r="27" spans="1:10" s="57" customFormat="1" ht="16.5" customHeight="1">
      <c r="A27" s="101" t="s">
        <v>416</v>
      </c>
      <c r="B27" s="134" t="str">
        <f>IF(VLOOKUP(A27,过渡表!$A$3:$R$194,12,0)&lt;&gt;0,VLOOKUP(A27,过渡表!$A$3:$R$194,12,0),"")</f>
        <v/>
      </c>
      <c r="C27" s="134" t="str">
        <f>IF(VLOOKUP(A27,过渡表!$A$3:$V$194,22,0)&lt;&gt;0,VLOOKUP(A27,过渡表!$A$3:$V$194,22,0),"")</f>
        <v/>
      </c>
      <c r="D27" s="134"/>
      <c r="E27" s="85">
        <f t="shared" si="0"/>
        <v>0</v>
      </c>
      <c r="F27" s="65"/>
      <c r="H27" s="80"/>
      <c r="I27" s="102"/>
      <c r="J27" s="102"/>
    </row>
    <row r="28" spans="1:10" s="57" customFormat="1" ht="16.5" customHeight="1">
      <c r="A28" s="101" t="s">
        <v>417</v>
      </c>
      <c r="B28" s="134" t="str">
        <f>IF(VLOOKUP(A28,过渡表!$A$3:$R$194,12,0)&lt;&gt;0,VLOOKUP(A28,过渡表!$A$3:$R$194,12,0),"")</f>
        <v/>
      </c>
      <c r="C28" s="134" t="str">
        <f>IF(VLOOKUP(A28,过渡表!$A$3:$V$194,22,0)&lt;&gt;0,VLOOKUP(A28,过渡表!$A$3:$V$194,22,0),"")</f>
        <v/>
      </c>
      <c r="D28" s="134"/>
      <c r="E28" s="85">
        <f t="shared" si="0"/>
        <v>0</v>
      </c>
      <c r="F28" s="65"/>
      <c r="H28" s="80"/>
      <c r="I28" s="102"/>
      <c r="J28" s="102"/>
    </row>
    <row r="29" spans="1:10" s="57" customFormat="1" ht="16.5" customHeight="1">
      <c r="A29" s="60" t="s">
        <v>352</v>
      </c>
      <c r="B29" s="184">
        <f>ROUND(SUM(B26:B27)-SUM(B28),2)</f>
        <v>0</v>
      </c>
      <c r="C29" s="184">
        <f t="shared" ref="C29:D29" si="1">ROUND(SUM(C26:C27)-SUM(C28),2)</f>
        <v>0</v>
      </c>
      <c r="D29" s="184">
        <f t="shared" si="1"/>
        <v>0</v>
      </c>
      <c r="E29" s="85">
        <f t="shared" si="0"/>
        <v>0</v>
      </c>
      <c r="F29" s="65"/>
      <c r="H29" s="80"/>
      <c r="I29" s="102"/>
      <c r="J29" s="102"/>
    </row>
    <row r="30" spans="1:10" s="57" customFormat="1" ht="16.5" customHeight="1">
      <c r="A30" s="101" t="s">
        <v>308</v>
      </c>
      <c r="B30" s="149" t="str">
        <f>IF(VLOOKUP(A30,过渡表!$A$3:$R$194,12,0)&lt;&gt;0,VLOOKUP(A30,过渡表!$A$3:$R$194,12,0),"")</f>
        <v/>
      </c>
      <c r="C30" s="149" t="str">
        <f>IF(VLOOKUP(A30,过渡表!$A$3:$V$194,22,0)&lt;&gt;0,VLOOKUP(A30,过渡表!$A$3:$V$194,22,0),"")</f>
        <v/>
      </c>
      <c r="D30" s="149"/>
      <c r="E30" s="85">
        <f t="shared" si="0"/>
        <v>0</v>
      </c>
      <c r="F30" s="65"/>
      <c r="H30" s="80"/>
      <c r="I30" s="102"/>
      <c r="J30" s="102"/>
    </row>
    <row r="31" spans="1:10" s="57" customFormat="1" ht="16.5" customHeight="1">
      <c r="A31" s="60" t="s">
        <v>353</v>
      </c>
      <c r="B31" s="187">
        <f>ROUND(SUM(B29)-SUM(B30),2)</f>
        <v>0</v>
      </c>
      <c r="C31" s="187">
        <f t="shared" ref="C31:D31" si="2">ROUND(SUM(C29)-SUM(C30),2)</f>
        <v>0</v>
      </c>
      <c r="D31" s="187">
        <f t="shared" si="2"/>
        <v>0</v>
      </c>
      <c r="E31" s="85">
        <f t="shared" si="0"/>
        <v>0</v>
      </c>
      <c r="F31" s="65"/>
      <c r="G31" s="80"/>
      <c r="H31" s="80"/>
      <c r="I31" s="102"/>
      <c r="J31" s="102"/>
    </row>
    <row r="32" spans="1:10" s="57" customFormat="1" ht="16.5" customHeight="1">
      <c r="A32" s="62" t="s">
        <v>333</v>
      </c>
      <c r="B32" s="138">
        <f>B31</f>
        <v>0</v>
      </c>
      <c r="C32" s="138">
        <f>C31</f>
        <v>0</v>
      </c>
      <c r="D32" s="138">
        <f>D31</f>
        <v>0</v>
      </c>
      <c r="E32" s="85">
        <f t="shared" si="0"/>
        <v>0</v>
      </c>
      <c r="F32" s="56"/>
      <c r="I32" s="102"/>
      <c r="J32" s="102"/>
    </row>
    <row r="33" spans="1:10" s="57" customFormat="1" ht="16.5" customHeight="1">
      <c r="A33" s="62" t="s">
        <v>334</v>
      </c>
      <c r="B33" s="136"/>
      <c r="C33" s="136"/>
      <c r="D33" s="134"/>
      <c r="E33" s="85">
        <f t="shared" si="0"/>
        <v>0</v>
      </c>
      <c r="F33" s="56"/>
      <c r="G33" s="102"/>
      <c r="H33" s="102"/>
      <c r="I33" s="102"/>
      <c r="J33" s="56"/>
    </row>
    <row r="34" spans="1:10" s="57" customFormat="1" ht="16.5" customHeight="1">
      <c r="A34" s="53" t="s">
        <v>354</v>
      </c>
      <c r="B34" s="142"/>
      <c r="C34" s="142"/>
      <c r="D34" s="142"/>
      <c r="E34" s="85">
        <f t="shared" si="0"/>
        <v>0</v>
      </c>
      <c r="G34" s="102"/>
      <c r="H34" s="102"/>
      <c r="I34" s="102"/>
      <c r="J34" s="56"/>
    </row>
    <row r="35" spans="1:10" s="57" customFormat="1" ht="16.5" customHeight="1">
      <c r="A35" s="53" t="s">
        <v>365</v>
      </c>
      <c r="B35" s="188">
        <f>B31+B34</f>
        <v>0</v>
      </c>
      <c r="C35" s="188">
        <f>C31+C34</f>
        <v>0</v>
      </c>
      <c r="D35" s="188">
        <f>D31+D34</f>
        <v>0</v>
      </c>
      <c r="E35" s="85">
        <f t="shared" si="0"/>
        <v>0</v>
      </c>
      <c r="F35" s="253"/>
    </row>
    <row r="36" spans="1:10" s="57" customFormat="1" ht="16.5" customHeight="1">
      <c r="A36" s="60" t="s">
        <v>366</v>
      </c>
      <c r="B36" s="134"/>
      <c r="C36" s="134"/>
      <c r="D36" s="80"/>
      <c r="E36" s="85"/>
      <c r="F36" s="56"/>
    </row>
    <row r="37" spans="1:10" s="57" customFormat="1" ht="16.5" customHeight="1">
      <c r="A37" s="57" t="s">
        <v>167</v>
      </c>
      <c r="B37" s="146"/>
      <c r="C37" s="136"/>
      <c r="D37" s="163"/>
      <c r="E37" s="85"/>
      <c r="F37" s="56"/>
    </row>
    <row r="38" spans="1:10" s="57" customFormat="1" ht="16.5" customHeight="1">
      <c r="A38" s="48" t="s">
        <v>168</v>
      </c>
      <c r="B38" s="161"/>
      <c r="C38" s="161"/>
      <c r="D38" s="164"/>
      <c r="E38" s="85"/>
      <c r="F38" s="56"/>
    </row>
    <row r="39" spans="1:10" s="57" customFormat="1" ht="12">
      <c r="A39" s="63"/>
      <c r="B39" s="162"/>
      <c r="C39" s="162"/>
      <c r="D39" s="162"/>
      <c r="E39" s="85"/>
      <c r="F39" s="56"/>
    </row>
    <row r="40" spans="1:10" s="57" customFormat="1" ht="12">
      <c r="A40" s="64"/>
      <c r="B40" s="72"/>
      <c r="C40" s="72"/>
      <c r="D40" s="65"/>
      <c r="E40" s="85"/>
      <c r="F40" s="56"/>
    </row>
    <row r="41" spans="1:10" s="57" customFormat="1" ht="12">
      <c r="A41" s="64"/>
      <c r="B41" s="72"/>
      <c r="C41" s="72"/>
      <c r="D41" s="65"/>
      <c r="E41" s="85"/>
      <c r="F41" s="56"/>
    </row>
    <row r="42" spans="1:10" s="57" customFormat="1" hidden="1">
      <c r="A42" s="75" t="str">
        <f>合并利润表!A62</f>
        <v xml:space="preserve">    企业法定代表人：                                            主管会计工作负责人：                                           会计机构负责人：</v>
      </c>
      <c r="B42" s="72"/>
      <c r="C42" s="72"/>
      <c r="D42" s="56"/>
      <c r="E42" s="85"/>
      <c r="F42" s="56"/>
    </row>
    <row r="43" spans="1:10" s="57" customFormat="1" ht="12">
      <c r="A43" s="325"/>
      <c r="B43" s="325"/>
      <c r="C43" s="229"/>
      <c r="D43" s="56"/>
      <c r="E43" s="85"/>
      <c r="F43" s="56"/>
    </row>
    <row r="44" spans="1:10" s="57" customFormat="1">
      <c r="A44" s="66"/>
      <c r="B44" s="56"/>
      <c r="C44" s="56"/>
      <c r="D44" s="56"/>
      <c r="E44" s="85"/>
      <c r="F44" s="56"/>
    </row>
    <row r="45" spans="1:10" s="57" customFormat="1" ht="12">
      <c r="A45" s="57" t="s">
        <v>534</v>
      </c>
      <c r="B45" s="56"/>
      <c r="C45" s="56">
        <f>SUM(资产负债表!B87)-SUM(资产负债表!C87)-SUM(利润表!C31)</f>
        <v>0</v>
      </c>
      <c r="D45" s="56"/>
      <c r="E45" s="85"/>
      <c r="F45" s="56"/>
    </row>
    <row r="46" spans="1:10" s="57" customFormat="1" ht="12">
      <c r="B46" s="134"/>
      <c r="C46" s="134"/>
      <c r="D46" s="56"/>
      <c r="E46" s="85"/>
      <c r="F46" s="56"/>
    </row>
    <row r="47" spans="1:10" s="57" customFormat="1" ht="12">
      <c r="B47" s="134"/>
      <c r="C47" s="134"/>
      <c r="D47" s="56"/>
      <c r="E47" s="85"/>
      <c r="F47" s="56"/>
    </row>
    <row r="48" spans="1:10" s="57" customFormat="1" ht="12">
      <c r="B48" s="56"/>
      <c r="C48" s="56"/>
      <c r="D48" s="56"/>
      <c r="E48" s="85"/>
      <c r="F48" s="56"/>
    </row>
    <row r="49" spans="1:7" s="57" customFormat="1" ht="12">
      <c r="B49" s="56"/>
      <c r="C49" s="56"/>
      <c r="D49" s="56"/>
      <c r="E49" s="85"/>
      <c r="F49" s="56"/>
    </row>
    <row r="50" spans="1:7" s="57" customFormat="1" ht="12">
      <c r="B50" s="56"/>
      <c r="C50" s="56"/>
      <c r="D50" s="56"/>
      <c r="E50" s="85"/>
      <c r="F50" s="56"/>
    </row>
    <row r="51" spans="1:7" s="57" customFormat="1" ht="12">
      <c r="B51" s="56"/>
      <c r="C51" s="56"/>
      <c r="D51" s="56"/>
      <c r="E51" s="85"/>
      <c r="F51" s="56"/>
    </row>
    <row r="52" spans="1:7" s="57" customFormat="1" ht="12">
      <c r="B52" s="56"/>
      <c r="C52" s="56"/>
      <c r="D52" s="56"/>
      <c r="E52" s="85"/>
      <c r="F52" s="56"/>
    </row>
    <row r="53" spans="1:7" s="57" customFormat="1" ht="12">
      <c r="B53" s="56"/>
      <c r="C53" s="56"/>
      <c r="D53" s="56"/>
      <c r="E53" s="85"/>
      <c r="F53" s="56"/>
    </row>
    <row r="54" spans="1:7" s="57" customFormat="1" ht="12">
      <c r="B54" s="56"/>
      <c r="C54" s="56"/>
      <c r="D54" s="56"/>
      <c r="E54" s="85"/>
      <c r="F54" s="56"/>
    </row>
    <row r="55" spans="1:7" s="57" customFormat="1" ht="12">
      <c r="B55" s="56"/>
      <c r="C55" s="56"/>
      <c r="D55" s="56"/>
      <c r="E55" s="85"/>
      <c r="F55" s="56"/>
    </row>
    <row r="56" spans="1:7" s="57" customFormat="1" ht="12">
      <c r="B56" s="56"/>
      <c r="C56" s="56"/>
      <c r="D56" s="56"/>
      <c r="E56" s="85"/>
      <c r="F56" s="56"/>
    </row>
    <row r="57" spans="1:7" s="57" customFormat="1" ht="12">
      <c r="B57" s="56"/>
      <c r="C57" s="56"/>
      <c r="D57" s="56"/>
      <c r="E57" s="85"/>
      <c r="F57" s="56"/>
    </row>
    <row r="58" spans="1:7" s="57" customFormat="1">
      <c r="B58" s="56"/>
      <c r="C58" s="56"/>
      <c r="D58" s="56"/>
      <c r="E58" s="85"/>
      <c r="F58" s="55"/>
    </row>
    <row r="59" spans="1:7" s="57" customFormat="1">
      <c r="B59" s="56"/>
      <c r="C59" s="56"/>
      <c r="D59" s="56"/>
      <c r="E59" s="85"/>
      <c r="F59" s="55"/>
    </row>
    <row r="60" spans="1:7" s="57" customFormat="1">
      <c r="B60" s="56"/>
      <c r="C60" s="56"/>
      <c r="D60" s="56"/>
      <c r="E60" s="85"/>
      <c r="F60" s="55"/>
    </row>
    <row r="61" spans="1:7" s="57" customFormat="1">
      <c r="B61" s="56"/>
      <c r="C61" s="56"/>
      <c r="D61" s="56"/>
      <c r="E61" s="85"/>
      <c r="F61" s="55"/>
      <c r="G61" s="47"/>
    </row>
    <row r="62" spans="1:7" s="57" customFormat="1">
      <c r="B62" s="56"/>
      <c r="C62" s="56"/>
      <c r="D62" s="56"/>
      <c r="E62" s="85"/>
      <c r="F62" s="55"/>
      <c r="G62" s="47"/>
    </row>
    <row r="63" spans="1:7" s="57" customFormat="1">
      <c r="B63" s="56"/>
      <c r="C63" s="56"/>
      <c r="D63" s="56"/>
      <c r="E63" s="85"/>
      <c r="F63" s="55"/>
      <c r="G63" s="47"/>
    </row>
    <row r="64" spans="1:7">
      <c r="A64" s="57"/>
      <c r="B64" s="56"/>
      <c r="C64" s="56"/>
      <c r="D64" s="56"/>
      <c r="E64" s="85"/>
    </row>
    <row r="65" spans="1:5">
      <c r="A65" s="57"/>
      <c r="B65" s="56"/>
      <c r="C65" s="56"/>
      <c r="D65" s="56"/>
      <c r="E65" s="85"/>
    </row>
    <row r="66" spans="1:5">
      <c r="A66" s="57"/>
      <c r="B66" s="56"/>
      <c r="C66" s="56"/>
      <c r="D66" s="56"/>
      <c r="E66" s="85"/>
    </row>
    <row r="67" spans="1:5">
      <c r="A67" s="57"/>
      <c r="B67" s="56"/>
      <c r="C67" s="56"/>
      <c r="D67" s="56"/>
      <c r="E67" s="85"/>
    </row>
    <row r="68" spans="1:5">
      <c r="A68" s="57"/>
      <c r="B68" s="56"/>
      <c r="C68" s="56"/>
      <c r="D68" s="56"/>
      <c r="E68" s="85"/>
    </row>
    <row r="69" spans="1:5">
      <c r="A69" s="57"/>
      <c r="B69" s="56"/>
      <c r="C69" s="56"/>
      <c r="D69" s="56"/>
      <c r="E69" s="85"/>
    </row>
    <row r="70" spans="1:5">
      <c r="A70" s="57"/>
      <c r="B70" s="56"/>
      <c r="C70" s="56"/>
      <c r="D70" s="56"/>
      <c r="E70" s="85"/>
    </row>
    <row r="71" spans="1:5">
      <c r="A71" s="57"/>
      <c r="B71" s="56"/>
      <c r="C71" s="56"/>
      <c r="D71" s="56"/>
      <c r="E71" s="85"/>
    </row>
    <row r="72" spans="1:5">
      <c r="A72" s="57"/>
      <c r="B72" s="56"/>
      <c r="C72" s="56"/>
      <c r="D72" s="56"/>
      <c r="E72" s="85"/>
    </row>
    <row r="73" spans="1:5">
      <c r="A73" s="57"/>
      <c r="B73" s="56"/>
      <c r="C73" s="56"/>
      <c r="D73" s="56"/>
      <c r="E73" s="85"/>
    </row>
    <row r="74" spans="1:5">
      <c r="A74" s="57"/>
      <c r="B74" s="56"/>
      <c r="C74" s="56"/>
      <c r="D74" s="56"/>
      <c r="E74" s="85"/>
    </row>
    <row r="75" spans="1:5">
      <c r="A75" s="57"/>
      <c r="B75" s="56"/>
      <c r="C75" s="56"/>
      <c r="D75" s="56"/>
      <c r="E75" s="85"/>
    </row>
    <row r="76" spans="1:5">
      <c r="A76" s="57"/>
      <c r="B76" s="56"/>
      <c r="C76" s="56"/>
      <c r="D76" s="56"/>
      <c r="E76" s="85"/>
    </row>
    <row r="77" spans="1:5">
      <c r="A77" s="57"/>
      <c r="B77" s="56"/>
      <c r="C77" s="56"/>
      <c r="D77" s="56"/>
      <c r="E77" s="85"/>
    </row>
    <row r="78" spans="1:5">
      <c r="A78" s="57"/>
      <c r="B78" s="56"/>
      <c r="C78" s="56"/>
      <c r="D78" s="56"/>
      <c r="E78" s="85"/>
    </row>
    <row r="79" spans="1:5">
      <c r="A79" s="57"/>
      <c r="B79" s="56"/>
      <c r="C79" s="56"/>
      <c r="D79" s="56"/>
      <c r="E79" s="85"/>
    </row>
    <row r="80" spans="1:5">
      <c r="A80" s="57"/>
      <c r="B80" s="56"/>
      <c r="C80" s="56"/>
      <c r="D80" s="56"/>
      <c r="E80" s="85"/>
    </row>
    <row r="81" spans="1:5">
      <c r="A81" s="57"/>
      <c r="B81" s="56"/>
      <c r="C81" s="56"/>
      <c r="D81" s="56"/>
      <c r="E81" s="85"/>
    </row>
    <row r="82" spans="1:5">
      <c r="A82" s="57"/>
      <c r="B82" s="56"/>
      <c r="C82" s="56"/>
      <c r="D82" s="56"/>
      <c r="E82" s="85"/>
    </row>
    <row r="83" spans="1:5">
      <c r="A83" s="57"/>
      <c r="B83" s="56"/>
      <c r="C83" s="56"/>
      <c r="D83" s="56"/>
      <c r="E83" s="85"/>
    </row>
    <row r="84" spans="1:5">
      <c r="A84" s="57"/>
      <c r="B84" s="56"/>
      <c r="C84" s="56"/>
      <c r="D84" s="56"/>
      <c r="E84" s="85"/>
    </row>
    <row r="85" spans="1:5">
      <c r="A85" s="57"/>
      <c r="B85" s="56"/>
      <c r="C85" s="56"/>
      <c r="D85" s="56"/>
      <c r="E85" s="85"/>
    </row>
    <row r="86" spans="1:5">
      <c r="A86" s="57"/>
      <c r="B86" s="56"/>
      <c r="C86" s="56"/>
      <c r="D86" s="56"/>
      <c r="E86" s="85"/>
    </row>
    <row r="87" spans="1:5">
      <c r="A87" s="57"/>
      <c r="B87" s="56"/>
      <c r="C87" s="56"/>
      <c r="D87" s="56"/>
      <c r="E87" s="85"/>
    </row>
    <row r="88" spans="1:5">
      <c r="A88" s="57"/>
      <c r="B88" s="56"/>
      <c r="C88" s="56"/>
      <c r="D88" s="56"/>
      <c r="E88" s="85"/>
    </row>
    <row r="89" spans="1:5">
      <c r="A89" s="57"/>
      <c r="B89" s="56"/>
      <c r="C89" s="56"/>
      <c r="D89" s="56"/>
      <c r="E89" s="85"/>
    </row>
    <row r="90" spans="1:5">
      <c r="A90" s="57"/>
      <c r="B90" s="56"/>
      <c r="C90" s="56"/>
      <c r="D90" s="56"/>
      <c r="E90" s="85"/>
    </row>
    <row r="91" spans="1:5">
      <c r="A91" s="57"/>
      <c r="B91" s="56"/>
      <c r="C91" s="56"/>
      <c r="D91" s="56"/>
      <c r="E91" s="85"/>
    </row>
    <row r="92" spans="1:5">
      <c r="A92" s="57"/>
      <c r="B92" s="56"/>
      <c r="C92" s="56"/>
      <c r="D92" s="56"/>
      <c r="E92" s="85"/>
    </row>
    <row r="93" spans="1:5">
      <c r="A93" s="57"/>
      <c r="B93" s="56"/>
      <c r="C93" s="56"/>
      <c r="D93" s="56"/>
      <c r="E93" s="85"/>
    </row>
    <row r="94" spans="1:5">
      <c r="A94" s="57"/>
      <c r="B94" s="56"/>
      <c r="C94" s="56"/>
      <c r="D94" s="56"/>
      <c r="E94" s="85"/>
    </row>
    <row r="95" spans="1:5">
      <c r="A95" s="57"/>
      <c r="B95" s="56"/>
      <c r="C95" s="56"/>
      <c r="D95" s="56"/>
      <c r="E95" s="85"/>
    </row>
    <row r="96" spans="1:5">
      <c r="A96" s="57"/>
      <c r="B96" s="56"/>
      <c r="C96" s="56"/>
      <c r="D96" s="56"/>
      <c r="E96" s="85"/>
    </row>
    <row r="97" spans="1:5">
      <c r="A97" s="57"/>
      <c r="B97" s="56"/>
      <c r="C97" s="56"/>
      <c r="D97" s="56"/>
      <c r="E97" s="85"/>
    </row>
    <row r="98" spans="1:5">
      <c r="A98" s="57"/>
      <c r="B98" s="56"/>
      <c r="C98" s="56"/>
      <c r="D98" s="56"/>
      <c r="E98" s="85"/>
    </row>
    <row r="99" spans="1:5">
      <c r="A99" s="57"/>
      <c r="B99" s="56"/>
      <c r="C99" s="56"/>
      <c r="D99" s="56"/>
      <c r="E99" s="85"/>
    </row>
    <row r="100" spans="1:5">
      <c r="A100" s="57"/>
      <c r="B100" s="56"/>
      <c r="C100" s="56"/>
      <c r="D100" s="56"/>
      <c r="E100" s="85"/>
    </row>
    <row r="101" spans="1:5">
      <c r="A101" s="57"/>
      <c r="B101" s="56"/>
      <c r="C101" s="56"/>
      <c r="D101" s="56"/>
      <c r="E101" s="85"/>
    </row>
    <row r="102" spans="1:5">
      <c r="A102" s="57"/>
      <c r="B102" s="56"/>
      <c r="C102" s="56"/>
      <c r="D102" s="56"/>
      <c r="E102" s="85"/>
    </row>
    <row r="103" spans="1:5">
      <c r="A103" s="57"/>
      <c r="B103" s="56"/>
      <c r="C103" s="56"/>
      <c r="D103" s="56"/>
      <c r="E103" s="85"/>
    </row>
    <row r="104" spans="1:5">
      <c r="A104" s="57"/>
      <c r="B104" s="56"/>
      <c r="C104" s="56"/>
      <c r="D104" s="56"/>
      <c r="E104" s="85"/>
    </row>
    <row r="105" spans="1:5">
      <c r="A105" s="57"/>
      <c r="B105" s="56"/>
      <c r="C105" s="56"/>
      <c r="D105" s="56"/>
      <c r="E105" s="85"/>
    </row>
    <row r="106" spans="1:5">
      <c r="A106" s="57"/>
      <c r="B106" s="56"/>
      <c r="C106" s="56"/>
      <c r="D106" s="56"/>
      <c r="E106" s="85"/>
    </row>
    <row r="107" spans="1:5">
      <c r="A107" s="57"/>
      <c r="B107" s="56"/>
      <c r="C107" s="56"/>
      <c r="D107" s="56"/>
      <c r="E107" s="85"/>
    </row>
    <row r="108" spans="1:5">
      <c r="A108" s="57"/>
      <c r="B108" s="56"/>
      <c r="C108" s="56"/>
      <c r="D108" s="56"/>
      <c r="E108" s="85"/>
    </row>
    <row r="109" spans="1:5">
      <c r="A109" s="57"/>
      <c r="B109" s="56"/>
      <c r="C109" s="56"/>
      <c r="D109" s="56"/>
      <c r="E109" s="85"/>
    </row>
    <row r="110" spans="1:5">
      <c r="A110" s="57"/>
      <c r="B110" s="56"/>
      <c r="C110" s="56"/>
      <c r="D110" s="56"/>
      <c r="E110" s="85"/>
    </row>
    <row r="111" spans="1:5">
      <c r="A111" s="57"/>
      <c r="B111" s="56"/>
      <c r="C111" s="56"/>
      <c r="D111" s="56"/>
      <c r="E111" s="85"/>
    </row>
    <row r="112" spans="1:5">
      <c r="A112" s="57"/>
      <c r="B112" s="56"/>
      <c r="C112" s="56"/>
      <c r="D112" s="56"/>
      <c r="E112" s="85"/>
    </row>
    <row r="113" spans="1:5">
      <c r="A113" s="57"/>
      <c r="B113" s="56"/>
      <c r="C113" s="56"/>
      <c r="D113" s="56"/>
      <c r="E113" s="85"/>
    </row>
    <row r="114" spans="1:5">
      <c r="A114" s="57"/>
      <c r="B114" s="56"/>
      <c r="C114" s="56"/>
      <c r="D114" s="56"/>
      <c r="E114" s="85"/>
    </row>
    <row r="115" spans="1:5">
      <c r="A115" s="57"/>
      <c r="B115" s="56"/>
      <c r="C115" s="56"/>
      <c r="D115" s="56"/>
      <c r="E115" s="85"/>
    </row>
    <row r="116" spans="1:5">
      <c r="A116" s="57"/>
      <c r="B116" s="56"/>
      <c r="C116" s="56"/>
      <c r="D116" s="56"/>
      <c r="E116" s="85"/>
    </row>
    <row r="117" spans="1:5">
      <c r="A117" s="57"/>
      <c r="B117" s="56"/>
      <c r="C117" s="56"/>
      <c r="D117" s="56"/>
      <c r="E117" s="85"/>
    </row>
    <row r="118" spans="1:5">
      <c r="A118" s="57"/>
      <c r="B118" s="56"/>
      <c r="C118" s="56"/>
      <c r="D118" s="56"/>
      <c r="E118" s="85"/>
    </row>
    <row r="119" spans="1:5">
      <c r="A119" s="57"/>
      <c r="B119" s="56"/>
      <c r="C119" s="56"/>
      <c r="D119" s="56"/>
      <c r="E119" s="85"/>
    </row>
    <row r="120" spans="1:5">
      <c r="A120" s="57"/>
      <c r="B120" s="56"/>
      <c r="C120" s="56"/>
      <c r="D120" s="56"/>
      <c r="E120" s="85"/>
    </row>
    <row r="121" spans="1:5">
      <c r="A121" s="57"/>
      <c r="B121" s="56"/>
      <c r="C121" s="56"/>
      <c r="D121" s="56"/>
      <c r="E121" s="85"/>
    </row>
    <row r="122" spans="1:5">
      <c r="A122" s="57"/>
      <c r="B122" s="56"/>
      <c r="C122" s="56"/>
      <c r="D122" s="56"/>
      <c r="E122" s="85"/>
    </row>
    <row r="123" spans="1:5">
      <c r="A123" s="57"/>
      <c r="B123" s="56"/>
      <c r="C123" s="56"/>
      <c r="D123" s="56"/>
      <c r="E123" s="85"/>
    </row>
    <row r="124" spans="1:5">
      <c r="A124" s="57"/>
      <c r="B124" s="56"/>
      <c r="C124" s="56"/>
      <c r="D124" s="56"/>
      <c r="E124" s="85"/>
    </row>
    <row r="125" spans="1:5">
      <c r="A125" s="57"/>
      <c r="B125" s="56"/>
      <c r="C125" s="56"/>
      <c r="D125" s="56"/>
      <c r="E125" s="85"/>
    </row>
    <row r="126" spans="1:5">
      <c r="A126" s="57"/>
      <c r="B126" s="56"/>
      <c r="C126" s="56"/>
      <c r="D126" s="56"/>
      <c r="E126" s="85"/>
    </row>
    <row r="127" spans="1:5">
      <c r="A127" s="57"/>
      <c r="B127" s="56"/>
      <c r="C127" s="56"/>
      <c r="D127" s="56"/>
      <c r="E127" s="85"/>
    </row>
    <row r="128" spans="1:5">
      <c r="A128" s="57"/>
      <c r="B128" s="56"/>
      <c r="C128" s="56"/>
      <c r="D128" s="56"/>
      <c r="E128" s="85"/>
    </row>
    <row r="129" spans="1:5">
      <c r="A129" s="57"/>
      <c r="B129" s="56"/>
      <c r="C129" s="56"/>
      <c r="D129" s="56"/>
      <c r="E129" s="85"/>
    </row>
    <row r="130" spans="1:5">
      <c r="A130" s="57"/>
      <c r="B130" s="56"/>
      <c r="C130" s="56"/>
      <c r="D130" s="56"/>
      <c r="E130" s="85"/>
    </row>
    <row r="131" spans="1:5">
      <c r="A131" s="57"/>
      <c r="B131" s="56"/>
      <c r="C131" s="56"/>
      <c r="D131" s="56"/>
      <c r="E131" s="85"/>
    </row>
    <row r="132" spans="1:5">
      <c r="A132" s="57"/>
      <c r="B132" s="56"/>
      <c r="C132" s="56"/>
      <c r="D132" s="56"/>
      <c r="E132" s="85"/>
    </row>
    <row r="133" spans="1:5">
      <c r="A133" s="57"/>
      <c r="B133" s="56"/>
      <c r="C133" s="56"/>
      <c r="D133" s="56"/>
      <c r="E133" s="85"/>
    </row>
    <row r="134" spans="1:5">
      <c r="A134" s="57"/>
      <c r="B134" s="56"/>
      <c r="C134" s="56"/>
      <c r="D134" s="56"/>
      <c r="E134" s="85"/>
    </row>
    <row r="135" spans="1:5">
      <c r="A135" s="57"/>
      <c r="B135" s="56"/>
      <c r="C135" s="56"/>
      <c r="D135" s="56"/>
      <c r="E135" s="85"/>
    </row>
  </sheetData>
  <mergeCells count="2">
    <mergeCell ref="A1:D1"/>
    <mergeCell ref="A43:B43"/>
  </mergeCells>
  <phoneticPr fontId="7" type="noConversion"/>
  <pageMargins left="0.70866141732283472" right="0.70866141732283472" top="0.74803149606299213" bottom="0" header="0.31496062992125984" footer="0.31496062992125984"/>
  <pageSetup paperSize="9" scale="72" orientation="portrait" r:id="rId1"/>
  <webPublishItems count="1">
    <webPublishItem id="26978" divId="2017年三季度合并财务报表1.0_26978" sourceType="printArea" destinationFile="E:\财务报表分部及合并\2017年09月报表\2017年三季度合并财务报表1.0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9</vt:i4>
      </vt:variant>
    </vt:vector>
  </HeadingPairs>
  <TitlesOfParts>
    <vt:vector size="22" baseType="lpstr">
      <vt:lpstr>标准科目</vt:lpstr>
      <vt:lpstr>财务简表</vt:lpstr>
      <vt:lpstr>过渡表</vt:lpstr>
      <vt:lpstr>抵消分录</vt:lpstr>
      <vt:lpstr>合并资产负债表</vt:lpstr>
      <vt:lpstr>合并利润表</vt:lpstr>
      <vt:lpstr>合并现金流量表</vt:lpstr>
      <vt:lpstr>资产负债表</vt:lpstr>
      <vt:lpstr>利润表</vt:lpstr>
      <vt:lpstr>现金流量表</vt:lpstr>
      <vt:lpstr>合并所有者权益变动表</vt:lpstr>
      <vt:lpstr>母公司所有者权益变动表</vt:lpstr>
      <vt:lpstr>Sheet1</vt:lpstr>
      <vt:lpstr>抵消分录!Print_Area</vt:lpstr>
      <vt:lpstr>合并利润表!Print_Area</vt:lpstr>
      <vt:lpstr>合并现金流量表!Print_Area</vt:lpstr>
      <vt:lpstr>合并资产负债表!Print_Area</vt:lpstr>
      <vt:lpstr>利润表!Print_Area</vt:lpstr>
      <vt:lpstr>现金流量表!Print_Area</vt:lpstr>
      <vt:lpstr>资产负债表!Print_Area</vt:lpstr>
      <vt:lpstr>科目</vt:lpstr>
      <vt:lpstr>性质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王会</dc:creator>
  <cp:lastModifiedBy>georges</cp:lastModifiedBy>
  <cp:revision>1</cp:revision>
  <cp:lastPrinted>2019-09-23T06:52:53Z</cp:lastPrinted>
  <dcterms:created xsi:type="dcterms:W3CDTF">2011-10-23T06:29:35Z</dcterms:created>
  <dcterms:modified xsi:type="dcterms:W3CDTF">2019-09-26T06:47:19Z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00af5776-8c05-44b9-9098-6eaa5dbde619</vt:lpwstr>
  </property>
</Properties>
</file>