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griculture\assets\excel\"/>
    </mc:Choice>
  </mc:AlternateContent>
  <xr:revisionPtr revIDLastSave="0" documentId="13_ncr:1_{AEE288A8-353F-499A-8627-0353EF2AD858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 model (copy for trying)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3" l="1"/>
  <c r="B124" i="3"/>
  <c r="H23" i="3"/>
  <c r="H24" i="3"/>
  <c r="H25" i="3"/>
  <c r="H27" i="3"/>
  <c r="H28" i="3"/>
  <c r="H29" i="3"/>
  <c r="H30" i="3"/>
  <c r="H32" i="3"/>
  <c r="H33" i="3"/>
  <c r="H34" i="3"/>
  <c r="H35" i="3"/>
  <c r="C41" i="3"/>
  <c r="C48" i="3" s="1"/>
  <c r="C49" i="3"/>
  <c r="C50" i="3"/>
  <c r="C56" i="3"/>
  <c r="C63" i="3" s="1"/>
  <c r="C57" i="3"/>
  <c r="C64" i="3"/>
  <c r="C82" i="3"/>
  <c r="D82" i="3"/>
  <c r="E82" i="3" s="1"/>
  <c r="B113" i="3"/>
  <c r="H99" i="3"/>
  <c r="C100" i="3"/>
  <c r="D100" i="3"/>
  <c r="C101" i="3"/>
  <c r="D101" i="3"/>
  <c r="C102" i="3"/>
  <c r="D102" i="3" s="1"/>
  <c r="E102" i="3" s="1"/>
  <c r="C103" i="3"/>
  <c r="D103" i="3"/>
  <c r="E103" i="3" s="1"/>
  <c r="H103" i="3" s="1"/>
  <c r="D104" i="3"/>
  <c r="E104" i="3" s="1"/>
  <c r="F104" i="3" s="1"/>
  <c r="C106" i="3"/>
  <c r="D106" i="3"/>
  <c r="E106" i="3" s="1"/>
  <c r="F106" i="3"/>
  <c r="G106" i="3" s="1"/>
  <c r="E205" i="3"/>
  <c r="E210" i="3"/>
  <c r="E212" i="3" s="1"/>
  <c r="E221" i="3"/>
  <c r="E222" i="3" s="1"/>
  <c r="E227" i="3"/>
  <c r="C71" i="3"/>
  <c r="F103" i="3"/>
  <c r="G103" i="3"/>
  <c r="E100" i="3"/>
  <c r="F100" i="3" s="1"/>
  <c r="E101" i="3"/>
  <c r="F101" i="3"/>
  <c r="H101" i="3" s="1"/>
  <c r="G101" i="3"/>
  <c r="C44" i="3" l="1"/>
  <c r="C45" i="3" s="1"/>
  <c r="C81" i="3"/>
  <c r="D44" i="3"/>
  <c r="D51" i="3" s="1"/>
  <c r="D58" i="3" s="1"/>
  <c r="C129" i="3"/>
  <c r="C55" i="3"/>
  <c r="C62" i="3" s="1"/>
  <c r="C70" i="3"/>
  <c r="D42" i="3"/>
  <c r="G100" i="3"/>
  <c r="E214" i="3"/>
  <c r="E218" i="3" s="1"/>
  <c r="E215" i="3"/>
  <c r="E219" i="3" s="1"/>
  <c r="F102" i="3"/>
  <c r="H82" i="3"/>
  <c r="F82" i="3"/>
  <c r="G82" i="3" s="1"/>
  <c r="G104" i="3"/>
  <c r="B115" i="3"/>
  <c r="C83" i="3" l="1"/>
  <c r="C114" i="3"/>
  <c r="C84" i="3"/>
  <c r="C51" i="3"/>
  <c r="C52" i="3" s="1"/>
  <c r="C58" i="3"/>
  <c r="E220" i="3"/>
  <c r="E223" i="3" s="1"/>
  <c r="H104" i="3"/>
  <c r="D65" i="3"/>
  <c r="C69" i="3"/>
  <c r="C115" i="3"/>
  <c r="G102" i="3"/>
  <c r="H100" i="3"/>
  <c r="D49" i="3"/>
  <c r="D56" i="3" s="1"/>
  <c r="C65" i="3" l="1"/>
  <c r="C66" i="3" s="1"/>
  <c r="C59" i="3"/>
  <c r="C85" i="3"/>
  <c r="C123" i="3"/>
  <c r="D63" i="3"/>
  <c r="E224" i="3"/>
  <c r="E225" i="3" s="1"/>
  <c r="E226" i="3" s="1"/>
  <c r="D91" i="3" s="1"/>
  <c r="C134" i="3" s="1"/>
  <c r="D134" i="3" s="1"/>
  <c r="E134" i="3" s="1"/>
  <c r="F134" i="3" s="1"/>
  <c r="G134" i="3" s="1"/>
  <c r="C113" i="3"/>
  <c r="D72" i="3"/>
  <c r="D41" i="3"/>
  <c r="H102" i="3"/>
  <c r="C86" i="3" l="1"/>
  <c r="C111" i="3"/>
  <c r="C72" i="3"/>
  <c r="D81" i="3"/>
  <c r="D48" i="3"/>
  <c r="E44" i="3"/>
  <c r="D129" i="3"/>
  <c r="E43" i="3"/>
  <c r="D70" i="3"/>
  <c r="D43" i="3" l="1"/>
  <c r="C73" i="3"/>
  <c r="E51" i="3"/>
  <c r="E58" i="3"/>
  <c r="D115" i="3"/>
  <c r="D83" i="3"/>
  <c r="D114" i="3"/>
  <c r="D84" i="3"/>
  <c r="E50" i="3"/>
  <c r="E57" i="3" s="1"/>
  <c r="D55" i="3"/>
  <c r="C116" i="3" l="1"/>
  <c r="C117" i="3" s="1"/>
  <c r="C105" i="3"/>
  <c r="C107" i="3" s="1"/>
  <c r="C128" i="3" s="1"/>
  <c r="C131" i="3"/>
  <c r="C124" i="3"/>
  <c r="B174" i="3" s="1"/>
  <c r="C127" i="3"/>
  <c r="C76" i="3"/>
  <c r="C77" i="3" s="1"/>
  <c r="C78" i="3" s="1"/>
  <c r="C125" i="3"/>
  <c r="C121" i="3"/>
  <c r="C122" i="3"/>
  <c r="C126" i="3"/>
  <c r="C130" i="3"/>
  <c r="D50" i="3"/>
  <c r="D52" i="3" s="1"/>
  <c r="D45" i="3"/>
  <c r="E64" i="3"/>
  <c r="E71" i="3" s="1"/>
  <c r="E65" i="3"/>
  <c r="E72" i="3" s="1"/>
  <c r="D62" i="3"/>
  <c r="D85" i="3"/>
  <c r="D123" i="3"/>
  <c r="B163" i="3" l="1"/>
  <c r="B167" i="3" s="1"/>
  <c r="B176" i="3"/>
  <c r="B161" i="3"/>
  <c r="C132" i="3"/>
  <c r="C133" i="3" s="1"/>
  <c r="B152" i="3" s="1"/>
  <c r="B175" i="3"/>
  <c r="B162" i="3" s="1"/>
  <c r="D57" i="3"/>
  <c r="D86" i="3"/>
  <c r="D111" i="3"/>
  <c r="F43" i="3"/>
  <c r="F42" i="3"/>
  <c r="D69" i="3"/>
  <c r="B166" i="3" l="1"/>
  <c r="B182" i="3"/>
  <c r="B184" i="3" s="1"/>
  <c r="B185" i="3"/>
  <c r="C135" i="3"/>
  <c r="E228" i="3"/>
  <c r="E229" i="3" s="1"/>
  <c r="D93" i="3" s="1"/>
  <c r="B178" i="3"/>
  <c r="B179" i="3" s="1"/>
  <c r="B169" i="3"/>
  <c r="B170" i="3" s="1"/>
  <c r="B171" i="3" s="1"/>
  <c r="B165" i="3"/>
  <c r="D64" i="3"/>
  <c r="D59" i="3"/>
  <c r="F49" i="3"/>
  <c r="F50" i="3"/>
  <c r="F57" i="3" s="1"/>
  <c r="E41" i="3"/>
  <c r="D71" i="3" l="1"/>
  <c r="D66" i="3"/>
  <c r="D113" i="3" s="1"/>
  <c r="B187" i="3"/>
  <c r="B188" i="3" s="1"/>
  <c r="B189" i="3" s="1"/>
  <c r="B190" i="3"/>
  <c r="C12" i="3"/>
  <c r="B144" i="3"/>
  <c r="D92" i="3"/>
  <c r="C140" i="3"/>
  <c r="C18" i="3" s="1"/>
  <c r="C141" i="3"/>
  <c r="C19" i="3" s="1"/>
  <c r="C139" i="3"/>
  <c r="C17" i="3" s="1"/>
  <c r="C136" i="3"/>
  <c r="E48" i="3"/>
  <c r="E55" i="3" s="1"/>
  <c r="E81" i="3"/>
  <c r="E129" i="3"/>
  <c r="F44" i="3"/>
  <c r="F56" i="3"/>
  <c r="F64" i="3"/>
  <c r="C144" i="3" l="1"/>
  <c r="D148" i="3"/>
  <c r="E97" i="3"/>
  <c r="D145" i="3"/>
  <c r="D146" i="3"/>
  <c r="D144" i="3"/>
  <c r="D147" i="3"/>
  <c r="C138" i="3"/>
  <c r="C16" i="3" s="1"/>
  <c r="C137" i="3"/>
  <c r="C15" i="3" s="1"/>
  <c r="E42" i="3"/>
  <c r="D73" i="3"/>
  <c r="E62" i="3"/>
  <c r="E69" i="3" s="1"/>
  <c r="F63" i="3"/>
  <c r="F70" i="3" s="1"/>
  <c r="E83" i="3"/>
  <c r="E114" i="3"/>
  <c r="E84" i="3"/>
  <c r="E115" i="3"/>
  <c r="F71" i="3"/>
  <c r="F51" i="3"/>
  <c r="F58" i="3" s="1"/>
  <c r="E144" i="3" l="1"/>
  <c r="C152" i="3" s="1"/>
  <c r="D152" i="3" s="1"/>
  <c r="E49" i="3"/>
  <c r="E52" i="3" s="1"/>
  <c r="E45" i="3"/>
  <c r="C14" i="3"/>
  <c r="E96" i="3"/>
  <c r="C13" i="3" s="1"/>
  <c r="D131" i="3"/>
  <c r="D130" i="3"/>
  <c r="D105" i="3"/>
  <c r="D107" i="3" s="1"/>
  <c r="D128" i="3" s="1"/>
  <c r="D127" i="3"/>
  <c r="D116" i="3"/>
  <c r="D117" i="3" s="1"/>
  <c r="D126" i="3"/>
  <c r="D125" i="3"/>
  <c r="D121" i="3"/>
  <c r="D124" i="3"/>
  <c r="C174" i="3" s="1"/>
  <c r="C161" i="3" s="1"/>
  <c r="C165" i="3" s="1"/>
  <c r="D76" i="3"/>
  <c r="D77" i="3" s="1"/>
  <c r="D78" i="3" s="1"/>
  <c r="D122" i="3"/>
  <c r="B145" i="3"/>
  <c r="E85" i="3"/>
  <c r="E123" i="3"/>
  <c r="F65" i="3"/>
  <c r="F72" i="3" s="1"/>
  <c r="G42" i="3"/>
  <c r="E56" i="3" l="1"/>
  <c r="E59" i="3" s="1"/>
  <c r="C169" i="3"/>
  <c r="C170" i="3" s="1"/>
  <c r="C171" i="3" s="1"/>
  <c r="B146" i="3"/>
  <c r="C145" i="3"/>
  <c r="E145" i="3" s="1"/>
  <c r="C153" i="3" s="1"/>
  <c r="C163" i="3"/>
  <c r="C167" i="3" s="1"/>
  <c r="C176" i="3"/>
  <c r="C178" i="3" s="1"/>
  <c r="E63" i="3"/>
  <c r="D132" i="3"/>
  <c r="D135" i="3" s="1"/>
  <c r="D140" i="3" s="1"/>
  <c r="D18" i="3" s="1"/>
  <c r="C175" i="3"/>
  <c r="C162" i="3" s="1"/>
  <c r="G43" i="3"/>
  <c r="E111" i="3"/>
  <c r="E86" i="3"/>
  <c r="G49" i="3"/>
  <c r="H49" i="3" s="1"/>
  <c r="H42" i="3"/>
  <c r="C179" i="3" l="1"/>
  <c r="D133" i="3"/>
  <c r="B153" i="3" s="1"/>
  <c r="D153" i="3" s="1"/>
  <c r="D141" i="3"/>
  <c r="D19" i="3" s="1"/>
  <c r="D139" i="3"/>
  <c r="D17" i="3" s="1"/>
  <c r="B147" i="3"/>
  <c r="C146" i="3"/>
  <c r="E146" i="3" s="1"/>
  <c r="C154" i="3" s="1"/>
  <c r="C185" i="3"/>
  <c r="C166" i="3"/>
  <c r="C182" i="3"/>
  <c r="C184" i="3" s="1"/>
  <c r="E70" i="3"/>
  <c r="E66" i="3"/>
  <c r="E113" i="3" s="1"/>
  <c r="D136" i="3"/>
  <c r="G56" i="3"/>
  <c r="G50" i="3"/>
  <c r="H50" i="3" s="1"/>
  <c r="H43" i="3"/>
  <c r="C187" i="3" l="1"/>
  <c r="C190" i="3" s="1"/>
  <c r="E73" i="3"/>
  <c r="F41" i="3"/>
  <c r="C147" i="3"/>
  <c r="E147" i="3" s="1"/>
  <c r="C155" i="3" s="1"/>
  <c r="B148" i="3"/>
  <c r="C148" i="3" s="1"/>
  <c r="E148" i="3" s="1"/>
  <c r="C156" i="3" s="1"/>
  <c r="D137" i="3"/>
  <c r="D15" i="3" s="1"/>
  <c r="D138" i="3"/>
  <c r="D16" i="3" s="1"/>
  <c r="G63" i="3"/>
  <c r="H63" i="3" s="1"/>
  <c r="H56" i="3"/>
  <c r="G57" i="3"/>
  <c r="E131" i="3" l="1"/>
  <c r="E127" i="3"/>
  <c r="E130" i="3"/>
  <c r="E76" i="3"/>
  <c r="E77" i="3" s="1"/>
  <c r="E78" i="3" s="1"/>
  <c r="E124" i="3"/>
  <c r="D174" i="3" s="1"/>
  <c r="E121" i="3"/>
  <c r="E105" i="3"/>
  <c r="E107" i="3" s="1"/>
  <c r="E128" i="3" s="1"/>
  <c r="E126" i="3"/>
  <c r="E125" i="3"/>
  <c r="E116" i="3"/>
  <c r="E117" i="3" s="1"/>
  <c r="E122" i="3"/>
  <c r="F81" i="3"/>
  <c r="F48" i="3"/>
  <c r="F129" i="3"/>
  <c r="G44" i="3"/>
  <c r="F45" i="3"/>
  <c r="C188" i="3"/>
  <c r="C189" i="3"/>
  <c r="G64" i="3"/>
  <c r="H64" i="3" s="1"/>
  <c r="H57" i="3"/>
  <c r="G70" i="3"/>
  <c r="H70" i="3" s="1"/>
  <c r="F52" i="3" l="1"/>
  <c r="F115" i="3"/>
  <c r="D175" i="3"/>
  <c r="D162" i="3" s="1"/>
  <c r="E132" i="3"/>
  <c r="E135" i="3" s="1"/>
  <c r="E139" i="3" s="1"/>
  <c r="E17" i="3" s="1"/>
  <c r="F55" i="3"/>
  <c r="D176" i="3"/>
  <c r="D178" i="3" s="1"/>
  <c r="D179" i="3" s="1"/>
  <c r="D163" i="3"/>
  <c r="D167" i="3" s="1"/>
  <c r="D161" i="3"/>
  <c r="F83" i="3"/>
  <c r="F114" i="3"/>
  <c r="F84" i="3"/>
  <c r="G51" i="3"/>
  <c r="H51" i="3" s="1"/>
  <c r="H44" i="3"/>
  <c r="G71" i="3"/>
  <c r="H71" i="3" s="1"/>
  <c r="G58" i="3" l="1"/>
  <c r="E133" i="3"/>
  <c r="B154" i="3" s="1"/>
  <c r="D154" i="3" s="1"/>
  <c r="E136" i="3"/>
  <c r="E140" i="3"/>
  <c r="E18" i="3" s="1"/>
  <c r="E141" i="3"/>
  <c r="E19" i="3" s="1"/>
  <c r="F59" i="3"/>
  <c r="F62" i="3"/>
  <c r="F66" i="3" s="1"/>
  <c r="F113" i="3" s="1"/>
  <c r="D182" i="3"/>
  <c r="D184" i="3" s="1"/>
  <c r="D166" i="3"/>
  <c r="D185" i="3"/>
  <c r="F85" i="3"/>
  <c r="F123" i="3"/>
  <c r="G65" i="3"/>
  <c r="H65" i="3" s="1"/>
  <c r="H58" i="3"/>
  <c r="D165" i="3"/>
  <c r="D169" i="3"/>
  <c r="D170" i="3" s="1"/>
  <c r="D171" i="3" s="1"/>
  <c r="G72" i="3" l="1"/>
  <c r="H72" i="3" s="1"/>
  <c r="F69" i="3"/>
  <c r="E137" i="3"/>
  <c r="E15" i="3" s="1"/>
  <c r="E138" i="3"/>
  <c r="E16" i="3" s="1"/>
  <c r="F111" i="3"/>
  <c r="F86" i="3"/>
  <c r="D187" i="3"/>
  <c r="D190" i="3" s="1"/>
  <c r="D188" i="3" l="1"/>
  <c r="D189" i="3" s="1"/>
  <c r="G41" i="3"/>
  <c r="F73" i="3"/>
  <c r="H41" i="3" l="1"/>
  <c r="H81" i="3" s="1"/>
  <c r="G45" i="3"/>
  <c r="H45" i="3" s="1"/>
  <c r="G129" i="3"/>
  <c r="G81" i="3"/>
  <c r="G48" i="3"/>
  <c r="G55" i="3"/>
  <c r="F130" i="3"/>
  <c r="F105" i="3"/>
  <c r="F107" i="3" s="1"/>
  <c r="F128" i="3" s="1"/>
  <c r="F124" i="3"/>
  <c r="E174" i="3" s="1"/>
  <c r="F126" i="3"/>
  <c r="F116" i="3"/>
  <c r="F117" i="3" s="1"/>
  <c r="F127" i="3"/>
  <c r="F131" i="3"/>
  <c r="F76" i="3"/>
  <c r="F77" i="3" s="1"/>
  <c r="F78" i="3" s="1"/>
  <c r="F125" i="3"/>
  <c r="F122" i="3"/>
  <c r="F121" i="3"/>
  <c r="G59" i="3" l="1"/>
  <c r="H59" i="3" s="1"/>
  <c r="G62" i="3"/>
  <c r="G69" i="3" s="1"/>
  <c r="H55" i="3"/>
  <c r="E176" i="3"/>
  <c r="E163" i="3"/>
  <c r="E167" i="3" s="1"/>
  <c r="G114" i="3"/>
  <c r="G83" i="3"/>
  <c r="G84" i="3"/>
  <c r="H84" i="3" s="1"/>
  <c r="E175" i="3"/>
  <c r="E162" i="3" s="1"/>
  <c r="F132" i="3"/>
  <c r="F135" i="3" s="1"/>
  <c r="F136" i="3" s="1"/>
  <c r="E178" i="3"/>
  <c r="E179" i="3" s="1"/>
  <c r="E161" i="3"/>
  <c r="G52" i="3"/>
  <c r="H52" i="3" s="1"/>
  <c r="G115" i="3"/>
  <c r="H48" i="3"/>
  <c r="F133" i="3" l="1"/>
  <c r="B155" i="3" s="1"/>
  <c r="D155" i="3" s="1"/>
  <c r="G73" i="3"/>
  <c r="H69" i="3"/>
  <c r="G85" i="3"/>
  <c r="H83" i="3"/>
  <c r="G123" i="3"/>
  <c r="G66" i="3"/>
  <c r="H62" i="3"/>
  <c r="F138" i="3"/>
  <c r="F16" i="3" s="1"/>
  <c r="F137" i="3"/>
  <c r="F15" i="3" s="1"/>
  <c r="F140" i="3"/>
  <c r="F18" i="3" s="1"/>
  <c r="F141" i="3"/>
  <c r="F19" i="3" s="1"/>
  <c r="E182" i="3"/>
  <c r="E184" i="3" s="1"/>
  <c r="E166" i="3"/>
  <c r="E185" i="3"/>
  <c r="F139" i="3"/>
  <c r="F17" i="3" s="1"/>
  <c r="E169" i="3"/>
  <c r="E170" i="3" s="1"/>
  <c r="E171" i="3" s="1"/>
  <c r="E165" i="3"/>
  <c r="H66" i="3" l="1"/>
  <c r="G113" i="3"/>
  <c r="G111" i="3"/>
  <c r="H85" i="3"/>
  <c r="G86" i="3"/>
  <c r="H86" i="3" s="1"/>
  <c r="E187" i="3"/>
  <c r="G124" i="3"/>
  <c r="F174" i="3" s="1"/>
  <c r="G76" i="3"/>
  <c r="G126" i="3"/>
  <c r="G105" i="3"/>
  <c r="G107" i="3" s="1"/>
  <c r="G130" i="3"/>
  <c r="G127" i="3"/>
  <c r="G122" i="3"/>
  <c r="G125" i="3"/>
  <c r="G131" i="3"/>
  <c r="G121" i="3"/>
  <c r="F175" i="3" s="1"/>
  <c r="F162" i="3" s="1"/>
  <c r="F182" i="3" s="1"/>
  <c r="F184" i="3" s="1"/>
  <c r="G116" i="3"/>
  <c r="H73" i="3"/>
  <c r="H105" i="3" s="1"/>
  <c r="F166" i="3" l="1"/>
  <c r="F185" i="3"/>
  <c r="F187" i="3" s="1"/>
  <c r="H76" i="3"/>
  <c r="G77" i="3"/>
  <c r="G117" i="3"/>
  <c r="E188" i="3"/>
  <c r="E189" i="3" s="1"/>
  <c r="H107" i="3"/>
  <c r="G128" i="3"/>
  <c r="G132" i="3" s="1"/>
  <c r="G135" i="3" s="1"/>
  <c r="G140" i="3" s="1"/>
  <c r="G18" i="3" s="1"/>
  <c r="H18" i="3" s="1"/>
  <c r="F163" i="3"/>
  <c r="F167" i="3" s="1"/>
  <c r="F176" i="3"/>
  <c r="F178" i="3" s="1"/>
  <c r="F161" i="3"/>
  <c r="E190" i="3"/>
  <c r="G133" i="3" l="1"/>
  <c r="B156" i="3" s="1"/>
  <c r="D156" i="3" s="1"/>
  <c r="F179" i="3"/>
  <c r="G136" i="3"/>
  <c r="G137" i="3" s="1"/>
  <c r="G15" i="3" s="1"/>
  <c r="H15" i="3" s="1"/>
  <c r="F169" i="3"/>
  <c r="F170" i="3" s="1"/>
  <c r="F171" i="3" s="1"/>
  <c r="F165" i="3"/>
  <c r="H77" i="3"/>
  <c r="G78" i="3"/>
  <c r="G139" i="3"/>
  <c r="G17" i="3" s="1"/>
  <c r="H17" i="3" s="1"/>
  <c r="F188" i="3"/>
  <c r="F189" i="3" s="1"/>
  <c r="F190" i="3"/>
  <c r="H78" i="3" l="1"/>
  <c r="G141" i="3"/>
  <c r="G19" i="3" s="1"/>
  <c r="H19" i="3" s="1"/>
  <c r="G138" i="3"/>
  <c r="G16" i="3" s="1"/>
  <c r="H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most important  single factor factor in the project to low cost of production</t>
        </r>
      </text>
    </comment>
    <comment ref="B12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try to reduce it, or produce at farm where its production cost can be Rs0.6/kg</t>
        </r>
      </text>
    </comment>
    <comment ref="E22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Actual cost to be worked out after selecting machinaries</t>
        </r>
      </text>
    </comment>
  </commentList>
</comments>
</file>

<file path=xl/sharedStrings.xml><?xml version="1.0" encoding="utf-8"?>
<sst xmlns="http://schemas.openxmlformats.org/spreadsheetml/2006/main" count="242" uniqueCount="202">
  <si>
    <t>Year-1</t>
  </si>
  <si>
    <t>Year-2</t>
  </si>
  <si>
    <t>Year-3</t>
  </si>
  <si>
    <t>Year-4</t>
  </si>
  <si>
    <t>Year-5</t>
  </si>
  <si>
    <t>AV.</t>
  </si>
  <si>
    <t>Total milk production (lit)</t>
  </si>
  <si>
    <t>Cow dung/animal unit</t>
  </si>
  <si>
    <t>Unit Cost (Rs.)</t>
  </si>
  <si>
    <t>Medicines &amp; AI etc.</t>
  </si>
  <si>
    <t>Insurance premium cows only</t>
  </si>
  <si>
    <t>Electricity charges@ 1200 /animal unit/year</t>
  </si>
  <si>
    <t>Other misc. charges@1200/animal unit</t>
  </si>
  <si>
    <t>Operating surplus (Total sale - Operational cost)</t>
  </si>
  <si>
    <t>YEAR</t>
  </si>
  <si>
    <t>Total</t>
  </si>
  <si>
    <t xml:space="preserve"> </t>
  </si>
  <si>
    <t>Rate Of Interest</t>
  </si>
  <si>
    <t>Interest</t>
  </si>
  <si>
    <t>RESULTS AT GLANCE:</t>
  </si>
  <si>
    <t>Owners Capital</t>
  </si>
  <si>
    <t>Expected Milk yield/Lactation</t>
  </si>
  <si>
    <t>Total number of expected lactations/year*</t>
  </si>
  <si>
    <t xml:space="preserve">F) NET PROFIT </t>
  </si>
  <si>
    <t>Loan</t>
  </si>
  <si>
    <t>Payments</t>
  </si>
  <si>
    <t>USING COMPUTER SIMULATED MODEL</t>
  </si>
  <si>
    <t>Average daily milk yield of cow purchased</t>
  </si>
  <si>
    <t>(CROS-BRED COWS DAIRY UNIT MODEL)</t>
  </si>
  <si>
    <t>a) Owners Capital (Rs)</t>
  </si>
  <si>
    <t>b) Loan Amount (Rs)</t>
  </si>
  <si>
    <t>Increase in Milk Production Over Previous Year in %</t>
  </si>
  <si>
    <t>Minus milk for feeding calves (lit)(300Lt/calf)</t>
  </si>
  <si>
    <t>Market price of cow considered on per liter average daily yield (Rs)</t>
  </si>
  <si>
    <t>Estimated cost/cow (Rs)</t>
  </si>
  <si>
    <t>Estimated capital Investment /cow unit (Rs)</t>
  </si>
  <si>
    <t>B) MILK PRODUCTION PROJECTIONS</t>
  </si>
  <si>
    <t>ii) Misc. Sales</t>
  </si>
  <si>
    <t>iii) Total Sales</t>
  </si>
  <si>
    <t>E) EXPECTED OPERATIONAL EXPENDITURE</t>
  </si>
  <si>
    <t>Purchase price of Green Fodder (Rs)/KG:</t>
  </si>
  <si>
    <t>Purchase price of Straw (Rs)/KG:</t>
  </si>
  <si>
    <t>Purchase price of Concentrate (Rs)/KG:</t>
  </si>
  <si>
    <t>D) EXECTED SALE PROCEEDS</t>
  </si>
  <si>
    <t>Size of the Dairy Unit (Cows)</t>
  </si>
  <si>
    <t>Milk available for sale (lit)</t>
  </si>
  <si>
    <t>Daily availability of milk for sale</t>
  </si>
  <si>
    <t>C) TECHNICAL PARAMETERS AND COST OF PURCHASED MATERIAL&amp;SALE PRICES CONSIDERED:</t>
  </si>
  <si>
    <t>Margin money (%)</t>
  </si>
  <si>
    <t>Loan (Rs) =</t>
  </si>
  <si>
    <t>H) BC RATIO</t>
  </si>
  <si>
    <t>J) LOAN DISBURSEMENT AND PAYMENT SCHEDULE</t>
  </si>
  <si>
    <t>3) BC RATIO</t>
  </si>
  <si>
    <t>Annual Increase in Feed Cost, Milk Selling prices &amp; wages %</t>
  </si>
  <si>
    <t>Contractual labor Wages /cow unit/year</t>
  </si>
  <si>
    <t>Rent/leasing cost for land for Shed etc /A.unit.</t>
  </si>
  <si>
    <t xml:space="preserve">Salary of supervisor/annum </t>
  </si>
  <si>
    <t xml:space="preserve">(b) Dep. On shed machinery &amp; Equipments </t>
  </si>
  <si>
    <t>Total Exp. (a+b)</t>
  </si>
  <si>
    <t>K) CASH BALANCE AFTER DEBT SERVICE</t>
  </si>
  <si>
    <t>Cash balance</t>
  </si>
  <si>
    <t>Ist year Unit Cost (Rs.)</t>
  </si>
  <si>
    <t>A) PRODUCTION PARAMETERS CONSIDERED AND LIVESTOCK STRENGTH</t>
  </si>
  <si>
    <t>*Average no of full lactation = no of calving (No.cows X 12 months / inter-calving period in months )</t>
  </si>
  <si>
    <t>Open.Surplus</t>
  </si>
  <si>
    <t>Installment</t>
  </si>
  <si>
    <t xml:space="preserve">TECHNO-ECONOMIC FEASIBILITY REPORT OF DAIRY FARMING UNIT </t>
  </si>
  <si>
    <t>NAME:</t>
  </si>
  <si>
    <t>ADDRESS OF ENTERPRENIOUR</t>
  </si>
  <si>
    <t>green fodder required annualy(ton)</t>
  </si>
  <si>
    <t>concentrate required annualy(ton)*</t>
  </si>
  <si>
    <t>Concentrate for milk production @ 2.5Kg/Lit</t>
  </si>
  <si>
    <t>all oil cakes(tons)</t>
  </si>
  <si>
    <t>mustard cake  for 3 months(Tons)</t>
  </si>
  <si>
    <t>mustard cake(3/4 of all cakes)tons</t>
  </si>
  <si>
    <t>wheat straw required annualy(tons)</t>
  </si>
  <si>
    <t>G. Fodder cost @ 40kg/animal unit</t>
  </si>
  <si>
    <t>average concentrate(kg) /animal unit</t>
  </si>
  <si>
    <t>average green fodder(kg)/animal/unit</t>
  </si>
  <si>
    <t>1)ESTIMATED CAPITAL REQUIRED (Rs)</t>
  </si>
  <si>
    <t>Number of manager/supervisor hired@1 per/100A.unit</t>
  </si>
  <si>
    <t xml:space="preserve">Total Supervisors   salary / annum  </t>
  </si>
  <si>
    <t xml:space="preserve">Supervisors   salary / annum (10% annual increase) </t>
  </si>
  <si>
    <t>I) Milk sale(rs)</t>
  </si>
  <si>
    <t xml:space="preserve">Animal unit sold (culled)  </t>
  </si>
  <si>
    <t xml:space="preserve">Insurance Claim of mortality </t>
  </si>
  <si>
    <t>Concentrate maintenance @1.5Kg/ani. unit</t>
  </si>
  <si>
    <t>average straw(Kg) /animal unit</t>
  </si>
  <si>
    <t>Finance for concentrate required annualy(Rs)</t>
  </si>
  <si>
    <t>Finance for green fodder required annualy(Rs)</t>
  </si>
  <si>
    <t>Finance for wheat straw required annualy(Rs)</t>
  </si>
  <si>
    <t>% of total operational cost</t>
  </si>
  <si>
    <t>Male calf (disposed of within 1-2 months)</t>
  </si>
  <si>
    <t>land required for fodder growing(acre)</t>
  </si>
  <si>
    <t>%of required fodder grown</t>
  </si>
  <si>
    <t xml:space="preserve"> silage feeding  of purchased fodder</t>
  </si>
  <si>
    <t>Green fodder replaced for silage (tons)</t>
  </si>
  <si>
    <t>animal unit at the end of year</t>
  </si>
  <si>
    <t>Total heifer at the start of year</t>
  </si>
  <si>
    <t>Conception rate%</t>
  </si>
  <si>
    <t>Mortalityyoung calf%</t>
  </si>
  <si>
    <t>Mortality heifer%</t>
  </si>
  <si>
    <t>culling rate heifer</t>
  </si>
  <si>
    <t>culling rate calf</t>
  </si>
  <si>
    <t>mortality adult</t>
  </si>
  <si>
    <t>inter calving period months</t>
  </si>
  <si>
    <t>one young calf equal to adult</t>
  </si>
  <si>
    <t>one growing calf(above 12 month)</t>
  </si>
  <si>
    <t>mortality detail</t>
  </si>
  <si>
    <t>stock after mortality</t>
  </si>
  <si>
    <t xml:space="preserve">Total lactating cows less mortality </t>
  </si>
  <si>
    <t xml:space="preserve">Total lactating heifers less mortality </t>
  </si>
  <si>
    <t xml:space="preserve">Totalcalves less mortality </t>
  </si>
  <si>
    <t>lactating cow</t>
  </si>
  <si>
    <t>heifer</t>
  </si>
  <si>
    <t>calf</t>
  </si>
  <si>
    <t>Total Growing calf(above 1Year)</t>
  </si>
  <si>
    <t>Total  growing calves(above 1 year) mortality</t>
  </si>
  <si>
    <t>Growing calves(above1 year)</t>
  </si>
  <si>
    <t>Growing calf (above1 year)</t>
  </si>
  <si>
    <t>Total unit culled</t>
  </si>
  <si>
    <t>Toal animal units at the end of year</t>
  </si>
  <si>
    <t>Total mortality(adult unit)</t>
  </si>
  <si>
    <t>total stock less  mortality</t>
  </si>
  <si>
    <t>Culling rate adult cow</t>
  </si>
  <si>
    <t>Total female  young calf brought/born of year</t>
  </si>
  <si>
    <t>initial  Total animal units at start (including calf born)</t>
  </si>
  <si>
    <t>culling rate growing calf (above 1 year)</t>
  </si>
  <si>
    <t>Mortality growing calf%(above 1 year)</t>
  </si>
  <si>
    <t>Total lactating cows  mortality(No)</t>
  </si>
  <si>
    <t>Total heifer mortality(No)</t>
  </si>
  <si>
    <t>Total Growing calfmortality(No}</t>
  </si>
  <si>
    <t>Total young calf mortality(No)</t>
  </si>
  <si>
    <t>Initial live stock</t>
  </si>
  <si>
    <t>Gain in animal unit</t>
  </si>
  <si>
    <t>value of gain animal unit</t>
  </si>
  <si>
    <t>Ib) COST OF MILK PRODUCTION (Rs)</t>
  </si>
  <si>
    <t>Ia) COST OF MILK PRODUCTION (Rs)with animal gain</t>
  </si>
  <si>
    <t>9) COST OF MILK PRODUCTION (Rs)with gained animal Nos</t>
  </si>
  <si>
    <t xml:space="preserve">10) COST OF MILK PRODUCTION (Rs) </t>
  </si>
  <si>
    <t>stock culled&amp;Sold</t>
  </si>
  <si>
    <t>final stock at the end of year</t>
  </si>
  <si>
    <t>Total lactating cows unitsat the start</t>
  </si>
  <si>
    <t>*Normally concentrateformulae  has 1/3 grains,1/3 oilcakes and 1/3 industrial by products</t>
  </si>
  <si>
    <t>FINANCE REQUIRED FOR FEEDING</t>
  </si>
  <si>
    <t>Land productivity/annum(qt) considered</t>
  </si>
  <si>
    <t>Accordingly calculated land required for fodder(acres)</t>
  </si>
  <si>
    <t>Accordingly land required for fodder growing(acre)</t>
  </si>
  <si>
    <t>Additional fodder for silage making loses (15%)</t>
  </si>
  <si>
    <t>Total fodder to be purcased(ton)/year</t>
  </si>
  <si>
    <t>Total fodder to be purcased for silage(ton)/year</t>
  </si>
  <si>
    <t>Total fodder for feeding (purchased)(ton)</t>
  </si>
  <si>
    <t>length calculation</t>
  </si>
  <si>
    <t>number of animals/row</t>
  </si>
  <si>
    <t>T. water  trough length (@5ft)</t>
  </si>
  <si>
    <t>Rate /sq feed  open paved area</t>
  </si>
  <si>
    <t>Rate/Sq ft covered area with fittings</t>
  </si>
  <si>
    <t xml:space="preserve">Space width/animal (ft) </t>
  </si>
  <si>
    <t>Standing place(ft)</t>
  </si>
  <si>
    <t>Feeding tractor trolley space(ft)</t>
  </si>
  <si>
    <t>backyard breadth(ft)</t>
  </si>
  <si>
    <t>height(ft)</t>
  </si>
  <si>
    <t>height at eves(ft)</t>
  </si>
  <si>
    <t>open space/side(ft)</t>
  </si>
  <si>
    <t>Shed breadth Exclding openspace(ft)</t>
  </si>
  <si>
    <t>shed breadth inclding openspace(ft)</t>
  </si>
  <si>
    <t>total space at entry and end(ft)</t>
  </si>
  <si>
    <t>Total length (ft)</t>
  </si>
  <si>
    <t>Area open(sq.ft)</t>
  </si>
  <si>
    <t>Cost covered area(Rs)</t>
  </si>
  <si>
    <t>Cost Open area(Rs)</t>
  </si>
  <si>
    <t>CoveredArea /shed(sq.ft)</t>
  </si>
  <si>
    <t>Number of sheds required</t>
  </si>
  <si>
    <t>Av.Total number of animal unit</t>
  </si>
  <si>
    <t>Total cost/shed (crore)</t>
  </si>
  <si>
    <t>Total Cost of sheds and paved open area(Crore Rs)</t>
  </si>
  <si>
    <t>Cost of livestock(crore)</t>
  </si>
  <si>
    <t>Total costs(crore)</t>
  </si>
  <si>
    <t>No of water troughs/side</t>
  </si>
  <si>
    <t>K)REQUIREMENTS OF FEED FODDER AND LAND REQUIREMENTS FOR FODDER CULTIVATION</t>
  </si>
  <si>
    <t xml:space="preserve">L)PROJECT COST CALCULATION </t>
  </si>
  <si>
    <t>Estimated total capital (Rs)Detai given belowAt L</t>
  </si>
  <si>
    <t>Estimated Housing +Equipments cost  (Rs),Detail below at "L"</t>
  </si>
  <si>
    <t>Milk Selling Price (Rs)/Lit. (av) :</t>
  </si>
  <si>
    <t>G) A)RETURN ON CAPITAL INVEST.( %)</t>
  </si>
  <si>
    <t>G) B)RETURN ON CAPITAL INVEST.( %)INCL ANI&gt;</t>
  </si>
  <si>
    <t>2a) RETURN ON CAPITAL INVEST. (%) (Excluding gain in animals)</t>
  </si>
  <si>
    <t>2b) RETURN ON CAPITAL INVEST. (%) (considering animal gain)</t>
  </si>
  <si>
    <t>NB:Figures in red can only be changed considering local conditions.PROGRAMMED BY DR. OBEROI</t>
  </si>
  <si>
    <t>`</t>
  </si>
  <si>
    <t>Straw @ 3Kg/animal unit</t>
  </si>
  <si>
    <t xml:space="preserve">(a) Total operating cost </t>
  </si>
  <si>
    <t>Cost of other structures(stores,offices etc /roads)  @10%(crore)</t>
  </si>
  <si>
    <t>Total Cost of structure and roads</t>
  </si>
  <si>
    <t>Cost of machinary(milking,feeding,cleaning etc)@20%of shed cost</t>
  </si>
  <si>
    <t>One heifer/cow</t>
  </si>
  <si>
    <t>Feeding manger(ft)</t>
  </si>
  <si>
    <t>Sheds breadth calculation</t>
  </si>
  <si>
    <t>a)Sheds area calculations:</t>
  </si>
  <si>
    <t>Area of one shed and Number of sheds and thire cost calculations:</t>
  </si>
  <si>
    <t>Other costs(consultancy,one month working capital etc)</t>
  </si>
  <si>
    <t>PROPOSED LOCATION OF PROJECT: ( Haryana)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</si>
</sst>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5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56"/>
      <name val="Arial"/>
      <family val="2"/>
    </font>
    <font>
      <b/>
      <u/>
      <sz val="10"/>
      <color indexed="56"/>
      <name val="Arial"/>
      <family val="2"/>
    </font>
    <font>
      <sz val="10"/>
      <color indexed="56"/>
      <name val="Arial"/>
      <family val="2"/>
    </font>
    <font>
      <b/>
      <i/>
      <sz val="10"/>
      <color indexed="56"/>
      <name val="Arial"/>
      <family val="2"/>
    </font>
    <font>
      <i/>
      <sz val="10"/>
      <color indexed="56"/>
      <name val="Arial"/>
      <family val="2"/>
    </font>
    <font>
      <b/>
      <u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56"/>
      <name val="Arial"/>
      <family val="2"/>
    </font>
    <font>
      <sz val="12"/>
      <color indexed="5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rgb="FF00206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u/>
      <sz val="10"/>
      <color rgb="FFC00000"/>
      <name val="Arial"/>
      <family val="2"/>
    </font>
    <font>
      <sz val="10"/>
      <color rgb="FFC00000"/>
      <name val="Arial"/>
      <family val="2"/>
    </font>
    <font>
      <sz val="12"/>
      <color rgb="FFC00000"/>
      <name val="Arial"/>
      <family val="2"/>
    </font>
    <font>
      <b/>
      <u/>
      <sz val="12"/>
      <color rgb="FFFF0000"/>
      <name val="Arial"/>
      <family val="2"/>
    </font>
    <font>
      <sz val="12"/>
      <color rgb="FFFF0000"/>
      <name val="Arial"/>
      <family val="2"/>
    </font>
    <font>
      <sz val="11"/>
      <color rgb="FF002060"/>
      <name val="Arial"/>
      <family val="2"/>
    </font>
    <font>
      <sz val="12"/>
      <color rgb="FF00B050"/>
      <name val="Arial"/>
      <family val="2"/>
    </font>
    <font>
      <b/>
      <i/>
      <sz val="11"/>
      <color rgb="FF002060"/>
      <name val="Arial"/>
      <family val="2"/>
    </font>
    <font>
      <b/>
      <sz val="10"/>
      <color rgb="FF00B050"/>
      <name val="Arial"/>
      <family val="2"/>
    </font>
    <font>
      <b/>
      <u/>
      <sz val="12"/>
      <color rgb="FF00B050"/>
      <name val="Arial"/>
      <family val="2"/>
    </font>
    <font>
      <b/>
      <sz val="11"/>
      <color rgb="FF00B050"/>
      <name val="Arial"/>
      <family val="2"/>
    </font>
    <font>
      <sz val="11"/>
      <color rgb="FF00B05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sz val="12"/>
      <color rgb="FF002060"/>
      <name val="Arial"/>
      <family val="2"/>
    </font>
    <font>
      <u/>
      <sz val="11"/>
      <color rgb="FF00B050"/>
      <name val="Arial"/>
      <family val="2"/>
    </font>
    <font>
      <b/>
      <u/>
      <sz val="11"/>
      <color rgb="FF0070C0"/>
      <name val="Arial"/>
      <family val="2"/>
    </font>
    <font>
      <b/>
      <u/>
      <sz val="16"/>
      <color rgb="FF00B050"/>
      <name val="Arial"/>
      <family val="2"/>
    </font>
    <font>
      <b/>
      <u/>
      <sz val="14"/>
      <color rgb="FFFF0000"/>
      <name val="Arial"/>
      <family val="2"/>
    </font>
    <font>
      <sz val="14"/>
      <color rgb="FFFF0000"/>
      <name val="Arial"/>
      <family val="2"/>
    </font>
    <font>
      <sz val="16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2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2" borderId="0" xfId="0" applyFont="1" applyFill="1" applyAlignment="1" applyProtection="1">
      <alignment horizontal="left"/>
      <protection hidden="1"/>
    </xf>
    <xf numFmtId="0" fontId="5" fillId="2" borderId="0" xfId="0" applyFont="1" applyFill="1" applyAlignment="1" applyProtection="1">
      <alignment horizontal="left"/>
      <protection hidden="1"/>
    </xf>
    <xf numFmtId="1" fontId="5" fillId="2" borderId="0" xfId="0" applyNumberFormat="1" applyFont="1" applyFill="1" applyAlignment="1" applyProtection="1">
      <alignment horizontal="left"/>
      <protection hidden="1"/>
    </xf>
    <xf numFmtId="2" fontId="5" fillId="2" borderId="0" xfId="0" applyNumberFormat="1" applyFont="1" applyFill="1" applyAlignment="1" applyProtection="1">
      <alignment horizontal="left"/>
      <protection hidden="1"/>
    </xf>
    <xf numFmtId="164" fontId="5" fillId="2" borderId="0" xfId="0" applyNumberFormat="1" applyFont="1" applyFill="1" applyAlignment="1" applyProtection="1">
      <alignment horizontal="left"/>
      <protection hidden="1"/>
    </xf>
    <xf numFmtId="1" fontId="3" fillId="2" borderId="0" xfId="0" applyNumberFormat="1" applyFont="1" applyFill="1" applyAlignment="1" applyProtection="1">
      <alignment horizontal="left"/>
      <protection hidden="1"/>
    </xf>
    <xf numFmtId="0" fontId="9" fillId="2" borderId="0" xfId="0" applyFont="1" applyFill="1" applyAlignment="1" applyProtection="1">
      <alignment horizontal="left"/>
      <protection hidden="1"/>
    </xf>
    <xf numFmtId="0" fontId="13" fillId="2" borderId="0" xfId="0" applyFont="1" applyFill="1" applyAlignment="1" applyProtection="1">
      <alignment horizontal="left"/>
      <protection hidden="1"/>
    </xf>
    <xf numFmtId="0" fontId="21" fillId="2" borderId="0" xfId="0" applyFont="1" applyFill="1" applyAlignment="1" applyProtection="1">
      <alignment horizontal="left"/>
      <protection hidden="1"/>
    </xf>
    <xf numFmtId="0" fontId="22" fillId="2" borderId="0" xfId="0" applyFont="1" applyFill="1" applyAlignment="1" applyProtection="1">
      <alignment horizontal="left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23" fillId="0" borderId="0" xfId="0" applyFont="1"/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4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4" fillId="3" borderId="5" xfId="0" applyFont="1" applyFill="1" applyBorder="1" applyAlignment="1" applyProtection="1">
      <alignment horizontal="left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6" fillId="3" borderId="0" xfId="0" applyFont="1" applyFill="1" applyAlignment="1" applyProtection="1">
      <alignment horizontal="left"/>
      <protection hidden="1"/>
    </xf>
    <xf numFmtId="0" fontId="4" fillId="3" borderId="2" xfId="0" applyFont="1" applyFill="1" applyBorder="1" applyAlignment="1" applyProtection="1">
      <alignment horizontal="left"/>
      <protection hidden="1"/>
    </xf>
    <xf numFmtId="0" fontId="3" fillId="3" borderId="5" xfId="0" applyFont="1" applyFill="1" applyBorder="1" applyAlignment="1" applyProtection="1">
      <alignment horizontal="left"/>
      <protection hidden="1"/>
    </xf>
    <xf numFmtId="3" fontId="14" fillId="3" borderId="0" xfId="0" applyNumberFormat="1" applyFont="1" applyFill="1" applyAlignment="1" applyProtection="1">
      <alignment horizontal="left"/>
      <protection hidden="1"/>
    </xf>
    <xf numFmtId="1" fontId="5" fillId="3" borderId="0" xfId="0" applyNumberFormat="1" applyFont="1" applyFill="1" applyAlignment="1" applyProtection="1">
      <alignment horizontal="left"/>
      <protection hidden="1"/>
    </xf>
    <xf numFmtId="2" fontId="5" fillId="3" borderId="0" xfId="0" applyNumberFormat="1" applyFont="1" applyFill="1" applyAlignment="1" applyProtection="1">
      <alignment horizontal="left"/>
      <protection hidden="1"/>
    </xf>
    <xf numFmtId="2" fontId="4" fillId="3" borderId="2" xfId="0" applyNumberFormat="1" applyFont="1" applyFill="1" applyBorder="1" applyAlignment="1" applyProtection="1">
      <alignment horizontal="left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4" borderId="5" xfId="0" applyFont="1" applyFill="1" applyBorder="1" applyAlignment="1" applyProtection="1">
      <alignment horizontal="left"/>
      <protection hidden="1"/>
    </xf>
    <xf numFmtId="0" fontId="5" fillId="4" borderId="0" xfId="0" applyFont="1" applyFill="1" applyAlignment="1" applyProtection="1">
      <alignment horizontal="left"/>
      <protection hidden="1"/>
    </xf>
    <xf numFmtId="0" fontId="8" fillId="4" borderId="0" xfId="0" applyFont="1" applyFill="1" applyAlignment="1" applyProtection="1">
      <alignment horizontal="left"/>
      <protection hidden="1"/>
    </xf>
    <xf numFmtId="0" fontId="5" fillId="4" borderId="2" xfId="0" applyFont="1" applyFill="1" applyBorder="1" applyAlignment="1" applyProtection="1">
      <alignment horizontal="left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left"/>
      <protection hidden="1"/>
    </xf>
    <xf numFmtId="0" fontId="3" fillId="5" borderId="5" xfId="0" applyFont="1" applyFill="1" applyBorder="1" applyAlignment="1" applyProtection="1">
      <alignment horizontal="left"/>
      <protection hidden="1"/>
    </xf>
    <xf numFmtId="0" fontId="5" fillId="5" borderId="0" xfId="0" applyFont="1" applyFill="1" applyAlignment="1" applyProtection="1">
      <alignment horizontal="left"/>
      <protection hidden="1"/>
    </xf>
    <xf numFmtId="2" fontId="5" fillId="5" borderId="2" xfId="0" applyNumberFormat="1" applyFont="1" applyFill="1" applyBorder="1" applyAlignment="1" applyProtection="1">
      <alignment horizontal="left"/>
      <protection hidden="1"/>
    </xf>
    <xf numFmtId="0" fontId="5" fillId="5" borderId="5" xfId="0" applyFont="1" applyFill="1" applyBorder="1" applyAlignment="1" applyProtection="1">
      <alignment horizontal="left"/>
      <protection hidden="1"/>
    </xf>
    <xf numFmtId="0" fontId="8" fillId="5" borderId="0" xfId="0" applyFont="1" applyFill="1" applyAlignment="1" applyProtection="1">
      <alignment horizontal="left"/>
      <protection hidden="1"/>
    </xf>
    <xf numFmtId="0" fontId="5" fillId="5" borderId="2" xfId="0" applyFont="1" applyFill="1" applyBorder="1" applyAlignment="1" applyProtection="1">
      <alignment horizontal="left"/>
      <protection hidden="1"/>
    </xf>
    <xf numFmtId="0" fontId="6" fillId="5" borderId="0" xfId="0" applyFont="1" applyFill="1" applyAlignment="1" applyProtection="1">
      <alignment horizontal="left"/>
      <protection hidden="1"/>
    </xf>
    <xf numFmtId="0" fontId="3" fillId="5" borderId="2" xfId="0" applyFont="1" applyFill="1" applyBorder="1" applyAlignment="1" applyProtection="1">
      <alignment horizontal="left"/>
      <protection hidden="1"/>
    </xf>
    <xf numFmtId="9" fontId="24" fillId="5" borderId="0" xfId="0" applyNumberFormat="1" applyFont="1" applyFill="1" applyAlignment="1" applyProtection="1">
      <alignment horizontal="left"/>
      <protection hidden="1"/>
    </xf>
    <xf numFmtId="10" fontId="5" fillId="5" borderId="2" xfId="0" applyNumberFormat="1" applyFont="1" applyFill="1" applyBorder="1" applyAlignment="1" applyProtection="1">
      <alignment horizontal="left"/>
      <protection hidden="1"/>
    </xf>
    <xf numFmtId="2" fontId="24" fillId="5" borderId="0" xfId="0" applyNumberFormat="1" applyFont="1" applyFill="1" applyAlignment="1" applyProtection="1">
      <alignment horizontal="left"/>
      <protection hidden="1"/>
    </xf>
    <xf numFmtId="165" fontId="1" fillId="5" borderId="0" xfId="0" applyNumberFormat="1" applyFont="1" applyFill="1" applyAlignment="1" applyProtection="1">
      <alignment horizontal="left"/>
      <protection hidden="1"/>
    </xf>
    <xf numFmtId="0" fontId="3" fillId="5" borderId="0" xfId="0" applyFont="1" applyFill="1" applyAlignment="1" applyProtection="1">
      <alignment horizontal="left"/>
      <protection hidden="1"/>
    </xf>
    <xf numFmtId="2" fontId="2" fillId="5" borderId="0" xfId="0" applyNumberFormat="1" applyFont="1" applyFill="1" applyAlignment="1" applyProtection="1">
      <alignment horizontal="left"/>
      <protection hidden="1"/>
    </xf>
    <xf numFmtId="0" fontId="3" fillId="5" borderId="6" xfId="0" applyFont="1" applyFill="1" applyBorder="1" applyAlignment="1" applyProtection="1">
      <alignment horizontal="left"/>
      <protection hidden="1"/>
    </xf>
    <xf numFmtId="10" fontId="5" fillId="5" borderId="7" xfId="0" applyNumberFormat="1" applyFont="1" applyFill="1" applyBorder="1" applyAlignment="1" applyProtection="1">
      <alignment horizontal="left"/>
      <protection hidden="1"/>
    </xf>
    <xf numFmtId="0" fontId="5" fillId="6" borderId="0" xfId="0" applyFont="1" applyFill="1" applyAlignment="1" applyProtection="1">
      <alignment horizontal="left"/>
      <protection hidden="1"/>
    </xf>
    <xf numFmtId="0" fontId="5" fillId="6" borderId="5" xfId="0" applyFont="1" applyFill="1" applyBorder="1" applyAlignment="1" applyProtection="1">
      <alignment horizontal="left"/>
      <protection hidden="1"/>
    </xf>
    <xf numFmtId="0" fontId="5" fillId="6" borderId="8" xfId="0" applyFont="1" applyFill="1" applyBorder="1" applyAlignment="1" applyProtection="1">
      <alignment horizontal="left"/>
      <protection hidden="1"/>
    </xf>
    <xf numFmtId="0" fontId="9" fillId="5" borderId="0" xfId="0" applyFont="1" applyFill="1" applyAlignment="1" applyProtection="1">
      <alignment horizontal="left"/>
      <protection hidden="1"/>
    </xf>
    <xf numFmtId="0" fontId="5" fillId="5" borderId="6" xfId="0" applyFont="1" applyFill="1" applyBorder="1" applyAlignment="1" applyProtection="1">
      <alignment horizontal="left"/>
      <protection hidden="1"/>
    </xf>
    <xf numFmtId="164" fontId="5" fillId="5" borderId="0" xfId="0" applyNumberFormat="1" applyFont="1" applyFill="1" applyAlignment="1" applyProtection="1">
      <alignment horizontal="left"/>
      <protection hidden="1"/>
    </xf>
    <xf numFmtId="164" fontId="5" fillId="5" borderId="2" xfId="0" applyNumberFormat="1" applyFont="1" applyFill="1" applyBorder="1" applyAlignment="1" applyProtection="1">
      <alignment horizontal="left"/>
      <protection hidden="1"/>
    </xf>
    <xf numFmtId="0" fontId="14" fillId="6" borderId="3" xfId="0" applyFont="1" applyFill="1" applyBorder="1" applyAlignment="1" applyProtection="1">
      <alignment horizontal="left"/>
      <protection hidden="1"/>
    </xf>
    <xf numFmtId="0" fontId="5" fillId="6" borderId="4" xfId="0" applyFont="1" applyFill="1" applyBorder="1" applyAlignment="1" applyProtection="1">
      <alignment horizontal="left"/>
      <protection hidden="1"/>
    </xf>
    <xf numFmtId="0" fontId="9" fillId="6" borderId="0" xfId="0" applyFont="1" applyFill="1" applyAlignment="1" applyProtection="1">
      <alignment horizontal="left"/>
      <protection hidden="1"/>
    </xf>
    <xf numFmtId="164" fontId="25" fillId="6" borderId="0" xfId="0" applyNumberFormat="1" applyFont="1" applyFill="1" applyAlignment="1" applyProtection="1">
      <alignment horizontal="left"/>
      <protection hidden="1"/>
    </xf>
    <xf numFmtId="164" fontId="25" fillId="6" borderId="2" xfId="0" applyNumberFormat="1" applyFont="1" applyFill="1" applyBorder="1" applyAlignment="1" applyProtection="1">
      <alignment horizontal="left"/>
      <protection hidden="1"/>
    </xf>
    <xf numFmtId="0" fontId="5" fillId="6" borderId="6" xfId="0" applyFont="1" applyFill="1" applyBorder="1" applyAlignment="1" applyProtection="1">
      <alignment horizontal="left"/>
      <protection hidden="1"/>
    </xf>
    <xf numFmtId="164" fontId="25" fillId="6" borderId="8" xfId="0" applyNumberFormat="1" applyFont="1" applyFill="1" applyBorder="1" applyAlignment="1" applyProtection="1">
      <alignment horizontal="left"/>
      <protection hidden="1"/>
    </xf>
    <xf numFmtId="164" fontId="25" fillId="6" borderId="7" xfId="0" applyNumberFormat="1" applyFont="1" applyFill="1" applyBorder="1" applyAlignment="1" applyProtection="1">
      <alignment horizontal="left"/>
      <protection hidden="1"/>
    </xf>
    <xf numFmtId="165" fontId="8" fillId="6" borderId="0" xfId="0" applyNumberFormat="1" applyFont="1" applyFill="1" applyAlignment="1" applyProtection="1">
      <alignment horizontal="left"/>
      <protection hidden="1"/>
    </xf>
    <xf numFmtId="164" fontId="5" fillId="6" borderId="0" xfId="0" applyNumberFormat="1" applyFont="1" applyFill="1" applyAlignment="1" applyProtection="1">
      <alignment horizontal="left"/>
      <protection hidden="1"/>
    </xf>
    <xf numFmtId="164" fontId="26" fillId="6" borderId="4" xfId="0" applyNumberFormat="1" applyFont="1" applyFill="1" applyBorder="1" applyAlignment="1" applyProtection="1">
      <alignment horizontal="left"/>
      <protection hidden="1"/>
    </xf>
    <xf numFmtId="164" fontId="27" fillId="6" borderId="4" xfId="0" applyNumberFormat="1" applyFont="1" applyFill="1" applyBorder="1" applyAlignment="1" applyProtection="1">
      <alignment horizontal="left"/>
      <protection hidden="1"/>
    </xf>
    <xf numFmtId="164" fontId="27" fillId="6" borderId="1" xfId="0" applyNumberFormat="1" applyFont="1" applyFill="1" applyBorder="1" applyAlignment="1" applyProtection="1">
      <alignment horizontal="left"/>
      <protection hidden="1"/>
    </xf>
    <xf numFmtId="164" fontId="27" fillId="6" borderId="5" xfId="0" applyNumberFormat="1" applyFont="1" applyFill="1" applyBorder="1" applyAlignment="1" applyProtection="1">
      <alignment horizontal="left"/>
      <protection hidden="1"/>
    </xf>
    <xf numFmtId="164" fontId="27" fillId="6" borderId="0" xfId="0" applyNumberFormat="1" applyFont="1" applyFill="1" applyAlignment="1" applyProtection="1">
      <alignment horizontal="left"/>
      <protection hidden="1"/>
    </xf>
    <xf numFmtId="164" fontId="27" fillId="6" borderId="2" xfId="0" applyNumberFormat="1" applyFont="1" applyFill="1" applyBorder="1" applyAlignment="1" applyProtection="1">
      <alignment horizontal="left"/>
      <protection hidden="1"/>
    </xf>
    <xf numFmtId="164" fontId="27" fillId="6" borderId="6" xfId="0" applyNumberFormat="1" applyFont="1" applyFill="1" applyBorder="1" applyAlignment="1" applyProtection="1">
      <alignment horizontal="left"/>
      <protection hidden="1"/>
    </xf>
    <xf numFmtId="164" fontId="27" fillId="6" borderId="8" xfId="0" applyNumberFormat="1" applyFont="1" applyFill="1" applyBorder="1" applyAlignment="1" applyProtection="1">
      <alignment horizontal="left"/>
      <protection hidden="1"/>
    </xf>
    <xf numFmtId="164" fontId="27" fillId="6" borderId="7" xfId="0" applyNumberFormat="1" applyFont="1" applyFill="1" applyBorder="1" applyAlignment="1" applyProtection="1">
      <alignment horizontal="left"/>
      <protection hidden="1"/>
    </xf>
    <xf numFmtId="164" fontId="5" fillId="6" borderId="4" xfId="0" applyNumberFormat="1" applyFont="1" applyFill="1" applyBorder="1" applyAlignment="1" applyProtection="1">
      <alignment horizontal="left"/>
      <protection hidden="1"/>
    </xf>
    <xf numFmtId="164" fontId="5" fillId="6" borderId="1" xfId="0" applyNumberFormat="1" applyFont="1" applyFill="1" applyBorder="1" applyAlignment="1" applyProtection="1">
      <alignment horizontal="left"/>
      <protection hidden="1"/>
    </xf>
    <xf numFmtId="164" fontId="5" fillId="6" borderId="2" xfId="0" applyNumberFormat="1" applyFont="1" applyFill="1" applyBorder="1" applyAlignment="1" applyProtection="1">
      <alignment horizontal="left"/>
      <protection hidden="1"/>
    </xf>
    <xf numFmtId="164" fontId="5" fillId="6" borderId="8" xfId="0" applyNumberFormat="1" applyFont="1" applyFill="1" applyBorder="1" applyAlignment="1" applyProtection="1">
      <alignment horizontal="left"/>
      <protection hidden="1"/>
    </xf>
    <xf numFmtId="164" fontId="5" fillId="6" borderId="7" xfId="0" applyNumberFormat="1" applyFont="1" applyFill="1" applyBorder="1" applyAlignment="1" applyProtection="1">
      <alignment horizontal="left"/>
      <protection hidden="1"/>
    </xf>
    <xf numFmtId="164" fontId="28" fillId="6" borderId="3" xfId="0" applyNumberFormat="1" applyFont="1" applyFill="1" applyBorder="1" applyAlignment="1" applyProtection="1">
      <alignment horizontal="left"/>
      <protection hidden="1"/>
    </xf>
    <xf numFmtId="0" fontId="5" fillId="7" borderId="4" xfId="0" applyFont="1" applyFill="1" applyBorder="1" applyAlignment="1" applyProtection="1">
      <alignment horizontal="left"/>
      <protection hidden="1"/>
    </xf>
    <xf numFmtId="164" fontId="5" fillId="7" borderId="4" xfId="0" applyNumberFormat="1" applyFont="1" applyFill="1" applyBorder="1" applyAlignment="1" applyProtection="1">
      <alignment horizontal="left"/>
      <protection hidden="1"/>
    </xf>
    <xf numFmtId="164" fontId="5" fillId="7" borderId="1" xfId="0" applyNumberFormat="1" applyFont="1" applyFill="1" applyBorder="1" applyAlignment="1" applyProtection="1">
      <alignment horizontal="left"/>
      <protection hidden="1"/>
    </xf>
    <xf numFmtId="0" fontId="5" fillId="7" borderId="5" xfId="0" applyFont="1" applyFill="1" applyBorder="1" applyAlignment="1" applyProtection="1">
      <alignment horizontal="left"/>
      <protection hidden="1"/>
    </xf>
    <xf numFmtId="9" fontId="9" fillId="7" borderId="0" xfId="0" applyNumberFormat="1" applyFont="1" applyFill="1" applyAlignment="1" applyProtection="1">
      <alignment horizontal="left"/>
      <protection hidden="1"/>
    </xf>
    <xf numFmtId="164" fontId="3" fillId="7" borderId="0" xfId="0" applyNumberFormat="1" applyFont="1" applyFill="1" applyAlignment="1" applyProtection="1">
      <alignment horizontal="left"/>
      <protection hidden="1"/>
    </xf>
    <xf numFmtId="164" fontId="3" fillId="7" borderId="2" xfId="0" applyNumberFormat="1" applyFont="1" applyFill="1" applyBorder="1" applyAlignment="1" applyProtection="1">
      <alignment horizontal="left"/>
      <protection hidden="1"/>
    </xf>
    <xf numFmtId="0" fontId="5" fillId="7" borderId="6" xfId="0" applyFont="1" applyFill="1" applyBorder="1" applyAlignment="1" applyProtection="1">
      <alignment horizontal="left"/>
      <protection hidden="1"/>
    </xf>
    <xf numFmtId="9" fontId="9" fillId="7" borderId="8" xfId="0" applyNumberFormat="1" applyFont="1" applyFill="1" applyBorder="1" applyAlignment="1" applyProtection="1">
      <alignment horizontal="left"/>
      <protection hidden="1"/>
    </xf>
    <xf numFmtId="1" fontId="3" fillId="7" borderId="8" xfId="0" applyNumberFormat="1" applyFont="1" applyFill="1" applyBorder="1" applyAlignment="1" applyProtection="1">
      <alignment horizontal="left"/>
      <protection hidden="1"/>
    </xf>
    <xf numFmtId="1" fontId="3" fillId="7" borderId="7" xfId="0" applyNumberFormat="1" applyFont="1" applyFill="1" applyBorder="1" applyAlignment="1" applyProtection="1">
      <alignment horizontal="left"/>
      <protection hidden="1"/>
    </xf>
    <xf numFmtId="0" fontId="14" fillId="7" borderId="3" xfId="0" applyFont="1" applyFill="1" applyBorder="1" applyAlignment="1" applyProtection="1">
      <alignment horizontal="left"/>
      <protection hidden="1"/>
    </xf>
    <xf numFmtId="0" fontId="29" fillId="4" borderId="0" xfId="0" applyFont="1" applyFill="1" applyAlignment="1" applyProtection="1">
      <alignment horizontal="left"/>
      <protection hidden="1"/>
    </xf>
    <xf numFmtId="0" fontId="30" fillId="8" borderId="5" xfId="0" applyFont="1" applyFill="1" applyBorder="1" applyAlignment="1" applyProtection="1">
      <alignment horizontal="left"/>
      <protection hidden="1"/>
    </xf>
    <xf numFmtId="0" fontId="4" fillId="5" borderId="3" xfId="0" applyFont="1" applyFill="1" applyBorder="1" applyAlignment="1" applyProtection="1">
      <alignment horizontal="left"/>
      <protection hidden="1"/>
    </xf>
    <xf numFmtId="1" fontId="9" fillId="5" borderId="4" xfId="0" applyNumberFormat="1" applyFont="1" applyFill="1" applyBorder="1" applyAlignment="1" applyProtection="1">
      <alignment horizontal="left"/>
      <protection hidden="1"/>
    </xf>
    <xf numFmtId="0" fontId="6" fillId="5" borderId="4" xfId="0" applyFont="1" applyFill="1" applyBorder="1" applyAlignment="1" applyProtection="1">
      <alignment horizontal="left"/>
      <protection hidden="1"/>
    </xf>
    <xf numFmtId="0" fontId="3" fillId="5" borderId="1" xfId="0" applyFont="1" applyFill="1" applyBorder="1" applyAlignment="1" applyProtection="1">
      <alignment horizontal="left"/>
      <protection hidden="1"/>
    </xf>
    <xf numFmtId="1" fontId="5" fillId="5" borderId="0" xfId="0" applyNumberFormat="1" applyFont="1" applyFill="1" applyAlignment="1" applyProtection="1">
      <alignment horizontal="left"/>
      <protection hidden="1"/>
    </xf>
    <xf numFmtId="1" fontId="5" fillId="5" borderId="2" xfId="0" applyNumberFormat="1" applyFont="1" applyFill="1" applyBorder="1" applyAlignment="1" applyProtection="1">
      <alignment horizontal="left"/>
      <protection hidden="1"/>
    </xf>
    <xf numFmtId="0" fontId="9" fillId="5" borderId="8" xfId="0" applyFont="1" applyFill="1" applyBorder="1" applyAlignment="1" applyProtection="1">
      <alignment horizontal="left"/>
      <protection hidden="1"/>
    </xf>
    <xf numFmtId="1" fontId="5" fillId="5" borderId="8" xfId="0" applyNumberFormat="1" applyFont="1" applyFill="1" applyBorder="1" applyAlignment="1" applyProtection="1">
      <alignment horizontal="left"/>
      <protection hidden="1"/>
    </xf>
    <xf numFmtId="1" fontId="5" fillId="5" borderId="7" xfId="0" applyNumberFormat="1" applyFont="1" applyFill="1" applyBorder="1" applyAlignment="1" applyProtection="1">
      <alignment horizontal="left"/>
      <protection hidden="1"/>
    </xf>
    <xf numFmtId="0" fontId="9" fillId="3" borderId="0" xfId="0" applyFont="1" applyFill="1" applyAlignment="1" applyProtection="1">
      <alignment horizontal="left"/>
      <protection hidden="1"/>
    </xf>
    <xf numFmtId="2" fontId="5" fillId="3" borderId="2" xfId="0" applyNumberFormat="1" applyFont="1" applyFill="1" applyBorder="1" applyAlignment="1" applyProtection="1">
      <alignment horizontal="left"/>
      <protection hidden="1"/>
    </xf>
    <xf numFmtId="0" fontId="9" fillId="3" borderId="8" xfId="0" applyFont="1" applyFill="1" applyBorder="1" applyAlignment="1" applyProtection="1">
      <alignment horizontal="left"/>
      <protection hidden="1"/>
    </xf>
    <xf numFmtId="1" fontId="5" fillId="3" borderId="8" xfId="0" applyNumberFormat="1" applyFont="1" applyFill="1" applyBorder="1" applyAlignment="1" applyProtection="1">
      <alignment horizontal="left"/>
      <protection hidden="1"/>
    </xf>
    <xf numFmtId="0" fontId="3" fillId="4" borderId="3" xfId="0" applyFont="1" applyFill="1" applyBorder="1" applyAlignment="1" applyProtection="1">
      <alignment horizontal="left"/>
      <protection hidden="1"/>
    </xf>
    <xf numFmtId="0" fontId="9" fillId="4" borderId="4" xfId="0" applyFont="1" applyFill="1" applyBorder="1" applyAlignment="1" applyProtection="1">
      <alignment horizontal="left"/>
      <protection hidden="1"/>
    </xf>
    <xf numFmtId="1" fontId="8" fillId="4" borderId="0" xfId="0" applyNumberFormat="1" applyFont="1" applyFill="1" applyAlignment="1" applyProtection="1">
      <alignment horizontal="left"/>
      <protection hidden="1"/>
    </xf>
    <xf numFmtId="1" fontId="5" fillId="4" borderId="0" xfId="0" applyNumberFormat="1" applyFont="1" applyFill="1" applyAlignment="1" applyProtection="1">
      <alignment horizontal="left"/>
      <protection hidden="1"/>
    </xf>
    <xf numFmtId="0" fontId="24" fillId="4" borderId="5" xfId="0" applyFont="1" applyFill="1" applyBorder="1" applyAlignment="1" applyProtection="1">
      <alignment horizontal="left"/>
      <protection hidden="1"/>
    </xf>
    <xf numFmtId="1" fontId="5" fillId="4" borderId="8" xfId="0" applyNumberFormat="1" applyFont="1" applyFill="1" applyBorder="1" applyAlignment="1" applyProtection="1">
      <alignment horizontal="left"/>
      <protection hidden="1"/>
    </xf>
    <xf numFmtId="0" fontId="5" fillId="4" borderId="7" xfId="0" applyFont="1" applyFill="1" applyBorder="1" applyAlignment="1" applyProtection="1">
      <alignment horizontal="left"/>
      <protection hidden="1"/>
    </xf>
    <xf numFmtId="2" fontId="6" fillId="3" borderId="0" xfId="0" applyNumberFormat="1" applyFont="1" applyFill="1" applyAlignment="1" applyProtection="1">
      <alignment horizontal="left"/>
      <protection hidden="1"/>
    </xf>
    <xf numFmtId="2" fontId="4" fillId="3" borderId="0" xfId="0" applyNumberFormat="1" applyFont="1" applyFill="1" applyAlignment="1" applyProtection="1">
      <alignment horizontal="left"/>
      <protection hidden="1"/>
    </xf>
    <xf numFmtId="2" fontId="8" fillId="3" borderId="0" xfId="0" applyNumberFormat="1" applyFont="1" applyFill="1" applyAlignment="1" applyProtection="1">
      <alignment horizontal="left"/>
      <protection hidden="1"/>
    </xf>
    <xf numFmtId="1" fontId="4" fillId="3" borderId="0" xfId="0" applyNumberFormat="1" applyFont="1" applyFill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1" fontId="5" fillId="3" borderId="2" xfId="0" applyNumberFormat="1" applyFont="1" applyFill="1" applyBorder="1" applyAlignment="1" applyProtection="1">
      <alignment horizontal="left"/>
      <protection hidden="1"/>
    </xf>
    <xf numFmtId="1" fontId="4" fillId="3" borderId="2" xfId="0" applyNumberFormat="1" applyFont="1" applyFill="1" applyBorder="1" applyAlignment="1" applyProtection="1">
      <alignment horizontal="left"/>
      <protection hidden="1"/>
    </xf>
    <xf numFmtId="1" fontId="5" fillId="3" borderId="7" xfId="0" applyNumberFormat="1" applyFont="1" applyFill="1" applyBorder="1" applyAlignment="1" applyProtection="1">
      <alignment horizontal="left"/>
      <protection hidden="1"/>
    </xf>
    <xf numFmtId="0" fontId="3" fillId="5" borderId="3" xfId="0" applyFont="1" applyFill="1" applyBorder="1" applyAlignment="1" applyProtection="1">
      <alignment horizontal="left"/>
      <protection hidden="1"/>
    </xf>
    <xf numFmtId="0" fontId="9" fillId="5" borderId="4" xfId="0" applyFont="1" applyFill="1" applyBorder="1" applyAlignment="1" applyProtection="1">
      <alignment horizontal="left"/>
      <protection hidden="1"/>
    </xf>
    <xf numFmtId="1" fontId="5" fillId="5" borderId="4" xfId="0" applyNumberFormat="1" applyFont="1" applyFill="1" applyBorder="1" applyAlignment="1" applyProtection="1">
      <alignment horizontal="left"/>
      <protection hidden="1"/>
    </xf>
    <xf numFmtId="1" fontId="5" fillId="5" borderId="1" xfId="0" applyNumberFormat="1" applyFont="1" applyFill="1" applyBorder="1" applyAlignment="1" applyProtection="1">
      <alignment horizontal="left"/>
      <protection hidden="1"/>
    </xf>
    <xf numFmtId="0" fontId="4" fillId="5" borderId="5" xfId="0" applyFont="1" applyFill="1" applyBorder="1" applyAlignment="1" applyProtection="1">
      <alignment horizontal="left"/>
      <protection hidden="1"/>
    </xf>
    <xf numFmtId="0" fontId="11" fillId="5" borderId="0" xfId="0" applyFont="1" applyFill="1" applyAlignment="1" applyProtection="1">
      <alignment horizontal="left"/>
      <protection hidden="1"/>
    </xf>
    <xf numFmtId="1" fontId="6" fillId="5" borderId="0" xfId="0" applyNumberFormat="1" applyFont="1" applyFill="1" applyAlignment="1" applyProtection="1">
      <alignment horizontal="left"/>
      <protection hidden="1"/>
    </xf>
    <xf numFmtId="0" fontId="12" fillId="5" borderId="0" xfId="0" applyFont="1" applyFill="1" applyAlignment="1" applyProtection="1">
      <alignment horizontal="left"/>
      <protection hidden="1"/>
    </xf>
    <xf numFmtId="1" fontId="12" fillId="5" borderId="0" xfId="0" applyNumberFormat="1" applyFont="1" applyFill="1" applyAlignment="1" applyProtection="1">
      <alignment horizontal="left"/>
      <protection hidden="1"/>
    </xf>
    <xf numFmtId="3" fontId="12" fillId="5" borderId="0" xfId="0" applyNumberFormat="1" applyFont="1" applyFill="1" applyAlignment="1" applyProtection="1">
      <alignment horizontal="left"/>
      <protection locked="0"/>
    </xf>
    <xf numFmtId="0" fontId="12" fillId="5" borderId="8" xfId="0" applyFont="1" applyFill="1" applyBorder="1" applyAlignment="1" applyProtection="1">
      <alignment horizontal="left"/>
      <protection hidden="1"/>
    </xf>
    <xf numFmtId="0" fontId="5" fillId="5" borderId="7" xfId="0" applyFont="1" applyFill="1" applyBorder="1" applyAlignment="1" applyProtection="1">
      <alignment horizontal="left"/>
      <protection hidden="1"/>
    </xf>
    <xf numFmtId="0" fontId="5" fillId="4" borderId="4" xfId="0" applyFont="1" applyFill="1" applyBorder="1" applyAlignment="1" applyProtection="1">
      <alignment horizontal="left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0" fontId="11" fillId="4" borderId="0" xfId="0" applyFont="1" applyFill="1" applyAlignment="1" applyProtection="1">
      <alignment horizontal="left"/>
      <protection hidden="1"/>
    </xf>
    <xf numFmtId="0" fontId="12" fillId="4" borderId="0" xfId="0" applyFont="1" applyFill="1" applyAlignment="1" applyProtection="1">
      <alignment horizontal="left"/>
      <protection hidden="1"/>
    </xf>
    <xf numFmtId="0" fontId="12" fillId="4" borderId="8" xfId="0" applyFont="1" applyFill="1" applyBorder="1" applyAlignment="1" applyProtection="1">
      <alignment horizontal="left"/>
      <protection hidden="1"/>
    </xf>
    <xf numFmtId="0" fontId="5" fillId="2" borderId="4" xfId="0" applyFont="1" applyFill="1" applyBorder="1" applyAlignment="1" applyProtection="1">
      <alignment horizontal="left"/>
      <protection hidden="1"/>
    </xf>
    <xf numFmtId="0" fontId="4" fillId="2" borderId="5" xfId="0" applyFont="1" applyFill="1" applyBorder="1" applyAlignment="1" applyProtection="1">
      <alignment horizontal="left"/>
      <protection hidden="1"/>
    </xf>
    <xf numFmtId="0" fontId="31" fillId="2" borderId="5" xfId="0" applyFont="1" applyFill="1" applyBorder="1" applyAlignment="1" applyProtection="1">
      <alignment horizontal="left"/>
      <protection hidden="1"/>
    </xf>
    <xf numFmtId="164" fontId="31" fillId="2" borderId="0" xfId="0" applyNumberFormat="1" applyFont="1" applyFill="1" applyAlignment="1" applyProtection="1">
      <alignment horizontal="left"/>
      <protection hidden="1"/>
    </xf>
    <xf numFmtId="164" fontId="31" fillId="2" borderId="2" xfId="0" applyNumberFormat="1" applyFont="1" applyFill="1" applyBorder="1" applyAlignment="1" applyProtection="1">
      <alignment horizontal="left"/>
      <protection hidden="1"/>
    </xf>
    <xf numFmtId="0" fontId="32" fillId="2" borderId="5" xfId="0" applyFont="1" applyFill="1" applyBorder="1" applyAlignment="1" applyProtection="1">
      <alignment horizontal="left"/>
      <protection hidden="1"/>
    </xf>
    <xf numFmtId="2" fontId="32" fillId="2" borderId="0" xfId="0" applyNumberFormat="1" applyFont="1" applyFill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1" fontId="33" fillId="2" borderId="0" xfId="0" applyNumberFormat="1" applyFont="1" applyFill="1" applyAlignment="1" applyProtection="1">
      <alignment horizontal="left"/>
      <protection hidden="1"/>
    </xf>
    <xf numFmtId="1" fontId="33" fillId="2" borderId="2" xfId="0" applyNumberFormat="1" applyFont="1" applyFill="1" applyBorder="1" applyAlignment="1" applyProtection="1">
      <alignment horizontal="left"/>
      <protection hidden="1"/>
    </xf>
    <xf numFmtId="1" fontId="31" fillId="2" borderId="0" xfId="0" applyNumberFormat="1" applyFont="1" applyFill="1" applyAlignment="1" applyProtection="1">
      <alignment horizontal="left"/>
      <protection hidden="1"/>
    </xf>
    <xf numFmtId="1" fontId="31" fillId="2" borderId="2" xfId="0" applyNumberFormat="1" applyFont="1" applyFill="1" applyBorder="1" applyAlignment="1" applyProtection="1">
      <alignment horizontal="left"/>
      <protection hidden="1"/>
    </xf>
    <xf numFmtId="0" fontId="34" fillId="2" borderId="5" xfId="0" applyFont="1" applyFill="1" applyBorder="1" applyAlignment="1" applyProtection="1">
      <alignment horizontal="left"/>
      <protection hidden="1"/>
    </xf>
    <xf numFmtId="3" fontId="34" fillId="2" borderId="0" xfId="0" applyNumberFormat="1" applyFont="1" applyFill="1" applyAlignment="1" applyProtection="1">
      <alignment horizontal="left"/>
      <protection hidden="1"/>
    </xf>
    <xf numFmtId="3" fontId="34" fillId="2" borderId="2" xfId="0" applyNumberFormat="1" applyFont="1" applyFill="1" applyBorder="1" applyAlignment="1" applyProtection="1">
      <alignment horizontal="left"/>
      <protection hidden="1"/>
    </xf>
    <xf numFmtId="2" fontId="34" fillId="2" borderId="0" xfId="0" applyNumberFormat="1" applyFont="1" applyFill="1" applyAlignment="1" applyProtection="1">
      <alignment horizontal="left"/>
      <protection hidden="1"/>
    </xf>
    <xf numFmtId="2" fontId="34" fillId="2" borderId="2" xfId="0" applyNumberFormat="1" applyFont="1" applyFill="1" applyBorder="1" applyAlignment="1" applyProtection="1">
      <alignment horizontal="left"/>
      <protection hidden="1"/>
    </xf>
    <xf numFmtId="0" fontId="35" fillId="2" borderId="3" xfId="0" applyFont="1" applyFill="1" applyBorder="1" applyAlignment="1" applyProtection="1">
      <alignment horizontal="left"/>
      <protection hidden="1"/>
    </xf>
    <xf numFmtId="0" fontId="31" fillId="2" borderId="3" xfId="0" applyFont="1" applyFill="1" applyBorder="1" applyAlignment="1" applyProtection="1">
      <alignment horizontal="left"/>
      <protection hidden="1"/>
    </xf>
    <xf numFmtId="0" fontId="31" fillId="2" borderId="4" xfId="0" applyFont="1" applyFill="1" applyBorder="1" applyAlignment="1" applyProtection="1">
      <alignment horizontal="left"/>
      <protection hidden="1"/>
    </xf>
    <xf numFmtId="0" fontId="31" fillId="2" borderId="1" xfId="0" applyFont="1" applyFill="1" applyBorder="1" applyAlignment="1" applyProtection="1">
      <alignment horizontal="left"/>
      <protection hidden="1"/>
    </xf>
    <xf numFmtId="0" fontId="31" fillId="2" borderId="6" xfId="0" applyFont="1" applyFill="1" applyBorder="1" applyAlignment="1" applyProtection="1">
      <alignment horizontal="left"/>
      <protection hidden="1"/>
    </xf>
    <xf numFmtId="164" fontId="31" fillId="2" borderId="8" xfId="0" applyNumberFormat="1" applyFont="1" applyFill="1" applyBorder="1" applyAlignment="1" applyProtection="1">
      <alignment horizontal="left"/>
      <protection hidden="1"/>
    </xf>
    <xf numFmtId="164" fontId="31" fillId="2" borderId="7" xfId="0" applyNumberFormat="1" applyFont="1" applyFill="1" applyBorder="1" applyAlignment="1" applyProtection="1">
      <alignment horizontal="left"/>
      <protection hidden="1"/>
    </xf>
    <xf numFmtId="0" fontId="13" fillId="2" borderId="3" xfId="0" applyFont="1" applyFill="1" applyBorder="1" applyAlignment="1" applyProtection="1">
      <alignment horizontal="left"/>
      <protection hidden="1"/>
    </xf>
    <xf numFmtId="0" fontId="13" fillId="2" borderId="4" xfId="0" applyFont="1" applyFill="1" applyBorder="1" applyAlignment="1" applyProtection="1">
      <alignment horizontal="left"/>
      <protection hidden="1"/>
    </xf>
    <xf numFmtId="0" fontId="13" fillId="2" borderId="1" xfId="0" applyFont="1" applyFill="1" applyBorder="1" applyAlignment="1" applyProtection="1">
      <alignment horizontal="left"/>
      <protection hidden="1"/>
    </xf>
    <xf numFmtId="0" fontId="36" fillId="2" borderId="5" xfId="0" applyFont="1" applyFill="1" applyBorder="1" applyAlignment="1" applyProtection="1">
      <alignment horizontal="left"/>
      <protection hidden="1"/>
    </xf>
    <xf numFmtId="0" fontId="37" fillId="2" borderId="5" xfId="0" applyFont="1" applyFill="1" applyBorder="1" applyAlignment="1" applyProtection="1">
      <alignment horizontal="left"/>
      <protection hidden="1"/>
    </xf>
    <xf numFmtId="2" fontId="38" fillId="2" borderId="0" xfId="0" applyNumberFormat="1" applyFont="1" applyFill="1" applyAlignment="1" applyProtection="1">
      <alignment horizontal="left"/>
      <protection hidden="1"/>
    </xf>
    <xf numFmtId="9" fontId="38" fillId="2" borderId="0" xfId="0" applyNumberFormat="1" applyFont="1" applyFill="1" applyAlignment="1" applyProtection="1">
      <alignment horizontal="left"/>
      <protection hidden="1"/>
    </xf>
    <xf numFmtId="1" fontId="39" fillId="2" borderId="0" xfId="0" applyNumberFormat="1" applyFont="1" applyFill="1" applyAlignment="1" applyProtection="1">
      <alignment horizontal="left"/>
      <protection hidden="1"/>
    </xf>
    <xf numFmtId="1" fontId="40" fillId="2" borderId="0" xfId="0" applyNumberFormat="1" applyFont="1" applyFill="1" applyAlignment="1" applyProtection="1">
      <alignment horizontal="left"/>
      <protection hidden="1"/>
    </xf>
    <xf numFmtId="0" fontId="41" fillId="2" borderId="5" xfId="0" applyFont="1" applyFill="1" applyBorder="1" applyAlignment="1" applyProtection="1">
      <alignment horizontal="left"/>
      <protection hidden="1"/>
    </xf>
    <xf numFmtId="1" fontId="42" fillId="2" borderId="0" xfId="0" applyNumberFormat="1" applyFont="1" applyFill="1" applyAlignment="1" applyProtection="1">
      <alignment horizontal="left"/>
      <protection hidden="1"/>
    </xf>
    <xf numFmtId="0" fontId="43" fillId="2" borderId="3" xfId="0" applyFont="1" applyFill="1" applyBorder="1" applyAlignment="1" applyProtection="1">
      <alignment horizontal="left"/>
      <protection hidden="1"/>
    </xf>
    <xf numFmtId="2" fontId="43" fillId="2" borderId="4" xfId="0" applyNumberFormat="1" applyFont="1" applyFill="1" applyBorder="1" applyAlignment="1" applyProtection="1">
      <alignment horizontal="left"/>
      <protection hidden="1"/>
    </xf>
    <xf numFmtId="2" fontId="34" fillId="2" borderId="4" xfId="0" applyNumberFormat="1" applyFont="1" applyFill="1" applyBorder="1" applyAlignment="1" applyProtection="1">
      <alignment horizontal="left"/>
      <protection hidden="1"/>
    </xf>
    <xf numFmtId="2" fontId="34" fillId="2" borderId="1" xfId="0" applyNumberFormat="1" applyFont="1" applyFill="1" applyBorder="1" applyAlignment="1" applyProtection="1">
      <alignment horizontal="left"/>
      <protection hidden="1"/>
    </xf>
    <xf numFmtId="1" fontId="40" fillId="2" borderId="2" xfId="0" applyNumberFormat="1" applyFont="1" applyFill="1" applyBorder="1" applyAlignment="1" applyProtection="1">
      <alignment horizontal="left"/>
      <protection hidden="1"/>
    </xf>
    <xf numFmtId="9" fontId="38" fillId="2" borderId="2" xfId="0" applyNumberFormat="1" applyFont="1" applyFill="1" applyBorder="1" applyAlignment="1" applyProtection="1">
      <alignment horizontal="left"/>
      <protection hidden="1"/>
    </xf>
    <xf numFmtId="1" fontId="42" fillId="2" borderId="2" xfId="0" applyNumberFormat="1" applyFont="1" applyFill="1" applyBorder="1" applyAlignment="1" applyProtection="1">
      <alignment horizontal="left"/>
      <protection hidden="1"/>
    </xf>
    <xf numFmtId="1" fontId="39" fillId="2" borderId="2" xfId="0" applyNumberFormat="1" applyFont="1" applyFill="1" applyBorder="1" applyAlignment="1" applyProtection="1">
      <alignment horizontal="left"/>
      <protection hidden="1"/>
    </xf>
    <xf numFmtId="0" fontId="44" fillId="2" borderId="0" xfId="0" applyFont="1" applyFill="1" applyAlignment="1" applyProtection="1">
      <alignment horizontal="left"/>
      <protection hidden="1"/>
    </xf>
    <xf numFmtId="0" fontId="45" fillId="2" borderId="0" xfId="0" applyFont="1" applyFill="1" applyAlignment="1" applyProtection="1">
      <alignment horizontal="left"/>
      <protection hidden="1"/>
    </xf>
    <xf numFmtId="0" fontId="37" fillId="2" borderId="6" xfId="0" applyFont="1" applyFill="1" applyBorder="1" applyAlignment="1" applyProtection="1">
      <alignment horizontal="left"/>
      <protection hidden="1"/>
    </xf>
    <xf numFmtId="1" fontId="39" fillId="2" borderId="8" xfId="0" applyNumberFormat="1" applyFont="1" applyFill="1" applyBorder="1" applyAlignment="1" applyProtection="1">
      <alignment horizontal="left"/>
      <protection hidden="1"/>
    </xf>
    <xf numFmtId="1" fontId="39" fillId="2" borderId="7" xfId="0" applyNumberFormat="1" applyFont="1" applyFill="1" applyBorder="1" applyAlignment="1" applyProtection="1">
      <alignment horizontal="left"/>
      <protection hidden="1"/>
    </xf>
    <xf numFmtId="0" fontId="23" fillId="0" borderId="5" xfId="0" applyFont="1" applyBorder="1"/>
    <xf numFmtId="2" fontId="23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46" fillId="0" borderId="2" xfId="0" applyFont="1" applyBorder="1" applyAlignment="1">
      <alignment horizontal="left"/>
    </xf>
    <xf numFmtId="164" fontId="13" fillId="2" borderId="2" xfId="0" applyNumberFormat="1" applyFont="1" applyFill="1" applyBorder="1" applyAlignment="1" applyProtection="1">
      <alignment horizontal="left"/>
      <protection hidden="1"/>
    </xf>
    <xf numFmtId="164" fontId="23" fillId="0" borderId="2" xfId="0" applyNumberFormat="1" applyFont="1" applyBorder="1" applyAlignment="1">
      <alignment horizontal="left"/>
    </xf>
    <xf numFmtId="2" fontId="3" fillId="3" borderId="0" xfId="0" applyNumberFormat="1" applyFont="1" applyFill="1" applyAlignment="1" applyProtection="1">
      <alignment horizontal="left"/>
      <protection hidden="1"/>
    </xf>
    <xf numFmtId="0" fontId="9" fillId="3" borderId="4" xfId="0" applyFont="1" applyFill="1" applyBorder="1" applyAlignment="1" applyProtection="1">
      <alignment horizontal="left"/>
      <protection hidden="1"/>
    </xf>
    <xf numFmtId="2" fontId="5" fillId="3" borderId="4" xfId="0" applyNumberFormat="1" applyFont="1" applyFill="1" applyBorder="1" applyAlignment="1" applyProtection="1">
      <alignment horizontal="left"/>
      <protection hidden="1"/>
    </xf>
    <xf numFmtId="2" fontId="5" fillId="3" borderId="1" xfId="0" applyNumberFormat="1" applyFont="1" applyFill="1" applyBorder="1" applyAlignment="1" applyProtection="1">
      <alignment horizontal="left"/>
      <protection hidden="1"/>
    </xf>
    <xf numFmtId="1" fontId="8" fillId="3" borderId="0" xfId="0" applyNumberFormat="1" applyFont="1" applyFill="1" applyAlignment="1" applyProtection="1">
      <alignment horizontal="left"/>
      <protection hidden="1"/>
    </xf>
    <xf numFmtId="0" fontId="24" fillId="3" borderId="5" xfId="0" applyFont="1" applyFill="1" applyBorder="1" applyAlignment="1" applyProtection="1">
      <alignment horizontal="left"/>
      <protection hidden="1"/>
    </xf>
    <xf numFmtId="1" fontId="21" fillId="3" borderId="0" xfId="0" applyNumberFormat="1" applyFont="1" applyFill="1" applyAlignment="1" applyProtection="1">
      <alignment horizontal="left"/>
      <protection hidden="1"/>
    </xf>
    <xf numFmtId="0" fontId="5" fillId="3" borderId="2" xfId="0" applyFont="1" applyFill="1" applyBorder="1" applyAlignment="1" applyProtection="1">
      <alignment horizontal="left"/>
      <protection hidden="1"/>
    </xf>
    <xf numFmtId="1" fontId="10" fillId="3" borderId="0" xfId="0" applyNumberFormat="1" applyFont="1" applyFill="1" applyAlignment="1" applyProtection="1">
      <alignment horizontal="left"/>
      <protection hidden="1"/>
    </xf>
    <xf numFmtId="0" fontId="14" fillId="6" borderId="5" xfId="0" applyFont="1" applyFill="1" applyBorder="1" applyAlignment="1" applyProtection="1">
      <alignment horizontal="left"/>
      <protection hidden="1"/>
    </xf>
    <xf numFmtId="0" fontId="5" fillId="6" borderId="2" xfId="0" applyFont="1" applyFill="1" applyBorder="1" applyAlignment="1" applyProtection="1">
      <alignment horizontal="left"/>
      <protection hidden="1"/>
    </xf>
    <xf numFmtId="1" fontId="7" fillId="5" borderId="0" xfId="0" applyNumberFormat="1" applyFont="1" applyFill="1" applyAlignment="1" applyProtection="1">
      <alignment horizontal="left"/>
      <protection hidden="1"/>
    </xf>
    <xf numFmtId="1" fontId="47" fillId="5" borderId="0" xfId="0" applyNumberFormat="1" applyFont="1" applyFill="1" applyAlignment="1" applyProtection="1">
      <alignment horizontal="left"/>
      <protection hidden="1"/>
    </xf>
    <xf numFmtId="0" fontId="5" fillId="5" borderId="4" xfId="0" applyFont="1" applyFill="1" applyBorder="1" applyAlignment="1" applyProtection="1">
      <alignment horizontal="left"/>
      <protection hidden="1"/>
    </xf>
    <xf numFmtId="2" fontId="5" fillId="5" borderId="4" xfId="0" applyNumberFormat="1" applyFont="1" applyFill="1" applyBorder="1" applyAlignment="1" applyProtection="1">
      <alignment horizontal="left"/>
      <protection hidden="1"/>
    </xf>
    <xf numFmtId="2" fontId="5" fillId="5" borderId="1" xfId="0" applyNumberFormat="1" applyFont="1" applyFill="1" applyBorder="1" applyAlignment="1" applyProtection="1">
      <alignment horizontal="left"/>
      <protection hidden="1"/>
    </xf>
    <xf numFmtId="0" fontId="3" fillId="5" borderId="8" xfId="0" applyFont="1" applyFill="1" applyBorder="1" applyAlignment="1" applyProtection="1">
      <alignment horizontal="left"/>
      <protection hidden="1"/>
    </xf>
    <xf numFmtId="0" fontId="48" fillId="0" borderId="3" xfId="0" applyFont="1" applyBorder="1"/>
    <xf numFmtId="0" fontId="48" fillId="0" borderId="4" xfId="0" applyFont="1" applyBorder="1"/>
    <xf numFmtId="2" fontId="19" fillId="5" borderId="0" xfId="0" applyNumberFormat="1" applyFont="1" applyFill="1" applyAlignment="1" applyProtection="1">
      <alignment horizontal="left"/>
      <protection hidden="1"/>
    </xf>
    <xf numFmtId="0" fontId="49" fillId="0" borderId="5" xfId="0" applyFont="1" applyBorder="1"/>
    <xf numFmtId="0" fontId="23" fillId="0" borderId="7" xfId="0" applyFont="1" applyBorder="1" applyAlignment="1">
      <alignment horizontal="left"/>
    </xf>
    <xf numFmtId="0" fontId="23" fillId="0" borderId="6" xfId="0" applyFont="1" applyBorder="1"/>
    <xf numFmtId="0" fontId="23" fillId="0" borderId="8" xfId="0" applyFont="1" applyBorder="1"/>
    <xf numFmtId="0" fontId="50" fillId="0" borderId="6" xfId="0" applyFont="1" applyBorder="1"/>
    <xf numFmtId="0" fontId="51" fillId="0" borderId="3" xfId="0" applyFont="1" applyBorder="1"/>
    <xf numFmtId="0" fontId="50" fillId="0" borderId="5" xfId="0" applyFont="1" applyBorder="1"/>
    <xf numFmtId="0" fontId="49" fillId="0" borderId="3" xfId="0" applyFont="1" applyBorder="1"/>
    <xf numFmtId="0" fontId="50" fillId="0" borderId="4" xfId="0" applyFont="1" applyBorder="1"/>
    <xf numFmtId="2" fontId="23" fillId="0" borderId="7" xfId="0" applyNumberFormat="1" applyFont="1" applyBorder="1" applyAlignment="1">
      <alignment horizontal="left"/>
    </xf>
    <xf numFmtId="166" fontId="23" fillId="0" borderId="2" xfId="0" applyNumberFormat="1" applyFont="1" applyBorder="1" applyAlignment="1">
      <alignment horizontal="left"/>
    </xf>
    <xf numFmtId="0" fontId="2" fillId="4" borderId="0" xfId="0" applyFont="1" applyFill="1" applyAlignment="1" applyProtection="1">
      <alignment horizontal="left"/>
      <protection hidden="1"/>
    </xf>
    <xf numFmtId="0" fontId="23" fillId="0" borderId="5" xfId="0" applyFont="1" applyBorder="1"/>
    <xf numFmtId="0" fontId="23" fillId="0" borderId="0" xfId="0" applyFont="1"/>
    <xf numFmtId="0" fontId="48" fillId="0" borderId="3" xfId="0" applyFont="1" applyBorder="1"/>
    <xf numFmtId="0" fontId="48" fillId="0" borderId="4" xfId="0" applyFont="1" applyBorder="1"/>
    <xf numFmtId="0" fontId="23" fillId="9" borderId="5" xfId="0" applyFont="1" applyFill="1" applyBorder="1"/>
    <xf numFmtId="0" fontId="23" fillId="9" borderId="0" xfId="0" applyFont="1" applyFill="1"/>
    <xf numFmtId="0" fontId="52" fillId="0" borderId="5" xfId="0" applyFont="1" applyBorder="1"/>
    <xf numFmtId="0" fontId="52" fillId="0" borderId="0" xfId="0" applyFont="1"/>
    <xf numFmtId="0" fontId="50" fillId="0" borderId="6" xfId="0" applyFont="1" applyBorder="1"/>
    <xf numFmtId="0" fontId="50" fillId="0" borderId="8" xfId="0" applyFont="1" applyBorder="1"/>
  </cellXfs>
  <cellStyles count="1">
    <cellStyle name="Normal" xfId="0" builtinId="0"/>
  </cellStyles>
  <dxfs count="2">
    <dxf>
      <font>
        <strike/>
        <condense val="0"/>
        <extend val="0"/>
      </font>
    </dxf>
    <dxf>
      <font>
        <strike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1"/>
  <sheetViews>
    <sheetView tabSelected="1" view="pageLayout" topLeftCell="A4" zoomScaleNormal="100" workbookViewId="0">
      <selection activeCell="E5" sqref="E5"/>
    </sheetView>
  </sheetViews>
  <sheetFormatPr defaultColWidth="17.7109375" defaultRowHeight="12.75" x14ac:dyDescent="0.2"/>
  <cols>
    <col min="1" max="1" width="48.42578125" style="2" customWidth="1"/>
    <col min="2" max="2" width="12.140625" style="2" customWidth="1"/>
    <col min="3" max="3" width="14" style="2" customWidth="1"/>
    <col min="4" max="4" width="13.42578125" style="2" customWidth="1"/>
    <col min="5" max="6" width="13.7109375" style="2" customWidth="1"/>
    <col min="7" max="7" width="10" style="2" customWidth="1"/>
    <col min="8" max="8" width="12.7109375" style="2" customWidth="1"/>
    <col min="9" max="16384" width="17.7109375" style="2"/>
  </cols>
  <sheetData>
    <row r="1" spans="1:8" x14ac:dyDescent="0.2">
      <c r="A1" s="1" t="s">
        <v>67</v>
      </c>
    </row>
    <row r="2" spans="1:8" x14ac:dyDescent="0.2">
      <c r="A2" s="1" t="s">
        <v>68</v>
      </c>
    </row>
    <row r="3" spans="1:8" x14ac:dyDescent="0.2">
      <c r="A3" s="1"/>
    </row>
    <row r="4" spans="1:8" x14ac:dyDescent="0.2">
      <c r="A4" s="1" t="s">
        <v>201</v>
      </c>
    </row>
    <row r="6" spans="1:8" s="1" customFormat="1" x14ac:dyDescent="0.2">
      <c r="A6" s="1" t="s">
        <v>66</v>
      </c>
    </row>
    <row r="7" spans="1:8" s="1" customFormat="1" x14ac:dyDescent="0.2">
      <c r="A7" s="1" t="s">
        <v>26</v>
      </c>
    </row>
    <row r="8" spans="1:8" s="1" customFormat="1" x14ac:dyDescent="0.2">
      <c r="A8" s="1" t="s">
        <v>28</v>
      </c>
    </row>
    <row r="9" spans="1:8" s="1" customFormat="1" ht="16.5" thickBot="1" x14ac:dyDescent="0.3">
      <c r="A9" s="94" t="s">
        <v>44</v>
      </c>
      <c r="B9" s="93">
        <v>50</v>
      </c>
    </row>
    <row r="10" spans="1:8" s="1" customFormat="1" x14ac:dyDescent="0.2">
      <c r="A10" s="14" t="s">
        <v>19</v>
      </c>
      <c r="B10" s="15"/>
      <c r="C10" s="15"/>
      <c r="D10" s="15"/>
      <c r="E10" s="15"/>
      <c r="F10" s="15"/>
      <c r="G10" s="15"/>
      <c r="H10" s="16"/>
    </row>
    <row r="11" spans="1:8" x14ac:dyDescent="0.2">
      <c r="A11" s="17"/>
      <c r="B11" s="18"/>
      <c r="C11" s="19" t="s">
        <v>0</v>
      </c>
      <c r="D11" s="19" t="s">
        <v>1</v>
      </c>
      <c r="E11" s="19" t="s">
        <v>2</v>
      </c>
      <c r="F11" s="19" t="s">
        <v>3</v>
      </c>
      <c r="G11" s="19" t="s">
        <v>4</v>
      </c>
      <c r="H11" s="20" t="s">
        <v>5</v>
      </c>
    </row>
    <row r="12" spans="1:8" ht="15" x14ac:dyDescent="0.2">
      <c r="A12" s="21" t="s">
        <v>79</v>
      </c>
      <c r="B12" s="18"/>
      <c r="C12" s="22">
        <f>D93</f>
        <v>4576777.8574999999</v>
      </c>
      <c r="D12" s="19"/>
      <c r="E12" s="19"/>
      <c r="F12" s="19"/>
      <c r="G12" s="19"/>
      <c r="H12" s="20"/>
    </row>
    <row r="13" spans="1:8" x14ac:dyDescent="0.2">
      <c r="A13" s="21" t="s">
        <v>29</v>
      </c>
      <c r="B13" s="18"/>
      <c r="C13" s="23">
        <f>E96</f>
        <v>3432583.3931249999</v>
      </c>
      <c r="D13" s="19"/>
      <c r="E13" s="19"/>
      <c r="F13" s="19"/>
      <c r="G13" s="19"/>
      <c r="H13" s="20"/>
    </row>
    <row r="14" spans="1:8" x14ac:dyDescent="0.2">
      <c r="A14" s="21" t="s">
        <v>30</v>
      </c>
      <c r="B14" s="18"/>
      <c r="C14" s="23">
        <f>E97</f>
        <v>1144194.464375</v>
      </c>
      <c r="D14" s="19"/>
      <c r="E14" s="19"/>
      <c r="F14" s="19"/>
      <c r="G14" s="19"/>
      <c r="H14" s="20"/>
    </row>
    <row r="15" spans="1:8" x14ac:dyDescent="0.2">
      <c r="A15" s="21" t="s">
        <v>186</v>
      </c>
      <c r="B15" s="18"/>
      <c r="C15" s="24">
        <f t="shared" ref="C15:G17" si="0">C137</f>
        <v>30.835559146847473</v>
      </c>
      <c r="D15" s="24">
        <f t="shared" si="0"/>
        <v>24.082535712187926</v>
      </c>
      <c r="E15" s="24">
        <f t="shared" si="0"/>
        <v>47.611657985060447</v>
      </c>
      <c r="F15" s="24">
        <f t="shared" si="0"/>
        <v>59.320522962702526</v>
      </c>
      <c r="G15" s="24">
        <f t="shared" si="0"/>
        <v>65.154660805930192</v>
      </c>
      <c r="H15" s="25">
        <f>(C15+D15+E15+F15+G15)/5</f>
        <v>45.40098732254571</v>
      </c>
    </row>
    <row r="16" spans="1:8" x14ac:dyDescent="0.2">
      <c r="A16" s="21" t="s">
        <v>187</v>
      </c>
      <c r="B16" s="18"/>
      <c r="C16" s="24">
        <f t="shared" si="0"/>
        <v>32.411012495142302</v>
      </c>
      <c r="D16" s="24">
        <f t="shared" si="0"/>
        <v>27.382618381210069</v>
      </c>
      <c r="E16" s="24">
        <f t="shared" si="0"/>
        <v>71.578502883741848</v>
      </c>
      <c r="F16" s="24">
        <f t="shared" si="0"/>
        <v>84.6625749179357</v>
      </c>
      <c r="G16" s="24">
        <f t="shared" si="0"/>
        <v>90.317069235839483</v>
      </c>
      <c r="H16" s="196">
        <f>(C16+D16+E16+F16+G16)/5</f>
        <v>61.270355582773881</v>
      </c>
    </row>
    <row r="17" spans="1:8" x14ac:dyDescent="0.2">
      <c r="A17" s="21" t="s">
        <v>52</v>
      </c>
      <c r="B17" s="18"/>
      <c r="C17" s="24">
        <f t="shared" si="0"/>
        <v>1.4771211412600194</v>
      </c>
      <c r="D17" s="24">
        <f t="shared" si="0"/>
        <v>1.3453456192311075</v>
      </c>
      <c r="E17" s="24">
        <f t="shared" si="0"/>
        <v>1.6525401705722853</v>
      </c>
      <c r="F17" s="24">
        <f t="shared" si="0"/>
        <v>1.7707124354382064</v>
      </c>
      <c r="G17" s="24">
        <f t="shared" si="0"/>
        <v>1.8182931310687995</v>
      </c>
      <c r="H17" s="25">
        <f>(C17+D17+E17+F17+G17)/5</f>
        <v>1.6128024995140833</v>
      </c>
    </row>
    <row r="18" spans="1:8" x14ac:dyDescent="0.2">
      <c r="A18" s="21" t="s">
        <v>138</v>
      </c>
      <c r="B18" s="18"/>
      <c r="C18" s="24">
        <f t="shared" ref="C18:G19" si="1">C140</f>
        <v>15.258990848214285</v>
      </c>
      <c r="D18" s="24">
        <f t="shared" si="1"/>
        <v>17.627313864719781</v>
      </c>
      <c r="E18" s="24">
        <f t="shared" si="1"/>
        <v>17.774464776362233</v>
      </c>
      <c r="F18" s="24">
        <f t="shared" si="1"/>
        <v>16.799427646242233</v>
      </c>
      <c r="G18" s="24">
        <f t="shared" si="1"/>
        <v>16.590685402555376</v>
      </c>
      <c r="H18" s="25">
        <f>(C18+D18+E18+F18+G18)/5</f>
        <v>16.810176507618785</v>
      </c>
    </row>
    <row r="19" spans="1:8" ht="13.5" thickBot="1" x14ac:dyDescent="0.25">
      <c r="A19" s="21" t="s">
        <v>139</v>
      </c>
      <c r="B19" s="18"/>
      <c r="C19" s="24">
        <f t="shared" si="1"/>
        <v>14.887020610119048</v>
      </c>
      <c r="D19" s="24">
        <f t="shared" si="1"/>
        <v>16.793128252306349</v>
      </c>
      <c r="E19" s="24">
        <f t="shared" si="1"/>
        <v>11.935963971385116</v>
      </c>
      <c r="F19" s="24">
        <f t="shared" si="1"/>
        <v>11.268172935555187</v>
      </c>
      <c r="G19" s="24">
        <f t="shared" si="1"/>
        <v>11.347684251673767</v>
      </c>
      <c r="H19" s="25">
        <f>(C19+D19+E19+F19+G19)/5</f>
        <v>13.246394004207891</v>
      </c>
    </row>
    <row r="20" spans="1:8" x14ac:dyDescent="0.2">
      <c r="A20" s="123" t="s">
        <v>62</v>
      </c>
      <c r="B20" s="209"/>
      <c r="C20" s="210"/>
      <c r="D20" s="210"/>
      <c r="E20" s="210"/>
      <c r="F20" s="210"/>
      <c r="G20" s="210"/>
      <c r="H20" s="211"/>
    </row>
    <row r="21" spans="1:8" x14ac:dyDescent="0.2">
      <c r="A21" s="33"/>
      <c r="B21" s="34"/>
      <c r="C21" s="39" t="s">
        <v>0</v>
      </c>
      <c r="D21" s="39" t="s">
        <v>1</v>
      </c>
      <c r="E21" s="39" t="s">
        <v>2</v>
      </c>
      <c r="F21" s="39" t="s">
        <v>3</v>
      </c>
      <c r="G21" s="39" t="s">
        <v>4</v>
      </c>
      <c r="H21" s="40" t="s">
        <v>5</v>
      </c>
    </row>
    <row r="22" spans="1:8" ht="12.75" customHeight="1" x14ac:dyDescent="0.25">
      <c r="A22" s="36" t="s">
        <v>27</v>
      </c>
      <c r="B22" s="34"/>
      <c r="C22" s="215">
        <v>15</v>
      </c>
      <c r="D22" s="207"/>
      <c r="E22" s="207"/>
      <c r="F22" s="207"/>
      <c r="G22" s="207"/>
      <c r="H22" s="38"/>
    </row>
    <row r="23" spans="1:8" ht="12.75" customHeight="1" x14ac:dyDescent="0.2">
      <c r="A23" s="36" t="s">
        <v>31</v>
      </c>
      <c r="B23" s="52"/>
      <c r="C23" s="207" t="s">
        <v>16</v>
      </c>
      <c r="D23" s="208">
        <v>5</v>
      </c>
      <c r="E23" s="208">
        <v>5</v>
      </c>
      <c r="F23" s="208">
        <v>5</v>
      </c>
      <c r="G23" s="208">
        <v>5</v>
      </c>
      <c r="H23" s="35">
        <f>( D23+E23+F23+G23)/4</f>
        <v>5</v>
      </c>
    </row>
    <row r="24" spans="1:8" x14ac:dyDescent="0.2">
      <c r="A24" s="33" t="s">
        <v>99</v>
      </c>
      <c r="B24" s="34"/>
      <c r="C24" s="41">
        <v>0.9</v>
      </c>
      <c r="D24" s="41">
        <v>0.9</v>
      </c>
      <c r="E24" s="41">
        <v>0.9</v>
      </c>
      <c r="F24" s="41">
        <v>0.9</v>
      </c>
      <c r="G24" s="41">
        <v>0.9</v>
      </c>
      <c r="H24" s="42">
        <f>(C24+D24+E24+F24+G24)/5</f>
        <v>0.9</v>
      </c>
    </row>
    <row r="25" spans="1:8" x14ac:dyDescent="0.2">
      <c r="A25" s="33" t="s">
        <v>105</v>
      </c>
      <c r="B25" s="34"/>
      <c r="C25" s="43">
        <v>13</v>
      </c>
      <c r="D25" s="43">
        <v>13</v>
      </c>
      <c r="E25" s="43">
        <v>13</v>
      </c>
      <c r="F25" s="43">
        <v>13</v>
      </c>
      <c r="G25" s="43">
        <v>13</v>
      </c>
      <c r="H25" s="35">
        <f>(C25+D25+E25+F25+G25)/5</f>
        <v>13</v>
      </c>
    </row>
    <row r="26" spans="1:8" x14ac:dyDescent="0.2">
      <c r="A26" s="33"/>
      <c r="B26" s="34"/>
      <c r="C26" s="43"/>
      <c r="D26" s="43"/>
      <c r="E26" s="43"/>
      <c r="F26" s="43"/>
      <c r="G26" s="43"/>
      <c r="H26" s="35"/>
    </row>
    <row r="27" spans="1:8" x14ac:dyDescent="0.2">
      <c r="A27" s="33" t="s">
        <v>104</v>
      </c>
      <c r="B27" s="34"/>
      <c r="C27" s="44">
        <v>5.0000000000000001E-3</v>
      </c>
      <c r="D27" s="44">
        <v>5.0000000000000001E-3</v>
      </c>
      <c r="E27" s="44">
        <v>5.0000000000000001E-3</v>
      </c>
      <c r="F27" s="44">
        <v>5.0000000000000001E-3</v>
      </c>
      <c r="G27" s="44">
        <v>5.0000000000000001E-3</v>
      </c>
      <c r="H27" s="42">
        <f t="shared" ref="H27:H35" si="2">(C27+D27+E27+F27+G27)/5</f>
        <v>5.0000000000000001E-3</v>
      </c>
    </row>
    <row r="28" spans="1:8" x14ac:dyDescent="0.2">
      <c r="A28" s="33" t="s">
        <v>101</v>
      </c>
      <c r="B28" s="34"/>
      <c r="C28" s="44">
        <v>5.0000000000000001E-3</v>
      </c>
      <c r="D28" s="44">
        <v>5.0000000000000001E-3</v>
      </c>
      <c r="E28" s="44">
        <v>5.0000000000000001E-3</v>
      </c>
      <c r="F28" s="44">
        <v>5.0000000000000001E-3</v>
      </c>
      <c r="G28" s="44">
        <v>5.0000000000000001E-3</v>
      </c>
      <c r="H28" s="42">
        <f t="shared" si="2"/>
        <v>5.0000000000000001E-3</v>
      </c>
    </row>
    <row r="29" spans="1:8" x14ac:dyDescent="0.2">
      <c r="A29" s="33" t="s">
        <v>128</v>
      </c>
      <c r="B29" s="34"/>
      <c r="C29" s="44">
        <v>5.0000000000000001E-3</v>
      </c>
      <c r="D29" s="44">
        <v>5.0000000000000001E-3</v>
      </c>
      <c r="E29" s="44">
        <v>5.0000000000000001E-3</v>
      </c>
      <c r="F29" s="44">
        <v>5.0000000000000001E-3</v>
      </c>
      <c r="G29" s="44">
        <v>5.0000000000000001E-3</v>
      </c>
      <c r="H29" s="42">
        <f t="shared" si="2"/>
        <v>5.0000000000000001E-3</v>
      </c>
    </row>
    <row r="30" spans="1:8" x14ac:dyDescent="0.2">
      <c r="A30" s="33" t="s">
        <v>100</v>
      </c>
      <c r="B30" s="34"/>
      <c r="C30" s="44">
        <v>0.05</v>
      </c>
      <c r="D30" s="44">
        <v>0.05</v>
      </c>
      <c r="E30" s="44">
        <v>0.05</v>
      </c>
      <c r="F30" s="44">
        <v>0.05</v>
      </c>
      <c r="G30" s="44">
        <v>0.05</v>
      </c>
      <c r="H30" s="42">
        <f t="shared" si="2"/>
        <v>0.05</v>
      </c>
    </row>
    <row r="31" spans="1:8" x14ac:dyDescent="0.2">
      <c r="A31" s="33"/>
      <c r="B31" s="34"/>
      <c r="C31" s="44"/>
      <c r="D31" s="44"/>
      <c r="E31" s="44"/>
      <c r="F31" s="44"/>
      <c r="G31" s="44"/>
      <c r="H31" s="42"/>
    </row>
    <row r="32" spans="1:8" x14ac:dyDescent="0.2">
      <c r="A32" s="33" t="s">
        <v>124</v>
      </c>
      <c r="B32" s="34"/>
      <c r="C32" s="44">
        <v>0.01</v>
      </c>
      <c r="D32" s="44">
        <v>0.01</v>
      </c>
      <c r="E32" s="44">
        <v>0.25</v>
      </c>
      <c r="F32" s="44">
        <v>0.25</v>
      </c>
      <c r="G32" s="44">
        <v>0.25</v>
      </c>
      <c r="H32" s="42">
        <f t="shared" si="2"/>
        <v>0.154</v>
      </c>
    </row>
    <row r="33" spans="1:8" x14ac:dyDescent="0.2">
      <c r="A33" s="33" t="s">
        <v>102</v>
      </c>
      <c r="B33" s="34"/>
      <c r="C33" s="44">
        <v>0</v>
      </c>
      <c r="D33" s="44">
        <v>2.5000000000000001E-2</v>
      </c>
      <c r="E33" s="44">
        <v>0.25</v>
      </c>
      <c r="F33" s="44">
        <v>0.3</v>
      </c>
      <c r="G33" s="44">
        <v>0.3</v>
      </c>
      <c r="H33" s="42">
        <f t="shared" si="2"/>
        <v>0.17499999999999999</v>
      </c>
    </row>
    <row r="34" spans="1:8" x14ac:dyDescent="0.2">
      <c r="A34" s="33" t="s">
        <v>127</v>
      </c>
      <c r="B34" s="34"/>
      <c r="C34" s="44">
        <v>0.12</v>
      </c>
      <c r="D34" s="44">
        <v>0.12</v>
      </c>
      <c r="E34" s="44">
        <v>0.12</v>
      </c>
      <c r="F34" s="44">
        <v>0.12</v>
      </c>
      <c r="G34" s="44">
        <v>0.12</v>
      </c>
      <c r="H34" s="42">
        <f t="shared" si="2"/>
        <v>0.12</v>
      </c>
    </row>
    <row r="35" spans="1:8" x14ac:dyDescent="0.2">
      <c r="A35" s="33" t="s">
        <v>103</v>
      </c>
      <c r="B35" s="34"/>
      <c r="C35" s="44">
        <v>0.02</v>
      </c>
      <c r="D35" s="44">
        <v>0.02</v>
      </c>
      <c r="E35" s="44">
        <v>0.02</v>
      </c>
      <c r="F35" s="44">
        <v>0.02</v>
      </c>
      <c r="G35" s="44">
        <v>0.02</v>
      </c>
      <c r="H35" s="42">
        <f t="shared" si="2"/>
        <v>0.02</v>
      </c>
    </row>
    <row r="36" spans="1:8" x14ac:dyDescent="0.2">
      <c r="A36" s="36"/>
      <c r="B36" s="34"/>
      <c r="C36" s="45"/>
      <c r="D36" s="45"/>
      <c r="E36" s="45"/>
      <c r="F36" s="45"/>
      <c r="G36" s="45"/>
      <c r="H36" s="38"/>
    </row>
    <row r="37" spans="1:8" x14ac:dyDescent="0.2">
      <c r="A37" s="33" t="s">
        <v>106</v>
      </c>
      <c r="B37" s="34"/>
      <c r="C37" s="43">
        <v>0.3</v>
      </c>
      <c r="D37" s="46">
        <v>0.3</v>
      </c>
      <c r="E37" s="46">
        <v>0.3</v>
      </c>
      <c r="F37" s="46">
        <v>0.3</v>
      </c>
      <c r="G37" s="46">
        <v>0.3</v>
      </c>
      <c r="H37" s="42"/>
    </row>
    <row r="38" spans="1:8" x14ac:dyDescent="0.2">
      <c r="A38" s="33" t="s">
        <v>107</v>
      </c>
      <c r="B38" s="34"/>
      <c r="C38" s="43">
        <v>0.5</v>
      </c>
      <c r="D38" s="46">
        <v>0.5</v>
      </c>
      <c r="E38" s="46">
        <v>0.5</v>
      </c>
      <c r="F38" s="46">
        <v>0.5</v>
      </c>
      <c r="G38" s="46">
        <v>0.5</v>
      </c>
      <c r="H38" s="42"/>
    </row>
    <row r="39" spans="1:8" ht="13.5" thickBot="1" x14ac:dyDescent="0.25">
      <c r="A39" s="47" t="s">
        <v>195</v>
      </c>
      <c r="B39" s="212"/>
      <c r="C39" s="212">
        <v>1</v>
      </c>
      <c r="D39" s="212">
        <v>1</v>
      </c>
      <c r="E39" s="212">
        <v>1</v>
      </c>
      <c r="F39" s="212">
        <v>1</v>
      </c>
      <c r="G39" s="212">
        <v>1</v>
      </c>
      <c r="H39" s="48"/>
    </row>
    <row r="40" spans="1:8" ht="15" x14ac:dyDescent="0.2">
      <c r="A40" s="205" t="s">
        <v>133</v>
      </c>
      <c r="B40" s="49"/>
      <c r="C40" s="49"/>
      <c r="D40" s="49"/>
      <c r="E40" s="49"/>
      <c r="F40" s="49"/>
      <c r="G40" s="49"/>
      <c r="H40" s="206"/>
    </row>
    <row r="41" spans="1:8" ht="12.75" customHeight="1" x14ac:dyDescent="0.2">
      <c r="A41" s="50" t="s">
        <v>142</v>
      </c>
      <c r="B41" s="58"/>
      <c r="C41" s="59">
        <f>B9</f>
        <v>50</v>
      </c>
      <c r="D41" s="59">
        <f>C69+C70</f>
        <v>49.252499999999998</v>
      </c>
      <c r="E41" s="59">
        <f>D69+D70</f>
        <v>48.516175124999997</v>
      </c>
      <c r="F41" s="59">
        <f>E69+E70</f>
        <v>51.413464724531245</v>
      </c>
      <c r="G41" s="59">
        <f>F69+F70</f>
        <v>51.142244042181446</v>
      </c>
      <c r="H41" s="60">
        <f>(C41+D41+E41+F41+G41)/5</f>
        <v>50.064876778342537</v>
      </c>
    </row>
    <row r="42" spans="1:8" ht="12.75" customHeight="1" x14ac:dyDescent="0.2">
      <c r="A42" s="50" t="s">
        <v>98</v>
      </c>
      <c r="B42" s="49"/>
      <c r="C42" s="59">
        <v>0</v>
      </c>
      <c r="D42" s="59">
        <f>C71</f>
        <v>0</v>
      </c>
      <c r="E42" s="59">
        <f>D71</f>
        <v>20.379589999999997</v>
      </c>
      <c r="F42" s="59">
        <f>E71</f>
        <v>18.341631000000003</v>
      </c>
      <c r="G42" s="59">
        <f>F71</f>
        <v>18.067423616549995</v>
      </c>
      <c r="H42" s="60">
        <f>(C42+D42+E42+F42+G42)/5</f>
        <v>11.357728923309999</v>
      </c>
    </row>
    <row r="43" spans="1:8" ht="12.75" customHeight="1" x14ac:dyDescent="0.2">
      <c r="A43" s="50" t="s">
        <v>116</v>
      </c>
      <c r="B43" s="49"/>
      <c r="C43" s="59">
        <v>0</v>
      </c>
      <c r="D43" s="59">
        <f xml:space="preserve"> C72</f>
        <v>23.274999999999999</v>
      </c>
      <c r="E43" s="59">
        <f xml:space="preserve"> D72</f>
        <v>20.947500000000002</v>
      </c>
      <c r="F43" s="59">
        <f xml:space="preserve"> E72</f>
        <v>20.634334874999997</v>
      </c>
      <c r="G43" s="59">
        <f xml:space="preserve"> F72</f>
        <v>20.325851568618749</v>
      </c>
      <c r="H43" s="60">
        <f>(C43+D43+E43+F43+G43)/5</f>
        <v>17.036537288723746</v>
      </c>
    </row>
    <row r="44" spans="1:8" x14ac:dyDescent="0.2">
      <c r="A44" s="50" t="s">
        <v>125</v>
      </c>
      <c r="B44" s="58"/>
      <c r="C44" s="59">
        <f>C41/2</f>
        <v>25</v>
      </c>
      <c r="D44" s="59">
        <f>(C41*C24)/2</f>
        <v>22.5</v>
      </c>
      <c r="E44" s="59">
        <f>(D41*D24)/2</f>
        <v>22.163625</v>
      </c>
      <c r="F44" s="59">
        <f>(E41*E24)/2</f>
        <v>21.832278806249999</v>
      </c>
      <c r="G44" s="59">
        <f>(F41*F24)/2</f>
        <v>23.136059126039061</v>
      </c>
      <c r="H44" s="60">
        <f>(C44+D44+E44+F44+G44)/5</f>
        <v>22.926392586457812</v>
      </c>
    </row>
    <row r="45" spans="1:8" ht="13.5" thickBot="1" x14ac:dyDescent="0.25">
      <c r="A45" s="61" t="s">
        <v>126</v>
      </c>
      <c r="B45" s="51"/>
      <c r="C45" s="62">
        <f xml:space="preserve"> C41+(C44*C37)</f>
        <v>57.5</v>
      </c>
      <c r="D45" s="62">
        <f>D41+D42+(D43*D38)+(D44*D37)</f>
        <v>67.64</v>
      </c>
      <c r="E45" s="62">
        <f>E41+E42+(E43*E38)+(E44*E37)</f>
        <v>86.018602624999986</v>
      </c>
      <c r="F45" s="62">
        <f>F41+F42+(F43*F38)+(F44*F37)</f>
        <v>86.621946803906241</v>
      </c>
      <c r="G45" s="62">
        <f>G41+G42+(G43*G38)+(G44*G37)</f>
        <v>86.313411180852526</v>
      </c>
      <c r="H45" s="63">
        <f>(C45+D45+E45+F45+G45)/5</f>
        <v>76.818792121951759</v>
      </c>
    </row>
    <row r="46" spans="1:8" ht="12.75" customHeight="1" thickBot="1" x14ac:dyDescent="0.25">
      <c r="A46" s="49"/>
      <c r="B46" s="64"/>
      <c r="C46" s="65"/>
      <c r="D46" s="65"/>
      <c r="E46" s="65"/>
      <c r="F46" s="65"/>
      <c r="G46" s="65"/>
      <c r="H46" s="65"/>
    </row>
    <row r="47" spans="1:8" ht="12.75" customHeight="1" x14ac:dyDescent="0.2">
      <c r="A47" s="80" t="s">
        <v>108</v>
      </c>
      <c r="B47" s="66"/>
      <c r="C47" s="67"/>
      <c r="D47" s="67"/>
      <c r="E47" s="67"/>
      <c r="F47" s="67"/>
      <c r="G47" s="67"/>
      <c r="H47" s="68"/>
    </row>
    <row r="48" spans="1:8" ht="12.75" customHeight="1" x14ac:dyDescent="0.2">
      <c r="A48" s="69" t="s">
        <v>129</v>
      </c>
      <c r="B48" s="70"/>
      <c r="C48" s="70">
        <f t="shared" ref="C48:G51" si="3">C41*C27</f>
        <v>0.25</v>
      </c>
      <c r="D48" s="70">
        <f t="shared" si="3"/>
        <v>0.2462625</v>
      </c>
      <c r="E48" s="70">
        <f t="shared" si="3"/>
        <v>0.242580875625</v>
      </c>
      <c r="F48" s="70">
        <f t="shared" si="3"/>
        <v>0.25706732362265622</v>
      </c>
      <c r="G48" s="70">
        <f t="shared" si="3"/>
        <v>0.25571122021090725</v>
      </c>
      <c r="H48" s="71">
        <f>(C48+D48+E48+F48+G48)/5</f>
        <v>0.25032438389171274</v>
      </c>
    </row>
    <row r="49" spans="1:8" ht="12.75" customHeight="1" x14ac:dyDescent="0.2">
      <c r="A49" s="69" t="s">
        <v>130</v>
      </c>
      <c r="B49" s="70"/>
      <c r="C49" s="70">
        <f t="shared" si="3"/>
        <v>0</v>
      </c>
      <c r="D49" s="70">
        <f t="shared" si="3"/>
        <v>0</v>
      </c>
      <c r="E49" s="70">
        <f t="shared" si="3"/>
        <v>0.10189794999999999</v>
      </c>
      <c r="F49" s="70">
        <f t="shared" si="3"/>
        <v>9.1708155000000013E-2</v>
      </c>
      <c r="G49" s="70">
        <f t="shared" si="3"/>
        <v>9.0337118082749981E-2</v>
      </c>
      <c r="H49" s="71">
        <f t="shared" ref="H49:H59" si="4">(C49+D49+E49+F49+G49)/5</f>
        <v>5.6788644616549998E-2</v>
      </c>
    </row>
    <row r="50" spans="1:8" ht="12.75" customHeight="1" x14ac:dyDescent="0.2">
      <c r="A50" s="69" t="s">
        <v>131</v>
      </c>
      <c r="B50" s="70"/>
      <c r="C50" s="70">
        <f t="shared" si="3"/>
        <v>0</v>
      </c>
      <c r="D50" s="70">
        <f t="shared" si="3"/>
        <v>0.11637499999999999</v>
      </c>
      <c r="E50" s="70">
        <f t="shared" si="3"/>
        <v>0.10473750000000001</v>
      </c>
      <c r="F50" s="70">
        <f t="shared" si="3"/>
        <v>0.10317167437499998</v>
      </c>
      <c r="G50" s="70">
        <f t="shared" si="3"/>
        <v>0.10162925784309375</v>
      </c>
      <c r="H50" s="71">
        <f t="shared" si="4"/>
        <v>8.5182686443618733E-2</v>
      </c>
    </row>
    <row r="51" spans="1:8" ht="12.75" customHeight="1" x14ac:dyDescent="0.2">
      <c r="A51" s="69" t="s">
        <v>132</v>
      </c>
      <c r="B51" s="70"/>
      <c r="C51" s="70">
        <f t="shared" si="3"/>
        <v>1.25</v>
      </c>
      <c r="D51" s="70">
        <f t="shared" si="3"/>
        <v>1.125</v>
      </c>
      <c r="E51" s="70">
        <f t="shared" si="3"/>
        <v>1.1081812500000001</v>
      </c>
      <c r="F51" s="70">
        <f t="shared" si="3"/>
        <v>1.0916139403125</v>
      </c>
      <c r="G51" s="70">
        <f t="shared" si="3"/>
        <v>1.1568029563019531</v>
      </c>
      <c r="H51" s="71">
        <f t="shared" si="4"/>
        <v>1.1463196293228906</v>
      </c>
    </row>
    <row r="52" spans="1:8" ht="13.5" thickBot="1" x14ac:dyDescent="0.25">
      <c r="A52" s="72" t="s">
        <v>122</v>
      </c>
      <c r="B52" s="73"/>
      <c r="C52" s="73">
        <f>C48+ C49+(C50 *C38)+(C51*C37)</f>
        <v>0.625</v>
      </c>
      <c r="D52" s="73">
        <f>D48+ D49+(D50 *D38)+(D51*D37)</f>
        <v>0.64195000000000002</v>
      </c>
      <c r="E52" s="73">
        <f>E48+ E49+(E50 *E38)+(E51*E37)</f>
        <v>0.72930195062500003</v>
      </c>
      <c r="F52" s="73">
        <f>F48+ F49+(F50 *F38)+(F51*F37)</f>
        <v>0.72784549790390618</v>
      </c>
      <c r="G52" s="73">
        <f>G48+ G49+(G50 *G38)+(G51*G37)</f>
        <v>0.74390385410579007</v>
      </c>
      <c r="H52" s="74">
        <f t="shared" si="4"/>
        <v>0.69360026052693924</v>
      </c>
    </row>
    <row r="53" spans="1:8" ht="12.75" customHeight="1" thickBot="1" x14ac:dyDescent="0.25">
      <c r="A53" s="49"/>
      <c r="B53" s="49"/>
      <c r="C53" s="65"/>
      <c r="D53" s="65"/>
      <c r="E53" s="65"/>
      <c r="F53" s="65"/>
      <c r="G53" s="65"/>
      <c r="H53" s="65"/>
    </row>
    <row r="54" spans="1:8" ht="12.75" customHeight="1" x14ac:dyDescent="0.2">
      <c r="A54" s="56" t="s">
        <v>109</v>
      </c>
      <c r="B54" s="57"/>
      <c r="C54" s="75"/>
      <c r="D54" s="75"/>
      <c r="E54" s="75"/>
      <c r="F54" s="75"/>
      <c r="G54" s="75"/>
      <c r="H54" s="76"/>
    </row>
    <row r="55" spans="1:8" ht="12.75" customHeight="1" x14ac:dyDescent="0.2">
      <c r="A55" s="50" t="s">
        <v>110</v>
      </c>
      <c r="B55" s="49"/>
      <c r="C55" s="65">
        <f t="shared" ref="C55:G58" si="5">C41-C48</f>
        <v>49.75</v>
      </c>
      <c r="D55" s="65">
        <f t="shared" si="5"/>
        <v>49.006237499999997</v>
      </c>
      <c r="E55" s="65">
        <f t="shared" si="5"/>
        <v>48.273594249374995</v>
      </c>
      <c r="F55" s="65">
        <f t="shared" si="5"/>
        <v>51.156397400908588</v>
      </c>
      <c r="G55" s="65">
        <f t="shared" si="5"/>
        <v>50.88653282197054</v>
      </c>
      <c r="H55" s="77">
        <f t="shared" si="4"/>
        <v>49.814552394450821</v>
      </c>
    </row>
    <row r="56" spans="1:8" ht="12.75" customHeight="1" x14ac:dyDescent="0.2">
      <c r="A56" s="50" t="s">
        <v>111</v>
      </c>
      <c r="B56" s="49"/>
      <c r="C56" s="65">
        <f t="shared" si="5"/>
        <v>0</v>
      </c>
      <c r="D56" s="65">
        <f t="shared" si="5"/>
        <v>0</v>
      </c>
      <c r="E56" s="65">
        <f t="shared" si="5"/>
        <v>20.277692049999995</v>
      </c>
      <c r="F56" s="65">
        <f t="shared" si="5"/>
        <v>18.249922845000004</v>
      </c>
      <c r="G56" s="65">
        <f t="shared" si="5"/>
        <v>17.977086498467244</v>
      </c>
      <c r="H56" s="77">
        <f t="shared" si="4"/>
        <v>11.300940278693449</v>
      </c>
    </row>
    <row r="57" spans="1:8" ht="12.75" customHeight="1" x14ac:dyDescent="0.2">
      <c r="A57" s="50" t="s">
        <v>117</v>
      </c>
      <c r="B57" s="49"/>
      <c r="C57" s="65">
        <f t="shared" si="5"/>
        <v>0</v>
      </c>
      <c r="D57" s="65">
        <f t="shared" si="5"/>
        <v>23.158624999999997</v>
      </c>
      <c r="E57" s="65">
        <f t="shared" si="5"/>
        <v>20.842762500000003</v>
      </c>
      <c r="F57" s="65">
        <f t="shared" si="5"/>
        <v>20.531163200624995</v>
      </c>
      <c r="G57" s="65">
        <f t="shared" si="5"/>
        <v>20.224222310775655</v>
      </c>
      <c r="H57" s="77">
        <f t="shared" si="4"/>
        <v>16.95135460228013</v>
      </c>
    </row>
    <row r="58" spans="1:8" ht="12.75" customHeight="1" x14ac:dyDescent="0.2">
      <c r="A58" s="50" t="s">
        <v>112</v>
      </c>
      <c r="B58" s="49"/>
      <c r="C58" s="65">
        <f t="shared" si="5"/>
        <v>23.75</v>
      </c>
      <c r="D58" s="65">
        <f t="shared" si="5"/>
        <v>21.375</v>
      </c>
      <c r="E58" s="65">
        <f t="shared" si="5"/>
        <v>21.055443749999998</v>
      </c>
      <c r="F58" s="65">
        <f t="shared" si="5"/>
        <v>20.7406648659375</v>
      </c>
      <c r="G58" s="65">
        <f t="shared" si="5"/>
        <v>21.979256169737109</v>
      </c>
      <c r="H58" s="77">
        <f t="shared" si="4"/>
        <v>21.780072957134923</v>
      </c>
    </row>
    <row r="59" spans="1:8" ht="13.5" thickBot="1" x14ac:dyDescent="0.25">
      <c r="A59" s="61" t="s">
        <v>123</v>
      </c>
      <c r="B59" s="51"/>
      <c r="C59" s="78">
        <f>C55+ C56+(C57*C38)+(C58*C37)</f>
        <v>56.875</v>
      </c>
      <c r="D59" s="78">
        <f>D55+ D56+(D57*D38)+(D58*D37)</f>
        <v>66.998049999999992</v>
      </c>
      <c r="E59" s="78">
        <f>E55+ E56+(E57*E38)+(E58*E37)</f>
        <v>85.289300674374985</v>
      </c>
      <c r="F59" s="78">
        <f>F55+ F56+(F57*F38)+(F58*F37)</f>
        <v>85.894101306002341</v>
      </c>
      <c r="G59" s="78">
        <f>G55+ G56+(G57*G38)+(G58*G37)</f>
        <v>85.569507326746731</v>
      </c>
      <c r="H59" s="79">
        <f t="shared" si="4"/>
        <v>76.12519186142481</v>
      </c>
    </row>
    <row r="60" spans="1:8" ht="12.75" customHeight="1" thickBot="1" x14ac:dyDescent="0.25">
      <c r="A60" s="49"/>
      <c r="B60" s="49"/>
      <c r="C60" s="65"/>
      <c r="D60" s="65"/>
      <c r="E60" s="65"/>
      <c r="F60" s="65"/>
      <c r="G60" s="65"/>
      <c r="H60" s="65"/>
    </row>
    <row r="61" spans="1:8" ht="12.75" customHeight="1" x14ac:dyDescent="0.2">
      <c r="A61" s="56" t="s">
        <v>140</v>
      </c>
      <c r="B61" s="57"/>
      <c r="C61" s="75"/>
      <c r="D61" s="75"/>
      <c r="E61" s="75"/>
      <c r="F61" s="75"/>
      <c r="G61" s="75"/>
      <c r="H61" s="76"/>
    </row>
    <row r="62" spans="1:8" ht="12.75" customHeight="1" x14ac:dyDescent="0.2">
      <c r="A62" s="50" t="s">
        <v>113</v>
      </c>
      <c r="B62" s="49"/>
      <c r="C62" s="70">
        <f t="shared" ref="C62:G65" si="6">C55*C32</f>
        <v>0.4975</v>
      </c>
      <c r="D62" s="70">
        <f t="shared" si="6"/>
        <v>0.49006237499999999</v>
      </c>
      <c r="E62" s="70">
        <f t="shared" si="6"/>
        <v>12.068398562343749</v>
      </c>
      <c r="F62" s="70">
        <f t="shared" si="6"/>
        <v>12.789099350227147</v>
      </c>
      <c r="G62" s="70">
        <f t="shared" si="6"/>
        <v>12.721633205492635</v>
      </c>
      <c r="H62" s="71">
        <f>(C62+D62+E62+F62+G62)/5</f>
        <v>7.7133386986127066</v>
      </c>
    </row>
    <row r="63" spans="1:8" ht="12.75" customHeight="1" x14ac:dyDescent="0.2">
      <c r="A63" s="50" t="s">
        <v>114</v>
      </c>
      <c r="B63" s="49"/>
      <c r="C63" s="70">
        <f t="shared" si="6"/>
        <v>0</v>
      </c>
      <c r="D63" s="70">
        <f t="shared" si="6"/>
        <v>0</v>
      </c>
      <c r="E63" s="70">
        <f t="shared" si="6"/>
        <v>5.0694230124999988</v>
      </c>
      <c r="F63" s="70">
        <f t="shared" si="6"/>
        <v>5.4749768535000012</v>
      </c>
      <c r="G63" s="70">
        <f t="shared" si="6"/>
        <v>5.3931259495401731</v>
      </c>
      <c r="H63" s="71">
        <f>(C63+D63+E63+F63+G63)/5</f>
        <v>3.1875051631080344</v>
      </c>
    </row>
    <row r="64" spans="1:8" ht="12.75" customHeight="1" x14ac:dyDescent="0.2">
      <c r="A64" s="50" t="s">
        <v>118</v>
      </c>
      <c r="B64" s="49"/>
      <c r="C64" s="70">
        <f t="shared" si="6"/>
        <v>0</v>
      </c>
      <c r="D64" s="70">
        <f t="shared" si="6"/>
        <v>2.7790349999999995</v>
      </c>
      <c r="E64" s="70">
        <f t="shared" si="6"/>
        <v>2.5011315000000001</v>
      </c>
      <c r="F64" s="70">
        <f t="shared" si="6"/>
        <v>2.4637395840749994</v>
      </c>
      <c r="G64" s="70">
        <f t="shared" si="6"/>
        <v>2.4269066772930787</v>
      </c>
      <c r="H64" s="71">
        <f>(C64+D64+E64+F64+G64)/5</f>
        <v>2.0341625522736155</v>
      </c>
    </row>
    <row r="65" spans="1:10" ht="12.75" customHeight="1" x14ac:dyDescent="0.2">
      <c r="A65" s="50" t="s">
        <v>115</v>
      </c>
      <c r="B65" s="49"/>
      <c r="C65" s="70">
        <f t="shared" si="6"/>
        <v>0.47500000000000003</v>
      </c>
      <c r="D65" s="70">
        <f t="shared" si="6"/>
        <v>0.42749999999999999</v>
      </c>
      <c r="E65" s="70">
        <f t="shared" si="6"/>
        <v>0.42110887499999999</v>
      </c>
      <c r="F65" s="70">
        <f t="shared" si="6"/>
        <v>0.41481329731875</v>
      </c>
      <c r="G65" s="70">
        <f t="shared" si="6"/>
        <v>0.43958512339474221</v>
      </c>
      <c r="H65" s="71">
        <f>(C65+D65+E65+F65+G65)/5</f>
        <v>0.43560145914269849</v>
      </c>
    </row>
    <row r="66" spans="1:10" ht="12.75" customHeight="1" thickBot="1" x14ac:dyDescent="0.25">
      <c r="A66" s="61" t="s">
        <v>120</v>
      </c>
      <c r="B66" s="51"/>
      <c r="C66" s="73">
        <f>C62+C63+(C64*C38)+(C65*C37)</f>
        <v>0.64</v>
      </c>
      <c r="D66" s="73">
        <f>D62+D63+(D64*D38)+(D65*D37)</f>
        <v>2.0078298749999997</v>
      </c>
      <c r="E66" s="73">
        <f>E62+E63+(E64*E38)+(E65*E37)</f>
        <v>18.514719987343749</v>
      </c>
      <c r="F66" s="73">
        <f>F62+F63+(F64*F38)+(F65*F37)</f>
        <v>19.620389984960276</v>
      </c>
      <c r="G66" s="73">
        <f>G62+G63+(G64*G38)+(G65*G37)</f>
        <v>19.460088030697769</v>
      </c>
      <c r="H66" s="74">
        <f>(C66+D66+E66+F66+G66)/5</f>
        <v>12.048605575600359</v>
      </c>
    </row>
    <row r="67" spans="1:10" ht="12.75" customHeight="1" thickBot="1" x14ac:dyDescent="0.25">
      <c r="A67" s="49"/>
      <c r="B67" s="49"/>
      <c r="C67" s="65"/>
      <c r="D67" s="65"/>
      <c r="E67" s="65"/>
      <c r="F67" s="65"/>
      <c r="G67" s="65"/>
      <c r="H67" s="65"/>
    </row>
    <row r="68" spans="1:10" ht="12.75" customHeight="1" x14ac:dyDescent="0.2">
      <c r="A68" s="56" t="s">
        <v>141</v>
      </c>
      <c r="B68" s="57"/>
      <c r="C68" s="75"/>
      <c r="D68" s="75"/>
      <c r="E68" s="75"/>
      <c r="F68" s="75"/>
      <c r="G68" s="75"/>
      <c r="H68" s="76"/>
    </row>
    <row r="69" spans="1:10" ht="12.75" customHeight="1" x14ac:dyDescent="0.2">
      <c r="A69" s="50" t="s">
        <v>113</v>
      </c>
      <c r="B69" s="49"/>
      <c r="C69" s="65">
        <f t="shared" ref="C69:G70" si="7">C55-C62</f>
        <v>49.252499999999998</v>
      </c>
      <c r="D69" s="65">
        <f t="shared" si="7"/>
        <v>48.516175124999997</v>
      </c>
      <c r="E69" s="65">
        <f t="shared" si="7"/>
        <v>36.205195687031249</v>
      </c>
      <c r="F69" s="65">
        <f t="shared" si="7"/>
        <v>38.367298050681441</v>
      </c>
      <c r="G69" s="65">
        <f t="shared" si="7"/>
        <v>38.164899616477904</v>
      </c>
      <c r="H69" s="77">
        <f>(C69+D69+E69+F69+G69)/5</f>
        <v>42.101213695838112</v>
      </c>
    </row>
    <row r="70" spans="1:10" ht="12.75" customHeight="1" x14ac:dyDescent="0.2">
      <c r="A70" s="50" t="s">
        <v>114</v>
      </c>
      <c r="B70" s="49"/>
      <c r="C70" s="65">
        <f t="shared" si="7"/>
        <v>0</v>
      </c>
      <c r="D70" s="65">
        <f t="shared" si="7"/>
        <v>0</v>
      </c>
      <c r="E70" s="65">
        <f t="shared" si="7"/>
        <v>15.208269037499996</v>
      </c>
      <c r="F70" s="65">
        <f t="shared" si="7"/>
        <v>12.774945991500003</v>
      </c>
      <c r="G70" s="65">
        <f t="shared" si="7"/>
        <v>12.58396054892707</v>
      </c>
      <c r="H70" s="77">
        <f>(C70+D70+E70+F70+G70)/5</f>
        <v>8.1134351155854141</v>
      </c>
    </row>
    <row r="71" spans="1:10" ht="12.75" customHeight="1" x14ac:dyDescent="0.2">
      <c r="A71" s="50" t="s">
        <v>119</v>
      </c>
      <c r="B71" s="49"/>
      <c r="C71" s="65">
        <f t="shared" ref="C71:G72" si="8">C57-C64</f>
        <v>0</v>
      </c>
      <c r="D71" s="65">
        <f t="shared" si="8"/>
        <v>20.379589999999997</v>
      </c>
      <c r="E71" s="65">
        <f t="shared" si="8"/>
        <v>18.341631000000003</v>
      </c>
      <c r="F71" s="65">
        <f t="shared" si="8"/>
        <v>18.067423616549995</v>
      </c>
      <c r="G71" s="65">
        <f t="shared" si="8"/>
        <v>17.797315633482576</v>
      </c>
      <c r="H71" s="77">
        <f>(C71+D71+E71+F71+G71)/5</f>
        <v>14.917192050006514</v>
      </c>
    </row>
    <row r="72" spans="1:10" ht="12.75" customHeight="1" x14ac:dyDescent="0.2">
      <c r="A72" s="50" t="s">
        <v>115</v>
      </c>
      <c r="B72" s="49"/>
      <c r="C72" s="65">
        <f t="shared" si="8"/>
        <v>23.274999999999999</v>
      </c>
      <c r="D72" s="65">
        <f t="shared" si="8"/>
        <v>20.947500000000002</v>
      </c>
      <c r="E72" s="65">
        <f t="shared" si="8"/>
        <v>20.634334874999997</v>
      </c>
      <c r="F72" s="65">
        <f t="shared" si="8"/>
        <v>20.325851568618749</v>
      </c>
      <c r="G72" s="65">
        <f t="shared" si="8"/>
        <v>21.539671046342367</v>
      </c>
      <c r="H72" s="77">
        <f>(C72+D72+E72+F72+G72)/5</f>
        <v>21.34447149799222</v>
      </c>
    </row>
    <row r="73" spans="1:10" ht="12.75" customHeight="1" thickBot="1" x14ac:dyDescent="0.25">
      <c r="A73" s="61" t="s">
        <v>121</v>
      </c>
      <c r="B73" s="51"/>
      <c r="C73" s="78">
        <f>C69+C70+(C71*C38)+(C72*C37)</f>
        <v>56.234999999999999</v>
      </c>
      <c r="D73" s="78">
        <f>D69+D70+(D71*D38)+(D72*D37)</f>
        <v>64.990220124999993</v>
      </c>
      <c r="E73" s="78">
        <f>E69+E70+(E71*E38)+(E72*E37)</f>
        <v>66.774580687031246</v>
      </c>
      <c r="F73" s="78">
        <f>F69+F70+(F71*F38)+(F72*F37)</f>
        <v>66.273711321042072</v>
      </c>
      <c r="G73" s="78">
        <f>G69+G70+(G71*G38)+(G72*G37)</f>
        <v>66.109419296048983</v>
      </c>
      <c r="H73" s="79">
        <f>(C73+D73+E73+F73+G73)/5</f>
        <v>64.076586285824462</v>
      </c>
    </row>
    <row r="74" spans="1:10" ht="12.75" customHeight="1" thickBot="1" x14ac:dyDescent="0.25">
      <c r="A74" s="49"/>
      <c r="B74" s="49"/>
      <c r="C74" s="65"/>
      <c r="D74" s="65"/>
      <c r="E74" s="65"/>
      <c r="F74" s="65"/>
      <c r="G74" s="65"/>
      <c r="H74" s="65"/>
    </row>
    <row r="75" spans="1:10" ht="12.75" customHeight="1" x14ac:dyDescent="0.2">
      <c r="A75" s="92" t="s">
        <v>134</v>
      </c>
      <c r="B75" s="81"/>
      <c r="C75" s="82"/>
      <c r="D75" s="82"/>
      <c r="E75" s="82"/>
      <c r="F75" s="82"/>
      <c r="G75" s="82"/>
      <c r="H75" s="83"/>
    </row>
    <row r="76" spans="1:10" ht="12.75" customHeight="1" x14ac:dyDescent="0.2">
      <c r="A76" s="84" t="s">
        <v>97</v>
      </c>
      <c r="B76" s="85"/>
      <c r="C76" s="86">
        <f>C73</f>
        <v>56.234999999999999</v>
      </c>
      <c r="D76" s="86">
        <f>D73</f>
        <v>64.990220124999993</v>
      </c>
      <c r="E76" s="86">
        <f>E73</f>
        <v>66.774580687031246</v>
      </c>
      <c r="F76" s="86">
        <f>F73</f>
        <v>66.273711321042072</v>
      </c>
      <c r="G76" s="86">
        <f>G73</f>
        <v>66.109419296048983</v>
      </c>
      <c r="H76" s="87">
        <f>(C76+D76+E76+F76+G76)/5</f>
        <v>64.076586285824462</v>
      </c>
    </row>
    <row r="77" spans="1:10" ht="12.75" customHeight="1" x14ac:dyDescent="0.2">
      <c r="A77" s="84" t="s">
        <v>134</v>
      </c>
      <c r="B77" s="85"/>
      <c r="C77" s="86">
        <f>C45-C76</f>
        <v>1.2650000000000006</v>
      </c>
      <c r="D77" s="86">
        <f>D45-D76</f>
        <v>2.6497798750000072</v>
      </c>
      <c r="E77" s="86">
        <f>E45-E76</f>
        <v>19.244021937968739</v>
      </c>
      <c r="F77" s="86">
        <f>F45-F76</f>
        <v>20.348235482864169</v>
      </c>
      <c r="G77" s="86">
        <f>G45-G76</f>
        <v>20.203991884803543</v>
      </c>
      <c r="H77" s="87">
        <f>(C77+D77+E77+F77+G77)/5</f>
        <v>12.742205836127292</v>
      </c>
    </row>
    <row r="78" spans="1:10" ht="12.75" customHeight="1" thickBot="1" x14ac:dyDescent="0.25">
      <c r="A78" s="88" t="s">
        <v>135</v>
      </c>
      <c r="B78" s="89"/>
      <c r="C78" s="90">
        <f>C77*D90</f>
        <v>72105.000000000029</v>
      </c>
      <c r="D78" s="90">
        <f>D77*D90</f>
        <v>151037.45287500042</v>
      </c>
      <c r="E78" s="90">
        <f>E77*D90</f>
        <v>1096909.2504642182</v>
      </c>
      <c r="F78" s="90">
        <f>F77*D90</f>
        <v>1159849.4225232576</v>
      </c>
      <c r="G78" s="90">
        <f>G77*D90</f>
        <v>1151627.5374338019</v>
      </c>
      <c r="H78" s="91">
        <f>(C78+D78+E78+F78+G78)/5</f>
        <v>726305.73265925574</v>
      </c>
    </row>
    <row r="79" spans="1:10" ht="13.5" thickBot="1" x14ac:dyDescent="0.25"/>
    <row r="80" spans="1:10" x14ac:dyDescent="0.2">
      <c r="A80" s="95" t="s">
        <v>36</v>
      </c>
      <c r="B80" s="96"/>
      <c r="C80" s="97" t="s">
        <v>0</v>
      </c>
      <c r="D80" s="97" t="s">
        <v>1</v>
      </c>
      <c r="E80" s="97" t="s">
        <v>2</v>
      </c>
      <c r="F80" s="97" t="s">
        <v>3</v>
      </c>
      <c r="G80" s="97" t="s">
        <v>4</v>
      </c>
      <c r="H80" s="98" t="s">
        <v>5</v>
      </c>
      <c r="I80" s="4"/>
      <c r="J80" s="4"/>
    </row>
    <row r="81" spans="1:9" ht="12.75" customHeight="1" x14ac:dyDescent="0.2">
      <c r="A81" s="36" t="s">
        <v>22</v>
      </c>
      <c r="B81" s="52"/>
      <c r="C81" s="54">
        <f>(C41*(12/C25))</f>
        <v>46.153846153846153</v>
      </c>
      <c r="D81" s="54">
        <f>(D41*(12/D25))*C24</f>
        <v>40.917461538461538</v>
      </c>
      <c r="E81" s="54">
        <f>(E41*(12/E25))*D24</f>
        <v>40.30574548846154</v>
      </c>
      <c r="F81" s="54">
        <f>(F41*(12/F25))*E24</f>
        <v>42.71272454037981</v>
      </c>
      <c r="G81" s="54">
        <f>(G41*(12/G25))*F24</f>
        <v>42.487402742735362</v>
      </c>
      <c r="H81" s="55">
        <f>H41*(12/H25)</f>
        <v>46.21373241077773</v>
      </c>
    </row>
    <row r="82" spans="1:9" x14ac:dyDescent="0.2">
      <c r="A82" s="36" t="s">
        <v>21</v>
      </c>
      <c r="B82" s="52"/>
      <c r="C82" s="99">
        <f>C22*300</f>
        <v>4500</v>
      </c>
      <c r="D82" s="99">
        <f>C82+(C82*D23/100)</f>
        <v>4725</v>
      </c>
      <c r="E82" s="99">
        <f>D82+(D82*E23/100)</f>
        <v>4961.25</v>
      </c>
      <c r="F82" s="99">
        <f>E82+(E82*F23/100)</f>
        <v>5209.3125</v>
      </c>
      <c r="G82" s="99">
        <f>F82+(F82*G23/100)</f>
        <v>5469.7781249999998</v>
      </c>
      <c r="H82" s="100">
        <f>(C82+D82+E82+F82+G82)/5</f>
        <v>4973.0681249999998</v>
      </c>
      <c r="I82" s="4"/>
    </row>
    <row r="83" spans="1:9" ht="12.75" customHeight="1" x14ac:dyDescent="0.2">
      <c r="A83" s="36" t="s">
        <v>6</v>
      </c>
      <c r="B83" s="52"/>
      <c r="C83" s="99">
        <f>C81*C82</f>
        <v>207692.30769230769</v>
      </c>
      <c r="D83" s="99">
        <f>D81*D82</f>
        <v>193335.00576923077</v>
      </c>
      <c r="E83" s="99">
        <f>E81*E82</f>
        <v>199966.8798046298</v>
      </c>
      <c r="F83" s="99">
        <f>F81*F82</f>
        <v>222503.92985725729</v>
      </c>
      <c r="G83" s="99">
        <f>G81*G82</f>
        <v>232396.66611027889</v>
      </c>
      <c r="H83" s="100">
        <f>(C83+D83+E83+F83+G83)/5</f>
        <v>211178.95784674087</v>
      </c>
    </row>
    <row r="84" spans="1:9" ht="12.75" customHeight="1" x14ac:dyDescent="0.2">
      <c r="A84" s="36" t="s">
        <v>32</v>
      </c>
      <c r="B84" s="52"/>
      <c r="C84" s="99">
        <f>300*C81</f>
        <v>13846.153846153846</v>
      </c>
      <c r="D84" s="99">
        <f>300*D81</f>
        <v>12275.238461538462</v>
      </c>
      <c r="E84" s="99">
        <f>300*E81</f>
        <v>12091.723646538461</v>
      </c>
      <c r="F84" s="99">
        <f>300*F81</f>
        <v>12813.817362113943</v>
      </c>
      <c r="G84" s="99">
        <f>300*G81</f>
        <v>12746.220822820609</v>
      </c>
      <c r="H84" s="100">
        <f>(C84+D84+E84+F84+G84)/5</f>
        <v>12754.630827833065</v>
      </c>
    </row>
    <row r="85" spans="1:9" ht="12.75" customHeight="1" x14ac:dyDescent="0.2">
      <c r="A85" s="36" t="s">
        <v>45</v>
      </c>
      <c r="B85" s="52"/>
      <c r="C85" s="99">
        <f>C83-C84</f>
        <v>193846.15384615384</v>
      </c>
      <c r="D85" s="99">
        <f>D83-D84</f>
        <v>181059.76730769232</v>
      </c>
      <c r="E85" s="99">
        <f>E83-E84</f>
        <v>187875.15615809135</v>
      </c>
      <c r="F85" s="99">
        <f>F83-F84</f>
        <v>209690.11249514334</v>
      </c>
      <c r="G85" s="99">
        <f>G83-G84</f>
        <v>219650.44528745828</v>
      </c>
      <c r="H85" s="100">
        <f>(C85+D85+E85+F85+G85)/5</f>
        <v>198424.32701890782</v>
      </c>
    </row>
    <row r="86" spans="1:9" ht="12.75" customHeight="1" thickBot="1" x14ac:dyDescent="0.25">
      <c r="A86" s="53" t="s">
        <v>46</v>
      </c>
      <c r="B86" s="101"/>
      <c r="C86" s="102">
        <f>C85/365</f>
        <v>531.08535300316123</v>
      </c>
      <c r="D86" s="102">
        <f>D85/365</f>
        <v>496.0541570073762</v>
      </c>
      <c r="E86" s="102">
        <f>E85/365</f>
        <v>514.72645522764753</v>
      </c>
      <c r="F86" s="102">
        <f>F85/365</f>
        <v>574.49345889080371</v>
      </c>
      <c r="G86" s="102">
        <f>G85/365</f>
        <v>601.78204188344739</v>
      </c>
      <c r="H86" s="103">
        <f>(C86+D86+E86+F86+G86)/5</f>
        <v>543.62829320248716</v>
      </c>
    </row>
    <row r="87" spans="1:9" ht="12.75" customHeight="1" thickBot="1" x14ac:dyDescent="0.25">
      <c r="A87" s="34"/>
      <c r="B87" s="52"/>
      <c r="C87" s="99"/>
      <c r="D87" s="99"/>
      <c r="E87" s="99"/>
      <c r="F87" s="99"/>
      <c r="G87" s="99"/>
      <c r="H87" s="99"/>
    </row>
    <row r="88" spans="1:9" x14ac:dyDescent="0.2">
      <c r="A88" s="14" t="s">
        <v>47</v>
      </c>
      <c r="B88" s="197"/>
      <c r="C88" s="198"/>
      <c r="D88" s="198"/>
      <c r="E88" s="198"/>
      <c r="F88" s="198"/>
      <c r="G88" s="198"/>
      <c r="H88" s="199"/>
    </row>
    <row r="89" spans="1:9" x14ac:dyDescent="0.2">
      <c r="A89" s="21" t="s">
        <v>33</v>
      </c>
      <c r="B89" s="104"/>
      <c r="C89" s="24"/>
      <c r="D89" s="200">
        <v>3800</v>
      </c>
      <c r="E89" s="18"/>
      <c r="F89" s="24"/>
      <c r="G89" s="24"/>
      <c r="H89" s="105"/>
    </row>
    <row r="90" spans="1:9" x14ac:dyDescent="0.2">
      <c r="A90" s="21" t="s">
        <v>34</v>
      </c>
      <c r="B90" s="104"/>
      <c r="C90" s="18"/>
      <c r="D90" s="23">
        <f>C22*D89</f>
        <v>57000</v>
      </c>
      <c r="E90" s="18"/>
      <c r="F90" s="24"/>
      <c r="G90" s="24"/>
      <c r="H90" s="105"/>
    </row>
    <row r="91" spans="1:9" x14ac:dyDescent="0.2">
      <c r="A91" s="201" t="s">
        <v>182</v>
      </c>
      <c r="B91" s="104"/>
      <c r="C91" s="18"/>
      <c r="D91" s="202">
        <f>(E226+E225)*10000000</f>
        <v>1464375</v>
      </c>
      <c r="E91" s="18"/>
      <c r="F91" s="24"/>
      <c r="G91" s="24"/>
      <c r="H91" s="203"/>
    </row>
    <row r="92" spans="1:9" x14ac:dyDescent="0.2">
      <c r="A92" s="21" t="s">
        <v>35</v>
      </c>
      <c r="B92" s="104"/>
      <c r="C92" s="18"/>
      <c r="D92" s="23">
        <f>D93/B9</f>
        <v>91535.557149999993</v>
      </c>
      <c r="E92" s="18"/>
      <c r="F92" s="18"/>
      <c r="G92" s="18"/>
      <c r="H92" s="203"/>
    </row>
    <row r="93" spans="1:9" x14ac:dyDescent="0.2">
      <c r="A93" s="201" t="s">
        <v>181</v>
      </c>
      <c r="B93" s="104"/>
      <c r="C93" s="18"/>
      <c r="D93" s="23">
        <f>E229*10000000</f>
        <v>4576777.8574999999</v>
      </c>
      <c r="E93" s="18"/>
      <c r="F93" s="18"/>
      <c r="G93" s="18"/>
      <c r="H93" s="203"/>
    </row>
    <row r="94" spans="1:9" x14ac:dyDescent="0.2">
      <c r="A94" s="21" t="s">
        <v>17</v>
      </c>
      <c r="B94" s="204">
        <v>12</v>
      </c>
      <c r="C94" s="18"/>
      <c r="D94" s="18"/>
      <c r="E94" s="18"/>
      <c r="F94" s="18"/>
      <c r="G94" s="18"/>
      <c r="H94" s="203"/>
    </row>
    <row r="95" spans="1:9" x14ac:dyDescent="0.2">
      <c r="A95" s="21" t="s">
        <v>48</v>
      </c>
      <c r="B95" s="204">
        <v>75</v>
      </c>
      <c r="C95" s="18"/>
      <c r="D95" s="18"/>
      <c r="E95" s="18"/>
      <c r="F95" s="18"/>
      <c r="G95" s="18"/>
      <c r="H95" s="203"/>
      <c r="I95" s="4"/>
    </row>
    <row r="96" spans="1:9" x14ac:dyDescent="0.2">
      <c r="A96" s="21" t="s">
        <v>20</v>
      </c>
      <c r="B96" s="104"/>
      <c r="C96" s="18"/>
      <c r="D96" s="18"/>
      <c r="E96" s="23">
        <f>D93-E97</f>
        <v>3432583.3931249999</v>
      </c>
      <c r="F96" s="18"/>
      <c r="G96" s="18"/>
      <c r="H96" s="203"/>
    </row>
    <row r="97" spans="1:10" x14ac:dyDescent="0.2">
      <c r="A97" s="21" t="s">
        <v>49</v>
      </c>
      <c r="B97" s="104"/>
      <c r="C97" s="18"/>
      <c r="D97" s="18"/>
      <c r="E97" s="23">
        <f>B144</f>
        <v>1144194.464375</v>
      </c>
      <c r="F97" s="18"/>
      <c r="G97" s="18"/>
      <c r="H97" s="203"/>
    </row>
    <row r="98" spans="1:10" x14ac:dyDescent="0.2">
      <c r="A98" s="21"/>
      <c r="B98" s="104"/>
      <c r="C98" s="19" t="s">
        <v>0</v>
      </c>
      <c r="D98" s="19" t="s">
        <v>1</v>
      </c>
      <c r="E98" s="19" t="s">
        <v>2</v>
      </c>
      <c r="F98" s="19" t="s">
        <v>3</v>
      </c>
      <c r="G98" s="19" t="s">
        <v>4</v>
      </c>
      <c r="H98" s="119" t="s">
        <v>5</v>
      </c>
    </row>
    <row r="99" spans="1:10" x14ac:dyDescent="0.2">
      <c r="A99" s="21" t="s">
        <v>53</v>
      </c>
      <c r="B99" s="104"/>
      <c r="C99" s="115"/>
      <c r="D99" s="116">
        <v>3</v>
      </c>
      <c r="E99" s="116">
        <v>3</v>
      </c>
      <c r="F99" s="116">
        <v>3</v>
      </c>
      <c r="G99" s="116">
        <v>3</v>
      </c>
      <c r="H99" s="105">
        <f>( D99+E99+F99+G99)/4</f>
        <v>3</v>
      </c>
      <c r="I99" s="4"/>
    </row>
    <row r="100" spans="1:10" x14ac:dyDescent="0.2">
      <c r="A100" s="21" t="s">
        <v>183</v>
      </c>
      <c r="B100" s="117">
        <v>22</v>
      </c>
      <c r="C100" s="24">
        <f>B100</f>
        <v>22</v>
      </c>
      <c r="D100" s="24">
        <f>C100+C100*D99/100</f>
        <v>22.66</v>
      </c>
      <c r="E100" s="24">
        <f>D100+D100*E99/100</f>
        <v>23.3398</v>
      </c>
      <c r="F100" s="24">
        <f>E100+E100*F99/100</f>
        <v>24.039994</v>
      </c>
      <c r="G100" s="24">
        <f>F100+F100*G99/100</f>
        <v>24.761193819999999</v>
      </c>
      <c r="H100" s="105">
        <f>(C100+D100+E100+F100+G100)/5</f>
        <v>23.360197564</v>
      </c>
      <c r="I100" s="4"/>
      <c r="J100" s="4"/>
    </row>
    <row r="101" spans="1:10" x14ac:dyDescent="0.2">
      <c r="A101" s="21" t="s">
        <v>40</v>
      </c>
      <c r="B101" s="104"/>
      <c r="C101" s="24">
        <f>B121</f>
        <v>0.6</v>
      </c>
      <c r="D101" s="24">
        <f>C101+C101*D99/100</f>
        <v>0.61799999999999999</v>
      </c>
      <c r="E101" s="24">
        <f>D101+D101*E99/100</f>
        <v>0.63653999999999999</v>
      </c>
      <c r="F101" s="24">
        <f>E101+E101*F99/100</f>
        <v>0.6556362</v>
      </c>
      <c r="G101" s="24">
        <f>F101+F101*G99/100</f>
        <v>0.67530528599999995</v>
      </c>
      <c r="H101" s="105">
        <f>(C101+D101+E101+F101+G101)/5</f>
        <v>0.63709629720000005</v>
      </c>
      <c r="I101" s="4"/>
      <c r="J101" s="4"/>
    </row>
    <row r="102" spans="1:10" x14ac:dyDescent="0.2">
      <c r="A102" s="21" t="s">
        <v>41</v>
      </c>
      <c r="B102" s="104"/>
      <c r="C102" s="24">
        <f>B122</f>
        <v>3</v>
      </c>
      <c r="D102" s="24">
        <f>C102+C102*D99/100</f>
        <v>3.09</v>
      </c>
      <c r="E102" s="24">
        <f>D102+D102*E99/100</f>
        <v>3.1826999999999996</v>
      </c>
      <c r="F102" s="24">
        <f>E102+E102*F99/100</f>
        <v>3.2781809999999996</v>
      </c>
      <c r="G102" s="24">
        <f>F102+F102*G99/100</f>
        <v>3.3765264299999997</v>
      </c>
      <c r="H102" s="105">
        <f>(C102+D102+E102+F102+G102)/5</f>
        <v>3.185481486</v>
      </c>
      <c r="I102" s="4"/>
      <c r="J102" s="4"/>
    </row>
    <row r="103" spans="1:10" x14ac:dyDescent="0.2">
      <c r="A103" s="21" t="s">
        <v>42</v>
      </c>
      <c r="B103" s="104"/>
      <c r="C103" s="24">
        <f>B123</f>
        <v>13</v>
      </c>
      <c r="D103" s="24">
        <f>C103+C103*D99/100</f>
        <v>13.39</v>
      </c>
      <c r="E103" s="24">
        <f>D103+D103*E99/100</f>
        <v>13.791700000000001</v>
      </c>
      <c r="F103" s="24">
        <f>E103+E103*F99/100</f>
        <v>14.205451</v>
      </c>
      <c r="G103" s="24">
        <f>F103+F103*G99/100</f>
        <v>14.63161453</v>
      </c>
      <c r="H103" s="105">
        <f>(C103+D103+E103+F103+G103)/5</f>
        <v>13.803753105999998</v>
      </c>
      <c r="I103" s="4"/>
      <c r="J103" s="4"/>
    </row>
    <row r="104" spans="1:10" x14ac:dyDescent="0.2">
      <c r="A104" s="21" t="s">
        <v>54</v>
      </c>
      <c r="B104" s="104"/>
      <c r="C104" s="23">
        <v>4000</v>
      </c>
      <c r="D104" s="23">
        <f>C104+C104*D99/100</f>
        <v>4120</v>
      </c>
      <c r="E104" s="23">
        <f>D104+D104*D99/100</f>
        <v>4243.6000000000004</v>
      </c>
      <c r="F104" s="23">
        <f>E104+E104*D99/100</f>
        <v>4370.9080000000004</v>
      </c>
      <c r="G104" s="23">
        <f>F104+F104*D99/100</f>
        <v>4502.0352400000002</v>
      </c>
      <c r="H104" s="120">
        <f>G104+G104*D99/100</f>
        <v>4637.0962971999998</v>
      </c>
      <c r="I104" s="4"/>
      <c r="J104" s="4"/>
    </row>
    <row r="105" spans="1:10" x14ac:dyDescent="0.2">
      <c r="A105" s="21" t="s">
        <v>80</v>
      </c>
      <c r="B105" s="104"/>
      <c r="C105" s="118">
        <f t="shared" ref="C105:H105" si="9">IF(C73/100 &lt;1,0,C73/100)</f>
        <v>0</v>
      </c>
      <c r="D105" s="118">
        <f t="shared" si="9"/>
        <v>0</v>
      </c>
      <c r="E105" s="118">
        <f t="shared" si="9"/>
        <v>0</v>
      </c>
      <c r="F105" s="118">
        <f t="shared" si="9"/>
        <v>0</v>
      </c>
      <c r="G105" s="118">
        <f t="shared" si="9"/>
        <v>0</v>
      </c>
      <c r="H105" s="121">
        <f t="shared" si="9"/>
        <v>0</v>
      </c>
      <c r="I105" s="4"/>
      <c r="J105" s="4"/>
    </row>
    <row r="106" spans="1:10" x14ac:dyDescent="0.2">
      <c r="A106" s="21" t="s">
        <v>82</v>
      </c>
      <c r="B106" s="104">
        <v>120000</v>
      </c>
      <c r="C106" s="118">
        <f>B106</f>
        <v>120000</v>
      </c>
      <c r="D106" s="23">
        <f>C106+C106/10</f>
        <v>132000</v>
      </c>
      <c r="E106" s="23">
        <f>D106+D106/10</f>
        <v>145200</v>
      </c>
      <c r="F106" s="23">
        <f>E106+E106/10</f>
        <v>159720</v>
      </c>
      <c r="G106" s="23">
        <f>F106+F106/10</f>
        <v>175692</v>
      </c>
      <c r="H106" s="120"/>
      <c r="I106" s="4"/>
      <c r="J106" s="4"/>
    </row>
    <row r="107" spans="1:10" ht="13.5" thickBot="1" x14ac:dyDescent="0.25">
      <c r="A107" s="26" t="s">
        <v>81</v>
      </c>
      <c r="B107" s="106"/>
      <c r="C107" s="107">
        <f>C105*C106</f>
        <v>0</v>
      </c>
      <c r="D107" s="107">
        <f>D105*D106</f>
        <v>0</v>
      </c>
      <c r="E107" s="107">
        <f>E105*E106</f>
        <v>0</v>
      </c>
      <c r="F107" s="107">
        <f>F105*F106</f>
        <v>0</v>
      </c>
      <c r="G107" s="107">
        <f>G105*G106</f>
        <v>0</v>
      </c>
      <c r="H107" s="122">
        <f>G107+G107*D99/100</f>
        <v>0</v>
      </c>
      <c r="I107" s="4"/>
      <c r="J107" s="4"/>
    </row>
    <row r="108" spans="1:10" ht="13.5" thickBot="1" x14ac:dyDescent="0.25"/>
    <row r="109" spans="1:10" x14ac:dyDescent="0.2">
      <c r="A109" s="123"/>
      <c r="B109" s="124"/>
      <c r="C109" s="125"/>
      <c r="D109" s="125"/>
      <c r="E109" s="125"/>
      <c r="F109" s="125"/>
      <c r="G109" s="125"/>
      <c r="H109" s="126"/>
      <c r="I109" s="4"/>
      <c r="J109" s="4"/>
    </row>
    <row r="110" spans="1:10" x14ac:dyDescent="0.2">
      <c r="A110" s="127" t="s">
        <v>43</v>
      </c>
      <c r="B110" s="128" t="s">
        <v>8</v>
      </c>
      <c r="C110" s="129" t="s">
        <v>0</v>
      </c>
      <c r="D110" s="129" t="s">
        <v>1</v>
      </c>
      <c r="E110" s="129" t="s">
        <v>2</v>
      </c>
      <c r="F110" s="129" t="s">
        <v>3</v>
      </c>
      <c r="G110" s="129" t="s">
        <v>4</v>
      </c>
      <c r="H110" s="38"/>
    </row>
    <row r="111" spans="1:10" ht="12.75" customHeight="1" x14ac:dyDescent="0.2">
      <c r="A111" s="33" t="s">
        <v>83</v>
      </c>
      <c r="B111" s="34"/>
      <c r="C111" s="99">
        <f>C100*C85</f>
        <v>4264615.384615385</v>
      </c>
      <c r="D111" s="99">
        <f>D100*D85</f>
        <v>4102814.3271923079</v>
      </c>
      <c r="E111" s="99">
        <f>E100*E85</f>
        <v>4384968.5696986206</v>
      </c>
      <c r="F111" s="99">
        <f>F100*F85</f>
        <v>5040949.0462425714</v>
      </c>
      <c r="G111" s="99">
        <f>G100*G85</f>
        <v>5438807.2484120596</v>
      </c>
      <c r="H111" s="38"/>
    </row>
    <row r="112" spans="1:10" ht="12.75" customHeight="1" x14ac:dyDescent="0.2">
      <c r="A112" s="33" t="s">
        <v>37</v>
      </c>
      <c r="B112" s="130"/>
      <c r="C112" s="99"/>
      <c r="D112" s="99"/>
      <c r="E112" s="99"/>
      <c r="F112" s="99"/>
      <c r="G112" s="99"/>
      <c r="H112" s="38"/>
    </row>
    <row r="113" spans="1:8" ht="12.75" customHeight="1" x14ac:dyDescent="0.2">
      <c r="A113" s="33" t="s">
        <v>84</v>
      </c>
      <c r="B113" s="131">
        <f>D90</f>
        <v>57000</v>
      </c>
      <c r="C113" s="99">
        <f>C66*B113</f>
        <v>36480</v>
      </c>
      <c r="D113" s="99">
        <f>D66*B113</f>
        <v>114446.30287499998</v>
      </c>
      <c r="E113" s="99">
        <f>E66*B113</f>
        <v>1055339.0392785936</v>
      </c>
      <c r="F113" s="99">
        <f>F66*B113</f>
        <v>1118362.2291427357</v>
      </c>
      <c r="G113" s="99">
        <f>G66*B113</f>
        <v>1109225.0177497729</v>
      </c>
      <c r="H113" s="38"/>
    </row>
    <row r="114" spans="1:8" ht="12.75" customHeight="1" x14ac:dyDescent="0.2">
      <c r="A114" s="33" t="s">
        <v>92</v>
      </c>
      <c r="B114" s="37">
        <v>50</v>
      </c>
      <c r="C114" s="99">
        <f>(C81/2)*B114</f>
        <v>1153.8461538461538</v>
      </c>
      <c r="D114" s="99">
        <f>(D81/2)*B114</f>
        <v>1022.9365384615385</v>
      </c>
      <c r="E114" s="99">
        <f>(E81/2)*B114</f>
        <v>1007.6436372115385</v>
      </c>
      <c r="F114" s="99">
        <f>(F81/2)*B114</f>
        <v>1067.8181135094953</v>
      </c>
      <c r="G114" s="99">
        <f>(G81/2)*B114</f>
        <v>1062.1850685683842</v>
      </c>
      <c r="H114" s="38"/>
    </row>
    <row r="115" spans="1:8" ht="12.75" customHeight="1" x14ac:dyDescent="0.2">
      <c r="A115" s="33" t="s">
        <v>85</v>
      </c>
      <c r="B115" s="132">
        <f>0.75*D90</f>
        <v>42750</v>
      </c>
      <c r="C115" s="99">
        <f>B115*((C48 ))</f>
        <v>10687.5</v>
      </c>
      <c r="D115" s="99">
        <f>B115*((D48 ))</f>
        <v>10527.721874999999</v>
      </c>
      <c r="E115" s="99">
        <f>B115*((E48 ))</f>
        <v>10370.332432968749</v>
      </c>
      <c r="F115" s="99">
        <f>B115*((F48 ))</f>
        <v>10989.628084868553</v>
      </c>
      <c r="G115" s="99">
        <f>B115*((G48 ))</f>
        <v>10931.654664016285</v>
      </c>
      <c r="H115" s="38"/>
    </row>
    <row r="116" spans="1:8" ht="12.75" customHeight="1" x14ac:dyDescent="0.2">
      <c r="A116" s="33" t="s">
        <v>7</v>
      </c>
      <c r="B116" s="37">
        <v>1000</v>
      </c>
      <c r="C116" s="99">
        <f>B116*C73</f>
        <v>56235</v>
      </c>
      <c r="D116" s="99">
        <f>B116*D73</f>
        <v>64990.220124999993</v>
      </c>
      <c r="E116" s="99">
        <f>B116*E73</f>
        <v>66774.580687031252</v>
      </c>
      <c r="F116" s="99">
        <f>B116*F73</f>
        <v>66273.711321042065</v>
      </c>
      <c r="G116" s="99">
        <f>B116*G73</f>
        <v>66109.419296048989</v>
      </c>
      <c r="H116" s="38"/>
    </row>
    <row r="117" spans="1:8" ht="12.75" customHeight="1" thickBot="1" x14ac:dyDescent="0.25">
      <c r="A117" s="47" t="s">
        <v>38</v>
      </c>
      <c r="B117" s="133"/>
      <c r="C117" s="102">
        <f>SUM(C111:C116)</f>
        <v>4369171.730769231</v>
      </c>
      <c r="D117" s="102">
        <f>SUM(D111:D116)</f>
        <v>4293801.5086057689</v>
      </c>
      <c r="E117" s="102">
        <f>SUM(E111:E116)</f>
        <v>5518460.1657344261</v>
      </c>
      <c r="F117" s="102">
        <f>SUM(F111:F116)</f>
        <v>6237642.4329047268</v>
      </c>
      <c r="G117" s="102">
        <f>SUM(G111:G116)</f>
        <v>6626135.5251904661</v>
      </c>
      <c r="H117" s="134"/>
    </row>
    <row r="118" spans="1:8" x14ac:dyDescent="0.2">
      <c r="A118" s="108" t="s">
        <v>39</v>
      </c>
      <c r="B118" s="109"/>
      <c r="C118" s="135"/>
      <c r="D118" s="135"/>
      <c r="E118" s="135"/>
      <c r="F118" s="135"/>
      <c r="G118" s="135"/>
      <c r="H118" s="136"/>
    </row>
    <row r="119" spans="1:8" x14ac:dyDescent="0.2">
      <c r="A119" s="27"/>
      <c r="B119" s="137" t="s">
        <v>61</v>
      </c>
      <c r="C119" s="28"/>
      <c r="D119" s="28"/>
      <c r="E119" s="28"/>
      <c r="F119" s="28"/>
      <c r="G119" s="28"/>
      <c r="H119" s="30"/>
    </row>
    <row r="120" spans="1:8" ht="12.75" customHeight="1" x14ac:dyDescent="0.2">
      <c r="A120" s="27"/>
      <c r="B120" s="138"/>
      <c r="C120" s="31" t="s">
        <v>0</v>
      </c>
      <c r="D120" s="31" t="s">
        <v>1</v>
      </c>
      <c r="E120" s="31" t="s">
        <v>2</v>
      </c>
      <c r="F120" s="31" t="s">
        <v>3</v>
      </c>
      <c r="G120" s="31" t="s">
        <v>4</v>
      </c>
      <c r="H120" s="30"/>
    </row>
    <row r="121" spans="1:8" ht="12.75" customHeight="1" x14ac:dyDescent="0.2">
      <c r="A121" s="27" t="s">
        <v>76</v>
      </c>
      <c r="B121" s="29">
        <v>0.6</v>
      </c>
      <c r="C121" s="111">
        <f>C73*40*365*B121</f>
        <v>492618.6</v>
      </c>
      <c r="D121" s="111">
        <f>D73*40*365*B121</f>
        <v>569314.32829500001</v>
      </c>
      <c r="E121" s="111">
        <f>E73*40*365*B121</f>
        <v>584945.32681839366</v>
      </c>
      <c r="F121" s="111">
        <f>F73*40*365*B121</f>
        <v>580557.71117232856</v>
      </c>
      <c r="G121" s="111">
        <f>G73*40*365*B121</f>
        <v>579118.51303338911</v>
      </c>
      <c r="H121" s="30"/>
    </row>
    <row r="122" spans="1:8" ht="12.75" customHeight="1" x14ac:dyDescent="0.2">
      <c r="A122" s="27" t="s">
        <v>190</v>
      </c>
      <c r="B122" s="29">
        <v>3</v>
      </c>
      <c r="C122" s="111">
        <f>C102*(C73*3*365)</f>
        <v>184731.97499999998</v>
      </c>
      <c r="D122" s="111">
        <f>D102*(D73*3*365)</f>
        <v>219897.65930394371</v>
      </c>
      <c r="E122" s="111">
        <f>E102*(E73*3*365)</f>
        <v>232713.1864581127</v>
      </c>
      <c r="F122" s="111">
        <f>F102*(F73*3*365)</f>
        <v>237896.65727107687</v>
      </c>
      <c r="G122" s="111">
        <f>G102*(G73*3*365)</f>
        <v>244426.12066994215</v>
      </c>
      <c r="H122" s="30"/>
    </row>
    <row r="123" spans="1:8" ht="12.75" customHeight="1" x14ac:dyDescent="0.2">
      <c r="A123" s="27" t="s">
        <v>71</v>
      </c>
      <c r="B123" s="29">
        <v>13</v>
      </c>
      <c r="C123" s="111">
        <f>(C83/2.5)*C103</f>
        <v>1080000</v>
      </c>
      <c r="D123" s="111">
        <f>(D83/2.5)*D103</f>
        <v>1035502.2909</v>
      </c>
      <c r="E123" s="111">
        <f>(E83/2.5)*E103</f>
        <v>1103153.2864806051</v>
      </c>
      <c r="F123" s="111">
        <f>(F83/2.5)*F103</f>
        <v>1264307.469157882</v>
      </c>
      <c r="G123" s="111">
        <f>(G83/2.5)*G103</f>
        <v>1360135.3746330861</v>
      </c>
      <c r="H123" s="30"/>
    </row>
    <row r="124" spans="1:8" ht="12.75" customHeight="1" x14ac:dyDescent="0.2">
      <c r="A124" s="27" t="s">
        <v>86</v>
      </c>
      <c r="B124" s="227">
        <f>B123</f>
        <v>13</v>
      </c>
      <c r="C124" s="111">
        <f>1.5*365*C73*C103</f>
        <v>400252.61249999999</v>
      </c>
      <c r="D124" s="111">
        <f>1.5*365*D73*D103</f>
        <v>476444.92849187803</v>
      </c>
      <c r="E124" s="111">
        <f>1.5*365*E73*E103</f>
        <v>504211.90399257763</v>
      </c>
      <c r="F124" s="111">
        <f>1.5*365*F73*F103</f>
        <v>515442.75742066663</v>
      </c>
      <c r="G124" s="111">
        <f>1.5*365*G73*G103</f>
        <v>529589.92811820819</v>
      </c>
      <c r="H124" s="30"/>
    </row>
    <row r="125" spans="1:8" ht="12.75" customHeight="1" x14ac:dyDescent="0.2">
      <c r="A125" s="27" t="s">
        <v>9</v>
      </c>
      <c r="B125" s="29">
        <v>2000</v>
      </c>
      <c r="C125" s="111">
        <f>B125*C73</f>
        <v>112470</v>
      </c>
      <c r="D125" s="111">
        <f>B125*D73</f>
        <v>129980.44024999999</v>
      </c>
      <c r="E125" s="111">
        <f>B125*E73</f>
        <v>133549.1613740625</v>
      </c>
      <c r="F125" s="111">
        <f>B125*F73</f>
        <v>132547.42264208413</v>
      </c>
      <c r="G125" s="111">
        <f>B125*G73</f>
        <v>132218.83859209798</v>
      </c>
      <c r="H125" s="30"/>
    </row>
    <row r="126" spans="1:8" ht="12.75" customHeight="1" x14ac:dyDescent="0.2">
      <c r="A126" s="27" t="s">
        <v>55</v>
      </c>
      <c r="B126" s="29">
        <v>0</v>
      </c>
      <c r="C126" s="111">
        <f>C73*B126</f>
        <v>0</v>
      </c>
      <c r="D126" s="111">
        <f>D73*B126</f>
        <v>0</v>
      </c>
      <c r="E126" s="111">
        <f>E73*B126</f>
        <v>0</v>
      </c>
      <c r="F126" s="111">
        <f>F73*B126</f>
        <v>0</v>
      </c>
      <c r="G126" s="111">
        <f>G73*B126</f>
        <v>0</v>
      </c>
      <c r="H126" s="30"/>
    </row>
    <row r="127" spans="1:8" ht="12.75" customHeight="1" x14ac:dyDescent="0.2">
      <c r="A127" s="27" t="s">
        <v>54</v>
      </c>
      <c r="B127" s="29">
        <v>3000</v>
      </c>
      <c r="C127" s="111">
        <f>C104*C73</f>
        <v>224940</v>
      </c>
      <c r="D127" s="111">
        <f>D104*D73</f>
        <v>267759.70691499999</v>
      </c>
      <c r="E127" s="111">
        <f>E104*E73</f>
        <v>283364.61060348584</v>
      </c>
      <c r="F127" s="111">
        <f>F104*F73</f>
        <v>289676.29500283336</v>
      </c>
      <c r="G127" s="111">
        <f>G104*G73</f>
        <v>297626.93536674854</v>
      </c>
      <c r="H127" s="30"/>
    </row>
    <row r="128" spans="1:8" ht="12.75" customHeight="1" x14ac:dyDescent="0.2">
      <c r="A128" s="27" t="s">
        <v>56</v>
      </c>
      <c r="B128" s="110"/>
      <c r="C128" s="111">
        <f>C107</f>
        <v>0</v>
      </c>
      <c r="D128" s="111">
        <f>D107</f>
        <v>0</v>
      </c>
      <c r="E128" s="111">
        <f>E107</f>
        <v>0</v>
      </c>
      <c r="F128" s="111">
        <f>F107</f>
        <v>0</v>
      </c>
      <c r="G128" s="111">
        <f>G107</f>
        <v>0</v>
      </c>
      <c r="H128" s="30"/>
    </row>
    <row r="129" spans="1:8" ht="12.75" customHeight="1" x14ac:dyDescent="0.2">
      <c r="A129" s="27" t="s">
        <v>10</v>
      </c>
      <c r="B129" s="29">
        <v>4</v>
      </c>
      <c r="C129" s="111">
        <f>(D90*C41*B129/100)</f>
        <v>114000</v>
      </c>
      <c r="D129" s="111">
        <f>(D90*D41*B129/100)</f>
        <v>112295.7</v>
      </c>
      <c r="E129" s="111">
        <f>(D90*E41*B129/100)</f>
        <v>110616.87928499999</v>
      </c>
      <c r="F129" s="111">
        <f>(D90*F41*B129/100)</f>
        <v>117222.69957193123</v>
      </c>
      <c r="G129" s="111">
        <f>(D90*G41*B129/100)</f>
        <v>116604.31641617369</v>
      </c>
      <c r="H129" s="30"/>
    </row>
    <row r="130" spans="1:8" ht="12.75" customHeight="1" x14ac:dyDescent="0.2">
      <c r="A130" s="27" t="s">
        <v>11</v>
      </c>
      <c r="B130" s="29">
        <v>2400</v>
      </c>
      <c r="C130" s="111">
        <f>C73*B130</f>
        <v>134964</v>
      </c>
      <c r="D130" s="111">
        <f>D73*B130</f>
        <v>155976.52829999998</v>
      </c>
      <c r="E130" s="111">
        <f>E73*B130</f>
        <v>160258.99364887498</v>
      </c>
      <c r="F130" s="111">
        <f>F73*B130</f>
        <v>159056.90717050098</v>
      </c>
      <c r="G130" s="111">
        <f>G73*B130</f>
        <v>158662.60631051756</v>
      </c>
      <c r="H130" s="30"/>
    </row>
    <row r="131" spans="1:8" ht="12.75" customHeight="1" x14ac:dyDescent="0.2">
      <c r="A131" s="27" t="s">
        <v>12</v>
      </c>
      <c r="B131" s="29">
        <v>1200</v>
      </c>
      <c r="C131" s="111">
        <f>C73*B131</f>
        <v>67482</v>
      </c>
      <c r="D131" s="111">
        <f>D73*B131</f>
        <v>77988.264149999988</v>
      </c>
      <c r="E131" s="111">
        <f>E73*B131</f>
        <v>80129.49682443749</v>
      </c>
      <c r="F131" s="111">
        <f>F73*B131</f>
        <v>79528.453585250492</v>
      </c>
      <c r="G131" s="111">
        <f>G73*B131</f>
        <v>79331.303155258778</v>
      </c>
      <c r="H131" s="30"/>
    </row>
    <row r="132" spans="1:8" ht="12.75" customHeight="1" x14ac:dyDescent="0.2">
      <c r="A132" s="112" t="s">
        <v>191</v>
      </c>
      <c r="B132" s="138"/>
      <c r="C132" s="111">
        <f>SUM(C121:C131)</f>
        <v>2811459.1875</v>
      </c>
      <c r="D132" s="111">
        <f>SUM(D121:D131)</f>
        <v>3045159.846605822</v>
      </c>
      <c r="E132" s="111">
        <f>SUM(E121:E131)</f>
        <v>3192942.845485549</v>
      </c>
      <c r="F132" s="111">
        <f>SUM(F121:F131)</f>
        <v>3376236.3729945547</v>
      </c>
      <c r="G132" s="111">
        <f>SUM(G121:G131)</f>
        <v>3497713.9362954223</v>
      </c>
      <c r="H132" s="30"/>
    </row>
    <row r="133" spans="1:8" ht="12.75" customHeight="1" x14ac:dyDescent="0.2">
      <c r="A133" s="27" t="s">
        <v>13</v>
      </c>
      <c r="B133" s="138"/>
      <c r="C133" s="111">
        <f>C117-C132</f>
        <v>1557712.543269231</v>
      </c>
      <c r="D133" s="111">
        <f>D117-D132</f>
        <v>1248641.6619999469</v>
      </c>
      <c r="E133" s="111">
        <f>E117-E132</f>
        <v>2325517.3202488772</v>
      </c>
      <c r="F133" s="111">
        <f>F117-F132</f>
        <v>2861406.0599101721</v>
      </c>
      <c r="G133" s="111">
        <f>G117-G132</f>
        <v>3128421.5888950438</v>
      </c>
      <c r="H133" s="30"/>
    </row>
    <row r="134" spans="1:8" ht="12.75" customHeight="1" x14ac:dyDescent="0.2">
      <c r="A134" s="27" t="s">
        <v>57</v>
      </c>
      <c r="B134" s="29">
        <v>10</v>
      </c>
      <c r="C134" s="111">
        <f>D91/10</f>
        <v>146437.5</v>
      </c>
      <c r="D134" s="111">
        <f>C134</f>
        <v>146437.5</v>
      </c>
      <c r="E134" s="111">
        <f>D134</f>
        <v>146437.5</v>
      </c>
      <c r="F134" s="111">
        <f>E134</f>
        <v>146437.5</v>
      </c>
      <c r="G134" s="111">
        <f>F134</f>
        <v>146437.5</v>
      </c>
      <c r="H134" s="30"/>
    </row>
    <row r="135" spans="1:8" ht="12.75" customHeight="1" thickBot="1" x14ac:dyDescent="0.25">
      <c r="A135" s="32" t="s">
        <v>58</v>
      </c>
      <c r="B135" s="139"/>
      <c r="C135" s="113">
        <f>C132+C134</f>
        <v>2957896.6875</v>
      </c>
      <c r="D135" s="113">
        <f>D132+D134</f>
        <v>3191597.346605822</v>
      </c>
      <c r="E135" s="113">
        <f>E132+E134</f>
        <v>3339380.345485549</v>
      </c>
      <c r="F135" s="113">
        <f>F132+F134</f>
        <v>3522673.8729945547</v>
      </c>
      <c r="G135" s="113">
        <f>G132+G134</f>
        <v>3644151.4362954223</v>
      </c>
      <c r="H135" s="114"/>
    </row>
    <row r="136" spans="1:8" x14ac:dyDescent="0.2">
      <c r="A136" s="1" t="s">
        <v>23</v>
      </c>
      <c r="B136" s="7"/>
      <c r="C136" s="3">
        <f>C117-C135</f>
        <v>1411275.043269231</v>
      </c>
      <c r="D136" s="3">
        <f>D117-D135</f>
        <v>1102204.1619999469</v>
      </c>
      <c r="E136" s="3">
        <f>E117-E135</f>
        <v>2179079.8202488772</v>
      </c>
      <c r="F136" s="3">
        <f>F117-F135</f>
        <v>2714968.5599101721</v>
      </c>
      <c r="G136" s="3">
        <f>G117-G135</f>
        <v>2981984.0888950438</v>
      </c>
    </row>
    <row r="137" spans="1:8" x14ac:dyDescent="0.2">
      <c r="A137" s="1" t="s">
        <v>184</v>
      </c>
      <c r="B137" s="7"/>
      <c r="C137" s="4">
        <f>100*C136/(D93)</f>
        <v>30.835559146847473</v>
      </c>
      <c r="D137" s="4">
        <f>100*D136/(D93)</f>
        <v>24.082535712187926</v>
      </c>
      <c r="E137" s="4">
        <f>100*E136/(D93)</f>
        <v>47.611657985060447</v>
      </c>
      <c r="F137" s="4">
        <f>100*F136/(D93)</f>
        <v>59.320522962702526</v>
      </c>
      <c r="G137" s="4">
        <f>100*G136/(D93)</f>
        <v>65.154660805930192</v>
      </c>
    </row>
    <row r="138" spans="1:8" x14ac:dyDescent="0.2">
      <c r="A138" s="1" t="s">
        <v>185</v>
      </c>
      <c r="B138" s="7"/>
      <c r="C138" s="4">
        <f>100*(C136+C78)/D93</f>
        <v>32.411012495142302</v>
      </c>
      <c r="D138" s="4">
        <f>100*(D136+D78)/D93</f>
        <v>27.382618381210069</v>
      </c>
      <c r="E138" s="4">
        <f>100*(E136+E78)/D93</f>
        <v>71.578502883741848</v>
      </c>
      <c r="F138" s="4">
        <f>100*(F136+F78)/D93</f>
        <v>84.6625749179357</v>
      </c>
      <c r="G138" s="4">
        <f>100*(G136+G78)/D93</f>
        <v>90.317069235839483</v>
      </c>
    </row>
    <row r="139" spans="1:8" x14ac:dyDescent="0.2">
      <c r="A139" s="1" t="s">
        <v>50</v>
      </c>
      <c r="B139" s="7"/>
      <c r="C139" s="4">
        <f>C117/C135</f>
        <v>1.4771211412600194</v>
      </c>
      <c r="D139" s="4">
        <f>D117/D135</f>
        <v>1.3453456192311075</v>
      </c>
      <c r="E139" s="4">
        <f>E117/E135</f>
        <v>1.6525401705722853</v>
      </c>
      <c r="F139" s="4">
        <f>F117/F135</f>
        <v>1.7707124354382064</v>
      </c>
      <c r="G139" s="4">
        <f>G117/G135</f>
        <v>1.8182931310687995</v>
      </c>
    </row>
    <row r="140" spans="1:8" ht="12.75" customHeight="1" x14ac:dyDescent="0.2">
      <c r="A140" s="1" t="s">
        <v>137</v>
      </c>
      <c r="B140" s="7"/>
      <c r="C140" s="5">
        <f>C135/C85</f>
        <v>15.258990848214285</v>
      </c>
      <c r="D140" s="5">
        <f>D135/D85</f>
        <v>17.627313864719781</v>
      </c>
      <c r="E140" s="5">
        <f>E135/E85</f>
        <v>17.774464776362233</v>
      </c>
      <c r="F140" s="5">
        <f>F135/F85</f>
        <v>16.799427646242233</v>
      </c>
      <c r="G140" s="5">
        <f>G135/G85</f>
        <v>16.590685402555376</v>
      </c>
    </row>
    <row r="141" spans="1:8" ht="12.75" customHeight="1" x14ac:dyDescent="0.2">
      <c r="A141" s="1" t="s">
        <v>136</v>
      </c>
      <c r="C141" s="4">
        <f>(C135-C78)/C85</f>
        <v>14.887020610119048</v>
      </c>
      <c r="D141" s="4">
        <f>(D135-D78)/D85</f>
        <v>16.793128252306349</v>
      </c>
      <c r="E141" s="4">
        <f>(E135-E78)/E85</f>
        <v>11.935963971385116</v>
      </c>
      <c r="F141" s="4">
        <f>(F135-F78)/F85</f>
        <v>11.268172935555187</v>
      </c>
      <c r="G141" s="4">
        <f>(G135-G78)/G85</f>
        <v>11.347684251673767</v>
      </c>
    </row>
    <row r="142" spans="1:8" x14ac:dyDescent="0.2">
      <c r="A142" s="1" t="s">
        <v>51</v>
      </c>
    </row>
    <row r="143" spans="1:8" x14ac:dyDescent="0.2">
      <c r="A143" s="1" t="s">
        <v>14</v>
      </c>
      <c r="B143" s="6" t="s">
        <v>24</v>
      </c>
      <c r="C143" s="6" t="s">
        <v>18</v>
      </c>
      <c r="D143" s="6" t="s">
        <v>65</v>
      </c>
      <c r="E143" s="6" t="s">
        <v>15</v>
      </c>
    </row>
    <row r="144" spans="1:8" x14ac:dyDescent="0.2">
      <c r="A144" s="1">
        <v>1</v>
      </c>
      <c r="B144" s="3">
        <f>D93*(100-B95)/100</f>
        <v>1144194.464375</v>
      </c>
      <c r="C144" s="3">
        <f>B144*B94/100</f>
        <v>137303.33572500001</v>
      </c>
      <c r="D144" s="3">
        <f>B144*0.2</f>
        <v>228838.89287500002</v>
      </c>
      <c r="E144" s="3">
        <f>D144+C144</f>
        <v>366142.22860000003</v>
      </c>
    </row>
    <row r="145" spans="1:6" x14ac:dyDescent="0.2">
      <c r="A145" s="1">
        <v>2</v>
      </c>
      <c r="B145" s="3">
        <f>B144-D144</f>
        <v>915355.57149999996</v>
      </c>
      <c r="C145" s="3">
        <f>B145*B94/100</f>
        <v>109842.66858</v>
      </c>
      <c r="D145" s="3">
        <f>B144*0.2</f>
        <v>228838.89287500002</v>
      </c>
      <c r="E145" s="3">
        <f>D145+C145</f>
        <v>338681.56145500002</v>
      </c>
    </row>
    <row r="146" spans="1:6" x14ac:dyDescent="0.2">
      <c r="A146" s="1">
        <v>3</v>
      </c>
      <c r="B146" s="3">
        <f>B145-D145</f>
        <v>686516.67862499994</v>
      </c>
      <c r="C146" s="3">
        <f>B146*B94/100</f>
        <v>82382.001434999998</v>
      </c>
      <c r="D146" s="3">
        <f>B144*0.2</f>
        <v>228838.89287500002</v>
      </c>
      <c r="E146" s="3">
        <f>D146+C146</f>
        <v>311220.89431</v>
      </c>
    </row>
    <row r="147" spans="1:6" x14ac:dyDescent="0.2">
      <c r="A147" s="1">
        <v>4</v>
      </c>
      <c r="B147" s="3">
        <f>B146-D146</f>
        <v>457677.78574999992</v>
      </c>
      <c r="C147" s="3">
        <f>B147*B94/100</f>
        <v>54921.334289999999</v>
      </c>
      <c r="D147" s="3">
        <f>B144*0.2</f>
        <v>228838.89287500002</v>
      </c>
      <c r="E147" s="3">
        <f>D147+C147</f>
        <v>283760.22716500005</v>
      </c>
    </row>
    <row r="148" spans="1:6" x14ac:dyDescent="0.2">
      <c r="A148" s="1">
        <v>5</v>
      </c>
      <c r="B148" s="3">
        <f>B147-D147</f>
        <v>228838.8928749999</v>
      </c>
      <c r="C148" s="3">
        <f>B148*B94/100</f>
        <v>27460.667144999989</v>
      </c>
      <c r="D148" s="3">
        <f>B144*0.2</f>
        <v>228838.89287500002</v>
      </c>
      <c r="E148" s="3">
        <f>D148+C148</f>
        <v>256299.56002</v>
      </c>
    </row>
    <row r="149" spans="1:6" x14ac:dyDescent="0.2">
      <c r="A149" s="1" t="s">
        <v>59</v>
      </c>
    </row>
    <row r="150" spans="1:6" x14ac:dyDescent="0.2">
      <c r="A150" s="1" t="s">
        <v>14</v>
      </c>
    </row>
    <row r="151" spans="1:6" x14ac:dyDescent="0.2">
      <c r="A151" s="1"/>
      <c r="B151" s="1" t="s">
        <v>64</v>
      </c>
      <c r="C151" s="1" t="s">
        <v>25</v>
      </c>
      <c r="D151" s="1" t="s">
        <v>60</v>
      </c>
      <c r="E151" s="1"/>
    </row>
    <row r="152" spans="1:6" x14ac:dyDescent="0.2">
      <c r="A152" s="1">
        <v>1</v>
      </c>
      <c r="B152" s="3">
        <f>C133</f>
        <v>1557712.543269231</v>
      </c>
      <c r="C152" s="3">
        <f>E144</f>
        <v>366142.22860000003</v>
      </c>
      <c r="D152" s="3">
        <f>B152-C152</f>
        <v>1191570.314669231</v>
      </c>
    </row>
    <row r="153" spans="1:6" x14ac:dyDescent="0.2">
      <c r="A153" s="1">
        <v>2</v>
      </c>
      <c r="B153" s="3">
        <f>D133</f>
        <v>1248641.6619999469</v>
      </c>
      <c r="C153" s="3">
        <f>E145</f>
        <v>338681.56145500002</v>
      </c>
      <c r="D153" s="3">
        <f>B153-C153</f>
        <v>909960.10054494697</v>
      </c>
    </row>
    <row r="154" spans="1:6" x14ac:dyDescent="0.2">
      <c r="A154" s="1">
        <v>3</v>
      </c>
      <c r="B154" s="3">
        <f>E133</f>
        <v>2325517.3202488772</v>
      </c>
      <c r="C154" s="3">
        <f>E146</f>
        <v>311220.89431</v>
      </c>
      <c r="D154" s="3">
        <f>B154-C154</f>
        <v>2014296.4259388773</v>
      </c>
    </row>
    <row r="155" spans="1:6" x14ac:dyDescent="0.2">
      <c r="A155" s="1">
        <v>4</v>
      </c>
      <c r="B155" s="3">
        <f>F133</f>
        <v>2861406.0599101721</v>
      </c>
      <c r="C155" s="3">
        <f>E147</f>
        <v>283760.22716500005</v>
      </c>
      <c r="D155" s="3">
        <f>B155-C155</f>
        <v>2577645.8327451721</v>
      </c>
    </row>
    <row r="156" spans="1:6" x14ac:dyDescent="0.2">
      <c r="A156" s="1">
        <v>5</v>
      </c>
      <c r="B156" s="3">
        <f>G133</f>
        <v>3128421.5888950438</v>
      </c>
      <c r="C156" s="3">
        <f>E148</f>
        <v>256299.56002</v>
      </c>
      <c r="D156" s="3">
        <f>B156-C156</f>
        <v>2872122.0288750436</v>
      </c>
    </row>
    <row r="157" spans="1:6" x14ac:dyDescent="0.2">
      <c r="A157" s="2" t="s">
        <v>63</v>
      </c>
    </row>
    <row r="158" spans="1:6" ht="0.75" customHeight="1" thickBot="1" x14ac:dyDescent="0.25"/>
    <row r="159" spans="1:6" ht="15.75" x14ac:dyDescent="0.25">
      <c r="A159" s="157" t="s">
        <v>179</v>
      </c>
      <c r="B159" s="140"/>
      <c r="C159" s="140"/>
      <c r="D159" s="140"/>
      <c r="E159" s="140"/>
      <c r="F159" s="11"/>
    </row>
    <row r="160" spans="1:6" x14ac:dyDescent="0.2">
      <c r="A160" s="141"/>
      <c r="F160" s="12"/>
    </row>
    <row r="161" spans="1:9" ht="14.25" x14ac:dyDescent="0.2">
      <c r="A161" s="142" t="s">
        <v>70</v>
      </c>
      <c r="B161" s="143">
        <f>B174/(C103*1000)</f>
        <v>113.86558557692308</v>
      </c>
      <c r="C161" s="143">
        <f>C174/(D103*1000)</f>
        <v>112.9161478261298</v>
      </c>
      <c r="D161" s="143">
        <f>D174/(E103*1000)</f>
        <v>116.54583484800153</v>
      </c>
      <c r="E161" s="143">
        <f>E174/(F103*1000)</f>
        <v>125.28642889117343</v>
      </c>
      <c r="F161" s="143">
        <f>F174/(G103*1000)</f>
        <v>129.15357350869837</v>
      </c>
      <c r="G161" s="9"/>
      <c r="H161" s="9"/>
    </row>
    <row r="162" spans="1:9" ht="14.25" x14ac:dyDescent="0.2">
      <c r="A162" s="142" t="s">
        <v>69</v>
      </c>
      <c r="B162" s="143">
        <f>B175/( C101*1000)</f>
        <v>821.03099999999995</v>
      </c>
      <c r="C162" s="143">
        <f>C175/( D101*1000)</f>
        <v>921.22059594660197</v>
      </c>
      <c r="D162" s="143">
        <f>D175/( E101*1000)</f>
        <v>918.94512020987474</v>
      </c>
      <c r="E162" s="143">
        <f>E175/( F101*1000)</f>
        <v>885.48757858752845</v>
      </c>
      <c r="F162" s="143">
        <f>F175/( G101*1000)</f>
        <v>857.56549673059897</v>
      </c>
      <c r="G162" s="9"/>
      <c r="H162" s="9"/>
    </row>
    <row r="163" spans="1:9" ht="14.25" x14ac:dyDescent="0.2">
      <c r="A163" s="142" t="s">
        <v>75</v>
      </c>
      <c r="B163" s="143">
        <f>C122/( C102*1000)</f>
        <v>61.577324999999995</v>
      </c>
      <c r="C163" s="143">
        <f>D122/( D102*1000)</f>
        <v>71.164291036874985</v>
      </c>
      <c r="D163" s="143">
        <f>E122/( E102*1000)</f>
        <v>73.118165852299214</v>
      </c>
      <c r="E163" s="143">
        <f>F122/( F102*1000)</f>
        <v>72.569713896541074</v>
      </c>
      <c r="F163" s="143">
        <f>G122/( G102*1000)</f>
        <v>72.389814129173615</v>
      </c>
      <c r="G163" s="9"/>
      <c r="H163" s="9"/>
      <c r="I163" s="9"/>
    </row>
    <row r="164" spans="1:9" ht="14.25" x14ac:dyDescent="0.2">
      <c r="A164" s="142"/>
      <c r="B164" s="143"/>
      <c r="C164" s="143"/>
      <c r="D164" s="143"/>
      <c r="E164" s="143"/>
      <c r="F164" s="144"/>
      <c r="G164" s="9"/>
      <c r="H164" s="9"/>
      <c r="I164" s="9"/>
    </row>
    <row r="165" spans="1:9" s="8" customFormat="1" ht="15" x14ac:dyDescent="0.2">
      <c r="A165" s="145" t="s">
        <v>77</v>
      </c>
      <c r="B165" s="146">
        <f>(B161*1000)/(365*C73)</f>
        <v>5.547443912686516</v>
      </c>
      <c r="C165" s="146">
        <f>(C161*1000)/(365*D73)</f>
        <v>4.760090187687827</v>
      </c>
      <c r="D165" s="146">
        <f>(D161*1000)/(365*E73)</f>
        <v>4.781814484382477</v>
      </c>
      <c r="E165" s="146">
        <f>(E161*1000)/(365*F73)</f>
        <v>5.1792857721523289</v>
      </c>
      <c r="F165" s="146">
        <f>(F161*1000)/(365*G73)</f>
        <v>5.3524204363158541</v>
      </c>
      <c r="G165" s="10"/>
      <c r="H165" s="10"/>
      <c r="I165" s="10"/>
    </row>
    <row r="166" spans="1:9" s="8" customFormat="1" ht="15" x14ac:dyDescent="0.2">
      <c r="A166" s="145" t="s">
        <v>78</v>
      </c>
      <c r="B166" s="146">
        <f>B162*1000/(365*C73)</f>
        <v>40</v>
      </c>
      <c r="C166" s="146">
        <f>C162*1000/(365*D73)</f>
        <v>38.834951456310684</v>
      </c>
      <c r="D166" s="146">
        <f>D162*1000/(365*E73)</f>
        <v>37.70383636535017</v>
      </c>
      <c r="E166" s="146">
        <f>E162*1000/(365*F73)</f>
        <v>36.605666374126386</v>
      </c>
      <c r="F166" s="146">
        <f>F162*1000/(365*G73)</f>
        <v>35.539481916627565</v>
      </c>
      <c r="G166" s="10"/>
      <c r="H166" s="10"/>
      <c r="I166" s="10"/>
    </row>
    <row r="167" spans="1:9" s="8" customFormat="1" ht="15.75" thickBot="1" x14ac:dyDescent="0.25">
      <c r="A167" s="145" t="s">
        <v>87</v>
      </c>
      <c r="B167" s="146">
        <f>B163*1000/(365*C73)</f>
        <v>2.9999999999999996</v>
      </c>
      <c r="C167" s="146">
        <f>C163*1000/(365*D73)</f>
        <v>2.9999999999999996</v>
      </c>
      <c r="D167" s="146">
        <f>D163*1000/(365*E73)</f>
        <v>2.9999999999999996</v>
      </c>
      <c r="E167" s="146">
        <f>E163*1000/(365*F73)</f>
        <v>3.0000000000000004</v>
      </c>
      <c r="F167" s="146">
        <f>F163*1000/(365*G73)</f>
        <v>2.9999999999999991</v>
      </c>
      <c r="G167" s="10"/>
      <c r="H167" s="10"/>
      <c r="I167" s="10"/>
    </row>
    <row r="168" spans="1:9" ht="14.25" x14ac:dyDescent="0.2">
      <c r="A168" s="158" t="s">
        <v>143</v>
      </c>
      <c r="B168" s="159"/>
      <c r="C168" s="159"/>
      <c r="D168" s="159"/>
      <c r="E168" s="159"/>
      <c r="F168" s="160"/>
      <c r="G168" s="9"/>
      <c r="H168" s="9"/>
      <c r="I168" s="9"/>
    </row>
    <row r="169" spans="1:9" ht="14.25" x14ac:dyDescent="0.2">
      <c r="A169" s="142" t="s">
        <v>72</v>
      </c>
      <c r="B169" s="143">
        <f>B161/3</f>
        <v>37.955195192307691</v>
      </c>
      <c r="C169" s="143">
        <f>C161/3</f>
        <v>37.63871594204327</v>
      </c>
      <c r="D169" s="143">
        <f>D161/3</f>
        <v>38.848611616000511</v>
      </c>
      <c r="E169" s="143">
        <f>E161/3</f>
        <v>41.762142963724479</v>
      </c>
      <c r="F169" s="144">
        <f>F161/3</f>
        <v>43.051191169566124</v>
      </c>
      <c r="G169" s="9"/>
      <c r="H169" s="9"/>
      <c r="I169" s="9"/>
    </row>
    <row r="170" spans="1:9" ht="14.25" x14ac:dyDescent="0.2">
      <c r="A170" s="142" t="s">
        <v>74</v>
      </c>
      <c r="B170" s="143">
        <f>B169*3/4</f>
        <v>28.46639639423077</v>
      </c>
      <c r="C170" s="143">
        <f>C169*3/4</f>
        <v>28.229036956532454</v>
      </c>
      <c r="D170" s="143">
        <f>D169*3/4</f>
        <v>29.136458712000383</v>
      </c>
      <c r="E170" s="143">
        <f>E169*3/4</f>
        <v>31.321607222793361</v>
      </c>
      <c r="F170" s="144">
        <f>F169*3/4</f>
        <v>32.288393377174593</v>
      </c>
      <c r="G170" s="9"/>
      <c r="H170" s="9"/>
      <c r="I170" s="9"/>
    </row>
    <row r="171" spans="1:9" s="8" customFormat="1" ht="15" thickBot="1" x14ac:dyDescent="0.25">
      <c r="A171" s="161" t="s">
        <v>73</v>
      </c>
      <c r="B171" s="162">
        <f>B170/3</f>
        <v>9.4887987980769228</v>
      </c>
      <c r="C171" s="162">
        <f>C170/3</f>
        <v>9.4096789855108174</v>
      </c>
      <c r="D171" s="162">
        <f>D170/3</f>
        <v>9.7121529040001278</v>
      </c>
      <c r="E171" s="162">
        <f>E170/3</f>
        <v>10.44053574093112</v>
      </c>
      <c r="F171" s="163">
        <f>F170/3</f>
        <v>10.762797792391531</v>
      </c>
      <c r="G171" s="10"/>
      <c r="H171" s="10"/>
      <c r="I171" s="10"/>
    </row>
    <row r="172" spans="1:9" ht="14.25" x14ac:dyDescent="0.2">
      <c r="A172" s="164" t="s">
        <v>144</v>
      </c>
      <c r="B172" s="165"/>
      <c r="C172" s="165"/>
      <c r="D172" s="165"/>
      <c r="E172" s="165"/>
      <c r="F172" s="166"/>
    </row>
    <row r="173" spans="1:9" ht="14.25" x14ac:dyDescent="0.2">
      <c r="A173" s="142"/>
      <c r="B173" s="148" t="s">
        <v>0</v>
      </c>
      <c r="C173" s="148" t="s">
        <v>1</v>
      </c>
      <c r="D173" s="148" t="s">
        <v>2</v>
      </c>
      <c r="E173" s="148" t="s">
        <v>3</v>
      </c>
      <c r="F173" s="149" t="s">
        <v>4</v>
      </c>
      <c r="G173" s="9"/>
      <c r="H173" s="9"/>
      <c r="I173" s="9"/>
    </row>
    <row r="174" spans="1:9" ht="14.25" x14ac:dyDescent="0.2">
      <c r="A174" s="142" t="s">
        <v>88</v>
      </c>
      <c r="B174" s="150">
        <f>C123+C124</f>
        <v>1480252.6125</v>
      </c>
      <c r="C174" s="150">
        <f>D123+D124</f>
        <v>1511947.219391878</v>
      </c>
      <c r="D174" s="150">
        <f>E123+E124</f>
        <v>1607365.1904731828</v>
      </c>
      <c r="E174" s="150">
        <f>F123+F124</f>
        <v>1779750.2265785486</v>
      </c>
      <c r="F174" s="151">
        <f>G123+G124</f>
        <v>1889725.3027512943</v>
      </c>
      <c r="G174" s="9"/>
      <c r="H174" s="9"/>
      <c r="I174" s="9"/>
    </row>
    <row r="175" spans="1:9" ht="14.25" x14ac:dyDescent="0.2">
      <c r="A175" s="142" t="s">
        <v>89</v>
      </c>
      <c r="B175" s="150">
        <f t="shared" ref="B175:F176" si="10">C121</f>
        <v>492618.6</v>
      </c>
      <c r="C175" s="150">
        <f t="shared" si="10"/>
        <v>569314.32829500001</v>
      </c>
      <c r="D175" s="150">
        <f t="shared" si="10"/>
        <v>584945.32681839366</v>
      </c>
      <c r="E175" s="150">
        <f t="shared" si="10"/>
        <v>580557.71117232856</v>
      </c>
      <c r="F175" s="151">
        <f t="shared" si="10"/>
        <v>579118.51303338911</v>
      </c>
      <c r="G175" s="9"/>
      <c r="H175" s="9"/>
      <c r="I175" s="9"/>
    </row>
    <row r="176" spans="1:9" ht="14.25" x14ac:dyDescent="0.2">
      <c r="A176" s="142" t="s">
        <v>90</v>
      </c>
      <c r="B176" s="150">
        <f t="shared" si="10"/>
        <v>184731.97499999998</v>
      </c>
      <c r="C176" s="150">
        <f t="shared" si="10"/>
        <v>219897.65930394371</v>
      </c>
      <c r="D176" s="150">
        <f t="shared" si="10"/>
        <v>232713.1864581127</v>
      </c>
      <c r="E176" s="150">
        <f t="shared" si="10"/>
        <v>237896.65727107687</v>
      </c>
      <c r="F176" s="151">
        <f t="shared" si="10"/>
        <v>244426.12066994215</v>
      </c>
      <c r="G176" s="9"/>
      <c r="H176" s="9"/>
      <c r="I176" s="9"/>
    </row>
    <row r="177" spans="1:6" x14ac:dyDescent="0.2">
      <c r="A177" s="147"/>
      <c r="F177" s="12"/>
    </row>
    <row r="178" spans="1:6" x14ac:dyDescent="0.2">
      <c r="A178" s="152" t="s">
        <v>15</v>
      </c>
      <c r="B178" s="153">
        <f>SUM(B174:B177)</f>
        <v>2157603.1875</v>
      </c>
      <c r="C178" s="153">
        <f>SUM(C174:C177)</f>
        <v>2301159.2069908218</v>
      </c>
      <c r="D178" s="153">
        <f>SUM(D174:D177)</f>
        <v>2425023.7037496893</v>
      </c>
      <c r="E178" s="153">
        <f>SUM(E174:E177)</f>
        <v>2598204.5950219538</v>
      </c>
      <c r="F178" s="154">
        <f>SUM(F174:F177)</f>
        <v>2713269.9364546258</v>
      </c>
    </row>
    <row r="179" spans="1:6" ht="13.5" thickBot="1" x14ac:dyDescent="0.25">
      <c r="A179" s="152" t="s">
        <v>91</v>
      </c>
      <c r="B179" s="155">
        <f>B178*100/C132</f>
        <v>76.743180092846359</v>
      </c>
      <c r="C179" s="155">
        <f>C178*100/D132</f>
        <v>75.567764022493805</v>
      </c>
      <c r="D179" s="155">
        <f>D178*100/E132</f>
        <v>75.949486761981717</v>
      </c>
      <c r="E179" s="155">
        <f>E178*100/F132</f>
        <v>76.955648479003699</v>
      </c>
      <c r="F179" s="156">
        <f>F178*100/G132</f>
        <v>77.572665628806831</v>
      </c>
    </row>
    <row r="180" spans="1:6" ht="20.25" x14ac:dyDescent="0.3">
      <c r="A180" s="175" t="s">
        <v>93</v>
      </c>
      <c r="B180" s="176"/>
      <c r="C180" s="176"/>
      <c r="D180" s="177"/>
      <c r="E180" s="177"/>
      <c r="F180" s="178"/>
    </row>
    <row r="181" spans="1:6" ht="15.75" x14ac:dyDescent="0.25">
      <c r="A181" s="167" t="s">
        <v>145</v>
      </c>
      <c r="B181" s="169">
        <v>750</v>
      </c>
      <c r="C181" s="155"/>
      <c r="D181" s="155"/>
      <c r="E181" s="155"/>
      <c r="F181" s="156"/>
    </row>
    <row r="182" spans="1:6" ht="15" x14ac:dyDescent="0.2">
      <c r="A182" s="168" t="s">
        <v>146</v>
      </c>
      <c r="B182" s="172">
        <f>(B162*10)/B181</f>
        <v>10.94708</v>
      </c>
      <c r="C182" s="172">
        <f>(C162*10)/B181</f>
        <v>12.282941279288027</v>
      </c>
      <c r="D182" s="172">
        <f>(D162*10)/B181</f>
        <v>12.252601602798331</v>
      </c>
      <c r="E182" s="172">
        <f>(E162*10)/B181</f>
        <v>11.806501047833713</v>
      </c>
      <c r="F182" s="179">
        <f>(F162*10)/B181</f>
        <v>11.434206623074653</v>
      </c>
    </row>
    <row r="183" spans="1:6" ht="15.75" x14ac:dyDescent="0.25">
      <c r="A183" s="168" t="s">
        <v>94</v>
      </c>
      <c r="B183" s="170">
        <v>0.25</v>
      </c>
      <c r="C183" s="170">
        <v>0.25</v>
      </c>
      <c r="D183" s="170">
        <v>0.25</v>
      </c>
      <c r="E183" s="170">
        <v>0.25</v>
      </c>
      <c r="F183" s="180">
        <v>0.25</v>
      </c>
    </row>
    <row r="184" spans="1:6" ht="15" x14ac:dyDescent="0.25">
      <c r="A184" s="173" t="s">
        <v>147</v>
      </c>
      <c r="B184" s="174">
        <f>B182*B183</f>
        <v>2.7367699999999999</v>
      </c>
      <c r="C184" s="174">
        <f>C182*C183</f>
        <v>3.0707353198220066</v>
      </c>
      <c r="D184" s="174">
        <f>D182*D183</f>
        <v>3.0631504006995827</v>
      </c>
      <c r="E184" s="174">
        <f>E182*E183</f>
        <v>2.9516252619584282</v>
      </c>
      <c r="F184" s="181">
        <f>F182*F183</f>
        <v>2.8585516557686632</v>
      </c>
    </row>
    <row r="185" spans="1:6" ht="15" x14ac:dyDescent="0.2">
      <c r="A185" s="168" t="s">
        <v>149</v>
      </c>
      <c r="B185" s="171">
        <f>B162*(100 %-B183)</f>
        <v>615.77324999999996</v>
      </c>
      <c r="C185" s="171">
        <f>C162*(100 %-C183)</f>
        <v>690.91544695995151</v>
      </c>
      <c r="D185" s="171">
        <f>D162*(100 %-D183)</f>
        <v>689.20884015740603</v>
      </c>
      <c r="E185" s="171">
        <f>E162*(100 %-E183)</f>
        <v>664.11568394064636</v>
      </c>
      <c r="F185" s="182">
        <f>F162*(100 %-F183)</f>
        <v>643.1741225479492</v>
      </c>
    </row>
    <row r="186" spans="1:6" ht="15.75" x14ac:dyDescent="0.25">
      <c r="A186" s="168" t="s">
        <v>95</v>
      </c>
      <c r="B186" s="170">
        <v>0.5</v>
      </c>
      <c r="C186" s="170">
        <v>0.5</v>
      </c>
      <c r="D186" s="170">
        <v>0.5</v>
      </c>
      <c r="E186" s="170">
        <v>0.5</v>
      </c>
      <c r="F186" s="180">
        <v>0.5</v>
      </c>
    </row>
    <row r="187" spans="1:6" ht="15" x14ac:dyDescent="0.2">
      <c r="A187" s="168" t="s">
        <v>96</v>
      </c>
      <c r="B187" s="171">
        <f>B185*B186</f>
        <v>307.88662499999998</v>
      </c>
      <c r="C187" s="171">
        <f>C185*C186</f>
        <v>345.45772347997575</v>
      </c>
      <c r="D187" s="171">
        <f>D185*D186</f>
        <v>344.60442007870301</v>
      </c>
      <c r="E187" s="171">
        <f>E185*E186</f>
        <v>332.05784197032318</v>
      </c>
      <c r="F187" s="182">
        <f>F185*F186</f>
        <v>321.5870612739746</v>
      </c>
    </row>
    <row r="188" spans="1:6" ht="15" x14ac:dyDescent="0.2">
      <c r="A188" s="168" t="s">
        <v>148</v>
      </c>
      <c r="B188" s="171">
        <f xml:space="preserve"> (B187*15%)</f>
        <v>46.182993749999994</v>
      </c>
      <c r="C188" s="171">
        <f xml:space="preserve"> (C187*15%)</f>
        <v>51.818658521996362</v>
      </c>
      <c r="D188" s="171">
        <f xml:space="preserve"> (D187*15%)</f>
        <v>51.690663011805448</v>
      </c>
      <c r="E188" s="171">
        <f xml:space="preserve"> (E187*15%)</f>
        <v>49.808676295548473</v>
      </c>
      <c r="F188" s="182">
        <f xml:space="preserve"> (F187*15%)</f>
        <v>48.238059191096191</v>
      </c>
    </row>
    <row r="189" spans="1:6" ht="15" x14ac:dyDescent="0.2">
      <c r="A189" s="168" t="s">
        <v>150</v>
      </c>
      <c r="B189" s="171">
        <f>B187+B188</f>
        <v>354.06961874999996</v>
      </c>
      <c r="C189" s="171">
        <f>C187+C188</f>
        <v>397.27638200197214</v>
      </c>
      <c r="D189" s="171">
        <f>D187+D188</f>
        <v>396.29508309050846</v>
      </c>
      <c r="E189" s="171">
        <f>E187+E188</f>
        <v>381.86651826587166</v>
      </c>
      <c r="F189" s="182">
        <f>F187+F188</f>
        <v>369.82512046507077</v>
      </c>
    </row>
    <row r="190" spans="1:6" ht="15.75" thickBot="1" x14ac:dyDescent="0.25">
      <c r="A190" s="185" t="s">
        <v>151</v>
      </c>
      <c r="B190" s="186">
        <f>B185-B187</f>
        <v>307.88662499999998</v>
      </c>
      <c r="C190" s="186">
        <f>C185-C187</f>
        <v>345.45772347997575</v>
      </c>
      <c r="D190" s="186">
        <f>D185-D187</f>
        <v>344.60442007870301</v>
      </c>
      <c r="E190" s="186">
        <f>E185-E187</f>
        <v>332.05784197032318</v>
      </c>
      <c r="F190" s="187">
        <f>F185-F187</f>
        <v>321.5870612739746</v>
      </c>
    </row>
    <row r="193" spans="1:5" ht="13.5" thickBot="1" x14ac:dyDescent="0.25"/>
    <row r="194" spans="1:5" s="13" customFormat="1" ht="16.5" thickBot="1" x14ac:dyDescent="0.3">
      <c r="A194" s="230" t="s">
        <v>180</v>
      </c>
      <c r="B194" s="231"/>
      <c r="C194" s="231"/>
      <c r="D194" s="231"/>
      <c r="E194" s="191"/>
    </row>
    <row r="195" spans="1:5" s="13" customFormat="1" ht="16.5" thickBot="1" x14ac:dyDescent="0.3">
      <c r="A195" s="213" t="s">
        <v>198</v>
      </c>
      <c r="B195" s="214"/>
      <c r="C195" s="214"/>
      <c r="D195" s="214"/>
      <c r="E195" s="191"/>
    </row>
    <row r="196" spans="1:5" s="13" customFormat="1" ht="15.75" x14ac:dyDescent="0.25">
      <c r="A196" s="221" t="s">
        <v>197</v>
      </c>
      <c r="B196" s="214"/>
      <c r="C196" s="214"/>
      <c r="D196" s="214"/>
      <c r="E196" s="191"/>
    </row>
    <row r="197" spans="1:5" s="13" customFormat="1" ht="15" x14ac:dyDescent="0.25">
      <c r="A197" s="228" t="s">
        <v>196</v>
      </c>
      <c r="B197" s="229"/>
      <c r="C197" s="229"/>
      <c r="D197" s="229"/>
      <c r="E197" s="192">
        <v>2.5</v>
      </c>
    </row>
    <row r="198" spans="1:5" s="13" customFormat="1" ht="15" x14ac:dyDescent="0.25">
      <c r="A198" s="228" t="s">
        <v>158</v>
      </c>
      <c r="B198" s="229"/>
      <c r="C198" s="229"/>
      <c r="D198" s="229"/>
      <c r="E198" s="192">
        <v>6</v>
      </c>
    </row>
    <row r="199" spans="1:5" s="13" customFormat="1" ht="15" x14ac:dyDescent="0.25">
      <c r="A199" s="228" t="s">
        <v>159</v>
      </c>
      <c r="B199" s="229"/>
      <c r="C199" s="229"/>
      <c r="D199" s="229"/>
      <c r="E199" s="192">
        <v>10</v>
      </c>
    </row>
    <row r="200" spans="1:5" s="13" customFormat="1" ht="15" x14ac:dyDescent="0.25">
      <c r="A200" s="228" t="s">
        <v>160</v>
      </c>
      <c r="B200" s="229"/>
      <c r="C200" s="229"/>
      <c r="D200" s="229"/>
      <c r="E200" s="192">
        <v>12</v>
      </c>
    </row>
    <row r="201" spans="1:5" s="13" customFormat="1" ht="15" x14ac:dyDescent="0.25">
      <c r="A201" s="228" t="s">
        <v>161</v>
      </c>
      <c r="B201" s="229"/>
      <c r="C201" s="229"/>
      <c r="D201" s="229"/>
      <c r="E201" s="190">
        <v>20</v>
      </c>
    </row>
    <row r="202" spans="1:5" s="13" customFormat="1" ht="15" x14ac:dyDescent="0.25">
      <c r="A202" s="228" t="s">
        <v>162</v>
      </c>
      <c r="B202" s="229"/>
      <c r="C202" s="229"/>
      <c r="D202" s="229"/>
      <c r="E202" s="190">
        <v>12</v>
      </c>
    </row>
    <row r="203" spans="1:5" s="13" customFormat="1" ht="15" x14ac:dyDescent="0.25">
      <c r="A203" s="228" t="s">
        <v>163</v>
      </c>
      <c r="B203" s="229"/>
      <c r="C203" s="229"/>
      <c r="D203" s="229"/>
      <c r="E203" s="190">
        <v>40</v>
      </c>
    </row>
    <row r="204" spans="1:5" s="13" customFormat="1" ht="15" x14ac:dyDescent="0.25">
      <c r="A204" s="216" t="s">
        <v>164</v>
      </c>
      <c r="E204" s="190">
        <v>63</v>
      </c>
    </row>
    <row r="205" spans="1:5" s="13" customFormat="1" ht="15.75" thickBot="1" x14ac:dyDescent="0.3">
      <c r="A205" s="220" t="s">
        <v>165</v>
      </c>
      <c r="B205" s="219"/>
      <c r="C205" s="219"/>
      <c r="D205" s="219"/>
      <c r="E205" s="217">
        <f>2*(E203+E198+E197+E200)+E199</f>
        <v>131</v>
      </c>
    </row>
    <row r="206" spans="1:5" s="13" customFormat="1" ht="15.75" x14ac:dyDescent="0.25">
      <c r="A206" s="234" t="s">
        <v>152</v>
      </c>
      <c r="B206" s="235"/>
      <c r="C206" s="235"/>
      <c r="D206" s="235"/>
      <c r="E206" s="190"/>
    </row>
    <row r="207" spans="1:5" s="13" customFormat="1" ht="21" x14ac:dyDescent="0.35">
      <c r="A207" s="228" t="s">
        <v>153</v>
      </c>
      <c r="B207" s="229"/>
      <c r="C207" s="229"/>
      <c r="D207" s="229"/>
      <c r="E207" s="193">
        <v>25</v>
      </c>
    </row>
    <row r="208" spans="1:5" s="13" customFormat="1" ht="15" x14ac:dyDescent="0.25">
      <c r="A208" s="232" t="s">
        <v>157</v>
      </c>
      <c r="B208" s="233"/>
      <c r="C208" s="233"/>
      <c r="D208" s="233"/>
      <c r="E208" s="192">
        <v>2.5</v>
      </c>
    </row>
    <row r="209" spans="1:8" s="13" customFormat="1" ht="15" x14ac:dyDescent="0.25">
      <c r="A209" s="228" t="s">
        <v>178</v>
      </c>
      <c r="B209" s="229"/>
      <c r="C209" s="229"/>
      <c r="D209" s="229"/>
      <c r="E209" s="190">
        <v>0</v>
      </c>
    </row>
    <row r="210" spans="1:8" s="13" customFormat="1" ht="15" x14ac:dyDescent="0.25">
      <c r="A210" s="228" t="s">
        <v>154</v>
      </c>
      <c r="B210" s="229"/>
      <c r="C210" s="229"/>
      <c r="D210" s="229"/>
      <c r="E210" s="190">
        <f>E209*5</f>
        <v>0</v>
      </c>
    </row>
    <row r="211" spans="1:8" s="13" customFormat="1" ht="15" x14ac:dyDescent="0.25">
      <c r="A211" s="228" t="s">
        <v>166</v>
      </c>
      <c r="B211" s="229"/>
      <c r="C211" s="229"/>
      <c r="D211" s="229"/>
      <c r="E211" s="190">
        <v>0</v>
      </c>
    </row>
    <row r="212" spans="1:8" s="13" customFormat="1" ht="15.75" thickBot="1" x14ac:dyDescent="0.3">
      <c r="A212" s="236" t="s">
        <v>167</v>
      </c>
      <c r="B212" s="237"/>
      <c r="C212" s="237"/>
      <c r="D212" s="237"/>
      <c r="E212" s="217">
        <f>E211+E210+(E208*E207)</f>
        <v>62.5</v>
      </c>
    </row>
    <row r="213" spans="1:8" s="13" customFormat="1" ht="15" x14ac:dyDescent="0.25">
      <c r="A213" s="223" t="s">
        <v>199</v>
      </c>
      <c r="B213" s="224"/>
      <c r="C213" s="224"/>
      <c r="D213" s="224"/>
      <c r="E213" s="191"/>
    </row>
    <row r="214" spans="1:8" s="13" customFormat="1" ht="15" x14ac:dyDescent="0.25">
      <c r="A214" s="228" t="s">
        <v>171</v>
      </c>
      <c r="B214" s="229"/>
      <c r="C214" s="229"/>
      <c r="D214" s="229"/>
      <c r="E214" s="190">
        <f>E212*E204</f>
        <v>3937.5</v>
      </c>
      <c r="H214" s="13" t="s">
        <v>189</v>
      </c>
    </row>
    <row r="215" spans="1:8" s="13" customFormat="1" ht="15" x14ac:dyDescent="0.25">
      <c r="A215" s="228" t="s">
        <v>168</v>
      </c>
      <c r="B215" s="229"/>
      <c r="C215" s="229"/>
      <c r="D215" s="229"/>
      <c r="E215" s="190">
        <f>(E212*E203)*2</f>
        <v>5000</v>
      </c>
    </row>
    <row r="216" spans="1:8" s="13" customFormat="1" ht="15" x14ac:dyDescent="0.25">
      <c r="A216" s="228" t="s">
        <v>156</v>
      </c>
      <c r="B216" s="229"/>
      <c r="C216" s="229"/>
      <c r="D216" s="229"/>
      <c r="E216" s="192">
        <v>250</v>
      </c>
    </row>
    <row r="217" spans="1:8" s="13" customFormat="1" ht="15" x14ac:dyDescent="0.25">
      <c r="A217" s="188" t="s">
        <v>155</v>
      </c>
      <c r="E217" s="192">
        <v>25</v>
      </c>
    </row>
    <row r="218" spans="1:8" s="13" customFormat="1" ht="15" x14ac:dyDescent="0.25">
      <c r="A218" s="188" t="s">
        <v>169</v>
      </c>
      <c r="E218" s="190">
        <f>E214*E216</f>
        <v>984375</v>
      </c>
    </row>
    <row r="219" spans="1:8" s="13" customFormat="1" ht="15" x14ac:dyDescent="0.25">
      <c r="A219" s="228" t="s">
        <v>170</v>
      </c>
      <c r="B219" s="229"/>
      <c r="C219" s="229"/>
      <c r="D219" s="229"/>
      <c r="E219" s="190">
        <f>E215*E217</f>
        <v>125000</v>
      </c>
    </row>
    <row r="220" spans="1:8" s="13" customFormat="1" ht="15" x14ac:dyDescent="0.25">
      <c r="A220" s="188" t="s">
        <v>174</v>
      </c>
      <c r="E220" s="190">
        <f>(E218+E219)/10000000</f>
        <v>0.11093749999999999</v>
      </c>
    </row>
    <row r="221" spans="1:8" s="13" customFormat="1" ht="15" x14ac:dyDescent="0.25">
      <c r="A221" s="188" t="s">
        <v>173</v>
      </c>
      <c r="E221" s="194">
        <f>B9</f>
        <v>50</v>
      </c>
    </row>
    <row r="222" spans="1:8" s="13" customFormat="1" ht="15" x14ac:dyDescent="0.25">
      <c r="A222" s="222" t="s">
        <v>172</v>
      </c>
      <c r="E222" s="189">
        <f>E221/(E207*2)</f>
        <v>1</v>
      </c>
    </row>
    <row r="223" spans="1:8" s="13" customFormat="1" ht="15" x14ac:dyDescent="0.25">
      <c r="A223" s="188" t="s">
        <v>175</v>
      </c>
      <c r="E223" s="189">
        <f>E220*E222</f>
        <v>0.11093749999999999</v>
      </c>
    </row>
    <row r="224" spans="1:8" s="13" customFormat="1" ht="15" x14ac:dyDescent="0.25">
      <c r="A224" s="188" t="s">
        <v>192</v>
      </c>
      <c r="E224" s="195">
        <f>( E223*0.1)</f>
        <v>1.1093749999999999E-2</v>
      </c>
    </row>
    <row r="225" spans="1:5" s="13" customFormat="1" ht="15.75" thickBot="1" x14ac:dyDescent="0.3">
      <c r="A225" s="218" t="s">
        <v>193</v>
      </c>
      <c r="B225" s="219"/>
      <c r="C225" s="219"/>
      <c r="D225" s="219"/>
      <c r="E225" s="225">
        <f>E223+E224</f>
        <v>0.12203124999999999</v>
      </c>
    </row>
    <row r="226" spans="1:5" s="13" customFormat="1" ht="15" x14ac:dyDescent="0.25">
      <c r="A226" s="228" t="s">
        <v>194</v>
      </c>
      <c r="B226" s="229"/>
      <c r="C226" s="229"/>
      <c r="D226" s="229"/>
      <c r="E226" s="195">
        <f>E225/5</f>
        <v>2.4406249999999997E-2</v>
      </c>
    </row>
    <row r="227" spans="1:5" s="13" customFormat="1" ht="15" x14ac:dyDescent="0.25">
      <c r="A227" s="188" t="s">
        <v>176</v>
      </c>
      <c r="E227" s="190">
        <f>D90*B9/10000000</f>
        <v>0.28499999999999998</v>
      </c>
    </row>
    <row r="228" spans="1:5" s="13" customFormat="1" ht="15" x14ac:dyDescent="0.25">
      <c r="A228" s="188" t="s">
        <v>200</v>
      </c>
      <c r="E228" s="226">
        <f>((C132/12)+(C132/100))/10000000</f>
        <v>2.6240285749999998E-2</v>
      </c>
    </row>
    <row r="229" spans="1:5" s="13" customFormat="1" ht="15" x14ac:dyDescent="0.25">
      <c r="A229" s="188" t="s">
        <v>177</v>
      </c>
      <c r="E229" s="189">
        <f>E227+E228+E226+E225</f>
        <v>0.45767778574999995</v>
      </c>
    </row>
    <row r="230" spans="1:5" ht="18" x14ac:dyDescent="0.25">
      <c r="A230" s="183" t="s">
        <v>188</v>
      </c>
      <c r="B230" s="183"/>
      <c r="C230" s="183"/>
    </row>
    <row r="231" spans="1:5" ht="18" x14ac:dyDescent="0.25">
      <c r="A231" s="183"/>
      <c r="B231" s="184"/>
      <c r="C231" s="184"/>
    </row>
  </sheetData>
  <mergeCells count="20">
    <mergeCell ref="A226:D226"/>
    <mergeCell ref="A219:D219"/>
    <mergeCell ref="A215:D215"/>
    <mergeCell ref="A216:D216"/>
    <mergeCell ref="A206:D206"/>
    <mergeCell ref="A207:D207"/>
    <mergeCell ref="A214:D214"/>
    <mergeCell ref="A212:D212"/>
    <mergeCell ref="A211:D211"/>
    <mergeCell ref="A197:D197"/>
    <mergeCell ref="A198:D198"/>
    <mergeCell ref="A199:D199"/>
    <mergeCell ref="A200:D200"/>
    <mergeCell ref="A201:D201"/>
    <mergeCell ref="A202:D202"/>
    <mergeCell ref="A203:D203"/>
    <mergeCell ref="A194:D194"/>
    <mergeCell ref="A208:D208"/>
    <mergeCell ref="A209:D209"/>
    <mergeCell ref="A210:D210"/>
  </mergeCells>
  <phoneticPr fontId="0" type="noConversion"/>
  <conditionalFormatting sqref="C82">
    <cfRule type="cellIs" dxfId="1" priority="3" stopIfTrue="1" operator="greaterThanOrEqual">
      <formula>6001</formula>
    </cfRule>
  </conditionalFormatting>
  <conditionalFormatting sqref="B80">
    <cfRule type="cellIs" dxfId="0" priority="4" stopIfTrue="1" operator="lessThan">
      <formula>11</formula>
    </cfRule>
  </conditionalFormatting>
  <printOptions gridLines="1"/>
  <pageMargins left="0.35433070866141736" right="0.35433070866141736" top="0.59055118110236227" bottom="0.78740157480314965" header="0.51181102362204722" footer="0.51181102362204722"/>
  <pageSetup paperSize="9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model (copy for trying)</vt:lpstr>
    </vt:vector>
  </TitlesOfParts>
  <Company>K.V.K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PARVINDER</dc:creator>
  <cp:lastModifiedBy>Fineoutput</cp:lastModifiedBy>
  <cp:lastPrinted>2010-03-14T16:02:33Z</cp:lastPrinted>
  <dcterms:created xsi:type="dcterms:W3CDTF">2004-01-30T06:10:22Z</dcterms:created>
  <dcterms:modified xsi:type="dcterms:W3CDTF">2023-02-25T12:29:15Z</dcterms:modified>
</cp:coreProperties>
</file>