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ineoutput\Downloads\"/>
    </mc:Choice>
  </mc:AlternateContent>
  <xr:revisionPtr revIDLastSave="0" documentId="13_ncr:1_{92164510-689F-42C3-8F97-C412627704DB}" xr6:coauthVersionLast="47" xr6:coauthVersionMax="47" xr10:uidLastSave="{00000000-0000-0000-0000-000000000000}"/>
  <bookViews>
    <workbookView xWindow="20370" yWindow="-120" windowWidth="20730" windowHeight="11160" tabRatio="602" xr2:uid="{00000000-000D-0000-FFFF-FFFF00000000}"/>
  </bookViews>
  <sheets>
    <sheet name="NS Dary Cattle 1.0" sheetId="8" r:id="rId1"/>
  </sheets>
  <definedNames>
    <definedName name="_xlnm.Print_Area" localSheetId="0">'NS Dary Cattle 1.0'!$E$2:$J$83</definedName>
    <definedName name="Z_85E7D370_BE27_4083_96F1_EA39BF0A3F4C_.wvu.PrintArea" localSheetId="0" hidden="1">'NS Dary Cattle 1.0'!$E$2:$J$83</definedName>
  </definedNames>
  <calcPr calcId="191028" calcOnSave="0"/>
  <customWorkbookViews>
    <customWorkbookView name="aa" guid="{85E7D370-BE27-4083-96F1-EA39BF0A3F4C}" maximized="1" xWindow="-8" yWindow="-8" windowWidth="1382" windowHeight="744" tabRatio="602" activeSheetId="8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8" l="1"/>
  <c r="F57" i="8"/>
  <c r="I51" i="8"/>
  <c r="I53" i="8"/>
  <c r="I61" i="8"/>
  <c r="I66" i="8"/>
  <c r="F151" i="8"/>
  <c r="F135" i="8"/>
  <c r="F137" i="8"/>
  <c r="F131" i="8"/>
  <c r="F139" i="8"/>
  <c r="F132" i="8"/>
  <c r="I26" i="8"/>
  <c r="F102" i="8"/>
  <c r="F120" i="8"/>
  <c r="F123" i="8"/>
  <c r="I27" i="8"/>
  <c r="F103" i="8"/>
  <c r="F32" i="8"/>
  <c r="I48" i="8"/>
  <c r="F115" i="8"/>
  <c r="F125" i="8"/>
  <c r="F60" i="8"/>
  <c r="F116" i="8"/>
  <c r="F113" i="8"/>
  <c r="F114" i="8"/>
  <c r="F124" i="8"/>
  <c r="F126" i="8"/>
  <c r="F121" i="8"/>
  <c r="F105" i="8"/>
  <c r="F104" i="8"/>
  <c r="F122" i="8"/>
  <c r="F111" i="8"/>
  <c r="F112" i="8"/>
  <c r="F118" i="8"/>
  <c r="F38" i="8"/>
  <c r="F117" i="8"/>
  <c r="F127" i="8"/>
  <c r="F40" i="8"/>
  <c r="F133" i="8"/>
  <c r="I59" i="8"/>
  <c r="I62" i="8"/>
  <c r="I57" i="8"/>
  <c r="I32" i="8"/>
  <c r="I33" i="8"/>
  <c r="I63" i="8"/>
  <c r="F41" i="8"/>
  <c r="F42" i="8"/>
  <c r="F43" i="8"/>
  <c r="F39" i="8"/>
  <c r="F141" i="8"/>
  <c r="I44" i="8"/>
  <c r="I45" i="8"/>
  <c r="I52" i="8"/>
  <c r="I54" i="8"/>
  <c r="F71" i="8"/>
  <c r="F33" i="8"/>
  <c r="I55" i="8"/>
  <c r="F44" i="8"/>
  <c r="F45" i="8"/>
  <c r="F148" i="8"/>
  <c r="F147" i="8"/>
  <c r="F146" i="8"/>
  <c r="I40" i="8"/>
  <c r="F149" i="8"/>
  <c r="I46" i="8"/>
  <c r="F145" i="8"/>
  <c r="I42" i="8"/>
  <c r="I43" i="8"/>
  <c r="I41" i="8"/>
  <c r="I38" i="8"/>
  <c r="I39" i="8"/>
  <c r="F51" i="8" l="1"/>
  <c r="F52" i="8" s="1"/>
  <c r="F53" i="8"/>
  <c r="F54" i="8" s="1"/>
  <c r="F59" i="8"/>
  <c r="F61" i="8"/>
  <c r="I65" i="8"/>
  <c r="F70" i="8"/>
  <c r="F73" i="8"/>
  <c r="F69" i="8"/>
  <c r="F58" i="8"/>
  <c r="F56" i="8"/>
</calcChain>
</file>

<file path=xl/sharedStrings.xml><?xml version="1.0" encoding="utf-8"?>
<sst xmlns="http://schemas.openxmlformats.org/spreadsheetml/2006/main" count="237" uniqueCount="160">
  <si>
    <t xml:space="preserve"> The Nutritional System for Dairy Cattle: NS Dairy Cattle</t>
  </si>
  <si>
    <t>A Model of Energy and Nutrient Requirements and Diet Evaluation for Dairy Cattle</t>
  </si>
  <si>
    <r>
      <t>1</t>
    </r>
    <r>
      <rPr>
        <vertAlign val="superscript"/>
        <sz val="10"/>
        <rFont val="Arial"/>
        <family val="1"/>
      </rPr>
      <t>th</t>
    </r>
    <r>
      <rPr>
        <sz val="10"/>
        <rFont val="Arial"/>
        <family val="1"/>
      </rPr>
      <t xml:space="preserve"> Edition - 2019 </t>
    </r>
  </si>
  <si>
    <t>Andre Soares de Oliveira, PhD</t>
  </si>
  <si>
    <t xml:space="preserve">Professor Animal Science  </t>
  </si>
  <si>
    <t>Dairy Cattle Research Lab</t>
  </si>
  <si>
    <t>Universidade Federal de Mato Grosso, Sinop, Brazil</t>
  </si>
  <si>
    <t>http://www.ufmt.br/ufmt/un/npleite</t>
  </si>
  <si>
    <t xml:space="preserve">Nutrients Requirements of Lactating Dairy Cows </t>
  </si>
  <si>
    <t xml:space="preserve">1. Inputs </t>
  </si>
  <si>
    <t>Genetic Group:</t>
  </si>
  <si>
    <t>Bos taurus</t>
  </si>
  <si>
    <t>Body weight variation:</t>
  </si>
  <si>
    <t>kg/cow/day</t>
  </si>
  <si>
    <t>Feeding system:</t>
  </si>
  <si>
    <t>Pasture</t>
  </si>
  <si>
    <t>BCS:</t>
  </si>
  <si>
    <t>1 to 5</t>
  </si>
  <si>
    <t>Body Weight (BW):</t>
  </si>
  <si>
    <t>Days of gestation</t>
  </si>
  <si>
    <t>days</t>
  </si>
  <si>
    <t xml:space="preserve">Milk production: </t>
  </si>
  <si>
    <t>Air temperature</t>
  </si>
  <si>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</si>
  <si>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Days in milk:</t>
  </si>
  <si>
    <t>Air humitdiy</t>
  </si>
  <si>
    <t>%</t>
  </si>
  <si>
    <t>Milk fat</t>
  </si>
  <si>
    <t>temperature-humidity index (THI):</t>
  </si>
  <si>
    <t>Milk protein</t>
  </si>
  <si>
    <t>Fat 4% corrected milk</t>
  </si>
  <si>
    <t>Milk lactose</t>
  </si>
  <si>
    <t>2. Predicted intake</t>
  </si>
  <si>
    <t xml:space="preserve">          2.1 Dry matter intake (DMI):</t>
  </si>
  <si>
    <t xml:space="preserve">          2.2 Drinking water intake:</t>
  </si>
  <si>
    <t>L/cow/day</t>
  </si>
  <si>
    <t>% BW/day</t>
  </si>
  <si>
    <t xml:space="preserve">3. Predicted energy and nutrient requirements </t>
  </si>
  <si>
    <t xml:space="preserve">          3.1 Energy requirements:</t>
  </si>
  <si>
    <t xml:space="preserve">          3.2 Protein and amino acids requirements:</t>
  </si>
  <si>
    <t>Total Net Energy (NE) intake:</t>
  </si>
  <si>
    <t>Mcal/cow/day</t>
  </si>
  <si>
    <t>Crude protein (CP) intake:</t>
  </si>
  <si>
    <t xml:space="preserve">NE diet: </t>
  </si>
  <si>
    <t>Mcal/kg DM diet</t>
  </si>
  <si>
    <t>CP diet:</t>
  </si>
  <si>
    <t>% DM</t>
  </si>
  <si>
    <t>Total Metabolizable Energy (ME) intake:</t>
  </si>
  <si>
    <t>Rumen degradable protein (RDP) intake:</t>
  </si>
  <si>
    <t>ME diet:</t>
  </si>
  <si>
    <t>RDP diet:</t>
  </si>
  <si>
    <t>Total Digestible Energy (DE) intake:</t>
  </si>
  <si>
    <t>Rumen undegradable protein (RUP) intake:</t>
  </si>
  <si>
    <t>DE diet:</t>
  </si>
  <si>
    <t>RUP diet:</t>
  </si>
  <si>
    <t>Total digestible nutrient (TDN) intake:</t>
  </si>
  <si>
    <t>Metabolizable protein (MP) intake:</t>
  </si>
  <si>
    <t>TDN diet:</t>
  </si>
  <si>
    <t>MP diet:</t>
  </si>
  <si>
    <t>MP from microbial rumen protein</t>
  </si>
  <si>
    <t>% MP</t>
  </si>
  <si>
    <t>Digestible Lysine diet:</t>
  </si>
  <si>
    <t>Digestible Methionine Diet:</t>
  </si>
  <si>
    <t xml:space="preserve">          3.3 Macro minerals requirements:</t>
  </si>
  <si>
    <t xml:space="preserve">          3.4 Trace minerals requirements:</t>
  </si>
  <si>
    <t>Ca intake:</t>
  </si>
  <si>
    <t>g/cow/day</t>
  </si>
  <si>
    <t>Zn intake:</t>
  </si>
  <si>
    <t>mg/cow/day</t>
  </si>
  <si>
    <t>Ca diet:</t>
  </si>
  <si>
    <t>Zn diet:</t>
  </si>
  <si>
    <t>mg/kg DM</t>
  </si>
  <si>
    <t>P intake:</t>
  </si>
  <si>
    <t>Cu intake:</t>
  </si>
  <si>
    <t>P diet:</t>
  </si>
  <si>
    <t>Cu diet</t>
  </si>
  <si>
    <t>Na intake:</t>
  </si>
  <si>
    <t>Fe intake</t>
  </si>
  <si>
    <t>Na diet:</t>
  </si>
  <si>
    <t>Fe diet</t>
  </si>
  <si>
    <t>K intake:</t>
  </si>
  <si>
    <t>Mn intale</t>
  </si>
  <si>
    <t>K diet:</t>
  </si>
  <si>
    <t>Mn diet</t>
  </si>
  <si>
    <t>S intake:</t>
  </si>
  <si>
    <t>Co intake</t>
  </si>
  <si>
    <t>S diet:</t>
  </si>
  <si>
    <t>Co diet</t>
  </si>
  <si>
    <t>Mg intake:</t>
  </si>
  <si>
    <t>I intake</t>
  </si>
  <si>
    <t>Mg diet:</t>
  </si>
  <si>
    <t>I diet</t>
  </si>
  <si>
    <t>Se intake</t>
  </si>
  <si>
    <t>Se diet</t>
  </si>
  <si>
    <t>Cr intake</t>
  </si>
  <si>
    <t>Cr diet</t>
  </si>
  <si>
    <t xml:space="preserve">          3.5 Vitamins recomendations:</t>
  </si>
  <si>
    <t xml:space="preserve">          3.6 Others recomendations:</t>
  </si>
  <si>
    <t>Vitamin A diet</t>
  </si>
  <si>
    <t>IU/kg DM</t>
  </si>
  <si>
    <t>peNDF diet:</t>
  </si>
  <si>
    <t>≥</t>
  </si>
  <si>
    <t>21% DM</t>
  </si>
  <si>
    <t>Vitamin  D diet</t>
  </si>
  <si>
    <t>Fat acid diet:</t>
  </si>
  <si>
    <t>≤</t>
  </si>
  <si>
    <t>6% DM</t>
  </si>
  <si>
    <t>Vitamin E diet</t>
  </si>
  <si>
    <t xml:space="preserve">          3.7 Methane enteric emission:</t>
  </si>
  <si>
    <t>Methane</t>
  </si>
  <si>
    <t>Citation:</t>
  </si>
  <si>
    <r>
      <t>Oliveira, Andre Soares de (2019). The Nutrition System for Dairy Cows (NS-Dairy Cattle): A Model of Energy and Nutrients Requirements and Diet Evaluation for Dairy Cattle. 1</t>
    </r>
    <r>
      <rPr>
        <vertAlign val="superscript"/>
        <sz val="10"/>
        <color indexed="8"/>
        <rFont val="Book Antiqua"/>
        <family val="1"/>
      </rPr>
      <t>th</t>
    </r>
    <r>
      <rPr>
        <sz val="10"/>
        <color indexed="8"/>
        <rFont val="Book Antiqua"/>
        <family val="1"/>
      </rPr>
      <t xml:space="preserve"> edition. Mendeley Data, V3.  Sinop, MT. Updated: April 17, 2019.  DOI: 10.17632/hvc7smjjb7.1  Avaliable http://www.ufmt.br/ufmt/un/npleite </t>
    </r>
  </si>
  <si>
    <t>http://dx.doi.org/10.17632/hvc7smjjb7.1</t>
  </si>
  <si>
    <t>Support:</t>
  </si>
  <si>
    <t>Memorial  (Please to hide)</t>
  </si>
  <si>
    <t>Bos taurus x Bos indicus</t>
  </si>
  <si>
    <t>Confinement</t>
  </si>
  <si>
    <t>I. Intake</t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</si>
  <si>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bos taurus</t>
    </r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</si>
  <si>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= 1 – [(ITU – ITUc) × β</t>
    </r>
    <r>
      <rPr>
        <vertAlign val="subscript"/>
        <sz val="11"/>
        <color indexed="9"/>
        <rFont val="Palatino Linotype"/>
        <family val="1"/>
      </rPr>
      <t>1</t>
    </r>
    <r>
      <rPr>
        <sz val="11"/>
        <color indexed="9"/>
        <rFont val="Palatino Linotype"/>
        <family val="1"/>
      </rPr>
      <t xml:space="preserve"> + (ITU – ITUc)</t>
    </r>
    <r>
      <rPr>
        <vertAlign val="superscript"/>
        <sz val="11"/>
        <color indexed="9"/>
        <rFont val="Palatino Linotype"/>
        <family val="1"/>
      </rPr>
      <t>2</t>
    </r>
    <r>
      <rPr>
        <sz val="11"/>
        <color indexed="9"/>
        <rFont val="Palatino Linotype"/>
        <family val="1"/>
      </rPr>
      <t xml:space="preserve"> × 0.0006]    </t>
    </r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</si>
  <si>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bos taurus x indicus</t>
    </r>
  </si>
  <si>
    <t>II. Energy requirements</t>
  </si>
  <si>
    <t>NE maintenance</t>
  </si>
  <si>
    <t>Mcal/day</t>
  </si>
  <si>
    <t>NE pastutre activities</t>
  </si>
  <si>
    <t>Milk energy (Mcal/kg milk)</t>
  </si>
  <si>
    <t>Mcal/kg milk</t>
  </si>
  <si>
    <t>NE lactation</t>
  </si>
  <si>
    <t>NE BW variation</t>
  </si>
  <si>
    <t>NE pregnancy</t>
  </si>
  <si>
    <t>NE TOTAL</t>
  </si>
  <si>
    <t>NE total</t>
  </si>
  <si>
    <t>Mcal/dia</t>
  </si>
  <si>
    <t>ME maintenance</t>
  </si>
  <si>
    <t>climate effect adjusted factr</t>
  </si>
  <si>
    <t>ME maintenance increase due climate</t>
  </si>
  <si>
    <t>ME pastutre activities</t>
  </si>
  <si>
    <t>ME lactation</t>
  </si>
  <si>
    <t>ME BW variation</t>
  </si>
  <si>
    <t>ME pregnancy</t>
  </si>
  <si>
    <t>ME total</t>
  </si>
  <si>
    <t>II. Protein requirement</t>
  </si>
  <si>
    <t>NP maintenance</t>
  </si>
  <si>
    <t>kg/day</t>
  </si>
  <si>
    <t>Efic maintenance</t>
  </si>
  <si>
    <t>MP maintenance</t>
  </si>
  <si>
    <t>NP lactation</t>
  </si>
  <si>
    <t>Efic lactation</t>
  </si>
  <si>
    <t>MP lactation</t>
  </si>
  <si>
    <t>MP pregnancy</t>
  </si>
  <si>
    <t>MP intake</t>
  </si>
  <si>
    <t>RUP</t>
  </si>
  <si>
    <t>RDP</t>
  </si>
  <si>
    <t>MPS true digestible</t>
  </si>
  <si>
    <t xml:space="preserve">Microbial protein synthesis (MPS) </t>
  </si>
  <si>
    <t>Microbial efficiency used</t>
  </si>
  <si>
    <t>g MPS/kg TDN</t>
  </si>
  <si>
    <t>RDP/MPS convertion</t>
  </si>
  <si>
    <t>Recicling N to MPS</t>
  </si>
  <si>
    <t>%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</si>
</sst>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#,##0.0"/>
    <numFmt numFmtId="168" formatCode="0.0%"/>
    <numFmt numFmtId="169" formatCode="#,##0.000"/>
  </numFmts>
  <fonts count="38" x14ac:knownFonts="1">
    <font>
      <sz val="10"/>
      <name val="Arial"/>
    </font>
    <font>
      <sz val="10"/>
      <name val="Arial"/>
      <family val="2"/>
    </font>
    <font>
      <u/>
      <sz val="7.5"/>
      <color indexed="12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vertAlign val="superscript"/>
      <sz val="10"/>
      <name val="Arial"/>
      <family val="1"/>
    </font>
    <font>
      <sz val="10"/>
      <name val="Arial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Book Antiqua"/>
      <family val="1"/>
    </font>
    <font>
      <u/>
      <sz val="8"/>
      <color indexed="12"/>
      <name val="Book Antiqua"/>
      <family val="1"/>
    </font>
    <font>
      <b/>
      <sz val="18"/>
      <color indexed="12"/>
      <name val="Book Antiqua"/>
      <family val="1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b/>
      <sz val="18"/>
      <name val="Book Antiqua"/>
      <family val="1"/>
    </font>
    <font>
      <sz val="10"/>
      <color indexed="8"/>
      <name val="Book Antiqua"/>
      <family val="1"/>
    </font>
    <font>
      <vertAlign val="superscript"/>
      <sz val="10"/>
      <color indexed="8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  <font>
      <u/>
      <sz val="10"/>
      <color indexed="12"/>
      <name val="Book Antiqua"/>
      <family val="1"/>
    </font>
    <font>
      <u/>
      <sz val="10"/>
      <color indexed="12"/>
      <name val="Arial"/>
      <family val="2"/>
    </font>
    <font>
      <sz val="11"/>
      <color indexed="9"/>
      <name val="Palatino Linotype"/>
      <family val="1"/>
    </font>
    <font>
      <vertAlign val="subscript"/>
      <sz val="11"/>
      <color indexed="9"/>
      <name val="Palatino Linotype"/>
      <family val="1"/>
    </font>
    <font>
      <vertAlign val="superscript"/>
      <sz val="11"/>
      <color indexed="9"/>
      <name val="Palatino Linotype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u/>
      <sz val="10"/>
      <color theme="0"/>
      <name val="Arial"/>
      <family val="2"/>
    </font>
    <font>
      <sz val="11"/>
      <color theme="0"/>
      <name val="Palatino Linotype"/>
      <family val="1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Book Antiqua"/>
      <family val="1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7" fillId="3" borderId="0" xfId="0" applyFont="1" applyFill="1"/>
    <xf numFmtId="0" fontId="7" fillId="3" borderId="0" xfId="0" applyFont="1" applyFill="1" applyProtection="1">
      <protection hidden="1"/>
    </xf>
    <xf numFmtId="0" fontId="7" fillId="2" borderId="0" xfId="0" applyFont="1" applyFill="1"/>
    <xf numFmtId="0" fontId="8" fillId="3" borderId="0" xfId="0" applyFont="1" applyFill="1"/>
    <xf numFmtId="0" fontId="8" fillId="3" borderId="0" xfId="0" applyFont="1" applyFill="1" applyProtection="1">
      <protection hidden="1"/>
    </xf>
    <xf numFmtId="0" fontId="8" fillId="2" borderId="0" xfId="0" applyFont="1" applyFill="1"/>
    <xf numFmtId="0" fontId="9" fillId="2" borderId="0" xfId="0" applyFont="1" applyFill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9" fillId="2" borderId="5" xfId="0" applyFont="1" applyFill="1" applyBorder="1" applyProtection="1">
      <protection hidden="1"/>
    </xf>
    <xf numFmtId="0" fontId="10" fillId="2" borderId="5" xfId="1" applyFont="1" applyFill="1" applyBorder="1" applyAlignment="1" applyProtection="1">
      <alignment horizontal="center"/>
      <protection hidden="1"/>
    </xf>
    <xf numFmtId="0" fontId="10" fillId="2" borderId="0" xfId="1" applyFont="1" applyFill="1" applyBorder="1" applyAlignment="1" applyProtection="1">
      <alignment horizontal="center"/>
      <protection hidden="1"/>
    </xf>
    <xf numFmtId="0" fontId="7" fillId="2" borderId="0" xfId="0" applyFont="1" applyFill="1" applyProtection="1">
      <protection hidden="1"/>
    </xf>
    <xf numFmtId="0" fontId="12" fillId="2" borderId="5" xfId="0" applyFont="1" applyFill="1" applyBorder="1" applyProtection="1">
      <protection hidden="1"/>
    </xf>
    <xf numFmtId="0" fontId="12" fillId="2" borderId="0" xfId="0" applyFont="1" applyFill="1" applyProtection="1">
      <protection hidden="1"/>
    </xf>
    <xf numFmtId="0" fontId="13" fillId="4" borderId="6" xfId="0" applyFont="1" applyFill="1" applyBorder="1" applyAlignment="1" applyProtection="1">
      <alignment horizontal="left" vertical="center"/>
      <protection hidden="1"/>
    </xf>
    <xf numFmtId="0" fontId="13" fillId="4" borderId="7" xfId="0" applyFont="1" applyFill="1" applyBorder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7" fillId="4" borderId="0" xfId="0" applyFont="1" applyFill="1"/>
    <xf numFmtId="0" fontId="13" fillId="4" borderId="6" xfId="0" applyFont="1" applyFill="1" applyBorder="1" applyAlignment="1" applyProtection="1">
      <alignment vertical="center"/>
      <protection hidden="1"/>
    </xf>
    <xf numFmtId="0" fontId="13" fillId="4" borderId="7" xfId="0" applyFont="1" applyFill="1" applyBorder="1" applyAlignment="1" applyProtection="1">
      <alignment vertical="center"/>
      <protection hidden="1"/>
    </xf>
    <xf numFmtId="167" fontId="13" fillId="4" borderId="0" xfId="0" applyNumberFormat="1" applyFont="1" applyFill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2" fontId="13" fillId="4" borderId="0" xfId="0" applyNumberFormat="1" applyFont="1" applyFill="1" applyAlignment="1" applyProtection="1">
      <alignment horizontal="center" vertical="center"/>
      <protection hidden="1"/>
    </xf>
    <xf numFmtId="0" fontId="9" fillId="4" borderId="5" xfId="0" applyFont="1" applyFill="1" applyBorder="1" applyProtection="1">
      <protection hidden="1"/>
    </xf>
    <xf numFmtId="0" fontId="9" fillId="4" borderId="0" xfId="0" applyFont="1" applyFill="1" applyProtection="1">
      <protection hidden="1"/>
    </xf>
    <xf numFmtId="0" fontId="27" fillId="4" borderId="5" xfId="0" applyFont="1" applyFill="1" applyBorder="1" applyAlignment="1" applyProtection="1">
      <alignment horizontal="left" vertical="top" wrapText="1"/>
      <protection hidden="1"/>
    </xf>
    <xf numFmtId="0" fontId="27" fillId="4" borderId="0" xfId="0" applyFont="1" applyFill="1" applyAlignment="1" applyProtection="1">
      <alignment horizontal="left" vertical="top" wrapText="1"/>
      <protection hidden="1"/>
    </xf>
    <xf numFmtId="0" fontId="27" fillId="4" borderId="4" xfId="0" applyFont="1" applyFill="1" applyBorder="1" applyAlignment="1" applyProtection="1">
      <alignment horizontal="left" vertical="top" wrapText="1"/>
      <protection hidden="1"/>
    </xf>
    <xf numFmtId="0" fontId="28" fillId="4" borderId="5" xfId="0" applyFont="1" applyFill="1" applyBorder="1" applyAlignment="1" applyProtection="1">
      <alignment vertical="top" wrapText="1"/>
      <protection hidden="1"/>
    </xf>
    <xf numFmtId="0" fontId="28" fillId="4" borderId="0" xfId="0" applyFont="1" applyFill="1" applyAlignment="1" applyProtection="1">
      <alignment vertical="top" wrapText="1"/>
      <protection hidden="1"/>
    </xf>
    <xf numFmtId="0" fontId="28" fillId="4" borderId="4" xfId="0" applyFont="1" applyFill="1" applyBorder="1" applyAlignment="1" applyProtection="1">
      <alignment vertical="top" wrapText="1"/>
      <protection hidden="1"/>
    </xf>
    <xf numFmtId="0" fontId="27" fillId="4" borderId="0" xfId="0" applyFont="1" applyFill="1" applyAlignment="1" applyProtection="1">
      <alignment vertical="top" wrapText="1"/>
      <protection hidden="1"/>
    </xf>
    <xf numFmtId="0" fontId="27" fillId="4" borderId="4" xfId="0" applyFont="1" applyFill="1" applyBorder="1" applyAlignment="1" applyProtection="1">
      <alignment vertical="top" wrapText="1"/>
      <protection hidden="1"/>
    </xf>
    <xf numFmtId="0" fontId="27" fillId="4" borderId="9" xfId="0" applyFont="1" applyFill="1" applyBorder="1" applyAlignment="1" applyProtection="1">
      <alignment horizontal="left" vertical="top" wrapText="1"/>
      <protection hidden="1"/>
    </xf>
    <xf numFmtId="0" fontId="27" fillId="4" borderId="10" xfId="0" applyFont="1" applyFill="1" applyBorder="1" applyAlignment="1" applyProtection="1">
      <alignment vertical="top" wrapText="1"/>
      <protection hidden="1"/>
    </xf>
    <xf numFmtId="0" fontId="27" fillId="4" borderId="11" xfId="0" applyFont="1" applyFill="1" applyBorder="1" applyAlignment="1" applyProtection="1">
      <alignment vertical="top" wrapText="1"/>
      <protection hidden="1"/>
    </xf>
    <xf numFmtId="0" fontId="14" fillId="4" borderId="0" xfId="0" applyFont="1" applyFill="1"/>
    <xf numFmtId="0" fontId="15" fillId="3" borderId="0" xfId="0" applyFont="1" applyFill="1"/>
    <xf numFmtId="0" fontId="1" fillId="5" borderId="0" xfId="0" applyFont="1" applyFill="1" applyAlignment="1" applyProtection="1">
      <alignment horizontal="right" vertical="center"/>
      <protection hidden="1"/>
    </xf>
    <xf numFmtId="0" fontId="1" fillId="5" borderId="4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16" fillId="2" borderId="5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2" borderId="4" xfId="0" applyFont="1" applyFill="1" applyBorder="1" applyAlignment="1" applyProtection="1">
      <alignment horizontal="center"/>
      <protection hidden="1"/>
    </xf>
    <xf numFmtId="0" fontId="1" fillId="4" borderId="0" xfId="0" applyFont="1" applyFill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2" fontId="1" fillId="6" borderId="0" xfId="0" applyNumberFormat="1" applyFont="1" applyFill="1" applyAlignment="1" applyProtection="1">
      <alignment horizontal="center" vertical="center"/>
      <protection locked="0"/>
    </xf>
    <xf numFmtId="0" fontId="1" fillId="6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Protection="1">
      <protection hidden="1"/>
    </xf>
    <xf numFmtId="0" fontId="30" fillId="4" borderId="0" xfId="0" applyFont="1" applyFill="1" applyAlignment="1" applyProtection="1">
      <alignment vertical="center"/>
      <protection hidden="1"/>
    </xf>
    <xf numFmtId="0" fontId="29" fillId="4" borderId="0" xfId="0" applyFont="1" applyFill="1" applyAlignment="1" applyProtection="1">
      <alignment vertical="center"/>
      <protection hidden="1"/>
    </xf>
    <xf numFmtId="0" fontId="31" fillId="4" borderId="0" xfId="0" applyFont="1" applyFill="1" applyAlignment="1" applyProtection="1">
      <alignment vertical="center"/>
      <protection hidden="1"/>
    </xf>
    <xf numFmtId="0" fontId="32" fillId="4" borderId="0" xfId="0" applyFont="1" applyFill="1" applyAlignment="1">
      <alignment vertical="center"/>
    </xf>
    <xf numFmtId="164" fontId="29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Alignment="1" applyProtection="1">
      <alignment vertical="center"/>
      <protection hidden="1"/>
    </xf>
    <xf numFmtId="165" fontId="29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Alignment="1">
      <alignment horizontal="center"/>
    </xf>
    <xf numFmtId="0" fontId="33" fillId="4" borderId="0" xfId="0" applyFont="1" applyFill="1" applyAlignment="1" applyProtection="1">
      <alignment vertical="center"/>
      <protection hidden="1"/>
    </xf>
    <xf numFmtId="2" fontId="33" fillId="4" borderId="0" xfId="0" applyNumberFormat="1" applyFont="1" applyFill="1" applyAlignment="1" applyProtection="1">
      <alignment vertical="center"/>
      <protection hidden="1"/>
    </xf>
    <xf numFmtId="164" fontId="33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Protection="1">
      <protection hidden="1"/>
    </xf>
    <xf numFmtId="166" fontId="29" fillId="4" borderId="0" xfId="0" applyNumberFormat="1" applyFont="1" applyFill="1" applyAlignment="1" applyProtection="1">
      <alignment vertical="center"/>
      <protection hidden="1"/>
    </xf>
    <xf numFmtId="0" fontId="33" fillId="4" borderId="0" xfId="0" applyFont="1" applyFill="1" applyAlignment="1" applyProtection="1">
      <alignment horizontal="center" vertical="center"/>
      <protection hidden="1"/>
    </xf>
    <xf numFmtId="166" fontId="29" fillId="4" borderId="0" xfId="0" applyNumberFormat="1" applyFont="1" applyFill="1" applyAlignment="1" applyProtection="1">
      <alignment horizontal="center" vertical="center"/>
      <protection hidden="1"/>
    </xf>
    <xf numFmtId="164" fontId="29" fillId="4" borderId="0" xfId="0" applyNumberFormat="1" applyFont="1" applyFill="1" applyProtection="1">
      <protection hidden="1"/>
    </xf>
    <xf numFmtId="0" fontId="34" fillId="4" borderId="0" xfId="0" applyFont="1" applyFill="1" applyAlignment="1" applyProtection="1">
      <alignment horizontal="center" vertical="center"/>
      <protection hidden="1"/>
    </xf>
    <xf numFmtId="169" fontId="29" fillId="4" borderId="0" xfId="0" applyNumberFormat="1" applyFont="1" applyFill="1" applyAlignment="1" applyProtection="1">
      <alignment vertical="center"/>
      <protection hidden="1"/>
    </xf>
    <xf numFmtId="169" fontId="33" fillId="4" borderId="0" xfId="0" applyNumberFormat="1" applyFont="1" applyFill="1" applyAlignment="1" applyProtection="1">
      <alignment vertical="center"/>
      <protection hidden="1"/>
    </xf>
    <xf numFmtId="3" fontId="29" fillId="4" borderId="0" xfId="0" applyNumberFormat="1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center" vertical="center"/>
      <protection hidden="1"/>
    </xf>
    <xf numFmtId="169" fontId="29" fillId="4" borderId="0" xfId="0" applyNumberFormat="1" applyFont="1" applyFill="1" applyProtection="1">
      <protection hidden="1"/>
    </xf>
    <xf numFmtId="0" fontId="29" fillId="4" borderId="0" xfId="0" applyFont="1" applyFill="1" applyAlignment="1" applyProtection="1">
      <alignment horizontal="right" vertical="center"/>
      <protection hidden="1"/>
    </xf>
    <xf numFmtId="3" fontId="29" fillId="4" borderId="0" xfId="0" applyNumberFormat="1" applyFont="1" applyFill="1" applyAlignment="1" applyProtection="1">
      <alignment horizontal="center" vertical="center"/>
      <protection hidden="1"/>
    </xf>
    <xf numFmtId="0" fontId="9" fillId="4" borderId="4" xfId="0" applyFont="1" applyFill="1" applyBorder="1" applyProtection="1">
      <protection hidden="1"/>
    </xf>
    <xf numFmtId="0" fontId="2" fillId="4" borderId="5" xfId="1" applyFill="1" applyBorder="1" applyAlignment="1" applyProtection="1"/>
    <xf numFmtId="0" fontId="35" fillId="4" borderId="0" xfId="0" applyFont="1" applyFill="1" applyAlignment="1" applyProtection="1">
      <alignment horizontal="left" vertical="top" wrapText="1"/>
      <protection hidden="1"/>
    </xf>
    <xf numFmtId="0" fontId="35" fillId="4" borderId="4" xfId="0" applyFont="1" applyFill="1" applyBorder="1" applyAlignment="1" applyProtection="1">
      <alignment horizontal="left" vertical="top" wrapText="1"/>
      <protection hidden="1"/>
    </xf>
    <xf numFmtId="0" fontId="1" fillId="4" borderId="5" xfId="0" applyFont="1" applyFill="1" applyBorder="1" applyAlignment="1" applyProtection="1">
      <alignment horizontal="right" vertical="center"/>
      <protection hidden="1"/>
    </xf>
    <xf numFmtId="2" fontId="1" fillId="0" borderId="0" xfId="0" applyNumberFormat="1" applyFont="1" applyAlignment="1" applyProtection="1">
      <alignment horizontal="center" vertical="center"/>
      <protection hidden="1"/>
    </xf>
    <xf numFmtId="0" fontId="23" fillId="0" borderId="5" xfId="1" applyFont="1" applyBorder="1" applyAlignment="1" applyProtection="1"/>
    <xf numFmtId="0" fontId="36" fillId="4" borderId="0" xfId="0" applyFont="1" applyFill="1"/>
    <xf numFmtId="0" fontId="36" fillId="4" borderId="0" xfId="0" applyFont="1" applyFill="1" applyProtection="1">
      <protection hidden="1"/>
    </xf>
    <xf numFmtId="0" fontId="37" fillId="4" borderId="0" xfId="0" applyFont="1" applyFill="1" applyAlignment="1">
      <alignment wrapText="1"/>
    </xf>
    <xf numFmtId="164" fontId="36" fillId="4" borderId="0" xfId="0" applyNumberFormat="1" applyFont="1" applyFill="1" applyProtection="1">
      <protection hidden="1"/>
    </xf>
    <xf numFmtId="0" fontId="1" fillId="3" borderId="0" xfId="0" applyFont="1" applyFill="1"/>
    <xf numFmtId="0" fontId="1" fillId="3" borderId="0" xfId="0" applyFont="1" applyFill="1" applyProtection="1">
      <protection hidden="1"/>
    </xf>
    <xf numFmtId="0" fontId="1" fillId="2" borderId="1" xfId="0" applyFont="1" applyFill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7" xfId="0" applyFont="1" applyFill="1" applyBorder="1" applyProtection="1">
      <protection hidden="1"/>
    </xf>
    <xf numFmtId="0" fontId="1" fillId="2" borderId="8" xfId="0" applyFont="1" applyFill="1" applyBorder="1" applyProtection="1"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6" borderId="4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right"/>
      <protection hidden="1"/>
    </xf>
    <xf numFmtId="2" fontId="1" fillId="4" borderId="0" xfId="0" applyNumberFormat="1" applyFont="1" applyFill="1" applyAlignment="1" applyProtection="1">
      <alignment horizontal="center"/>
      <protection locked="0"/>
    </xf>
    <xf numFmtId="0" fontId="1" fillId="4" borderId="4" xfId="0" applyFont="1" applyFill="1" applyBorder="1" applyProtection="1">
      <protection hidden="1"/>
    </xf>
    <xf numFmtId="0" fontId="1" fillId="6" borderId="0" xfId="0" applyFont="1" applyFill="1" applyAlignment="1" applyProtection="1">
      <alignment horizontal="center" vertical="center"/>
      <protection locked="0"/>
    </xf>
    <xf numFmtId="166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2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right" wrapText="1"/>
    </xf>
    <xf numFmtId="166" fontId="1" fillId="4" borderId="0" xfId="0" applyNumberFormat="1" applyFont="1" applyFill="1" applyAlignment="1" applyProtection="1">
      <alignment horizontal="center"/>
      <protection hidden="1"/>
    </xf>
    <xf numFmtId="0" fontId="1" fillId="4" borderId="4" xfId="0" applyFont="1" applyFill="1" applyBorder="1"/>
    <xf numFmtId="167" fontId="1" fillId="4" borderId="0" xfId="0" applyNumberFormat="1" applyFont="1" applyFill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8" xfId="0" applyFont="1" applyFill="1" applyBorder="1" applyProtection="1">
      <protection hidden="1"/>
    </xf>
    <xf numFmtId="167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vertical="center"/>
      <protection hidden="1"/>
    </xf>
    <xf numFmtId="4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4" fontId="1" fillId="4" borderId="0" xfId="0" applyNumberFormat="1" applyFont="1" applyFill="1" applyAlignment="1" applyProtection="1">
      <alignment horizontal="center" vertical="center"/>
      <protection hidden="1"/>
    </xf>
    <xf numFmtId="0" fontId="1" fillId="4" borderId="7" xfId="0" applyFont="1" applyFill="1" applyBorder="1"/>
    <xf numFmtId="0" fontId="1" fillId="4" borderId="8" xfId="0" applyFont="1" applyFill="1" applyBorder="1"/>
    <xf numFmtId="4" fontId="1" fillId="3" borderId="0" xfId="0" applyNumberFormat="1" applyFont="1" applyFill="1" applyProtection="1">
      <protection hidden="1"/>
    </xf>
    <xf numFmtId="0" fontId="1" fillId="4" borderId="0" xfId="0" applyFont="1" applyFill="1"/>
    <xf numFmtId="0" fontId="1" fillId="5" borderId="5" xfId="0" applyFont="1" applyFill="1" applyBorder="1" applyAlignment="1" applyProtection="1">
      <alignment horizontal="right" vertical="center"/>
      <protection hidden="1"/>
    </xf>
    <xf numFmtId="4" fontId="1" fillId="5" borderId="0" xfId="0" applyNumberFormat="1" applyFont="1" applyFill="1" applyAlignment="1" applyProtection="1">
      <alignment horizontal="right" vertical="center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164" fontId="1" fillId="3" borderId="0" xfId="0" applyNumberFormat="1" applyFont="1" applyFill="1" applyProtection="1">
      <protection hidden="1"/>
    </xf>
    <xf numFmtId="168" fontId="1" fillId="3" borderId="0" xfId="2" applyNumberFormat="1" applyFont="1" applyFill="1" applyProtection="1">
      <protection hidden="1"/>
    </xf>
    <xf numFmtId="9" fontId="1" fillId="3" borderId="0" xfId="2" applyFont="1" applyFill="1" applyProtection="1">
      <protection hidden="1"/>
    </xf>
    <xf numFmtId="2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5" xfId="0" applyFont="1" applyFill="1" applyBorder="1"/>
    <xf numFmtId="3" fontId="1" fillId="5" borderId="0" xfId="0" applyNumberFormat="1" applyFont="1" applyFill="1" applyAlignment="1" applyProtection="1">
      <alignment horizontal="right" vertical="center"/>
      <protection hidden="1"/>
    </xf>
    <xf numFmtId="1" fontId="1" fillId="5" borderId="0" xfId="0" applyNumberFormat="1" applyFont="1" applyFill="1" applyAlignment="1" applyProtection="1">
      <alignment horizontal="right" vertical="center"/>
      <protection hidden="1"/>
    </xf>
    <xf numFmtId="3" fontId="1" fillId="4" borderId="0" xfId="0" applyNumberFormat="1" applyFont="1" applyFill="1" applyAlignment="1" applyProtection="1">
      <alignment horizontal="right" vertical="center"/>
      <protection hidden="1"/>
    </xf>
    <xf numFmtId="1" fontId="1" fillId="4" borderId="0" xfId="0" applyNumberFormat="1" applyFont="1" applyFill="1" applyAlignment="1" applyProtection="1">
      <alignment horizontal="right" vertical="center"/>
      <protection hidden="1"/>
    </xf>
    <xf numFmtId="166" fontId="1" fillId="5" borderId="0" xfId="0" applyNumberFormat="1" applyFont="1" applyFill="1" applyAlignment="1" applyProtection="1">
      <alignment horizontal="right" vertical="center"/>
      <protection hidden="1"/>
    </xf>
    <xf numFmtId="166" fontId="1" fillId="4" borderId="0" xfId="0" applyNumberFormat="1" applyFont="1" applyFill="1" applyAlignment="1" applyProtection="1">
      <alignment horizontal="right" vertical="center"/>
      <protection hidden="1"/>
    </xf>
    <xf numFmtId="2" fontId="1" fillId="5" borderId="0" xfId="0" applyNumberFormat="1" applyFont="1" applyFill="1" applyAlignment="1" applyProtection="1">
      <alignment horizontal="right" vertical="center"/>
      <protection hidden="1"/>
    </xf>
    <xf numFmtId="3" fontId="1" fillId="4" borderId="0" xfId="0" applyNumberFormat="1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5" fillId="4" borderId="5" xfId="0" applyFont="1" applyFill="1" applyBorder="1" applyAlignment="1" applyProtection="1">
      <alignment horizontal="left" vertical="top" wrapText="1"/>
      <protection hidden="1"/>
    </xf>
    <xf numFmtId="0" fontId="35" fillId="4" borderId="0" xfId="0" applyFont="1" applyFill="1" applyAlignment="1" applyProtection="1">
      <alignment horizontal="left" vertical="top" wrapText="1"/>
      <protection hidden="1"/>
    </xf>
    <xf numFmtId="0" fontId="35" fillId="4" borderId="4" xfId="0" applyFont="1" applyFill="1" applyBorder="1" applyAlignment="1" applyProtection="1">
      <alignment horizontal="left" vertical="top" wrapText="1"/>
      <protection hidden="1"/>
    </xf>
    <xf numFmtId="0" fontId="16" fillId="2" borderId="5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2" borderId="4" xfId="0" applyFont="1" applyFill="1" applyBorder="1" applyAlignment="1" applyProtection="1">
      <alignment horizontal="center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0" fillId="2" borderId="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2" borderId="4" xfId="0" applyFont="1" applyFill="1" applyBorder="1" applyAlignment="1" applyProtection="1">
      <alignment horizontal="center"/>
      <protection hidden="1"/>
    </xf>
    <xf numFmtId="166" fontId="21" fillId="2" borderId="5" xfId="0" applyNumberFormat="1" applyFont="1" applyFill="1" applyBorder="1" applyAlignment="1" applyProtection="1">
      <alignment horizontal="center"/>
      <protection hidden="1"/>
    </xf>
    <xf numFmtId="166" fontId="21" fillId="2" borderId="0" xfId="0" applyNumberFormat="1" applyFont="1" applyFill="1" applyAlignment="1" applyProtection="1">
      <alignment horizontal="center"/>
      <protection hidden="1"/>
    </xf>
    <xf numFmtId="166" fontId="21" fillId="2" borderId="4" xfId="0" applyNumberFormat="1" applyFont="1" applyFill="1" applyBorder="1" applyAlignment="1" applyProtection="1">
      <alignment horizontal="center"/>
      <protection hidden="1"/>
    </xf>
    <xf numFmtId="166" fontId="9" fillId="2" borderId="5" xfId="0" applyNumberFormat="1" applyFont="1" applyFill="1" applyBorder="1" applyAlignment="1" applyProtection="1">
      <alignment horizontal="center"/>
      <protection hidden="1"/>
    </xf>
    <xf numFmtId="166" fontId="9" fillId="2" borderId="0" xfId="0" applyNumberFormat="1" applyFont="1" applyFill="1" applyAlignment="1" applyProtection="1">
      <alignment horizontal="center"/>
      <protection hidden="1"/>
    </xf>
    <xf numFmtId="166" fontId="9" fillId="2" borderId="4" xfId="0" applyNumberFormat="1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17" fillId="2" borderId="4" xfId="0" applyFont="1" applyFill="1" applyBorder="1" applyAlignment="1" applyProtection="1">
      <alignment horizontal="center"/>
      <protection hidden="1"/>
    </xf>
    <xf numFmtId="0" fontId="22" fillId="2" borderId="5" xfId="1" applyFont="1" applyFill="1" applyBorder="1" applyAlignment="1" applyProtection="1">
      <alignment horizontal="center"/>
      <protection hidden="1"/>
    </xf>
    <xf numFmtId="0" fontId="22" fillId="2" borderId="0" xfId="1" applyFont="1" applyFill="1" applyBorder="1" applyAlignment="1" applyProtection="1">
      <alignment horizontal="center"/>
      <protection hidden="1"/>
    </xf>
    <xf numFmtId="0" fontId="22" fillId="2" borderId="4" xfId="1" applyFont="1" applyFill="1" applyBorder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left" vertical="center"/>
      <protection locked="0"/>
    </xf>
    <xf numFmtId="1" fontId="1" fillId="4" borderId="0" xfId="0" applyNumberFormat="1" applyFont="1" applyFill="1" applyAlignment="1" applyProtection="1">
      <alignment horizontal="left" vertical="center"/>
      <protection locked="0"/>
    </xf>
    <xf numFmtId="0" fontId="11" fillId="2" borderId="5" xfId="1" applyFont="1" applyFill="1" applyBorder="1" applyAlignment="1" applyProtection="1">
      <alignment horizontal="center"/>
      <protection hidden="1"/>
    </xf>
    <xf numFmtId="0" fontId="11" fillId="2" borderId="0" xfId="1" applyFont="1" applyFill="1" applyBorder="1" applyAlignment="1" applyProtection="1">
      <alignment horizontal="center"/>
      <protection hidden="1"/>
    </xf>
    <xf numFmtId="0" fontId="11" fillId="2" borderId="4" xfId="1" applyFont="1" applyFill="1" applyBorder="1" applyAlignment="1" applyProtection="1">
      <alignment horizont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1390650</xdr:colOff>
      <xdr:row>79</xdr:row>
      <xdr:rowOff>95250</xdr:rowOff>
    </xdr:from>
    <xdr:to>
      <xdr:col>4</xdr:col>
      <xdr:colOff>2066925</xdr:colOff>
      <xdr:row>82</xdr:row>
      <xdr:rowOff>85725</xdr:rowOff>
    </xdr:to>
    <xdr:pic>
      <xdr:nvPicPr>
        <xdr:cNvPr id="510158" name="Imagem 17">
          <a:extLst>
            <a:ext uri="{FF2B5EF4-FFF2-40B4-BE49-F238E27FC236}">
              <a16:creationId xmlns:a16="http://schemas.microsoft.com/office/drawing/2014/main" id="{9B46697A-06C4-BDA1-2AEC-EFDF3E68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592425"/>
          <a:ext cx="676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1952625</xdr:colOff>
      <xdr:row>1</xdr:row>
      <xdr:rowOff>123825</xdr:rowOff>
    </xdr:from>
    <xdr:to>
      <xdr:col>7</xdr:col>
      <xdr:colOff>2219325</xdr:colOff>
      <xdr:row>6</xdr:row>
      <xdr:rowOff>19050</xdr:rowOff>
    </xdr:to>
    <xdr:pic>
      <xdr:nvPicPr>
        <xdr:cNvPr id="510159" name="Imagem 19">
          <a:extLst>
            <a:ext uri="{FF2B5EF4-FFF2-40B4-BE49-F238E27FC236}">
              <a16:creationId xmlns:a16="http://schemas.microsoft.com/office/drawing/2014/main" id="{CD6A6A52-3744-D7A6-3C1A-7E9F96A58BB8}"/>
            </a:ext>
            <a:ext uri="{147F2762-F138-4A5C-976F-8EAC2B608ADB}">
              <a16:predDERef xmlns:a16="http://schemas.microsoft.com/office/drawing/2014/main" pred="{9B46697A-06C4-BDA1-2AEC-EFDF3E68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41" b="38924"/>
        <a:stretch>
          <a:fillRect/>
        </a:stretch>
      </xdr:blipFill>
      <xdr:spPr bwMode="auto">
        <a:xfrm>
          <a:off x="4219575" y="295275"/>
          <a:ext cx="42767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485775</xdr:colOff>
      <xdr:row>2</xdr:row>
      <xdr:rowOff>190500</xdr:rowOff>
    </xdr:to>
    <xdr:sp macro="" textlink="">
      <xdr:nvSpPr>
        <xdr:cNvPr id="510160" name="AutoShape 1">
          <a:extLst>
            <a:ext uri="{FF2B5EF4-FFF2-40B4-BE49-F238E27FC236}">
              <a16:creationId xmlns:a16="http://schemas.microsoft.com/office/drawing/2014/main" id="{1CD0F290-D30B-CD52-5CA9-A0BFFDC17CFB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7145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485775</xdr:colOff>
      <xdr:row>3</xdr:row>
      <xdr:rowOff>133350</xdr:rowOff>
    </xdr:to>
    <xdr:sp macro="" textlink="">
      <xdr:nvSpPr>
        <xdr:cNvPr id="510161" name="AutoShape 1">
          <a:extLst>
            <a:ext uri="{FF2B5EF4-FFF2-40B4-BE49-F238E27FC236}">
              <a16:creationId xmlns:a16="http://schemas.microsoft.com/office/drawing/2014/main" id="{C44C48F6-11CC-EB49-70F4-22D2D9A75661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33375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485775</xdr:colOff>
      <xdr:row>11</xdr:row>
      <xdr:rowOff>152400</xdr:rowOff>
    </xdr:to>
    <xdr:sp macro="" textlink="">
      <xdr:nvSpPr>
        <xdr:cNvPr id="510162" name="AutoShape 1">
          <a:extLst>
            <a:ext uri="{FF2B5EF4-FFF2-40B4-BE49-F238E27FC236}">
              <a16:creationId xmlns:a16="http://schemas.microsoft.com/office/drawing/2014/main" id="{0782F7C9-90C8-D3E9-7E74-9E0AEC6DD91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22479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485775</xdr:colOff>
      <xdr:row>12</xdr:row>
      <xdr:rowOff>152400</xdr:rowOff>
    </xdr:to>
    <xdr:sp macro="" textlink="">
      <xdr:nvSpPr>
        <xdr:cNvPr id="510163" name="AutoShape 1">
          <a:extLst>
            <a:ext uri="{FF2B5EF4-FFF2-40B4-BE49-F238E27FC236}">
              <a16:creationId xmlns:a16="http://schemas.microsoft.com/office/drawing/2014/main" id="{E5D62116-D478-5481-B641-359AD3C580A6}"/>
            </a:ext>
          </a:extLst>
        </xdr:cNvPr>
        <xdr:cNvSpPr>
          <a:spLocks noChangeAspect="1" noChangeArrowheads="1"/>
        </xdr:cNvSpPr>
      </xdr:nvSpPr>
      <xdr:spPr bwMode="auto">
        <a:xfrm>
          <a:off x="2266950" y="2447925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2209800</xdr:colOff>
      <xdr:row>2</xdr:row>
      <xdr:rowOff>123825</xdr:rowOff>
    </xdr:from>
    <xdr:to>
      <xdr:col>5</xdr:col>
      <xdr:colOff>314325</xdr:colOff>
      <xdr:row>4</xdr:row>
      <xdr:rowOff>19050</xdr:rowOff>
    </xdr:to>
    <xdr:sp macro="" textlink="">
      <xdr:nvSpPr>
        <xdr:cNvPr id="510164" name="AutoShape 1">
          <a:extLst>
            <a:ext uri="{FF2B5EF4-FFF2-40B4-BE49-F238E27FC236}">
              <a16:creationId xmlns:a16="http://schemas.microsoft.com/office/drawing/2014/main" id="{264EA452-C3B7-A00D-0126-EBDD5B5B5817}"/>
            </a:ext>
          </a:extLst>
        </xdr:cNvPr>
        <xdr:cNvSpPr>
          <a:spLocks noChangeAspect="1" noChangeArrowheads="1"/>
        </xdr:cNvSpPr>
      </xdr:nvSpPr>
      <xdr:spPr bwMode="auto">
        <a:xfrm>
          <a:off x="4476750" y="4572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133350</xdr:rowOff>
    </xdr:to>
    <xdr:sp macro="" textlink="">
      <xdr:nvSpPr>
        <xdr:cNvPr id="510165" name="AutoShape 1">
          <a:extLst>
            <a:ext uri="{FF2B5EF4-FFF2-40B4-BE49-F238E27FC236}">
              <a16:creationId xmlns:a16="http://schemas.microsoft.com/office/drawing/2014/main" id="{DAB950D1-24D4-A351-4B1E-37C2CCAF2688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133350</xdr:rowOff>
    </xdr:to>
    <xdr:sp macro="" textlink="">
      <xdr:nvSpPr>
        <xdr:cNvPr id="510166" name="AutoShape 1">
          <a:extLst>
            <a:ext uri="{FF2B5EF4-FFF2-40B4-BE49-F238E27FC236}">
              <a16:creationId xmlns:a16="http://schemas.microsoft.com/office/drawing/2014/main" id="{46CB7D8E-929E-4D13-D027-4644D3DC4B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123825</xdr:rowOff>
    </xdr:to>
    <xdr:sp macro="" textlink="">
      <xdr:nvSpPr>
        <xdr:cNvPr id="510167" name="AutoShape 1">
          <a:extLst>
            <a:ext uri="{FF2B5EF4-FFF2-40B4-BE49-F238E27FC236}">
              <a16:creationId xmlns:a16="http://schemas.microsoft.com/office/drawing/2014/main" id="{8B0C3488-2DFC-D9B0-DBA6-81D434FF9EB9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485775</xdr:colOff>
      <xdr:row>9</xdr:row>
      <xdr:rowOff>133350</xdr:rowOff>
    </xdr:to>
    <xdr:sp macro="" textlink="">
      <xdr:nvSpPr>
        <xdr:cNvPr id="510168" name="AutoShape 1">
          <a:extLst>
            <a:ext uri="{FF2B5EF4-FFF2-40B4-BE49-F238E27FC236}">
              <a16:creationId xmlns:a16="http://schemas.microsoft.com/office/drawing/2014/main" id="{52F259C5-5BE5-A3CE-3626-97C9B041FEE0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7907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485775</xdr:colOff>
      <xdr:row>6</xdr:row>
      <xdr:rowOff>123825</xdr:rowOff>
    </xdr:to>
    <xdr:sp macro="" textlink="">
      <xdr:nvSpPr>
        <xdr:cNvPr id="510169" name="AutoShape 1">
          <a:extLst>
            <a:ext uri="{FF2B5EF4-FFF2-40B4-BE49-F238E27FC236}">
              <a16:creationId xmlns:a16="http://schemas.microsoft.com/office/drawing/2014/main" id="{BFBFC991-3101-FC75-B42A-B15E5A525EA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019175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79</xdr:row>
      <xdr:rowOff>171450</xdr:rowOff>
    </xdr:from>
    <xdr:to>
      <xdr:col>9</xdr:col>
      <xdr:colOff>561975</xdr:colOff>
      <xdr:row>82</xdr:row>
      <xdr:rowOff>9525</xdr:rowOff>
    </xdr:to>
    <xdr:pic>
      <xdr:nvPicPr>
        <xdr:cNvPr id="510170" name="Picture 1">
          <a:extLst>
            <a:ext uri="{FF2B5EF4-FFF2-40B4-BE49-F238E27FC236}">
              <a16:creationId xmlns:a16="http://schemas.microsoft.com/office/drawing/2014/main" id="{5B1697FB-C311-B68E-E1A6-16BB981A0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15668625"/>
          <a:ext cx="10191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1019175</xdr:colOff>
      <xdr:row>79</xdr:row>
      <xdr:rowOff>114300</xdr:rowOff>
    </xdr:from>
    <xdr:to>
      <xdr:col>7</xdr:col>
      <xdr:colOff>1866900</xdr:colOff>
      <xdr:row>82</xdr:row>
      <xdr:rowOff>28575</xdr:rowOff>
    </xdr:to>
    <xdr:pic>
      <xdr:nvPicPr>
        <xdr:cNvPr id="510171" name="Imagem 1">
          <a:extLst>
            <a:ext uri="{FF2B5EF4-FFF2-40B4-BE49-F238E27FC236}">
              <a16:creationId xmlns:a16="http://schemas.microsoft.com/office/drawing/2014/main" id="{DA930B78-E372-DEEB-4550-73417325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15611475"/>
          <a:ext cx="847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485775</xdr:colOff>
      <xdr:row>7</xdr:row>
      <xdr:rowOff>47625</xdr:rowOff>
    </xdr:to>
    <xdr:sp macro="" textlink="">
      <xdr:nvSpPr>
        <xdr:cNvPr id="510172" name="AutoShape 1">
          <a:extLst>
            <a:ext uri="{FF2B5EF4-FFF2-40B4-BE49-F238E27FC236}">
              <a16:creationId xmlns:a16="http://schemas.microsoft.com/office/drawing/2014/main" id="{256AA66B-341A-6AA2-45E5-ACB82B9FA99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247775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</xdr:colOff>
      <xdr:row>79</xdr:row>
      <xdr:rowOff>57150</xdr:rowOff>
    </xdr:from>
    <xdr:to>
      <xdr:col>7</xdr:col>
      <xdr:colOff>323850</xdr:colOff>
      <xdr:row>82</xdr:row>
      <xdr:rowOff>114300</xdr:rowOff>
    </xdr:to>
    <xdr:pic>
      <xdr:nvPicPr>
        <xdr:cNvPr id="510173" name="Imagem 16">
          <a:extLst>
            <a:ext uri="{FF2B5EF4-FFF2-40B4-BE49-F238E27FC236}">
              <a16:creationId xmlns:a16="http://schemas.microsoft.com/office/drawing/2014/main" id="{10A4965F-3E01-A1D9-54EE-4AB45B000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5554325"/>
          <a:ext cx="1466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51</xdr:col>
      <xdr:colOff>304800</xdr:colOff>
      <xdr:row>86</xdr:row>
      <xdr:rowOff>76200</xdr:rowOff>
    </xdr:from>
    <xdr:to>
      <xdr:col>52</xdr:col>
      <xdr:colOff>409575</xdr:colOff>
      <xdr:row>90</xdr:row>
      <xdr:rowOff>38100</xdr:rowOff>
    </xdr:to>
    <xdr:pic>
      <xdr:nvPicPr>
        <xdr:cNvPr id="510174" name="Imagem 15">
          <a:extLst>
            <a:ext uri="{FF2B5EF4-FFF2-40B4-BE49-F238E27FC236}">
              <a16:creationId xmlns:a16="http://schemas.microsoft.com/office/drawing/2014/main" id="{F06B4917-8B82-214C-8BD6-879B8843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5350" y="16906875"/>
          <a:ext cx="8667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fmt.br/ufmt/un/npleite" TargetMode="External"/><Relationship Id="rId2" Type="http://schemas.openxmlformats.org/officeDocument/2006/relationships/hyperlink" Target="http://dx.doi.org/10.17632/hvc7smjjb7.1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"/>
  <sheetViews>
    <sheetView tabSelected="1" topLeftCell="A7" zoomScaleSheetLayoutView="100" workbookViewId="0">
      <selection activeCell="F24" sqref="F24"/>
    </sheetView>
  </sheetViews>
  <sheetFormatPr defaultColWidth="11.42578125" defaultRowHeight="12.75" x14ac:dyDescent="0.2"/>
  <cols>
    <col min="1" max="1" width="10.28515625" style="1" customWidth="1"/>
    <col min="2" max="2" width="11.42578125" style="1"/>
    <col min="3" max="3" width="6.7109375" style="1" customWidth="1"/>
    <col min="4" max="4" width="5.5703125" style="1" customWidth="1"/>
    <col min="5" max="5" width="35.7109375" style="12" customWidth="1"/>
    <col min="6" max="6" width="7" style="12" customWidth="1"/>
    <col min="7" max="7" width="17.42578125" style="12" customWidth="1"/>
    <col min="8" max="8" width="42.140625" style="12" customWidth="1"/>
    <col min="9" max="9" width="8.5703125" style="12" customWidth="1"/>
    <col min="10" max="10" width="24" style="12" customWidth="1"/>
    <col min="11" max="37" width="11.42578125" style="2"/>
    <col min="38" max="54" width="11.42578125" style="1"/>
    <col min="55" max="16384" width="11.42578125" style="3"/>
  </cols>
  <sheetData>
    <row r="1" spans="1:54" s="1" customFormat="1" ht="13.5" thickBot="1" x14ac:dyDescent="0.25">
      <c r="A1" s="87"/>
      <c r="B1" s="87"/>
      <c r="C1" s="87"/>
      <c r="D1" s="87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</row>
    <row r="2" spans="1:54" x14ac:dyDescent="0.2">
      <c r="A2" s="87"/>
      <c r="B2" s="87"/>
      <c r="C2" s="87"/>
      <c r="D2" s="87"/>
      <c r="E2" s="89"/>
      <c r="F2" s="90"/>
      <c r="G2" s="90"/>
      <c r="H2" s="90"/>
      <c r="I2" s="90"/>
      <c r="J2" s="91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</row>
    <row r="3" spans="1:54" s="6" customFormat="1" ht="18" customHeight="1" x14ac:dyDescent="0.3">
      <c r="A3" s="4"/>
      <c r="B3" s="4"/>
      <c r="C3" s="4"/>
      <c r="D3" s="4"/>
      <c r="E3" s="141"/>
      <c r="F3" s="142"/>
      <c r="G3" s="142"/>
      <c r="H3" s="142"/>
      <c r="I3" s="142"/>
      <c r="J3" s="14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s="6" customFormat="1" ht="18" customHeight="1" x14ac:dyDescent="0.3">
      <c r="A4" s="4"/>
      <c r="B4" s="4"/>
      <c r="C4" s="4"/>
      <c r="D4" s="4"/>
      <c r="E4" s="44"/>
      <c r="F4" s="45"/>
      <c r="G4" s="45"/>
      <c r="H4" s="45"/>
      <c r="I4" s="45"/>
      <c r="J4" s="4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s="6" customFormat="1" ht="18" customHeight="1" x14ac:dyDescent="0.3">
      <c r="A5" s="4"/>
      <c r="B5" s="4"/>
      <c r="C5" s="4"/>
      <c r="D5" s="4"/>
      <c r="E5" s="44"/>
      <c r="F5" s="45"/>
      <c r="G5" s="45"/>
      <c r="H5" s="45"/>
      <c r="I5" s="45"/>
      <c r="J5" s="4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s="6" customFormat="1" ht="18" customHeight="1" x14ac:dyDescent="0.3">
      <c r="A6" s="4"/>
      <c r="B6" s="4"/>
      <c r="C6" s="4"/>
      <c r="D6" s="4"/>
      <c r="E6" s="44"/>
      <c r="F6" s="45"/>
      <c r="G6" s="45"/>
      <c r="H6" s="45"/>
      <c r="I6" s="45"/>
      <c r="J6" s="4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s="6" customFormat="1" ht="24.75" customHeight="1" x14ac:dyDescent="0.35">
      <c r="A7" s="4"/>
      <c r="B7" s="4"/>
      <c r="C7" s="4"/>
      <c r="D7" s="4"/>
      <c r="E7" s="156" t="s">
        <v>0</v>
      </c>
      <c r="F7" s="157"/>
      <c r="G7" s="157"/>
      <c r="H7" s="157"/>
      <c r="I7" s="157"/>
      <c r="J7" s="15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s="6" customFormat="1" ht="18" customHeight="1" x14ac:dyDescent="0.3">
      <c r="A8" s="4"/>
      <c r="B8" s="4"/>
      <c r="C8" s="4"/>
      <c r="D8" s="4"/>
      <c r="E8" s="144" t="s">
        <v>1</v>
      </c>
      <c r="F8" s="145"/>
      <c r="G8" s="145"/>
      <c r="H8" s="145"/>
      <c r="I8" s="145"/>
      <c r="J8" s="14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s="6" customFormat="1" ht="18" customHeight="1" x14ac:dyDescent="0.25">
      <c r="A9" s="4"/>
      <c r="B9" s="4"/>
      <c r="C9" s="4"/>
      <c r="D9" s="4"/>
      <c r="E9" s="147" t="s">
        <v>2</v>
      </c>
      <c r="F9" s="148"/>
      <c r="G9" s="148"/>
      <c r="H9" s="148"/>
      <c r="I9" s="148"/>
      <c r="J9" s="1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s="6" customFormat="1" ht="18" customHeight="1" x14ac:dyDescent="0.3">
      <c r="A10" s="4"/>
      <c r="B10" s="4"/>
      <c r="C10" s="4"/>
      <c r="D10" s="4"/>
      <c r="E10" s="9"/>
      <c r="F10" s="7"/>
      <c r="G10" s="7"/>
      <c r="H10" s="7"/>
      <c r="I10" s="7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customHeight="1" x14ac:dyDescent="0.3">
      <c r="A11" s="87"/>
      <c r="B11" s="87"/>
      <c r="C11" s="87"/>
      <c r="D11" s="87"/>
      <c r="E11" s="150" t="s">
        <v>3</v>
      </c>
      <c r="F11" s="151"/>
      <c r="G11" s="151"/>
      <c r="H11" s="151"/>
      <c r="I11" s="151"/>
      <c r="J11" s="15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</row>
    <row r="12" spans="1:54" ht="15.75" customHeight="1" x14ac:dyDescent="0.3">
      <c r="A12" s="87"/>
      <c r="B12" s="87"/>
      <c r="C12" s="87"/>
      <c r="D12" s="87"/>
      <c r="E12" s="153" t="s">
        <v>4</v>
      </c>
      <c r="F12" s="154"/>
      <c r="G12" s="154"/>
      <c r="H12" s="154"/>
      <c r="I12" s="154"/>
      <c r="J12" s="155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</row>
    <row r="13" spans="1:54" ht="15.75" customHeight="1" x14ac:dyDescent="0.3">
      <c r="A13" s="87"/>
      <c r="B13" s="87"/>
      <c r="C13" s="87"/>
      <c r="D13" s="87"/>
      <c r="E13" s="153" t="s">
        <v>5</v>
      </c>
      <c r="F13" s="154"/>
      <c r="G13" s="154"/>
      <c r="H13" s="154"/>
      <c r="I13" s="154"/>
      <c r="J13" s="15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</row>
    <row r="14" spans="1:54" ht="15" x14ac:dyDescent="0.3">
      <c r="A14" s="87"/>
      <c r="B14" s="87"/>
      <c r="C14" s="87"/>
      <c r="D14" s="87"/>
      <c r="E14" s="153" t="s">
        <v>6</v>
      </c>
      <c r="F14" s="154"/>
      <c r="G14" s="154"/>
      <c r="H14" s="154"/>
      <c r="I14" s="154"/>
      <c r="J14" s="15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</row>
    <row r="15" spans="1:54" ht="13.5" x14ac:dyDescent="0.25">
      <c r="A15" s="87"/>
      <c r="B15" s="87"/>
      <c r="C15" s="87"/>
      <c r="D15" s="87"/>
      <c r="E15" s="159" t="s">
        <v>7</v>
      </c>
      <c r="F15" s="160"/>
      <c r="G15" s="160"/>
      <c r="H15" s="160"/>
      <c r="I15" s="160"/>
      <c r="J15" s="161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</row>
    <row r="16" spans="1:54" ht="13.5" x14ac:dyDescent="0.25">
      <c r="A16" s="87"/>
      <c r="B16" s="87"/>
      <c r="C16" s="87"/>
      <c r="D16" s="87"/>
      <c r="E16" s="10"/>
      <c r="F16" s="11"/>
      <c r="G16" s="11"/>
      <c r="H16" s="92"/>
      <c r="I16" s="92"/>
      <c r="J16" s="93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</row>
    <row r="17" spans="1:54" ht="23.25" x14ac:dyDescent="0.35">
      <c r="A17" s="87"/>
      <c r="B17" s="87"/>
      <c r="C17" s="87"/>
      <c r="D17" s="87"/>
      <c r="E17" s="164" t="s">
        <v>8</v>
      </c>
      <c r="F17" s="165"/>
      <c r="G17" s="165"/>
      <c r="H17" s="165"/>
      <c r="I17" s="165"/>
      <c r="J17" s="166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</row>
    <row r="18" spans="1:54" x14ac:dyDescent="0.2">
      <c r="A18" s="87"/>
      <c r="B18" s="87"/>
      <c r="C18" s="87"/>
      <c r="D18" s="87"/>
      <c r="E18" s="13"/>
      <c r="F18" s="14"/>
      <c r="G18" s="92"/>
      <c r="H18" s="92"/>
      <c r="I18" s="92"/>
      <c r="J18" s="93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</row>
    <row r="19" spans="1:54" ht="15" customHeight="1" x14ac:dyDescent="0.2">
      <c r="A19" s="87"/>
      <c r="B19" s="87"/>
      <c r="C19" s="87"/>
      <c r="D19" s="87"/>
      <c r="E19" s="15" t="s">
        <v>9</v>
      </c>
      <c r="F19" s="16"/>
      <c r="G19" s="16"/>
      <c r="H19" s="94"/>
      <c r="I19" s="95"/>
      <c r="J19" s="96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</row>
    <row r="20" spans="1:54" ht="15" customHeight="1" x14ac:dyDescent="0.2">
      <c r="A20" s="87"/>
      <c r="B20" s="87"/>
      <c r="C20" s="87"/>
      <c r="D20" s="87"/>
      <c r="E20" s="17"/>
      <c r="F20" s="18"/>
      <c r="G20" s="18"/>
      <c r="H20" s="97"/>
      <c r="I20" s="92"/>
      <c r="J20" s="9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</row>
    <row r="21" spans="1:54" ht="15" customHeight="1" x14ac:dyDescent="0.2">
      <c r="A21" s="87"/>
      <c r="B21" s="87"/>
      <c r="C21" s="87"/>
      <c r="D21" s="87"/>
      <c r="E21" s="80" t="s">
        <v>10</v>
      </c>
      <c r="F21" s="162" t="s">
        <v>11</v>
      </c>
      <c r="G21" s="162"/>
      <c r="H21" s="43" t="s">
        <v>12</v>
      </c>
      <c r="I21" s="49">
        <v>0</v>
      </c>
      <c r="J21" s="98" t="s">
        <v>13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</row>
    <row r="22" spans="1:54" ht="15" customHeight="1" x14ac:dyDescent="0.2">
      <c r="A22" s="87"/>
      <c r="B22" s="87"/>
      <c r="C22" s="87"/>
      <c r="D22" s="87"/>
      <c r="E22" s="80" t="s">
        <v>14</v>
      </c>
      <c r="F22" s="163" t="s">
        <v>15</v>
      </c>
      <c r="G22" s="163"/>
      <c r="H22" s="99" t="s">
        <v>16</v>
      </c>
      <c r="I22" s="100">
        <v>2.5</v>
      </c>
      <c r="J22" s="101" t="s">
        <v>17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</row>
    <row r="23" spans="1:54" ht="15" customHeight="1" x14ac:dyDescent="0.2">
      <c r="A23" s="87"/>
      <c r="B23" s="87"/>
      <c r="C23" s="87"/>
      <c r="D23" s="87"/>
      <c r="E23" s="80" t="s">
        <v>18</v>
      </c>
      <c r="F23" s="102">
        <v>1000</v>
      </c>
      <c r="G23" s="50" t="s">
        <v>13</v>
      </c>
      <c r="H23" s="43" t="s">
        <v>19</v>
      </c>
      <c r="I23" s="102">
        <v>5</v>
      </c>
      <c r="J23" s="98" t="s">
        <v>20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</row>
    <row r="24" spans="1:54" ht="15" customHeight="1" x14ac:dyDescent="0.2">
      <c r="A24" s="87"/>
      <c r="B24" s="87"/>
      <c r="C24" s="87"/>
      <c r="D24" s="87"/>
      <c r="E24" s="80" t="s">
        <v>21</v>
      </c>
      <c r="F24" s="103">
        <v>30</v>
      </c>
      <c r="G24" s="47" t="s">
        <v>13</v>
      </c>
      <c r="H24" s="43" t="s">
        <v>22</v>
      </c>
      <c r="I24" s="104">
        <v>22</v>
      </c>
      <c r="J24" s="48" t="s">
        <v>23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</row>
    <row r="25" spans="1:54" ht="15" customHeight="1" x14ac:dyDescent="0.2">
      <c r="A25" s="87"/>
      <c r="B25" s="87"/>
      <c r="C25" s="87"/>
      <c r="D25" s="87"/>
      <c r="E25" s="80" t="s">
        <v>24</v>
      </c>
      <c r="F25" s="102">
        <v>10</v>
      </c>
      <c r="G25" s="50" t="s">
        <v>20</v>
      </c>
      <c r="H25" s="43" t="s">
        <v>25</v>
      </c>
      <c r="I25" s="102">
        <v>65</v>
      </c>
      <c r="J25" s="98" t="s">
        <v>26</v>
      </c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</row>
    <row r="26" spans="1:54" ht="15" customHeight="1" x14ac:dyDescent="0.2">
      <c r="A26" s="87"/>
      <c r="B26" s="87"/>
      <c r="C26" s="87"/>
      <c r="D26" s="87"/>
      <c r="E26" s="80" t="s">
        <v>27</v>
      </c>
      <c r="F26" s="105">
        <v>3.8</v>
      </c>
      <c r="G26" s="47" t="s">
        <v>26</v>
      </c>
      <c r="H26" s="106" t="s">
        <v>28</v>
      </c>
      <c r="I26" s="107">
        <f>(1.8*I24+32)-((0.55-0.0055*I25)*(1.8*I24-26.8))</f>
        <v>69.135999999999996</v>
      </c>
      <c r="J26" s="10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</row>
    <row r="27" spans="1:54" ht="18" customHeight="1" x14ac:dyDescent="0.2">
      <c r="A27" s="87"/>
      <c r="B27" s="87"/>
      <c r="C27" s="87"/>
      <c r="D27" s="87"/>
      <c r="E27" s="80" t="s">
        <v>29</v>
      </c>
      <c r="F27" s="49">
        <v>3</v>
      </c>
      <c r="G27" s="50" t="s">
        <v>26</v>
      </c>
      <c r="H27" s="43" t="s">
        <v>30</v>
      </c>
      <c r="I27" s="109">
        <f>F24*0.4+15*F24*F26/100</f>
        <v>29.1</v>
      </c>
      <c r="J27" s="48" t="s">
        <v>13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</row>
    <row r="28" spans="1:54" ht="15" customHeight="1" x14ac:dyDescent="0.2">
      <c r="A28" s="87"/>
      <c r="B28" s="87"/>
      <c r="C28" s="87"/>
      <c r="D28" s="87"/>
      <c r="E28" s="80" t="s">
        <v>31</v>
      </c>
      <c r="F28" s="105">
        <v>4.5999999999999996</v>
      </c>
      <c r="G28" s="47" t="s">
        <v>26</v>
      </c>
      <c r="H28" s="99"/>
      <c r="I28" s="110"/>
      <c r="J28" s="10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</row>
    <row r="29" spans="1:54" ht="15" customHeight="1" x14ac:dyDescent="0.2">
      <c r="A29" s="87"/>
      <c r="B29" s="87"/>
      <c r="C29" s="87"/>
      <c r="D29" s="87"/>
      <c r="E29" s="80"/>
      <c r="F29" s="105"/>
      <c r="G29" s="47"/>
      <c r="H29" s="43"/>
      <c r="I29" s="92"/>
      <c r="J29" s="93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</row>
    <row r="30" spans="1:54" s="19" customFormat="1" ht="15" customHeight="1" x14ac:dyDescent="0.2">
      <c r="A30" s="87"/>
      <c r="B30" s="87"/>
      <c r="C30" s="87"/>
      <c r="D30" s="87"/>
      <c r="E30" s="20" t="s">
        <v>32</v>
      </c>
      <c r="F30" s="16"/>
      <c r="G30" s="16"/>
      <c r="H30" s="21"/>
      <c r="I30" s="21"/>
      <c r="J30" s="11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</row>
    <row r="31" spans="1:54" s="19" customFormat="1" ht="15" customHeight="1" x14ac:dyDescent="0.2">
      <c r="A31" s="87"/>
      <c r="B31" s="87"/>
      <c r="C31" s="87"/>
      <c r="D31" s="87"/>
      <c r="E31" s="80"/>
      <c r="F31" s="43"/>
      <c r="G31" s="47"/>
      <c r="H31" s="110"/>
      <c r="I31" s="22"/>
      <c r="J31" s="10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54" s="19" customFormat="1" ht="15" customHeight="1" x14ac:dyDescent="0.2">
      <c r="A32" s="87"/>
      <c r="B32" s="87"/>
      <c r="C32" s="87"/>
      <c r="D32" s="87"/>
      <c r="E32" s="23" t="s">
        <v>33</v>
      </c>
      <c r="F32" s="112">
        <f>(0.4385*I27+0.07506*(F23^0.75))*(1-EXP(-0.03202*(24.9576+F25)))*IF(F21="Bos taurus",F102,F103)</f>
        <v>17.583960719183974</v>
      </c>
      <c r="G32" s="47" t="s">
        <v>13</v>
      </c>
      <c r="H32" s="24" t="s">
        <v>34</v>
      </c>
      <c r="I32" s="81">
        <f>1.82*F24+0.69*F32+0.53*I24</f>
        <v>78.392932896236942</v>
      </c>
      <c r="J32" s="48" t="s">
        <v>35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</row>
    <row r="33" spans="1:54" s="19" customFormat="1" ht="15" customHeight="1" x14ac:dyDescent="0.2">
      <c r="A33" s="87"/>
      <c r="B33" s="87"/>
      <c r="C33" s="87"/>
      <c r="D33" s="87"/>
      <c r="E33" s="113"/>
      <c r="F33" s="114">
        <f>(F32/F23)*100</f>
        <v>1.7583960719183975</v>
      </c>
      <c r="G33" s="47" t="s">
        <v>36</v>
      </c>
      <c r="H33" s="115"/>
      <c r="I33" s="116">
        <f>I32/F23*100</f>
        <v>7.8392932896236944</v>
      </c>
      <c r="J33" s="48" t="s">
        <v>36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</row>
    <row r="34" spans="1:54" s="19" customFormat="1" ht="15" customHeight="1" x14ac:dyDescent="0.2">
      <c r="A34" s="87"/>
      <c r="B34" s="87"/>
      <c r="C34" s="87"/>
      <c r="D34" s="87"/>
      <c r="E34" s="113"/>
      <c r="F34" s="114"/>
      <c r="G34" s="47"/>
      <c r="H34" s="115"/>
      <c r="I34" s="114"/>
      <c r="J34" s="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</row>
    <row r="35" spans="1:54" s="19" customFormat="1" ht="15" customHeight="1" x14ac:dyDescent="0.25">
      <c r="A35" s="87"/>
      <c r="B35" s="87"/>
      <c r="C35" s="87"/>
      <c r="D35" s="87"/>
      <c r="E35" s="20" t="s">
        <v>37</v>
      </c>
      <c r="F35" s="117"/>
      <c r="G35" s="117"/>
      <c r="H35" s="117"/>
      <c r="I35" s="117"/>
      <c r="J35" s="118"/>
      <c r="K35" s="88"/>
      <c r="L35" s="88"/>
      <c r="M35" s="40"/>
      <c r="N35" s="88"/>
      <c r="O35" s="88"/>
      <c r="P35" s="88"/>
      <c r="Q35" s="119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</row>
    <row r="36" spans="1:54" s="19" customFormat="1" ht="15" customHeight="1" x14ac:dyDescent="0.25">
      <c r="A36" s="87"/>
      <c r="B36" s="87"/>
      <c r="C36" s="87"/>
      <c r="D36" s="87"/>
      <c r="E36" s="17"/>
      <c r="F36" s="120"/>
      <c r="G36" s="120"/>
      <c r="H36" s="120"/>
      <c r="I36" s="120"/>
      <c r="J36" s="108"/>
      <c r="K36" s="88"/>
      <c r="L36" s="88"/>
      <c r="M36" s="40"/>
      <c r="N36" s="88"/>
      <c r="O36" s="88"/>
      <c r="P36" s="88"/>
      <c r="Q36" s="119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</row>
    <row r="37" spans="1:54" s="19" customFormat="1" ht="15" customHeight="1" x14ac:dyDescent="0.2">
      <c r="A37" s="87"/>
      <c r="B37" s="87"/>
      <c r="C37" s="87"/>
      <c r="D37" s="87"/>
      <c r="E37" s="23" t="s">
        <v>38</v>
      </c>
      <c r="F37" s="25"/>
      <c r="G37" s="110"/>
      <c r="H37" s="24" t="s">
        <v>39</v>
      </c>
      <c r="I37" s="120"/>
      <c r="J37" s="108"/>
      <c r="K37" s="88"/>
      <c r="L37" s="88"/>
      <c r="M37" s="88"/>
      <c r="N37" s="88"/>
      <c r="O37" s="88"/>
      <c r="P37" s="88"/>
      <c r="Q37" s="119"/>
      <c r="R37" s="119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</row>
    <row r="38" spans="1:54" s="19" customFormat="1" ht="15" customHeight="1" x14ac:dyDescent="0.2">
      <c r="A38" s="87"/>
      <c r="B38" s="87"/>
      <c r="C38" s="87"/>
      <c r="D38" s="87"/>
      <c r="E38" s="121" t="s">
        <v>40</v>
      </c>
      <c r="F38" s="122">
        <f>F118</f>
        <v>44.416576107205017</v>
      </c>
      <c r="G38" s="123" t="s">
        <v>41</v>
      </c>
      <c r="H38" s="41" t="s">
        <v>42</v>
      </c>
      <c r="I38" s="122">
        <f>I40+I42</f>
        <v>3.8902036222280412</v>
      </c>
      <c r="J38" s="42" t="s">
        <v>13</v>
      </c>
      <c r="K38" s="88"/>
      <c r="L38" s="88"/>
      <c r="M38" s="88"/>
      <c r="N38" s="88"/>
      <c r="O38" s="88"/>
      <c r="P38" s="124"/>
      <c r="Q38" s="88"/>
      <c r="R38" s="125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</row>
    <row r="39" spans="1:54" s="19" customFormat="1" ht="15" customHeight="1" x14ac:dyDescent="0.2">
      <c r="A39" s="87"/>
      <c r="B39" s="87"/>
      <c r="C39" s="87"/>
      <c r="D39" s="87"/>
      <c r="E39" s="121" t="s">
        <v>43</v>
      </c>
      <c r="F39" s="122">
        <f>F38/F32</f>
        <v>2.5259710719637161</v>
      </c>
      <c r="G39" s="123" t="s">
        <v>44</v>
      </c>
      <c r="H39" s="41" t="s">
        <v>45</v>
      </c>
      <c r="I39" s="122">
        <f>I38/F32*100</f>
        <v>22.12359140443175</v>
      </c>
      <c r="J39" s="42" t="s">
        <v>46</v>
      </c>
      <c r="K39" s="88"/>
      <c r="L39" s="88"/>
      <c r="M39" s="88"/>
      <c r="N39" s="88"/>
      <c r="O39" s="126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</row>
    <row r="40" spans="1:54" s="19" customFormat="1" ht="15" customHeight="1" x14ac:dyDescent="0.2">
      <c r="A40" s="87"/>
      <c r="B40" s="87"/>
      <c r="C40" s="87"/>
      <c r="D40" s="87"/>
      <c r="E40" s="80" t="s">
        <v>47</v>
      </c>
      <c r="F40" s="114">
        <f>F127</f>
        <v>67.267655508281251</v>
      </c>
      <c r="G40" s="47" t="s">
        <v>41</v>
      </c>
      <c r="H40" s="43" t="s">
        <v>48</v>
      </c>
      <c r="I40" s="114">
        <f>F146</f>
        <v>2.4118584990445755</v>
      </c>
      <c r="J40" s="48" t="s">
        <v>13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</row>
    <row r="41" spans="1:54" s="19" customFormat="1" ht="15" customHeight="1" x14ac:dyDescent="0.2">
      <c r="A41" s="87"/>
      <c r="B41" s="87"/>
      <c r="C41" s="87"/>
      <c r="D41" s="87"/>
      <c r="E41" s="80" t="s">
        <v>49</v>
      </c>
      <c r="F41" s="114">
        <f>F40/F32</f>
        <v>3.8255121575023043</v>
      </c>
      <c r="G41" s="47" t="s">
        <v>44</v>
      </c>
      <c r="H41" s="43" t="s">
        <v>50</v>
      </c>
      <c r="I41" s="114">
        <f>I40/F32*100</f>
        <v>13.716241394996153</v>
      </c>
      <c r="J41" s="48" t="s">
        <v>46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</row>
    <row r="42" spans="1:54" s="19" customFormat="1" ht="15" customHeight="1" x14ac:dyDescent="0.2">
      <c r="A42" s="87"/>
      <c r="B42" s="87"/>
      <c r="C42" s="87"/>
      <c r="D42" s="87"/>
      <c r="E42" s="121" t="s">
        <v>51</v>
      </c>
      <c r="F42" s="122">
        <f>((F41+0.2349)/0.947)*F32</f>
        <v>75.394010434231859</v>
      </c>
      <c r="G42" s="123" t="s">
        <v>41</v>
      </c>
      <c r="H42" s="41" t="s">
        <v>52</v>
      </c>
      <c r="I42" s="122">
        <f>F145</f>
        <v>1.4783451231834659</v>
      </c>
      <c r="J42" s="42" t="s">
        <v>13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</row>
    <row r="43" spans="1:54" s="19" customFormat="1" ht="15" customHeight="1" x14ac:dyDescent="0.2">
      <c r="A43" s="87"/>
      <c r="B43" s="87"/>
      <c r="C43" s="87"/>
      <c r="D43" s="87"/>
      <c r="E43" s="121" t="s">
        <v>53</v>
      </c>
      <c r="F43" s="122">
        <f>F42/F32</f>
        <v>4.2876580332653687</v>
      </c>
      <c r="G43" s="123" t="s">
        <v>44</v>
      </c>
      <c r="H43" s="41" t="s">
        <v>54</v>
      </c>
      <c r="I43" s="122">
        <f>I42/F32*100</f>
        <v>8.4073500094356</v>
      </c>
      <c r="J43" s="42" t="s">
        <v>46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</row>
    <row r="44" spans="1:54" s="19" customFormat="1" ht="15" customHeight="1" x14ac:dyDescent="0.2">
      <c r="A44" s="87"/>
      <c r="B44" s="87"/>
      <c r="C44" s="87"/>
      <c r="D44" s="87"/>
      <c r="E44" s="80" t="s">
        <v>55</v>
      </c>
      <c r="F44" s="114">
        <f>F42/4.409</f>
        <v>17.100025047455627</v>
      </c>
      <c r="G44" s="47" t="s">
        <v>13</v>
      </c>
      <c r="H44" s="43" t="s">
        <v>56</v>
      </c>
      <c r="I44" s="127">
        <f>F141</f>
        <v>2.629977070609252</v>
      </c>
      <c r="J44" s="48" t="s">
        <v>13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</row>
    <row r="45" spans="1:54" s="19" customFormat="1" ht="15" customHeight="1" x14ac:dyDescent="0.2">
      <c r="A45" s="87"/>
      <c r="B45" s="87"/>
      <c r="C45" s="87"/>
      <c r="D45" s="87"/>
      <c r="E45" s="80" t="s">
        <v>57</v>
      </c>
      <c r="F45" s="114">
        <f>(F44/F32)*100</f>
        <v>97.247857411326137</v>
      </c>
      <c r="G45" s="47" t="s">
        <v>46</v>
      </c>
      <c r="H45" s="43" t="s">
        <v>58</v>
      </c>
      <c r="I45" s="114">
        <f>I44/F32*100</f>
        <v>14.956681902388272</v>
      </c>
      <c r="J45" s="48" t="s">
        <v>46</v>
      </c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</row>
    <row r="46" spans="1:54" s="19" customFormat="1" ht="15" customHeight="1" x14ac:dyDescent="0.2">
      <c r="A46" s="87"/>
      <c r="B46" s="87"/>
      <c r="C46" s="87"/>
      <c r="D46" s="87"/>
      <c r="E46" s="80"/>
      <c r="F46" s="114"/>
      <c r="G46" s="47"/>
      <c r="H46" s="41" t="s">
        <v>59</v>
      </c>
      <c r="I46" s="122">
        <f>F147/F141*100</f>
        <v>57.841501556104902</v>
      </c>
      <c r="J46" s="42" t="s">
        <v>60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</row>
    <row r="47" spans="1:54" s="19" customFormat="1" ht="15" customHeight="1" x14ac:dyDescent="0.2">
      <c r="A47" s="87"/>
      <c r="B47" s="87"/>
      <c r="C47" s="87"/>
      <c r="D47" s="87"/>
      <c r="E47" s="113"/>
      <c r="F47" s="114"/>
      <c r="G47" s="47"/>
      <c r="H47" s="43" t="s">
        <v>61</v>
      </c>
      <c r="I47" s="112">
        <v>6.8</v>
      </c>
      <c r="J47" s="48" t="s">
        <v>60</v>
      </c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</row>
    <row r="48" spans="1:54" s="19" customFormat="1" ht="15" customHeight="1" x14ac:dyDescent="0.2">
      <c r="A48" s="87"/>
      <c r="B48" s="87"/>
      <c r="C48" s="87"/>
      <c r="D48" s="87"/>
      <c r="E48" s="113"/>
      <c r="F48" s="114"/>
      <c r="G48" s="47"/>
      <c r="H48" s="43" t="s">
        <v>62</v>
      </c>
      <c r="I48" s="112">
        <f>I47/2.9</f>
        <v>2.3448275862068964</v>
      </c>
      <c r="J48" s="48" t="s">
        <v>60</v>
      </c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</row>
    <row r="49" spans="1:54" s="19" customFormat="1" ht="15" customHeight="1" x14ac:dyDescent="0.2">
      <c r="A49" s="87"/>
      <c r="B49" s="87"/>
      <c r="C49" s="87"/>
      <c r="D49" s="87"/>
      <c r="E49" s="128"/>
      <c r="F49" s="120"/>
      <c r="G49" s="120"/>
      <c r="H49" s="120"/>
      <c r="I49" s="120"/>
      <c r="J49" s="10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</row>
    <row r="50" spans="1:54" s="19" customFormat="1" ht="15" customHeight="1" x14ac:dyDescent="0.2">
      <c r="A50" s="87"/>
      <c r="B50" s="87"/>
      <c r="C50" s="87"/>
      <c r="D50" s="87"/>
      <c r="E50" s="23" t="s">
        <v>63</v>
      </c>
      <c r="F50" s="120"/>
      <c r="G50" s="120"/>
      <c r="H50" s="24" t="s">
        <v>64</v>
      </c>
      <c r="I50" s="120"/>
      <c r="J50" s="10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</row>
    <row r="51" spans="1:54" s="19" customFormat="1" ht="15" customHeight="1" x14ac:dyDescent="0.2">
      <c r="A51" s="87"/>
      <c r="B51" s="87"/>
      <c r="C51" s="87"/>
      <c r="D51" s="87"/>
      <c r="E51" s="121" t="s">
        <v>65</v>
      </c>
      <c r="F51" s="129">
        <f>(1.83*F32+0.12*F32+1.17*F24)/0.74</f>
        <v>93.768545138390195</v>
      </c>
      <c r="G51" s="123" t="s">
        <v>66</v>
      </c>
      <c r="H51" s="41" t="s">
        <v>67</v>
      </c>
      <c r="I51" s="130">
        <f>(1.18*F23^0.75+3.8*F24)/0.36</f>
        <v>899.54713995720238</v>
      </c>
      <c r="J51" s="42" t="s">
        <v>68</v>
      </c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</row>
    <row r="52" spans="1:54" s="19" customFormat="1" ht="15" customHeight="1" x14ac:dyDescent="0.2">
      <c r="A52" s="87"/>
      <c r="B52" s="87"/>
      <c r="C52" s="87"/>
      <c r="D52" s="87"/>
      <c r="E52" s="121" t="s">
        <v>69</v>
      </c>
      <c r="F52" s="122">
        <f>F51/$F$32*100/1000</f>
        <v>0.53326179827101972</v>
      </c>
      <c r="G52" s="123" t="s">
        <v>46</v>
      </c>
      <c r="H52" s="41" t="s">
        <v>70</v>
      </c>
      <c r="I52" s="130">
        <f>I51/F32</f>
        <v>51.157253722467829</v>
      </c>
      <c r="J52" s="42" t="s">
        <v>71</v>
      </c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</row>
    <row r="53" spans="1:54" s="19" customFormat="1" ht="15" customHeight="1" x14ac:dyDescent="0.2">
      <c r="A53" s="87"/>
      <c r="B53" s="87"/>
      <c r="C53" s="87"/>
      <c r="D53" s="87"/>
      <c r="E53" s="80" t="s">
        <v>72</v>
      </c>
      <c r="F53" s="131">
        <f>(0.93*F32+0.01*F32+F24*0.9)/0.74</f>
        <v>58.822869021666136</v>
      </c>
      <c r="G53" s="47" t="s">
        <v>66</v>
      </c>
      <c r="H53" s="43" t="s">
        <v>73</v>
      </c>
      <c r="I53" s="132">
        <f>(1.25*F23^0.75+F24*0.04)/0.4</f>
        <v>558.71231563716321</v>
      </c>
      <c r="J53" s="48" t="s">
        <v>68</v>
      </c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</row>
    <row r="54" spans="1:54" s="19" customFormat="1" ht="15" customHeight="1" x14ac:dyDescent="0.2">
      <c r="A54" s="87"/>
      <c r="B54" s="87"/>
      <c r="C54" s="87"/>
      <c r="D54" s="87"/>
      <c r="E54" s="80" t="s">
        <v>74</v>
      </c>
      <c r="F54" s="114">
        <f>F53/$F$32*100/1000</f>
        <v>0.33452570760972417</v>
      </c>
      <c r="G54" s="47" t="s">
        <v>46</v>
      </c>
      <c r="H54" s="43" t="s">
        <v>75</v>
      </c>
      <c r="I54" s="132">
        <f>I53/F32</f>
        <v>31.773974280300347</v>
      </c>
      <c r="J54" s="48" t="s">
        <v>71</v>
      </c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</row>
    <row r="55" spans="1:54" s="19" customFormat="1" ht="15" customHeight="1" x14ac:dyDescent="0.2">
      <c r="A55" s="87"/>
      <c r="B55" s="87"/>
      <c r="C55" s="87"/>
      <c r="D55" s="87"/>
      <c r="E55" s="121" t="s">
        <v>76</v>
      </c>
      <c r="F55" s="129">
        <f>((0.038*F23)+(IF(I21&lt;0,0,I21*1.4))+(IF(I23&gt;190,1.39,0))+0.63*F24+0.1*F23/100)/0.9</f>
        <v>64.333333333333329</v>
      </c>
      <c r="G55" s="123" t="s">
        <v>66</v>
      </c>
      <c r="H55" s="41" t="s">
        <v>77</v>
      </c>
      <c r="I55" s="130">
        <f>I56*F32</f>
        <v>175.83960719183975</v>
      </c>
      <c r="J55" s="42" t="s">
        <v>68</v>
      </c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</row>
    <row r="56" spans="1:54" s="19" customFormat="1" ht="15" customHeight="1" x14ac:dyDescent="0.2">
      <c r="A56" s="87"/>
      <c r="B56" s="87"/>
      <c r="C56" s="87"/>
      <c r="D56" s="87"/>
      <c r="E56" s="121" t="s">
        <v>78</v>
      </c>
      <c r="F56" s="122">
        <f>F55/$F$32*100/1000</f>
        <v>0.36586372297309633</v>
      </c>
      <c r="G56" s="123" t="s">
        <v>46</v>
      </c>
      <c r="H56" s="41" t="s">
        <v>79</v>
      </c>
      <c r="I56" s="130">
        <v>10</v>
      </c>
      <c r="J56" s="42" t="s">
        <v>71</v>
      </c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</row>
    <row r="57" spans="1:54" s="19" customFormat="1" ht="15" customHeight="1" x14ac:dyDescent="0.2">
      <c r="A57" s="87"/>
      <c r="B57" s="87"/>
      <c r="C57" s="87"/>
      <c r="D57" s="87"/>
      <c r="E57" s="80" t="s">
        <v>80</v>
      </c>
      <c r="F57" s="131">
        <f>(0.33*F23^0.75+F24*1.6)/0.67</f>
        <v>159.22868736012603</v>
      </c>
      <c r="G57" s="47" t="s">
        <v>66</v>
      </c>
      <c r="H57" s="43" t="s">
        <v>81</v>
      </c>
      <c r="I57" s="132">
        <f>I58*F32</f>
        <v>527.51882157551927</v>
      </c>
      <c r="J57" s="48" t="s">
        <v>68</v>
      </c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</row>
    <row r="58" spans="1:54" s="19" customFormat="1" ht="15" customHeight="1" x14ac:dyDescent="0.2">
      <c r="A58" s="87"/>
      <c r="B58" s="87"/>
      <c r="C58" s="87"/>
      <c r="D58" s="87"/>
      <c r="E58" s="80" t="s">
        <v>82</v>
      </c>
      <c r="F58" s="114">
        <f>(F57/F32*100)/1000</f>
        <v>0.90553368437867743</v>
      </c>
      <c r="G58" s="47" t="s">
        <v>46</v>
      </c>
      <c r="H58" s="43" t="s">
        <v>83</v>
      </c>
      <c r="I58" s="132">
        <v>30</v>
      </c>
      <c r="J58" s="48" t="s">
        <v>71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</row>
    <row r="59" spans="1:54" s="19" customFormat="1" ht="15" customHeight="1" x14ac:dyDescent="0.2">
      <c r="A59" s="87"/>
      <c r="B59" s="87"/>
      <c r="C59" s="87"/>
      <c r="D59" s="87"/>
      <c r="E59" s="121" t="s">
        <v>84</v>
      </c>
      <c r="F59" s="129">
        <f>F60*F32*1000/100</f>
        <v>35.167921438367955</v>
      </c>
      <c r="G59" s="123" t="s">
        <v>66</v>
      </c>
      <c r="H59" s="41" t="s">
        <v>85</v>
      </c>
      <c r="I59" s="133">
        <f>I60*F32</f>
        <v>17.583960719183974</v>
      </c>
      <c r="J59" s="42" t="s">
        <v>68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</row>
    <row r="60" spans="1:54" s="19" customFormat="1" ht="15" customHeight="1" x14ac:dyDescent="0.2">
      <c r="A60" s="87"/>
      <c r="B60" s="87"/>
      <c r="C60" s="87"/>
      <c r="D60" s="87"/>
      <c r="E60" s="121" t="s">
        <v>86</v>
      </c>
      <c r="F60" s="122">
        <f>0.2</f>
        <v>0.2</v>
      </c>
      <c r="G60" s="123" t="s">
        <v>46</v>
      </c>
      <c r="H60" s="41" t="s">
        <v>87</v>
      </c>
      <c r="I60" s="130">
        <v>1</v>
      </c>
      <c r="J60" s="42" t="s">
        <v>71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</row>
    <row r="61" spans="1:54" s="19" customFormat="1" ht="15" customHeight="1" x14ac:dyDescent="0.2">
      <c r="A61" s="87"/>
      <c r="B61" s="87"/>
      <c r="C61" s="87"/>
      <c r="D61" s="87"/>
      <c r="E61" s="80" t="s">
        <v>88</v>
      </c>
      <c r="F61" s="112">
        <f>F62*F32/100*1000</f>
        <v>61.5438625171439</v>
      </c>
      <c r="G61" s="47" t="s">
        <v>66</v>
      </c>
      <c r="H61" s="43" t="s">
        <v>89</v>
      </c>
      <c r="I61" s="134">
        <f>((0.13/0.3*F23/100))*0.85+0.3*F24</f>
        <v>12.683333333333334</v>
      </c>
      <c r="J61" s="48" t="s">
        <v>68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</row>
    <row r="62" spans="1:54" s="19" customFormat="1" ht="15" customHeight="1" x14ac:dyDescent="0.2">
      <c r="A62" s="87"/>
      <c r="B62" s="87"/>
      <c r="C62" s="87"/>
      <c r="D62" s="87"/>
      <c r="E62" s="80" t="s">
        <v>90</v>
      </c>
      <c r="F62" s="114">
        <v>0.35</v>
      </c>
      <c r="G62" s="47" t="s">
        <v>46</v>
      </c>
      <c r="H62" s="43" t="s">
        <v>91</v>
      </c>
      <c r="I62" s="127">
        <f>I61/$F$32</f>
        <v>0.72130127767493868</v>
      </c>
      <c r="J62" s="48" t="s">
        <v>71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</row>
    <row r="63" spans="1:54" s="19" customFormat="1" ht="15" customHeight="1" x14ac:dyDescent="0.2">
      <c r="A63" s="87"/>
      <c r="B63" s="87"/>
      <c r="C63" s="87"/>
      <c r="D63" s="87"/>
      <c r="E63" s="128"/>
      <c r="F63" s="120"/>
      <c r="G63" s="120"/>
      <c r="H63" s="41" t="s">
        <v>92</v>
      </c>
      <c r="I63" s="133">
        <f>I64*F32</f>
        <v>5.2751882157551924</v>
      </c>
      <c r="J63" s="42" t="s">
        <v>68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</row>
    <row r="64" spans="1:54" s="19" customFormat="1" ht="15" customHeight="1" x14ac:dyDescent="0.2">
      <c r="A64" s="87"/>
      <c r="B64" s="87"/>
      <c r="C64" s="87"/>
      <c r="D64" s="87"/>
      <c r="E64" s="128"/>
      <c r="F64" s="120"/>
      <c r="G64" s="120"/>
      <c r="H64" s="41" t="s">
        <v>93</v>
      </c>
      <c r="I64" s="135">
        <v>0.3</v>
      </c>
      <c r="J64" s="42" t="s">
        <v>71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</row>
    <row r="65" spans="1:54" s="19" customFormat="1" ht="15" customHeight="1" x14ac:dyDescent="0.2">
      <c r="A65" s="87"/>
      <c r="B65" s="87"/>
      <c r="C65" s="87"/>
      <c r="D65" s="87"/>
      <c r="E65" s="128"/>
      <c r="F65" s="120"/>
      <c r="G65" s="120"/>
      <c r="H65" s="43" t="s">
        <v>94</v>
      </c>
      <c r="I65" s="134">
        <f>I66*F32</f>
        <v>8.791980359591987</v>
      </c>
      <c r="J65" s="48" t="s">
        <v>68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</row>
    <row r="66" spans="1:54" s="19" customFormat="1" ht="15" customHeight="1" x14ac:dyDescent="0.2">
      <c r="A66" s="87"/>
      <c r="B66" s="87"/>
      <c r="C66" s="87"/>
      <c r="D66" s="87"/>
      <c r="E66" s="77"/>
      <c r="F66" s="120"/>
      <c r="G66" s="120"/>
      <c r="H66" s="43" t="s">
        <v>95</v>
      </c>
      <c r="I66" s="127">
        <f>IF(F25&lt;100,0.5,0)</f>
        <v>0.5</v>
      </c>
      <c r="J66" s="48" t="s">
        <v>71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</row>
    <row r="67" spans="1:54" s="19" customFormat="1" ht="15" customHeight="1" x14ac:dyDescent="0.2">
      <c r="A67" s="87"/>
      <c r="B67" s="87"/>
      <c r="C67" s="87"/>
      <c r="D67" s="87"/>
      <c r="E67" s="128"/>
      <c r="F67" s="120"/>
      <c r="G67" s="120"/>
      <c r="H67" s="120"/>
      <c r="I67" s="120"/>
      <c r="J67" s="10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</row>
    <row r="68" spans="1:54" s="19" customFormat="1" ht="15" customHeight="1" x14ac:dyDescent="0.2">
      <c r="A68" s="87"/>
      <c r="B68" s="87"/>
      <c r="C68" s="87"/>
      <c r="D68" s="87"/>
      <c r="E68" s="23" t="s">
        <v>96</v>
      </c>
      <c r="F68" s="120"/>
      <c r="G68" s="120"/>
      <c r="H68" s="24" t="s">
        <v>97</v>
      </c>
      <c r="I68" s="120"/>
      <c r="J68" s="10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</row>
    <row r="69" spans="1:54" s="19" customFormat="1" ht="15" customHeight="1" x14ac:dyDescent="0.2">
      <c r="A69" s="87"/>
      <c r="B69" s="87"/>
      <c r="C69" s="87"/>
      <c r="D69" s="87"/>
      <c r="E69" s="80" t="s">
        <v>98</v>
      </c>
      <c r="F69" s="136">
        <f>(30000+1000*F24)*IF(F22="Confinement", 1, 0.3)/F32</f>
        <v>1023.6601575413058</v>
      </c>
      <c r="G69" s="47" t="s">
        <v>99</v>
      </c>
      <c r="H69" s="43" t="s">
        <v>100</v>
      </c>
      <c r="I69" s="131" t="s">
        <v>101</v>
      </c>
      <c r="J69" s="48" t="s">
        <v>102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</row>
    <row r="70" spans="1:54" s="19" customFormat="1" ht="15" customHeight="1" x14ac:dyDescent="0.2">
      <c r="A70" s="87"/>
      <c r="B70" s="87"/>
      <c r="C70" s="87"/>
      <c r="D70" s="87"/>
      <c r="E70" s="80" t="s">
        <v>103</v>
      </c>
      <c r="F70" s="136">
        <f>IF(F22="Confinement",45*F23/F32,9*F23/F32)</f>
        <v>511.8300787706529</v>
      </c>
      <c r="G70" s="47" t="s">
        <v>99</v>
      </c>
      <c r="H70" s="43" t="s">
        <v>104</v>
      </c>
      <c r="I70" s="131" t="s">
        <v>105</v>
      </c>
      <c r="J70" s="48" t="s">
        <v>106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</row>
    <row r="71" spans="1:54" s="19" customFormat="1" ht="15" customHeight="1" x14ac:dyDescent="0.2">
      <c r="A71" s="87"/>
      <c r="B71" s="87"/>
      <c r="C71" s="87"/>
      <c r="D71" s="87"/>
      <c r="E71" s="80" t="s">
        <v>107</v>
      </c>
      <c r="F71" s="136">
        <f>IF(I26&gt;75,2000/F32,1000/F32)*IF(F22="Pasture",0.3,1)</f>
        <v>17.061002625688428</v>
      </c>
      <c r="G71" s="47" t="s">
        <v>99</v>
      </c>
      <c r="H71" s="43"/>
      <c r="I71" s="136"/>
      <c r="J71" s="4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</row>
    <row r="72" spans="1:54" s="19" customFormat="1" ht="15" customHeight="1" x14ac:dyDescent="0.2">
      <c r="A72" s="87"/>
      <c r="B72" s="87"/>
      <c r="C72" s="87"/>
      <c r="D72" s="87"/>
      <c r="E72" s="23" t="s">
        <v>108</v>
      </c>
      <c r="F72" s="136"/>
      <c r="G72" s="47"/>
      <c r="H72" s="43"/>
      <c r="I72" s="136"/>
      <c r="J72" s="4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</row>
    <row r="73" spans="1:54" s="19" customFormat="1" ht="15" customHeight="1" x14ac:dyDescent="0.2">
      <c r="A73" s="87"/>
      <c r="B73" s="87"/>
      <c r="C73" s="87"/>
      <c r="D73" s="87"/>
      <c r="E73" s="80" t="s">
        <v>109</v>
      </c>
      <c r="F73" s="136">
        <f>87.68+2.52*F24+0.58*F23^0.75+8.25*F32</f>
        <v>411.4878817155253</v>
      </c>
      <c r="G73" s="47" t="s">
        <v>66</v>
      </c>
      <c r="H73" s="43"/>
      <c r="I73" s="136"/>
      <c r="J73" s="4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</row>
    <row r="74" spans="1:54" s="19" customFormat="1" ht="15" customHeight="1" x14ac:dyDescent="0.2">
      <c r="A74" s="87"/>
      <c r="B74" s="87"/>
      <c r="C74" s="87"/>
      <c r="D74" s="87"/>
      <c r="E74" s="80"/>
      <c r="F74" s="136"/>
      <c r="G74" s="47"/>
      <c r="H74" s="43"/>
      <c r="I74" s="136"/>
      <c r="J74" s="4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</row>
    <row r="75" spans="1:54" s="19" customFormat="1" ht="15" customHeight="1" x14ac:dyDescent="0.3">
      <c r="A75" s="87"/>
      <c r="B75" s="87"/>
      <c r="C75" s="87"/>
      <c r="D75" s="87"/>
      <c r="E75" s="26" t="s">
        <v>110</v>
      </c>
      <c r="F75" s="27"/>
      <c r="G75" s="27"/>
      <c r="H75" s="27"/>
      <c r="I75" s="27"/>
      <c r="J75" s="76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</row>
    <row r="76" spans="1:54" s="19" customFormat="1" ht="15" customHeight="1" x14ac:dyDescent="0.2">
      <c r="A76" s="87"/>
      <c r="B76" s="87"/>
      <c r="C76" s="87"/>
      <c r="D76" s="87"/>
      <c r="E76" s="138" t="s">
        <v>111</v>
      </c>
      <c r="F76" s="139"/>
      <c r="G76" s="139"/>
      <c r="H76" s="139"/>
      <c r="I76" s="139"/>
      <c r="J76" s="140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</row>
    <row r="77" spans="1:54" s="19" customFormat="1" ht="15" customHeight="1" x14ac:dyDescent="0.2">
      <c r="A77" s="87"/>
      <c r="B77" s="87"/>
      <c r="C77" s="87"/>
      <c r="D77" s="87"/>
      <c r="E77" s="138"/>
      <c r="F77" s="139"/>
      <c r="G77" s="139"/>
      <c r="H77" s="139"/>
      <c r="I77" s="139"/>
      <c r="J77" s="140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</row>
    <row r="78" spans="1:54" s="19" customFormat="1" ht="15" customHeight="1" x14ac:dyDescent="0.2">
      <c r="A78" s="87"/>
      <c r="B78" s="87"/>
      <c r="C78" s="87"/>
      <c r="D78" s="87"/>
      <c r="E78" s="82" t="s">
        <v>112</v>
      </c>
      <c r="F78" s="78"/>
      <c r="G78" s="78"/>
      <c r="H78" s="78"/>
      <c r="I78" s="78"/>
      <c r="J78" s="79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</row>
    <row r="79" spans="1:54" s="19" customFormat="1" ht="15" customHeight="1" x14ac:dyDescent="0.2">
      <c r="A79" s="87"/>
      <c r="B79" s="87"/>
      <c r="C79" s="87"/>
      <c r="D79" s="87"/>
      <c r="E79" s="28"/>
      <c r="F79" s="29"/>
      <c r="G79" s="29"/>
      <c r="H79" s="29"/>
      <c r="I79" s="29"/>
      <c r="J79" s="30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</row>
    <row r="80" spans="1:54" s="19" customFormat="1" ht="15" customHeight="1" x14ac:dyDescent="0.2">
      <c r="A80" s="87"/>
      <c r="B80" s="87"/>
      <c r="C80" s="87"/>
      <c r="D80" s="87"/>
      <c r="E80" s="31" t="s">
        <v>113</v>
      </c>
      <c r="F80" s="32"/>
      <c r="G80" s="32"/>
      <c r="H80" s="32"/>
      <c r="I80" s="32"/>
      <c r="J80" s="33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</row>
    <row r="81" spans="1:54" s="19" customFormat="1" ht="15" customHeight="1" x14ac:dyDescent="0.2">
      <c r="A81" s="87"/>
      <c r="B81" s="87"/>
      <c r="C81" s="87"/>
      <c r="D81" s="87"/>
      <c r="E81" s="31"/>
      <c r="F81" s="32"/>
      <c r="G81" s="32"/>
      <c r="H81" s="32"/>
      <c r="I81" s="32"/>
      <c r="J81" s="33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</row>
    <row r="82" spans="1:54" s="19" customFormat="1" ht="15" customHeight="1" x14ac:dyDescent="0.2">
      <c r="A82" s="87"/>
      <c r="B82" s="87"/>
      <c r="C82" s="87"/>
      <c r="D82" s="87"/>
      <c r="E82" s="28"/>
      <c r="F82" s="34"/>
      <c r="G82" s="34"/>
      <c r="H82" s="34"/>
      <c r="I82" s="34"/>
      <c r="J82" s="35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</row>
    <row r="83" spans="1:54" s="19" customFormat="1" ht="15" customHeight="1" thickBot="1" x14ac:dyDescent="0.25">
      <c r="A83" s="87"/>
      <c r="B83" s="87"/>
      <c r="C83" s="87"/>
      <c r="D83" s="87"/>
      <c r="E83" s="36"/>
      <c r="F83" s="37"/>
      <c r="G83" s="37"/>
      <c r="H83" s="37"/>
      <c r="I83" s="37"/>
      <c r="J83" s="3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</row>
    <row r="84" spans="1:54" s="1" customFormat="1" ht="15" customHeight="1" x14ac:dyDescent="0.2">
      <c r="A84" s="87"/>
      <c r="B84" s="87"/>
      <c r="C84" s="87"/>
      <c r="D84" s="87"/>
      <c r="E84" s="87"/>
      <c r="F84" s="87"/>
      <c r="G84" s="87"/>
      <c r="H84" s="88"/>
      <c r="I84" s="137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</row>
    <row r="85" spans="1:54" s="1" customFormat="1" ht="15" customHeight="1" x14ac:dyDescent="0.2">
      <c r="A85" s="87"/>
      <c r="B85" s="87"/>
      <c r="C85" s="87"/>
      <c r="D85" s="87"/>
      <c r="E85" s="87"/>
      <c r="F85" s="87"/>
      <c r="G85" s="87"/>
      <c r="H85" s="88"/>
      <c r="I85" s="137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</row>
    <row r="86" spans="1:54" s="1" customFormat="1" ht="15" customHeight="1" x14ac:dyDescent="0.2">
      <c r="A86" s="87"/>
      <c r="B86" s="87"/>
      <c r="C86" s="87"/>
      <c r="D86" s="87"/>
      <c r="E86" s="137"/>
      <c r="F86" s="137"/>
      <c r="G86" s="137"/>
      <c r="H86" s="137"/>
      <c r="I86" s="137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</row>
    <row r="87" spans="1:54" s="83" customFormat="1" ht="15" customHeight="1" x14ac:dyDescent="0.2"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</row>
    <row r="88" spans="1:54" s="83" customFormat="1" ht="15" customHeight="1" x14ac:dyDescent="0.2">
      <c r="K88" s="85"/>
      <c r="L88" s="85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</row>
    <row r="89" spans="1:54" s="84" customFormat="1" ht="15" customHeight="1" x14ac:dyDescent="0.2"/>
    <row r="90" spans="1:54" s="51" customFormat="1" ht="15" customHeight="1" x14ac:dyDescent="0.2"/>
    <row r="91" spans="1:54" s="51" customFormat="1" ht="15" customHeight="1" x14ac:dyDescent="0.2"/>
    <row r="92" spans="1:54" s="51" customFormat="1" ht="15" customHeight="1" x14ac:dyDescent="0.2"/>
    <row r="93" spans="1:54" s="51" customFormat="1" ht="15" customHeight="1" x14ac:dyDescent="0.2">
      <c r="H93" s="53"/>
      <c r="I93" s="53"/>
    </row>
    <row r="94" spans="1:54" s="51" customFormat="1" ht="15" customHeight="1" x14ac:dyDescent="0.2">
      <c r="H94" s="53"/>
      <c r="I94" s="53"/>
    </row>
    <row r="95" spans="1:54" s="51" customFormat="1" ht="15" customHeight="1" x14ac:dyDescent="0.2">
      <c r="E95" s="53"/>
      <c r="F95" s="53"/>
      <c r="G95" s="53"/>
      <c r="H95" s="53"/>
      <c r="I95" s="53"/>
    </row>
    <row r="96" spans="1:54" s="51" customFormat="1" ht="15" customHeight="1" x14ac:dyDescent="0.2">
      <c r="E96" s="52" t="s">
        <v>114</v>
      </c>
      <c r="F96" s="53"/>
      <c r="G96" s="53"/>
      <c r="H96" s="53"/>
      <c r="I96" s="53"/>
    </row>
    <row r="97" spans="5:9" s="51" customFormat="1" ht="15" customHeight="1" x14ac:dyDescent="0.2">
      <c r="E97" s="52"/>
      <c r="F97" s="53"/>
      <c r="G97" s="53"/>
      <c r="H97" s="53"/>
      <c r="I97" s="53"/>
    </row>
    <row r="98" spans="5:9" s="51" customFormat="1" ht="15" customHeight="1" x14ac:dyDescent="0.2">
      <c r="E98" s="53" t="s">
        <v>11</v>
      </c>
      <c r="F98" s="53"/>
      <c r="G98" s="53" t="s">
        <v>15</v>
      </c>
      <c r="H98" s="53"/>
      <c r="I98" s="53"/>
    </row>
    <row r="99" spans="5:9" s="51" customFormat="1" ht="15" customHeight="1" x14ac:dyDescent="0.2">
      <c r="E99" s="53" t="s">
        <v>115</v>
      </c>
      <c r="F99" s="53"/>
      <c r="G99" s="53" t="s">
        <v>116</v>
      </c>
      <c r="H99" s="53"/>
      <c r="I99" s="53"/>
    </row>
    <row r="100" spans="5:9" s="51" customFormat="1" ht="15" customHeight="1" x14ac:dyDescent="0.2">
      <c r="E100" s="53"/>
      <c r="F100" s="53"/>
      <c r="G100" s="53"/>
      <c r="H100" s="53"/>
      <c r="I100" s="53"/>
    </row>
    <row r="101" spans="5:9" s="51" customFormat="1" ht="15" customHeight="1" x14ac:dyDescent="0.2">
      <c r="E101" s="54" t="s">
        <v>117</v>
      </c>
      <c r="F101" s="53"/>
      <c r="G101" s="53"/>
      <c r="H101" s="53"/>
      <c r="I101" s="53"/>
    </row>
    <row r="102" spans="5:9" s="51" customFormat="1" ht="15" customHeight="1" x14ac:dyDescent="0.2">
      <c r="E102" s="55" t="s">
        <v>118</v>
      </c>
      <c r="F102" s="56">
        <f>IF(I26="&gt;68",F104,1)</f>
        <v>1</v>
      </c>
      <c r="G102" s="53"/>
      <c r="H102" s="55" t="s">
        <v>119</v>
      </c>
      <c r="I102" s="53"/>
    </row>
    <row r="103" spans="5:9" s="51" customFormat="1" ht="15" customHeight="1" x14ac:dyDescent="0.2">
      <c r="E103" s="55" t="s">
        <v>120</v>
      </c>
      <c r="F103" s="56">
        <f>IF(I26="&gt;75",F105,1)</f>
        <v>1</v>
      </c>
      <c r="G103" s="53"/>
      <c r="H103" s="53"/>
      <c r="I103" s="53"/>
    </row>
    <row r="104" spans="5:9" s="51" customFormat="1" ht="15" customHeight="1" x14ac:dyDescent="0.2">
      <c r="E104" s="55" t="s">
        <v>118</v>
      </c>
      <c r="F104" s="53">
        <f>1-((I26-68)*0.004+((I26-68)^2)*0.0006)</f>
        <v>0.99468170239999998</v>
      </c>
      <c r="G104" s="53"/>
      <c r="H104" s="53"/>
      <c r="I104" s="53"/>
    </row>
    <row r="105" spans="5:9" s="51" customFormat="1" ht="15" customHeight="1" x14ac:dyDescent="0.2">
      <c r="E105" s="55" t="s">
        <v>120</v>
      </c>
      <c r="F105" s="53">
        <f>1-((I26-75)*0.006+((I26-75)^2)*0.0006)</f>
        <v>1.0145521023999999</v>
      </c>
      <c r="G105" s="53"/>
      <c r="H105" s="53"/>
      <c r="I105" s="53"/>
    </row>
    <row r="106" spans="5:9" s="51" customFormat="1" ht="15" customHeight="1" x14ac:dyDescent="0.2">
      <c r="E106" s="53"/>
      <c r="F106" s="57"/>
      <c r="G106" s="53"/>
      <c r="H106" s="53"/>
      <c r="I106" s="53"/>
    </row>
    <row r="107" spans="5:9" s="51" customFormat="1" ht="15" customHeight="1" x14ac:dyDescent="0.2">
      <c r="E107" s="53"/>
      <c r="F107" s="57"/>
      <c r="G107" s="53"/>
      <c r="H107" s="53"/>
      <c r="I107" s="53"/>
    </row>
    <row r="108" spans="5:9" s="51" customFormat="1" ht="15" customHeight="1" x14ac:dyDescent="0.2">
      <c r="E108" s="53"/>
      <c r="F108" s="58"/>
      <c r="G108" s="53"/>
      <c r="H108" s="53"/>
      <c r="I108" s="53"/>
    </row>
    <row r="109" spans="5:9" s="51" customFormat="1" ht="15" customHeight="1" x14ac:dyDescent="0.2">
      <c r="E109" s="53"/>
      <c r="F109" s="58"/>
      <c r="G109" s="53"/>
      <c r="H109" s="53"/>
      <c r="I109" s="53"/>
    </row>
    <row r="110" spans="5:9" s="51" customFormat="1" ht="15" customHeight="1" x14ac:dyDescent="0.2">
      <c r="E110" s="54" t="s">
        <v>121</v>
      </c>
      <c r="F110" s="54"/>
      <c r="G110" s="53"/>
      <c r="H110" s="53"/>
      <c r="I110" s="53"/>
    </row>
    <row r="111" spans="5:9" s="51" customFormat="1" ht="15" customHeight="1" x14ac:dyDescent="0.2">
      <c r="E111" s="53" t="s">
        <v>122</v>
      </c>
      <c r="F111" s="57">
        <f>IF(F21="Bos taurus",(F120+F122)*0.66,(F120+F122)*0.53)</f>
        <v>21.391605681120943</v>
      </c>
      <c r="G111" s="53" t="s">
        <v>123</v>
      </c>
      <c r="I111" s="53"/>
    </row>
    <row r="112" spans="5:9" s="51" customFormat="1" ht="15" customHeight="1" x14ac:dyDescent="0.2">
      <c r="E112" s="53" t="s">
        <v>124</v>
      </c>
      <c r="F112" s="57">
        <f>IF(F22="Pasture",F111*0.075,0)</f>
        <v>1.6043704260840708</v>
      </c>
      <c r="G112" s="53" t="s">
        <v>123</v>
      </c>
      <c r="I112" s="53"/>
    </row>
    <row r="113" spans="5:13" s="51" customFormat="1" ht="15" customHeight="1" x14ac:dyDescent="0.2">
      <c r="E113" s="53" t="s">
        <v>125</v>
      </c>
      <c r="F113" s="57">
        <f>F26*0.0969+F27*0.0547+F28*0.0395</f>
        <v>0.71401999999999999</v>
      </c>
      <c r="G113" s="53" t="s">
        <v>126</v>
      </c>
      <c r="I113" s="53"/>
    </row>
    <row r="114" spans="5:13" s="51" customFormat="1" ht="15" customHeight="1" x14ac:dyDescent="0.2">
      <c r="E114" s="53" t="s">
        <v>127</v>
      </c>
      <c r="F114" s="57">
        <f>F113*F24</f>
        <v>21.4206</v>
      </c>
      <c r="G114" s="53" t="s">
        <v>123</v>
      </c>
      <c r="I114" s="53"/>
    </row>
    <row r="115" spans="5:13" s="51" customFormat="1" ht="15" customHeight="1" x14ac:dyDescent="0.2">
      <c r="E115" s="53" t="s">
        <v>128</v>
      </c>
      <c r="F115" s="57">
        <f>5*I21</f>
        <v>0</v>
      </c>
      <c r="G115" s="53" t="s">
        <v>123</v>
      </c>
      <c r="I115" s="53"/>
      <c r="M115" s="59"/>
    </row>
    <row r="116" spans="5:13" s="51" customFormat="1" ht="15" customHeight="1" x14ac:dyDescent="0.2">
      <c r="E116" s="53" t="s">
        <v>129</v>
      </c>
      <c r="F116" s="57">
        <f>IF(I23&gt;=190,(0.00318*I23-0.0352)*(40/45))/0.218</f>
        <v>0</v>
      </c>
      <c r="G116" s="53" t="s">
        <v>123</v>
      </c>
      <c r="I116" s="53"/>
    </row>
    <row r="117" spans="5:13" s="51" customFormat="1" ht="15" customHeight="1" x14ac:dyDescent="0.2">
      <c r="E117" s="53" t="s">
        <v>130</v>
      </c>
      <c r="F117" s="57">
        <f>F116+F115+F114+F112+F111</f>
        <v>44.416576107205017</v>
      </c>
      <c r="G117" s="53" t="s">
        <v>123</v>
      </c>
      <c r="I117" s="53"/>
    </row>
    <row r="118" spans="5:13" s="51" customFormat="1" ht="15" customHeight="1" x14ac:dyDescent="0.2">
      <c r="E118" s="60" t="s">
        <v>131</v>
      </c>
      <c r="F118" s="61">
        <f>F111+F114+F115+F116+F112</f>
        <v>44.416576107205017</v>
      </c>
      <c r="G118" s="53" t="s">
        <v>132</v>
      </c>
      <c r="I118" s="53"/>
    </row>
    <row r="119" spans="5:13" s="51" customFormat="1" ht="15" customHeight="1" x14ac:dyDescent="0.2">
      <c r="E119" s="60"/>
      <c r="F119" s="62"/>
      <c r="G119" s="57"/>
      <c r="I119" s="53"/>
    </row>
    <row r="120" spans="5:13" s="51" customFormat="1" ht="15" customHeight="1" x14ac:dyDescent="0.2">
      <c r="E120" s="53" t="s">
        <v>133</v>
      </c>
      <c r="F120" s="57">
        <f>IF(F21="Bos taurus",0.18*(F23^0.75),0.133*(F23^0.75))</f>
        <v>32.009029380700603</v>
      </c>
      <c r="G120" s="53" t="s">
        <v>123</v>
      </c>
      <c r="I120" s="53"/>
    </row>
    <row r="121" spans="5:13" s="51" customFormat="1" ht="15" customHeight="1" x14ac:dyDescent="0.2">
      <c r="E121" s="53" t="s">
        <v>134</v>
      </c>
      <c r="F121" s="57">
        <f>(IF(F21="Bos taurus",1*EXP(0.011*(I26-68)),1*EXP(0.011*(I26-75))))</f>
        <v>1.0125744012349287</v>
      </c>
      <c r="G121" s="53"/>
      <c r="I121" s="53"/>
    </row>
    <row r="122" spans="5:13" s="51" customFormat="1" ht="15" customHeight="1" x14ac:dyDescent="0.2">
      <c r="E122" s="51" t="s">
        <v>135</v>
      </c>
      <c r="F122" s="63">
        <f>IF(F121&gt;1,F120*(F121-1),0)</f>
        <v>0.40249437857355075</v>
      </c>
      <c r="G122" s="53" t="s">
        <v>123</v>
      </c>
      <c r="I122" s="53"/>
    </row>
    <row r="123" spans="5:13" s="51" customFormat="1" ht="15" customHeight="1" x14ac:dyDescent="0.2">
      <c r="E123" s="53" t="s">
        <v>136</v>
      </c>
      <c r="F123" s="57">
        <f>IF(F22="Pasture",F120*0.075,0)</f>
        <v>2.400677203552545</v>
      </c>
      <c r="G123" s="53" t="s">
        <v>123</v>
      </c>
      <c r="I123" s="53"/>
    </row>
    <row r="124" spans="5:13" s="51" customFormat="1" ht="15" customHeight="1" x14ac:dyDescent="0.2">
      <c r="E124" s="53" t="s">
        <v>137</v>
      </c>
      <c r="F124" s="57">
        <f>IF(F21="Bos taurus",F114/0.66,F114/0.53)</f>
        <v>32.455454545454543</v>
      </c>
      <c r="G124" s="53" t="s">
        <v>123</v>
      </c>
      <c r="I124" s="53"/>
    </row>
    <row r="125" spans="5:13" s="51" customFormat="1" ht="15" customHeight="1" x14ac:dyDescent="0.2">
      <c r="E125" s="53" t="s">
        <v>138</v>
      </c>
      <c r="F125" s="57">
        <f>IF(F21="Bos taurus",F115/0.66,F115/0.53)</f>
        <v>0</v>
      </c>
      <c r="G125" s="53" t="s">
        <v>123</v>
      </c>
      <c r="I125" s="53"/>
    </row>
    <row r="126" spans="5:13" s="51" customFormat="1" ht="15" customHeight="1" x14ac:dyDescent="0.2">
      <c r="E126" s="53" t="s">
        <v>139</v>
      </c>
      <c r="F126" s="57">
        <f>IF(F21="Bos taurus",F116/0.66,F116/0.53)</f>
        <v>0</v>
      </c>
      <c r="G126" s="53" t="s">
        <v>123</v>
      </c>
      <c r="I126" s="53"/>
    </row>
    <row r="127" spans="5:13" s="51" customFormat="1" ht="15" customHeight="1" x14ac:dyDescent="0.2">
      <c r="E127" s="60" t="s">
        <v>140</v>
      </c>
      <c r="F127" s="61">
        <f>F124+F125+F126+F123+F122+F120</f>
        <v>67.267655508281251</v>
      </c>
      <c r="G127" s="60" t="s">
        <v>123</v>
      </c>
      <c r="I127" s="53"/>
    </row>
    <row r="128" spans="5:13" s="51" customFormat="1" ht="15" customHeight="1" x14ac:dyDescent="0.2">
      <c r="E128" s="60"/>
      <c r="F128" s="61"/>
      <c r="G128" s="60"/>
      <c r="I128" s="53"/>
    </row>
    <row r="129" spans="5:9" s="51" customFormat="1" ht="15" customHeight="1" x14ac:dyDescent="0.2">
      <c r="E129" s="54" t="s">
        <v>141</v>
      </c>
      <c r="F129" s="54"/>
      <c r="G129" s="53"/>
      <c r="H129" s="64"/>
      <c r="I129" s="53"/>
    </row>
    <row r="130" spans="5:9" s="51" customFormat="1" ht="15" customHeight="1" x14ac:dyDescent="0.2">
      <c r="E130" s="53"/>
      <c r="F130" s="53"/>
      <c r="G130" s="53"/>
      <c r="H130" s="53"/>
      <c r="I130" s="53"/>
    </row>
    <row r="131" spans="5:9" s="51" customFormat="1" ht="15" customHeight="1" x14ac:dyDescent="0.2">
      <c r="E131" s="53" t="s">
        <v>142</v>
      </c>
      <c r="F131" s="53">
        <f>6.52*(F23^0.75)/1000</f>
        <v>1.1594381753453775</v>
      </c>
      <c r="G131" s="53" t="s">
        <v>143</v>
      </c>
      <c r="H131" s="53"/>
      <c r="I131" s="53"/>
    </row>
    <row r="132" spans="5:9" s="51" customFormat="1" ht="15" customHeight="1" x14ac:dyDescent="0.2">
      <c r="E132" s="53" t="s">
        <v>144</v>
      </c>
      <c r="F132" s="58">
        <f>0.8227+IF(F22="Confinement",0,-0.0441)+IF(F25&lt;100,0,0.1239)</f>
        <v>0.77859999999999996</v>
      </c>
      <c r="G132" s="53"/>
      <c r="H132" s="57"/>
      <c r="I132" s="53"/>
    </row>
    <row r="133" spans="5:9" s="51" customFormat="1" ht="15" customHeight="1" x14ac:dyDescent="0.2">
      <c r="E133" s="53" t="s">
        <v>145</v>
      </c>
      <c r="F133" s="56">
        <f>F131/F132</f>
        <v>1.4891320001867165</v>
      </c>
      <c r="G133" s="53" t="s">
        <v>143</v>
      </c>
      <c r="H133" s="65"/>
      <c r="I133" s="66"/>
    </row>
    <row r="134" spans="5:9" s="51" customFormat="1" ht="15" customHeight="1" x14ac:dyDescent="0.2">
      <c r="E134" s="53"/>
      <c r="F134" s="56"/>
      <c r="G134" s="53"/>
      <c r="H134" s="65"/>
      <c r="I134" s="66"/>
    </row>
    <row r="135" spans="5:9" s="51" customFormat="1" ht="15" customHeight="1" x14ac:dyDescent="0.2">
      <c r="E135" s="53" t="s">
        <v>146</v>
      </c>
      <c r="F135" s="56">
        <f>F24*F27*0.9/100</f>
        <v>0.81</v>
      </c>
      <c r="G135" s="53" t="s">
        <v>143</v>
      </c>
      <c r="H135" s="65"/>
      <c r="I135" s="66"/>
    </row>
    <row r="136" spans="5:9" s="51" customFormat="1" ht="15" customHeight="1" x14ac:dyDescent="0.2">
      <c r="E136" s="53" t="s">
        <v>147</v>
      </c>
      <c r="F136" s="67">
        <v>0.71</v>
      </c>
      <c r="G136" s="67"/>
      <c r="H136" s="68"/>
      <c r="I136" s="53"/>
    </row>
    <row r="137" spans="5:9" s="51" customFormat="1" ht="15" customHeight="1" x14ac:dyDescent="0.2">
      <c r="E137" s="53" t="s">
        <v>148</v>
      </c>
      <c r="F137" s="56">
        <f>F135/F136</f>
        <v>1.1408450704225352</v>
      </c>
      <c r="G137" s="53" t="s">
        <v>143</v>
      </c>
      <c r="H137" s="68"/>
      <c r="I137" s="53"/>
    </row>
    <row r="138" spans="5:9" s="51" customFormat="1" ht="15" customHeight="1" x14ac:dyDescent="0.2">
      <c r="E138" s="53"/>
      <c r="F138" s="56"/>
      <c r="G138" s="53"/>
      <c r="H138" s="68"/>
      <c r="I138" s="53"/>
    </row>
    <row r="139" spans="5:9" s="51" customFormat="1" ht="15" customHeight="1" x14ac:dyDescent="0.2">
      <c r="E139" s="53" t="s">
        <v>149</v>
      </c>
      <c r="F139" s="69">
        <f>(IF(I23&gt;=190,((0.69*I23)-69.2)*(42/45))/0.33)/1000</f>
        <v>0</v>
      </c>
      <c r="G139" s="53" t="s">
        <v>143</v>
      </c>
      <c r="H139" s="68"/>
      <c r="I139" s="53"/>
    </row>
    <row r="140" spans="5:9" s="51" customFormat="1" ht="15" customHeight="1" x14ac:dyDescent="0.2">
      <c r="H140" s="65"/>
      <c r="I140" s="53"/>
    </row>
    <row r="141" spans="5:9" s="51" customFormat="1" ht="15" customHeight="1" x14ac:dyDescent="0.2">
      <c r="E141" s="60" t="s">
        <v>150</v>
      </c>
      <c r="F141" s="70">
        <f>F139+F137+F133</f>
        <v>2.629977070609252</v>
      </c>
      <c r="G141" s="60" t="s">
        <v>143</v>
      </c>
      <c r="H141" s="65"/>
      <c r="I141" s="53"/>
    </row>
    <row r="142" spans="5:9" s="51" customFormat="1" ht="15" customHeight="1" x14ac:dyDescent="0.2">
      <c r="E142" s="53"/>
      <c r="F142" s="57"/>
      <c r="G142" s="71"/>
      <c r="H142" s="72"/>
      <c r="I142" s="53"/>
    </row>
    <row r="143" spans="5:9" s="51" customFormat="1" ht="15" customHeight="1" x14ac:dyDescent="0.2"/>
    <row r="144" spans="5:9" s="51" customFormat="1" ht="15" customHeight="1" x14ac:dyDescent="0.2"/>
    <row r="145" spans="5:9" s="51" customFormat="1" ht="15" customHeight="1" x14ac:dyDescent="0.2">
      <c r="E145" s="51" t="s">
        <v>151</v>
      </c>
      <c r="F145" s="73">
        <f>(F141-F147)/0.75</f>
        <v>1.4783451231834659</v>
      </c>
      <c r="G145" s="53" t="s">
        <v>143</v>
      </c>
    </row>
    <row r="146" spans="5:9" s="51" customFormat="1" ht="15" customHeight="1" x14ac:dyDescent="0.2">
      <c r="E146" s="51" t="s">
        <v>152</v>
      </c>
      <c r="F146" s="67">
        <f>((F148/F150)*(1-F151))</f>
        <v>2.4118584990445755</v>
      </c>
      <c r="G146" s="53" t="s">
        <v>143</v>
      </c>
    </row>
    <row r="147" spans="5:9" s="51" customFormat="1" x14ac:dyDescent="0.2">
      <c r="E147" s="53" t="s">
        <v>153</v>
      </c>
      <c r="F147" s="57">
        <f>F148*0.64</f>
        <v>1.5212182282216526</v>
      </c>
      <c r="G147" s="53" t="s">
        <v>143</v>
      </c>
      <c r="H147" s="74"/>
      <c r="I147" s="53"/>
    </row>
    <row r="148" spans="5:9" s="51" customFormat="1" x14ac:dyDescent="0.2">
      <c r="E148" s="53" t="s">
        <v>154</v>
      </c>
      <c r="F148" s="63">
        <f>139*F44/1000</f>
        <v>2.3769034815963321</v>
      </c>
      <c r="G148" s="53" t="s">
        <v>143</v>
      </c>
      <c r="H148" s="72"/>
      <c r="I148" s="53"/>
    </row>
    <row r="149" spans="5:9" s="51" customFormat="1" x14ac:dyDescent="0.2">
      <c r="E149" s="53" t="s">
        <v>155</v>
      </c>
      <c r="F149" s="64">
        <f>F148/F44*1000</f>
        <v>138.99999999999997</v>
      </c>
      <c r="G149" s="71" t="s">
        <v>156</v>
      </c>
      <c r="H149" s="72"/>
      <c r="I149" s="53"/>
    </row>
    <row r="150" spans="5:9" s="51" customFormat="1" x14ac:dyDescent="0.2">
      <c r="E150" s="53" t="s">
        <v>157</v>
      </c>
      <c r="F150" s="56">
        <v>0.85</v>
      </c>
      <c r="G150" s="75"/>
      <c r="H150" s="72"/>
      <c r="I150" s="53"/>
    </row>
    <row r="151" spans="5:9" s="51" customFormat="1" x14ac:dyDescent="0.2">
      <c r="E151" s="51" t="s">
        <v>158</v>
      </c>
      <c r="F151" s="56">
        <f>0.3185*EXP(-0.028*F24)</f>
        <v>0.13749980171216189</v>
      </c>
      <c r="G151" s="51" t="s">
        <v>159</v>
      </c>
    </row>
    <row r="152" spans="5:9" s="51" customFormat="1" x14ac:dyDescent="0.2">
      <c r="F152" s="56"/>
    </row>
    <row r="153" spans="5:9" s="84" customFormat="1" x14ac:dyDescent="0.2">
      <c r="F153" s="86"/>
    </row>
    <row r="154" spans="5:9" s="84" customFormat="1" x14ac:dyDescent="0.2"/>
    <row r="155" spans="5:9" s="84" customFormat="1" x14ac:dyDescent="0.2"/>
    <row r="156" spans="5:9" s="84" customFormat="1" x14ac:dyDescent="0.2"/>
    <row r="157" spans="5:9" s="84" customFormat="1" x14ac:dyDescent="0.2"/>
    <row r="158" spans="5:9" s="84" customFormat="1" x14ac:dyDescent="0.2"/>
    <row r="159" spans="5:9" s="84" customFormat="1" x14ac:dyDescent="0.2"/>
    <row r="160" spans="5:9" s="84" customFormat="1" x14ac:dyDescent="0.2"/>
    <row r="161" s="84" customFormat="1" x14ac:dyDescent="0.2"/>
    <row r="162" s="84" customFormat="1" x14ac:dyDescent="0.2"/>
    <row r="163" s="84" customFormat="1" x14ac:dyDescent="0.2"/>
    <row r="164" s="84" customFormat="1" x14ac:dyDescent="0.2"/>
    <row r="165" s="84" customFormat="1" x14ac:dyDescent="0.2"/>
    <row r="166" s="84" customFormat="1" x14ac:dyDescent="0.2"/>
    <row r="167" s="84" customFormat="1" x14ac:dyDescent="0.2"/>
    <row r="168" s="84" customFormat="1" x14ac:dyDescent="0.2"/>
    <row r="169" s="84" customFormat="1" x14ac:dyDescent="0.2"/>
    <row r="170" s="84" customFormat="1" x14ac:dyDescent="0.2"/>
    <row r="171" s="84" customFormat="1" x14ac:dyDescent="0.2"/>
    <row r="172" s="84" customFormat="1" x14ac:dyDescent="0.2"/>
    <row r="173" s="84" customFormat="1" x14ac:dyDescent="0.2"/>
    <row r="174" s="84" customFormat="1" x14ac:dyDescent="0.2"/>
    <row r="175" s="84" customFormat="1" x14ac:dyDescent="0.2"/>
    <row r="176" s="84" customFormat="1" x14ac:dyDescent="0.2"/>
    <row r="177" s="84" customFormat="1" x14ac:dyDescent="0.2"/>
    <row r="178" s="84" customFormat="1" x14ac:dyDescent="0.2"/>
    <row r="179" s="84" customFormat="1" x14ac:dyDescent="0.2"/>
    <row r="180" s="84" customFormat="1" x14ac:dyDescent="0.2"/>
    <row r="181" s="84" customFormat="1" x14ac:dyDescent="0.2"/>
    <row r="182" s="84" customFormat="1" x14ac:dyDescent="0.2"/>
    <row r="183" s="84" customFormat="1" x14ac:dyDescent="0.2"/>
    <row r="184" s="84" customFormat="1" x14ac:dyDescent="0.2"/>
    <row r="185" s="84" customFormat="1" x14ac:dyDescent="0.2"/>
    <row r="186" s="84" customFormat="1" x14ac:dyDescent="0.2"/>
    <row r="187" s="84" customFormat="1" x14ac:dyDescent="0.2"/>
    <row r="188" s="84" customFormat="1" x14ac:dyDescent="0.2"/>
    <row r="189" s="84" customFormat="1" x14ac:dyDescent="0.2"/>
    <row r="190" s="84" customFormat="1" x14ac:dyDescent="0.2"/>
    <row r="191" s="84" customFormat="1" x14ac:dyDescent="0.2"/>
    <row r="192" s="84" customFormat="1" x14ac:dyDescent="0.2"/>
    <row r="193" spans="5:37" s="84" customFormat="1" x14ac:dyDescent="0.2"/>
    <row r="194" spans="5:37" s="84" customFormat="1" x14ac:dyDescent="0.2"/>
    <row r="195" spans="5:37" s="83" customFormat="1" x14ac:dyDescent="0.2"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</row>
    <row r="196" spans="5:37" s="83" customFormat="1" x14ac:dyDescent="0.2"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</row>
    <row r="197" spans="5:37" s="83" customFormat="1" x14ac:dyDescent="0.2"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</row>
    <row r="198" spans="5:37" s="83" customFormat="1" x14ac:dyDescent="0.2"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</row>
    <row r="199" spans="5:37" s="83" customFormat="1" x14ac:dyDescent="0.2"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</row>
    <row r="200" spans="5:37" s="83" customFormat="1" x14ac:dyDescent="0.2"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</row>
    <row r="201" spans="5:37" s="83" customFormat="1" x14ac:dyDescent="0.2"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</row>
    <row r="202" spans="5:37" s="83" customFormat="1" x14ac:dyDescent="0.2"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</row>
    <row r="203" spans="5:37" s="83" customFormat="1" x14ac:dyDescent="0.2"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</row>
    <row r="204" spans="5:37" s="83" customFormat="1" x14ac:dyDescent="0.2"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</row>
    <row r="205" spans="5:37" s="83" customFormat="1" x14ac:dyDescent="0.2"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</row>
    <row r="206" spans="5:37" s="83" customFormat="1" x14ac:dyDescent="0.2"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</row>
    <row r="207" spans="5:37" s="83" customFormat="1" x14ac:dyDescent="0.2"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</row>
    <row r="208" spans="5:37" s="83" customFormat="1" x14ac:dyDescent="0.2"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</row>
    <row r="209" spans="5:37" s="83" customFormat="1" x14ac:dyDescent="0.2"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</row>
    <row r="210" spans="5:37" s="83" customFormat="1" x14ac:dyDescent="0.2"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</row>
    <row r="211" spans="5:37" s="83" customFormat="1" x14ac:dyDescent="0.2"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</row>
    <row r="212" spans="5:37" s="83" customFormat="1" x14ac:dyDescent="0.2"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</row>
    <row r="213" spans="5:37" s="83" customFormat="1" x14ac:dyDescent="0.2"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</row>
    <row r="214" spans="5:37" s="83" customFormat="1" x14ac:dyDescent="0.2"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</row>
    <row r="215" spans="5:37" s="83" customFormat="1" x14ac:dyDescent="0.2"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</row>
    <row r="216" spans="5:37" s="83" customFormat="1" x14ac:dyDescent="0.2"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</row>
    <row r="217" spans="5:37" s="83" customFormat="1" x14ac:dyDescent="0.2"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</row>
    <row r="218" spans="5:37" s="83" customFormat="1" x14ac:dyDescent="0.2"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</row>
    <row r="219" spans="5:37" s="83" customFormat="1" x14ac:dyDescent="0.2"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</row>
    <row r="220" spans="5:37" s="83" customFormat="1" x14ac:dyDescent="0.2"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</row>
    <row r="221" spans="5:37" s="83" customFormat="1" x14ac:dyDescent="0.2"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</row>
    <row r="222" spans="5:37" s="83" customFormat="1" x14ac:dyDescent="0.2"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</row>
    <row r="223" spans="5:37" s="83" customFormat="1" x14ac:dyDescent="0.2"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</row>
    <row r="224" spans="5:37" s="83" customFormat="1" x14ac:dyDescent="0.2"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</row>
    <row r="225" spans="5:37" s="83" customFormat="1" x14ac:dyDescent="0.2"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</row>
    <row r="226" spans="5:37" s="83" customFormat="1" x14ac:dyDescent="0.2"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</row>
    <row r="227" spans="5:37" s="83" customFormat="1" x14ac:dyDescent="0.2"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</row>
    <row r="228" spans="5:37" s="83" customFormat="1" x14ac:dyDescent="0.2"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</row>
    <row r="229" spans="5:37" s="83" customFormat="1" x14ac:dyDescent="0.2"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</row>
    <row r="230" spans="5:37" s="83" customFormat="1" x14ac:dyDescent="0.2"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</row>
    <row r="231" spans="5:37" s="83" customFormat="1" x14ac:dyDescent="0.2"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</row>
    <row r="232" spans="5:37" s="83" customFormat="1" x14ac:dyDescent="0.2"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</row>
    <row r="233" spans="5:37" s="83" customFormat="1" x14ac:dyDescent="0.2"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</row>
    <row r="234" spans="5:37" s="83" customFormat="1" x14ac:dyDescent="0.2"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</row>
    <row r="235" spans="5:37" s="83" customFormat="1" x14ac:dyDescent="0.2"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</row>
    <row r="236" spans="5:37" s="83" customFormat="1" x14ac:dyDescent="0.2"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</row>
    <row r="237" spans="5:37" s="83" customFormat="1" x14ac:dyDescent="0.2"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</row>
    <row r="238" spans="5:37" s="83" customFormat="1" x14ac:dyDescent="0.2"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</row>
    <row r="239" spans="5:37" s="83" customFormat="1" x14ac:dyDescent="0.2"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</row>
    <row r="240" spans="5:37" s="83" customFormat="1" x14ac:dyDescent="0.2"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</row>
    <row r="241" spans="5:37" s="83" customFormat="1" x14ac:dyDescent="0.2"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</row>
    <row r="242" spans="5:37" s="83" customFormat="1" x14ac:dyDescent="0.2"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</row>
    <row r="243" spans="5:37" s="83" customFormat="1" x14ac:dyDescent="0.2"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</row>
    <row r="244" spans="5:37" s="83" customFormat="1" x14ac:dyDescent="0.2"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</row>
    <row r="245" spans="5:37" s="83" customFormat="1" x14ac:dyDescent="0.2"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</row>
    <row r="246" spans="5:37" s="83" customFormat="1" x14ac:dyDescent="0.2"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</row>
    <row r="247" spans="5:37" s="83" customFormat="1" x14ac:dyDescent="0.2"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</row>
    <row r="248" spans="5:37" s="83" customFormat="1" x14ac:dyDescent="0.2"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</row>
    <row r="249" spans="5:37" s="83" customFormat="1" x14ac:dyDescent="0.2"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</row>
    <row r="250" spans="5:37" s="83" customFormat="1" x14ac:dyDescent="0.2"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</row>
    <row r="251" spans="5:37" s="83" customFormat="1" x14ac:dyDescent="0.2"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</row>
    <row r="252" spans="5:37" s="83" customFormat="1" x14ac:dyDescent="0.2"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</row>
    <row r="253" spans="5:37" s="83" customFormat="1" x14ac:dyDescent="0.2"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</row>
    <row r="254" spans="5:37" s="83" customFormat="1" x14ac:dyDescent="0.2"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</row>
    <row r="255" spans="5:37" s="83" customFormat="1" x14ac:dyDescent="0.2"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</row>
    <row r="256" spans="5:37" s="83" customFormat="1" x14ac:dyDescent="0.2"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</row>
    <row r="257" spans="5:37" s="83" customFormat="1" x14ac:dyDescent="0.2"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</row>
    <row r="258" spans="5:37" s="39" customFormat="1" x14ac:dyDescent="0.2"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</row>
    <row r="259" spans="5:37" s="39" customFormat="1" x14ac:dyDescent="0.2"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</row>
    <row r="260" spans="5:37" s="39" customFormat="1" x14ac:dyDescent="0.2"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</row>
    <row r="261" spans="5:37" s="39" customFormat="1" x14ac:dyDescent="0.2"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</row>
    <row r="262" spans="5:37" s="39" customFormat="1" x14ac:dyDescent="0.2"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</row>
    <row r="263" spans="5:37" s="39" customFormat="1" x14ac:dyDescent="0.2"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</row>
    <row r="264" spans="5:37" s="39" customFormat="1" x14ac:dyDescent="0.2"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</row>
    <row r="265" spans="5:37" s="39" customFormat="1" x14ac:dyDescent="0.2"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</row>
    <row r="266" spans="5:37" s="39" customFormat="1" x14ac:dyDescent="0.2"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</row>
    <row r="267" spans="5:37" s="39" customFormat="1" x14ac:dyDescent="0.2"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</row>
    <row r="268" spans="5:37" s="39" customFormat="1" x14ac:dyDescent="0.2"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</row>
    <row r="269" spans="5:37" s="39" customFormat="1" x14ac:dyDescent="0.2"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</row>
    <row r="270" spans="5:37" s="39" customFormat="1" x14ac:dyDescent="0.2"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</row>
    <row r="271" spans="5:37" s="39" customFormat="1" x14ac:dyDescent="0.2"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</row>
    <row r="272" spans="5:37" s="39" customFormat="1" x14ac:dyDescent="0.2"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</row>
    <row r="273" spans="5:37" s="39" customFormat="1" x14ac:dyDescent="0.2"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</row>
    <row r="274" spans="5:37" s="39" customFormat="1" x14ac:dyDescent="0.2"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</row>
    <row r="275" spans="5:37" s="39" customFormat="1" x14ac:dyDescent="0.2"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</row>
    <row r="276" spans="5:37" s="39" customFormat="1" x14ac:dyDescent="0.2"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</row>
    <row r="277" spans="5:37" s="39" customFormat="1" x14ac:dyDescent="0.2"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</row>
    <row r="278" spans="5:37" s="39" customFormat="1" x14ac:dyDescent="0.2"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</row>
    <row r="279" spans="5:37" s="39" customFormat="1" x14ac:dyDescent="0.2"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</row>
    <row r="280" spans="5:37" s="39" customFormat="1" x14ac:dyDescent="0.2"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</row>
    <row r="281" spans="5:37" s="39" customFormat="1" x14ac:dyDescent="0.2"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</row>
    <row r="282" spans="5:37" s="39" customFormat="1" x14ac:dyDescent="0.2"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</row>
    <row r="283" spans="5:37" s="39" customFormat="1" x14ac:dyDescent="0.2"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</row>
    <row r="284" spans="5:37" s="39" customFormat="1" x14ac:dyDescent="0.2"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</row>
    <row r="285" spans="5:37" s="39" customFormat="1" x14ac:dyDescent="0.2"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</row>
    <row r="286" spans="5:37" s="39" customFormat="1" x14ac:dyDescent="0.2"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</row>
    <row r="287" spans="5:37" s="39" customFormat="1" x14ac:dyDescent="0.2"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</row>
    <row r="288" spans="5:37" s="39" customFormat="1" x14ac:dyDescent="0.2"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</row>
    <row r="289" spans="5:37" s="39" customFormat="1" x14ac:dyDescent="0.2"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</row>
    <row r="290" spans="5:37" s="39" customFormat="1" x14ac:dyDescent="0.2"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</row>
    <row r="291" spans="5:37" s="39" customFormat="1" x14ac:dyDescent="0.2"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</row>
    <row r="292" spans="5:37" s="39" customFormat="1" x14ac:dyDescent="0.2"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</row>
    <row r="293" spans="5:37" s="39" customFormat="1" x14ac:dyDescent="0.2"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</row>
    <row r="294" spans="5:37" s="39" customFormat="1" x14ac:dyDescent="0.2"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</row>
    <row r="295" spans="5:37" s="39" customFormat="1" x14ac:dyDescent="0.2"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</row>
    <row r="296" spans="5:37" s="39" customFormat="1" x14ac:dyDescent="0.2"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</row>
    <row r="297" spans="5:37" s="39" customFormat="1" x14ac:dyDescent="0.2"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</row>
    <row r="298" spans="5:37" s="39" customFormat="1" x14ac:dyDescent="0.2"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</row>
    <row r="299" spans="5:37" s="39" customFormat="1" x14ac:dyDescent="0.2"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</row>
    <row r="300" spans="5:37" s="39" customFormat="1" x14ac:dyDescent="0.2"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</row>
    <row r="301" spans="5:37" s="39" customFormat="1" x14ac:dyDescent="0.2"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</row>
    <row r="302" spans="5:37" s="39" customFormat="1" x14ac:dyDescent="0.2"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</row>
    <row r="303" spans="5:37" s="39" customFormat="1" x14ac:dyDescent="0.2"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</row>
    <row r="304" spans="5:37" s="39" customFormat="1" x14ac:dyDescent="0.2"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</row>
    <row r="305" spans="5:37" s="39" customFormat="1" x14ac:dyDescent="0.2"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</row>
    <row r="306" spans="5:37" s="39" customFormat="1" x14ac:dyDescent="0.2"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</row>
    <row r="307" spans="5:37" s="39" customFormat="1" x14ac:dyDescent="0.2"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</row>
    <row r="308" spans="5:37" s="39" customFormat="1" x14ac:dyDescent="0.2"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</row>
    <row r="309" spans="5:37" s="39" customFormat="1" x14ac:dyDescent="0.2"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</row>
    <row r="310" spans="5:37" s="39" customFormat="1" x14ac:dyDescent="0.2"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</row>
    <row r="311" spans="5:37" s="39" customFormat="1" x14ac:dyDescent="0.2"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</row>
    <row r="312" spans="5:37" s="39" customFormat="1" x14ac:dyDescent="0.2"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</row>
    <row r="313" spans="5:37" s="39" customFormat="1" x14ac:dyDescent="0.2"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</row>
    <row r="314" spans="5:37" s="39" customFormat="1" x14ac:dyDescent="0.2"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</row>
    <row r="315" spans="5:37" s="39" customFormat="1" x14ac:dyDescent="0.2"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</row>
    <row r="316" spans="5:37" s="39" customFormat="1" x14ac:dyDescent="0.2"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</row>
    <row r="317" spans="5:37" s="39" customFormat="1" x14ac:dyDescent="0.2"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</row>
    <row r="318" spans="5:37" s="39" customFormat="1" x14ac:dyDescent="0.2"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</row>
    <row r="319" spans="5:37" s="39" customFormat="1" x14ac:dyDescent="0.2"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</row>
    <row r="320" spans="5:37" s="39" customFormat="1" x14ac:dyDescent="0.2"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</row>
    <row r="321" spans="1:54" s="39" customFormat="1" x14ac:dyDescent="0.2">
      <c r="A321" s="120"/>
      <c r="B321" s="120"/>
      <c r="C321" s="120"/>
      <c r="D321" s="12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</row>
    <row r="322" spans="1:54" s="39" customFormat="1" x14ac:dyDescent="0.2">
      <c r="A322" s="120"/>
      <c r="B322" s="120"/>
      <c r="C322" s="120"/>
      <c r="D322" s="12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</row>
    <row r="323" spans="1:54" s="39" customFormat="1" x14ac:dyDescent="0.2">
      <c r="A323" s="120"/>
      <c r="B323" s="120"/>
      <c r="C323" s="120"/>
      <c r="D323" s="12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</row>
    <row r="324" spans="1:54" s="39" customFormat="1" x14ac:dyDescent="0.2">
      <c r="A324" s="120"/>
      <c r="B324" s="120"/>
      <c r="C324" s="120"/>
      <c r="D324" s="12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</row>
    <row r="325" spans="1:54" s="39" customFormat="1" x14ac:dyDescent="0.2">
      <c r="A325" s="120"/>
      <c r="B325" s="120"/>
      <c r="C325" s="120"/>
      <c r="D325" s="12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</row>
    <row r="326" spans="1:54" s="39" customFormat="1" x14ac:dyDescent="0.2">
      <c r="A326" s="120"/>
      <c r="B326" s="120"/>
      <c r="C326" s="120"/>
      <c r="D326" s="12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</row>
    <row r="327" spans="1:54" s="39" customFormat="1" x14ac:dyDescent="0.2">
      <c r="A327" s="120"/>
      <c r="B327" s="120"/>
      <c r="C327" s="120"/>
      <c r="D327" s="12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</row>
    <row r="328" spans="1:54" s="39" customFormat="1" x14ac:dyDescent="0.2">
      <c r="A328" s="120"/>
      <c r="B328" s="120"/>
      <c r="C328" s="120"/>
      <c r="D328" s="12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</row>
    <row r="329" spans="1:54" s="39" customFormat="1" x14ac:dyDescent="0.2">
      <c r="A329" s="120"/>
      <c r="B329" s="120"/>
      <c r="C329" s="120"/>
      <c r="D329" s="12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</row>
    <row r="330" spans="1:54" s="39" customFormat="1" x14ac:dyDescent="0.2">
      <c r="A330" s="120"/>
      <c r="B330" s="120"/>
      <c r="C330" s="120"/>
      <c r="D330" s="12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</row>
    <row r="331" spans="1:54" s="39" customFormat="1" x14ac:dyDescent="0.2">
      <c r="A331" s="120"/>
      <c r="B331" s="120"/>
      <c r="C331" s="120"/>
      <c r="D331" s="12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</row>
    <row r="332" spans="1:54" s="39" customFormat="1" x14ac:dyDescent="0.2">
      <c r="A332" s="120"/>
      <c r="B332" s="120"/>
      <c r="C332" s="120"/>
      <c r="D332" s="12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</row>
    <row r="333" spans="1:54" s="39" customFormat="1" x14ac:dyDescent="0.2">
      <c r="A333" s="120"/>
      <c r="B333" s="120"/>
      <c r="C333" s="120"/>
      <c r="D333" s="12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</row>
    <row r="334" spans="1:54" s="39" customFormat="1" x14ac:dyDescent="0.2">
      <c r="A334" s="120"/>
      <c r="B334" s="120"/>
      <c r="C334" s="120"/>
      <c r="D334" s="12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</row>
    <row r="335" spans="1:54" s="39" customFormat="1" x14ac:dyDescent="0.2">
      <c r="A335" s="120"/>
      <c r="B335" s="120"/>
      <c r="C335" s="120"/>
      <c r="D335" s="12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</row>
    <row r="336" spans="1:54" s="39" customFormat="1" x14ac:dyDescent="0.2">
      <c r="A336" s="87"/>
      <c r="B336" s="87"/>
      <c r="C336" s="87"/>
      <c r="D336" s="87"/>
      <c r="E336" s="110"/>
      <c r="F336" s="110"/>
      <c r="G336" s="110"/>
      <c r="H336" s="110"/>
      <c r="I336" s="110"/>
      <c r="J336" s="110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</row>
    <row r="337" spans="1:54" s="39" customFormat="1" x14ac:dyDescent="0.2">
      <c r="A337" s="87"/>
      <c r="B337" s="87"/>
      <c r="C337" s="87"/>
      <c r="D337" s="87"/>
      <c r="E337" s="110"/>
      <c r="F337" s="110"/>
      <c r="G337" s="110"/>
      <c r="H337" s="110"/>
      <c r="I337" s="110"/>
      <c r="J337" s="110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</row>
    <row r="338" spans="1:54" s="39" customFormat="1" x14ac:dyDescent="0.2">
      <c r="A338" s="87"/>
      <c r="B338" s="87"/>
      <c r="C338" s="87"/>
      <c r="D338" s="87"/>
      <c r="E338" s="110"/>
      <c r="F338" s="110"/>
      <c r="G338" s="110"/>
      <c r="H338" s="110"/>
      <c r="I338" s="110"/>
      <c r="J338" s="110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</row>
    <row r="339" spans="1:54" s="39" customFormat="1" x14ac:dyDescent="0.2">
      <c r="A339" s="87"/>
      <c r="B339" s="87"/>
      <c r="C339" s="87"/>
      <c r="D339" s="87"/>
      <c r="E339" s="110"/>
      <c r="F339" s="110"/>
      <c r="G339" s="110"/>
      <c r="H339" s="110"/>
      <c r="I339" s="110"/>
      <c r="J339" s="110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</row>
    <row r="340" spans="1:54" s="39" customFormat="1" x14ac:dyDescent="0.2">
      <c r="A340" s="87"/>
      <c r="B340" s="87"/>
      <c r="C340" s="87"/>
      <c r="D340" s="87"/>
      <c r="E340" s="110"/>
      <c r="F340" s="110"/>
      <c r="G340" s="110"/>
      <c r="H340" s="110"/>
      <c r="I340" s="110"/>
      <c r="J340" s="110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</row>
    <row r="341" spans="1:54" s="39" customFormat="1" x14ac:dyDescent="0.2">
      <c r="A341" s="87"/>
      <c r="B341" s="87"/>
      <c r="C341" s="87"/>
      <c r="D341" s="87"/>
      <c r="E341" s="110"/>
      <c r="F341" s="110"/>
      <c r="G341" s="110"/>
      <c r="H341" s="110"/>
      <c r="I341" s="110"/>
      <c r="J341" s="110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</row>
    <row r="342" spans="1:54" s="39" customFormat="1" x14ac:dyDescent="0.2">
      <c r="A342" s="87"/>
      <c r="B342" s="87"/>
      <c r="C342" s="87"/>
      <c r="D342" s="87"/>
      <c r="E342" s="110"/>
      <c r="F342" s="110"/>
      <c r="G342" s="110"/>
      <c r="H342" s="110"/>
      <c r="I342" s="110"/>
      <c r="J342" s="110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</row>
    <row r="343" spans="1:54" s="39" customFormat="1" x14ac:dyDescent="0.2">
      <c r="A343" s="87"/>
      <c r="B343" s="87"/>
      <c r="C343" s="87"/>
      <c r="D343" s="87"/>
      <c r="E343" s="110"/>
      <c r="F343" s="110"/>
      <c r="G343" s="110"/>
      <c r="H343" s="110"/>
      <c r="I343" s="110"/>
      <c r="J343" s="110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</row>
    <row r="344" spans="1:54" s="39" customFormat="1" x14ac:dyDescent="0.2">
      <c r="A344" s="87"/>
      <c r="B344" s="87"/>
      <c r="C344" s="87"/>
      <c r="D344" s="87"/>
      <c r="E344" s="110"/>
      <c r="F344" s="110"/>
      <c r="G344" s="110"/>
      <c r="H344" s="110"/>
      <c r="I344" s="110"/>
      <c r="J344" s="110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</row>
    <row r="345" spans="1:54" s="39" customFormat="1" x14ac:dyDescent="0.2">
      <c r="A345" s="87"/>
      <c r="B345" s="87"/>
      <c r="C345" s="87"/>
      <c r="D345" s="87"/>
      <c r="E345" s="110"/>
      <c r="F345" s="110"/>
      <c r="G345" s="110"/>
      <c r="H345" s="110"/>
      <c r="I345" s="110"/>
      <c r="J345" s="110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</row>
    <row r="346" spans="1:54" s="39" customFormat="1" x14ac:dyDescent="0.2">
      <c r="A346" s="87"/>
      <c r="B346" s="87"/>
      <c r="C346" s="87"/>
      <c r="D346" s="87"/>
      <c r="E346" s="110"/>
      <c r="F346" s="110"/>
      <c r="G346" s="110"/>
      <c r="H346" s="110"/>
      <c r="I346" s="110"/>
      <c r="J346" s="110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</row>
    <row r="347" spans="1:54" s="39" customFormat="1" x14ac:dyDescent="0.2">
      <c r="A347" s="87"/>
      <c r="B347" s="87"/>
      <c r="C347" s="87"/>
      <c r="D347" s="87"/>
      <c r="E347" s="110"/>
      <c r="F347" s="110"/>
      <c r="G347" s="110"/>
      <c r="H347" s="110"/>
      <c r="I347" s="110"/>
      <c r="J347" s="110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</row>
    <row r="348" spans="1:54" s="39" customFormat="1" x14ac:dyDescent="0.2">
      <c r="A348" s="87"/>
      <c r="B348" s="87"/>
      <c r="C348" s="87"/>
      <c r="D348" s="87"/>
      <c r="E348" s="110"/>
      <c r="F348" s="110"/>
      <c r="G348" s="110"/>
      <c r="H348" s="110"/>
      <c r="I348" s="110"/>
      <c r="J348" s="110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</row>
    <row r="349" spans="1:54" s="39" customFormat="1" x14ac:dyDescent="0.2">
      <c r="A349" s="87"/>
      <c r="B349" s="87"/>
      <c r="C349" s="87"/>
      <c r="D349" s="87"/>
      <c r="E349" s="110"/>
      <c r="F349" s="110"/>
      <c r="G349" s="110"/>
      <c r="H349" s="110"/>
      <c r="I349" s="110"/>
      <c r="J349" s="110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</row>
    <row r="350" spans="1:54" s="39" customFormat="1" x14ac:dyDescent="0.2">
      <c r="A350" s="87"/>
      <c r="B350" s="87"/>
      <c r="C350" s="87"/>
      <c r="D350" s="87"/>
      <c r="E350" s="110"/>
      <c r="F350" s="110"/>
      <c r="G350" s="110"/>
      <c r="H350" s="110"/>
      <c r="I350" s="110"/>
      <c r="J350" s="110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</row>
    <row r="351" spans="1:54" s="39" customFormat="1" x14ac:dyDescent="0.2">
      <c r="A351" s="87"/>
      <c r="B351" s="87"/>
      <c r="C351" s="87"/>
      <c r="D351" s="87"/>
      <c r="E351" s="110"/>
      <c r="F351" s="110"/>
      <c r="G351" s="110"/>
      <c r="H351" s="110"/>
      <c r="I351" s="110"/>
      <c r="J351" s="110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</row>
    <row r="352" spans="1:54" s="39" customFormat="1" x14ac:dyDescent="0.2">
      <c r="A352" s="87"/>
      <c r="B352" s="87"/>
      <c r="C352" s="87"/>
      <c r="D352" s="87"/>
      <c r="E352" s="110"/>
      <c r="F352" s="110"/>
      <c r="G352" s="110"/>
      <c r="H352" s="110"/>
      <c r="I352" s="110"/>
      <c r="J352" s="110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</row>
    <row r="353" spans="1:54" s="39" customFormat="1" x14ac:dyDescent="0.2">
      <c r="A353" s="87"/>
      <c r="B353" s="87"/>
      <c r="C353" s="87"/>
      <c r="D353" s="87"/>
      <c r="E353" s="110"/>
      <c r="F353" s="110"/>
      <c r="G353" s="110"/>
      <c r="H353" s="110"/>
      <c r="I353" s="110"/>
      <c r="J353" s="110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</row>
    <row r="354" spans="1:54" s="39" customFormat="1" x14ac:dyDescent="0.2">
      <c r="A354" s="87"/>
      <c r="B354" s="87"/>
      <c r="C354" s="87"/>
      <c r="D354" s="87"/>
      <c r="E354" s="110"/>
      <c r="F354" s="110"/>
      <c r="G354" s="110"/>
      <c r="H354" s="110"/>
      <c r="I354" s="110"/>
      <c r="J354" s="110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</row>
    <row r="355" spans="1:54" s="39" customFormat="1" x14ac:dyDescent="0.2">
      <c r="A355" s="87"/>
      <c r="B355" s="87"/>
      <c r="C355" s="87"/>
      <c r="D355" s="87"/>
      <c r="E355" s="110"/>
      <c r="F355" s="110"/>
      <c r="G355" s="110"/>
      <c r="H355" s="110"/>
      <c r="I355" s="110"/>
      <c r="J355" s="110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</row>
    <row r="356" spans="1:54" s="39" customFormat="1" x14ac:dyDescent="0.2">
      <c r="A356" s="87"/>
      <c r="B356" s="87"/>
      <c r="C356" s="87"/>
      <c r="D356" s="87"/>
      <c r="E356" s="110"/>
      <c r="F356" s="110"/>
      <c r="G356" s="110"/>
      <c r="H356" s="110"/>
      <c r="I356" s="110"/>
      <c r="J356" s="110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</row>
    <row r="357" spans="1:54" s="39" customFormat="1" x14ac:dyDescent="0.2">
      <c r="A357" s="87"/>
      <c r="B357" s="87"/>
      <c r="C357" s="87"/>
      <c r="D357" s="87"/>
      <c r="E357" s="110"/>
      <c r="F357" s="110"/>
      <c r="G357" s="110"/>
      <c r="H357" s="110"/>
      <c r="I357" s="110"/>
      <c r="J357" s="110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</row>
    <row r="358" spans="1:54" s="39" customFormat="1" x14ac:dyDescent="0.2">
      <c r="A358" s="87"/>
      <c r="B358" s="87"/>
      <c r="C358" s="87"/>
      <c r="D358" s="87"/>
      <c r="E358" s="110"/>
      <c r="F358" s="110"/>
      <c r="G358" s="110"/>
      <c r="H358" s="110"/>
      <c r="I358" s="110"/>
      <c r="J358" s="110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</row>
    <row r="359" spans="1:54" s="39" customFormat="1" x14ac:dyDescent="0.2">
      <c r="A359" s="87"/>
      <c r="B359" s="87"/>
      <c r="C359" s="87"/>
      <c r="D359" s="87"/>
      <c r="E359" s="110"/>
      <c r="F359" s="110"/>
      <c r="G359" s="110"/>
      <c r="H359" s="110"/>
      <c r="I359" s="110"/>
      <c r="J359" s="110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</row>
    <row r="360" spans="1:54" s="39" customFormat="1" x14ac:dyDescent="0.2">
      <c r="A360" s="87"/>
      <c r="B360" s="87"/>
      <c r="C360" s="87"/>
      <c r="D360" s="87"/>
      <c r="E360" s="110"/>
      <c r="F360" s="110"/>
      <c r="G360" s="110"/>
      <c r="H360" s="110"/>
      <c r="I360" s="110"/>
      <c r="J360" s="110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</row>
    <row r="361" spans="1:54" s="39" customFormat="1" x14ac:dyDescent="0.2">
      <c r="A361" s="87"/>
      <c r="B361" s="87"/>
      <c r="C361" s="87"/>
      <c r="D361" s="87"/>
      <c r="E361" s="110"/>
      <c r="F361" s="110"/>
      <c r="G361" s="110"/>
      <c r="H361" s="110"/>
      <c r="I361" s="110"/>
      <c r="J361" s="110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</row>
    <row r="362" spans="1:54" s="39" customFormat="1" x14ac:dyDescent="0.2">
      <c r="A362" s="87"/>
      <c r="B362" s="87"/>
      <c r="C362" s="87"/>
      <c r="D362" s="87"/>
      <c r="E362" s="110"/>
      <c r="F362" s="110"/>
      <c r="G362" s="110"/>
      <c r="H362" s="110"/>
      <c r="I362" s="110"/>
      <c r="J362" s="110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</row>
    <row r="363" spans="1:54" s="39" customFormat="1" x14ac:dyDescent="0.2">
      <c r="A363" s="87"/>
      <c r="B363" s="87"/>
      <c r="C363" s="87"/>
      <c r="D363" s="87"/>
      <c r="E363" s="110"/>
      <c r="F363" s="110"/>
      <c r="G363" s="110"/>
      <c r="H363" s="110"/>
      <c r="I363" s="110"/>
      <c r="J363" s="110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</row>
    <row r="364" spans="1:54" s="39" customFormat="1" x14ac:dyDescent="0.2">
      <c r="A364" s="87"/>
      <c r="B364" s="87"/>
      <c r="C364" s="87"/>
      <c r="D364" s="87"/>
      <c r="E364" s="110"/>
      <c r="F364" s="110"/>
      <c r="G364" s="110"/>
      <c r="H364" s="110"/>
      <c r="I364" s="110"/>
      <c r="J364" s="110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</row>
    <row r="365" spans="1:54" s="39" customFormat="1" x14ac:dyDescent="0.2">
      <c r="A365" s="87"/>
      <c r="B365" s="87"/>
      <c r="C365" s="87"/>
      <c r="D365" s="87"/>
      <c r="E365" s="110"/>
      <c r="F365" s="110"/>
      <c r="G365" s="110"/>
      <c r="H365" s="110"/>
      <c r="I365" s="110"/>
      <c r="J365" s="110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</row>
    <row r="366" spans="1:54" s="39" customFormat="1" x14ac:dyDescent="0.2">
      <c r="A366" s="87"/>
      <c r="B366" s="87"/>
      <c r="C366" s="87"/>
      <c r="D366" s="87"/>
      <c r="E366" s="110"/>
      <c r="F366" s="110"/>
      <c r="G366" s="110"/>
      <c r="H366" s="110"/>
      <c r="I366" s="110"/>
      <c r="J366" s="110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</row>
    <row r="367" spans="1:54" s="39" customFormat="1" x14ac:dyDescent="0.2">
      <c r="A367" s="87"/>
      <c r="B367" s="87"/>
      <c r="C367" s="87"/>
      <c r="D367" s="87"/>
      <c r="E367" s="110"/>
      <c r="F367" s="110"/>
      <c r="G367" s="110"/>
      <c r="H367" s="110"/>
      <c r="I367" s="110"/>
      <c r="J367" s="110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</row>
    <row r="368" spans="1:54" s="39" customFormat="1" x14ac:dyDescent="0.2">
      <c r="A368" s="87"/>
      <c r="B368" s="87"/>
      <c r="C368" s="87"/>
      <c r="D368" s="87"/>
      <c r="E368" s="110"/>
      <c r="F368" s="110"/>
      <c r="G368" s="110"/>
      <c r="H368" s="110"/>
      <c r="I368" s="110"/>
      <c r="J368" s="110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</row>
    <row r="369" spans="1:54" s="39" customFormat="1" x14ac:dyDescent="0.2">
      <c r="A369" s="87"/>
      <c r="B369" s="87"/>
      <c r="C369" s="87"/>
      <c r="D369" s="87"/>
      <c r="E369" s="110"/>
      <c r="F369" s="110"/>
      <c r="G369" s="110"/>
      <c r="H369" s="110"/>
      <c r="I369" s="110"/>
      <c r="J369" s="110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</row>
    <row r="370" spans="1:54" s="39" customFormat="1" x14ac:dyDescent="0.2">
      <c r="A370" s="87"/>
      <c r="B370" s="87"/>
      <c r="C370" s="87"/>
      <c r="D370" s="87"/>
      <c r="E370" s="110"/>
      <c r="F370" s="110"/>
      <c r="G370" s="110"/>
      <c r="H370" s="110"/>
      <c r="I370" s="110"/>
      <c r="J370" s="110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</row>
    <row r="371" spans="1:54" s="39" customFormat="1" x14ac:dyDescent="0.2">
      <c r="A371" s="87"/>
      <c r="B371" s="87"/>
      <c r="C371" s="87"/>
      <c r="D371" s="87"/>
      <c r="E371" s="110"/>
      <c r="F371" s="110"/>
      <c r="G371" s="110"/>
      <c r="H371" s="110"/>
      <c r="I371" s="110"/>
      <c r="J371" s="110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</row>
    <row r="372" spans="1:54" s="39" customFormat="1" x14ac:dyDescent="0.2">
      <c r="A372" s="87"/>
      <c r="B372" s="87"/>
      <c r="C372" s="87"/>
      <c r="D372" s="87"/>
      <c r="E372" s="110"/>
      <c r="F372" s="110"/>
      <c r="G372" s="110"/>
      <c r="H372" s="110"/>
      <c r="I372" s="110"/>
      <c r="J372" s="110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</row>
    <row r="373" spans="1:54" s="39" customFormat="1" x14ac:dyDescent="0.2">
      <c r="A373" s="87"/>
      <c r="B373" s="87"/>
      <c r="C373" s="87"/>
      <c r="D373" s="87"/>
      <c r="E373" s="110"/>
      <c r="F373" s="110"/>
      <c r="G373" s="110"/>
      <c r="H373" s="110"/>
      <c r="I373" s="110"/>
      <c r="J373" s="110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</row>
    <row r="374" spans="1:54" s="39" customFormat="1" x14ac:dyDescent="0.2">
      <c r="A374" s="87"/>
      <c r="B374" s="87"/>
      <c r="C374" s="87"/>
      <c r="D374" s="87"/>
      <c r="E374" s="110"/>
      <c r="F374" s="110"/>
      <c r="G374" s="110"/>
      <c r="H374" s="110"/>
      <c r="I374" s="110"/>
      <c r="J374" s="110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</row>
    <row r="375" spans="1:54" s="39" customFormat="1" x14ac:dyDescent="0.2">
      <c r="A375" s="87"/>
      <c r="B375" s="87"/>
      <c r="C375" s="87"/>
      <c r="D375" s="87"/>
      <c r="E375" s="110"/>
      <c r="F375" s="110"/>
      <c r="G375" s="110"/>
      <c r="H375" s="110"/>
      <c r="I375" s="110"/>
      <c r="J375" s="110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</row>
    <row r="376" spans="1:54" s="39" customFormat="1" x14ac:dyDescent="0.2">
      <c r="A376" s="87"/>
      <c r="B376" s="87"/>
      <c r="C376" s="87"/>
      <c r="D376" s="87"/>
      <c r="E376" s="110"/>
      <c r="F376" s="110"/>
      <c r="G376" s="110"/>
      <c r="H376" s="110"/>
      <c r="I376" s="110"/>
      <c r="J376" s="110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</row>
    <row r="377" spans="1:54" s="39" customFormat="1" x14ac:dyDescent="0.2">
      <c r="A377" s="87"/>
      <c r="B377" s="87"/>
      <c r="C377" s="87"/>
      <c r="D377" s="87"/>
      <c r="E377" s="110"/>
      <c r="F377" s="110"/>
      <c r="G377" s="110"/>
      <c r="H377" s="110"/>
      <c r="I377" s="110"/>
      <c r="J377" s="110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</row>
    <row r="378" spans="1:54" s="39" customFormat="1" x14ac:dyDescent="0.2">
      <c r="A378" s="87"/>
      <c r="B378" s="87"/>
      <c r="C378" s="87"/>
      <c r="D378" s="87"/>
      <c r="E378" s="110"/>
      <c r="F378" s="110"/>
      <c r="G378" s="110"/>
      <c r="H378" s="110"/>
      <c r="I378" s="110"/>
      <c r="J378" s="110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</row>
    <row r="379" spans="1:54" s="39" customFormat="1" x14ac:dyDescent="0.2">
      <c r="A379" s="87"/>
      <c r="B379" s="87"/>
      <c r="C379" s="87"/>
      <c r="D379" s="87"/>
      <c r="E379" s="110"/>
      <c r="F379" s="110"/>
      <c r="G379" s="110"/>
      <c r="H379" s="110"/>
      <c r="I379" s="110"/>
      <c r="J379" s="110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</row>
    <row r="380" spans="1:54" s="39" customFormat="1" x14ac:dyDescent="0.2">
      <c r="A380" s="87"/>
      <c r="B380" s="87"/>
      <c r="C380" s="87"/>
      <c r="D380" s="87"/>
      <c r="E380" s="110"/>
      <c r="F380" s="110"/>
      <c r="G380" s="110"/>
      <c r="H380" s="110"/>
      <c r="I380" s="110"/>
      <c r="J380" s="110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</row>
    <row r="381" spans="1:54" s="39" customFormat="1" x14ac:dyDescent="0.2">
      <c r="A381" s="87"/>
      <c r="B381" s="87"/>
      <c r="C381" s="87"/>
      <c r="D381" s="87"/>
      <c r="E381" s="110"/>
      <c r="F381" s="110"/>
      <c r="G381" s="110"/>
      <c r="H381" s="110"/>
      <c r="I381" s="110"/>
      <c r="J381" s="110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</row>
    <row r="382" spans="1:54" s="39" customFormat="1" x14ac:dyDescent="0.2">
      <c r="A382" s="87"/>
      <c r="B382" s="87"/>
      <c r="C382" s="87"/>
      <c r="D382" s="87"/>
      <c r="E382" s="110"/>
      <c r="F382" s="110"/>
      <c r="G382" s="110"/>
      <c r="H382" s="110"/>
      <c r="I382" s="110"/>
      <c r="J382" s="110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</row>
    <row r="383" spans="1:54" s="39" customFormat="1" x14ac:dyDescent="0.2">
      <c r="A383" s="87"/>
      <c r="B383" s="87"/>
      <c r="C383" s="87"/>
      <c r="D383" s="87"/>
      <c r="E383" s="110"/>
      <c r="F383" s="110"/>
      <c r="G383" s="110"/>
      <c r="H383" s="110"/>
      <c r="I383" s="110"/>
      <c r="J383" s="110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</row>
    <row r="384" spans="1:54" s="39" customFormat="1" x14ac:dyDescent="0.2">
      <c r="A384" s="87"/>
      <c r="B384" s="87"/>
      <c r="C384" s="87"/>
      <c r="D384" s="87"/>
      <c r="E384" s="110"/>
      <c r="F384" s="110"/>
      <c r="G384" s="110"/>
      <c r="H384" s="110"/>
      <c r="I384" s="110"/>
      <c r="J384" s="110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</row>
    <row r="385" spans="1:54" s="39" customFormat="1" x14ac:dyDescent="0.2">
      <c r="A385" s="87"/>
      <c r="B385" s="87"/>
      <c r="C385" s="87"/>
      <c r="D385" s="87"/>
      <c r="E385" s="110"/>
      <c r="F385" s="110"/>
      <c r="G385" s="110"/>
      <c r="H385" s="110"/>
      <c r="I385" s="110"/>
      <c r="J385" s="110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</row>
    <row r="386" spans="1:54" s="39" customFormat="1" x14ac:dyDescent="0.2">
      <c r="A386" s="87"/>
      <c r="B386" s="87"/>
      <c r="C386" s="87"/>
      <c r="D386" s="87"/>
      <c r="E386" s="110"/>
      <c r="F386" s="110"/>
      <c r="G386" s="110"/>
      <c r="H386" s="110"/>
      <c r="I386" s="110"/>
      <c r="J386" s="110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</row>
    <row r="387" spans="1:54" s="39" customFormat="1" x14ac:dyDescent="0.2">
      <c r="A387" s="87"/>
      <c r="B387" s="87"/>
      <c r="C387" s="87"/>
      <c r="D387" s="87"/>
      <c r="E387" s="110"/>
      <c r="F387" s="110"/>
      <c r="G387" s="110"/>
      <c r="H387" s="110"/>
      <c r="I387" s="110"/>
      <c r="J387" s="110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</row>
    <row r="388" spans="1:54" s="39" customFormat="1" x14ac:dyDescent="0.2">
      <c r="A388" s="87"/>
      <c r="B388" s="87"/>
      <c r="C388" s="87"/>
      <c r="D388" s="87"/>
      <c r="E388" s="110"/>
      <c r="F388" s="110"/>
      <c r="G388" s="110"/>
      <c r="H388" s="110"/>
      <c r="I388" s="110"/>
      <c r="J388" s="110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</row>
    <row r="389" spans="1:54" s="39" customFormat="1" x14ac:dyDescent="0.2">
      <c r="A389" s="87"/>
      <c r="B389" s="87"/>
      <c r="C389" s="87"/>
      <c r="D389" s="87"/>
      <c r="E389" s="110"/>
      <c r="F389" s="110"/>
      <c r="G389" s="110"/>
      <c r="H389" s="110"/>
      <c r="I389" s="110"/>
      <c r="J389" s="110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</row>
    <row r="390" spans="1:54" s="39" customFormat="1" x14ac:dyDescent="0.2">
      <c r="A390" s="87"/>
      <c r="B390" s="87"/>
      <c r="C390" s="87"/>
      <c r="D390" s="87"/>
      <c r="E390" s="110"/>
      <c r="F390" s="110"/>
      <c r="G390" s="110"/>
      <c r="H390" s="110"/>
      <c r="I390" s="110"/>
      <c r="J390" s="110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</row>
    <row r="391" spans="1:54" s="39" customFormat="1" x14ac:dyDescent="0.2">
      <c r="A391" s="87"/>
      <c r="B391" s="87"/>
      <c r="C391" s="87"/>
      <c r="D391" s="87"/>
      <c r="E391" s="110"/>
      <c r="F391" s="110"/>
      <c r="G391" s="110"/>
      <c r="H391" s="110"/>
      <c r="I391" s="110"/>
      <c r="J391" s="110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</row>
    <row r="392" spans="1:54" s="39" customFormat="1" x14ac:dyDescent="0.2">
      <c r="A392" s="87"/>
      <c r="B392" s="87"/>
      <c r="C392" s="87"/>
      <c r="D392" s="87"/>
      <c r="E392" s="110"/>
      <c r="F392" s="110"/>
      <c r="G392" s="110"/>
      <c r="H392" s="110"/>
      <c r="I392" s="110"/>
      <c r="J392" s="110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</row>
    <row r="393" spans="1:54" s="39" customFormat="1" x14ac:dyDescent="0.2">
      <c r="A393" s="87"/>
      <c r="B393" s="87"/>
      <c r="C393" s="87"/>
      <c r="D393" s="87"/>
      <c r="E393" s="110"/>
      <c r="F393" s="110"/>
      <c r="G393" s="110"/>
      <c r="H393" s="110"/>
      <c r="I393" s="110"/>
      <c r="J393" s="110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</row>
    <row r="394" spans="1:54" s="39" customFormat="1" x14ac:dyDescent="0.2">
      <c r="A394" s="87"/>
      <c r="B394" s="87"/>
      <c r="C394" s="87"/>
      <c r="D394" s="87"/>
      <c r="E394" s="110"/>
      <c r="F394" s="110"/>
      <c r="G394" s="110"/>
      <c r="H394" s="110"/>
      <c r="I394" s="110"/>
      <c r="J394" s="110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</row>
    <row r="395" spans="1:54" s="39" customFormat="1" x14ac:dyDescent="0.2">
      <c r="A395" s="87"/>
      <c r="B395" s="87"/>
      <c r="C395" s="87"/>
      <c r="D395" s="87"/>
      <c r="E395" s="110"/>
      <c r="F395" s="110"/>
      <c r="G395" s="110"/>
      <c r="H395" s="110"/>
      <c r="I395" s="110"/>
      <c r="J395" s="110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</row>
    <row r="396" spans="1:54" s="39" customFormat="1" x14ac:dyDescent="0.2">
      <c r="A396" s="87"/>
      <c r="B396" s="87"/>
      <c r="C396" s="87"/>
      <c r="D396" s="87"/>
      <c r="E396" s="110"/>
      <c r="F396" s="110"/>
      <c r="G396" s="110"/>
      <c r="H396" s="110"/>
      <c r="I396" s="110"/>
      <c r="J396" s="110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</row>
    <row r="397" spans="1:54" s="39" customFormat="1" x14ac:dyDescent="0.2">
      <c r="A397" s="87"/>
      <c r="B397" s="87"/>
      <c r="C397" s="87"/>
      <c r="D397" s="87"/>
      <c r="E397" s="110"/>
      <c r="F397" s="110"/>
      <c r="G397" s="110"/>
      <c r="H397" s="110"/>
      <c r="I397" s="110"/>
      <c r="J397" s="110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</row>
    <row r="398" spans="1:54" s="39" customFormat="1" x14ac:dyDescent="0.2">
      <c r="A398" s="87"/>
      <c r="B398" s="87"/>
      <c r="C398" s="87"/>
      <c r="D398" s="87"/>
      <c r="E398" s="110"/>
      <c r="F398" s="110"/>
      <c r="G398" s="110"/>
      <c r="H398" s="110"/>
      <c r="I398" s="110"/>
      <c r="J398" s="110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</row>
    <row r="399" spans="1:54" s="39" customFormat="1" x14ac:dyDescent="0.2">
      <c r="A399" s="87"/>
      <c r="B399" s="87"/>
      <c r="C399" s="87"/>
      <c r="D399" s="87"/>
      <c r="E399" s="110"/>
      <c r="F399" s="110"/>
      <c r="G399" s="110"/>
      <c r="H399" s="110"/>
      <c r="I399" s="110"/>
      <c r="J399" s="110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</row>
    <row r="400" spans="1:54" s="39" customFormat="1" x14ac:dyDescent="0.2">
      <c r="A400" s="87"/>
      <c r="B400" s="87"/>
      <c r="C400" s="87"/>
      <c r="D400" s="87"/>
      <c r="E400" s="110"/>
      <c r="F400" s="110"/>
      <c r="G400" s="110"/>
      <c r="H400" s="110"/>
      <c r="I400" s="110"/>
      <c r="J400" s="110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</row>
    <row r="401" spans="1:54" s="39" customFormat="1" x14ac:dyDescent="0.2">
      <c r="A401" s="87"/>
      <c r="B401" s="87"/>
      <c r="C401" s="87"/>
      <c r="D401" s="87"/>
      <c r="E401" s="110"/>
      <c r="F401" s="110"/>
      <c r="G401" s="110"/>
      <c r="H401" s="110"/>
      <c r="I401" s="110"/>
      <c r="J401" s="110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</row>
    <row r="402" spans="1:54" s="39" customFormat="1" x14ac:dyDescent="0.2">
      <c r="A402" s="87"/>
      <c r="B402" s="87"/>
      <c r="C402" s="87"/>
      <c r="D402" s="87"/>
      <c r="E402" s="110"/>
      <c r="F402" s="110"/>
      <c r="G402" s="110"/>
      <c r="H402" s="110"/>
      <c r="I402" s="110"/>
      <c r="J402" s="110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</row>
    <row r="403" spans="1:54" s="39" customFormat="1" x14ac:dyDescent="0.2">
      <c r="A403" s="87"/>
      <c r="B403" s="87"/>
      <c r="C403" s="87"/>
      <c r="D403" s="87"/>
      <c r="E403" s="110"/>
      <c r="F403" s="110"/>
      <c r="G403" s="110"/>
      <c r="H403" s="110"/>
      <c r="I403" s="110"/>
      <c r="J403" s="110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</row>
    <row r="404" spans="1:54" s="39" customFormat="1" x14ac:dyDescent="0.2">
      <c r="A404" s="87"/>
      <c r="B404" s="87"/>
      <c r="C404" s="87"/>
      <c r="D404" s="87"/>
      <c r="E404" s="110"/>
      <c r="F404" s="110"/>
      <c r="G404" s="110"/>
      <c r="H404" s="110"/>
      <c r="I404" s="110"/>
      <c r="J404" s="110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</row>
    <row r="405" spans="1:54" s="39" customFormat="1" x14ac:dyDescent="0.2">
      <c r="A405" s="87"/>
      <c r="B405" s="87"/>
      <c r="C405" s="87"/>
      <c r="D405" s="87"/>
      <c r="E405" s="110"/>
      <c r="F405" s="110"/>
      <c r="G405" s="110"/>
      <c r="H405" s="110"/>
      <c r="I405" s="110"/>
      <c r="J405" s="110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</row>
    <row r="406" spans="1:54" s="39" customFormat="1" x14ac:dyDescent="0.2">
      <c r="A406" s="87"/>
      <c r="B406" s="87"/>
      <c r="C406" s="87"/>
      <c r="D406" s="87"/>
      <c r="E406" s="110"/>
      <c r="F406" s="110"/>
      <c r="G406" s="110"/>
      <c r="H406" s="110"/>
      <c r="I406" s="110"/>
      <c r="J406" s="110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</row>
    <row r="407" spans="1:54" s="39" customFormat="1" x14ac:dyDescent="0.2">
      <c r="A407" s="87"/>
      <c r="B407" s="87"/>
      <c r="C407" s="87"/>
      <c r="D407" s="87"/>
      <c r="E407" s="110"/>
      <c r="F407" s="110"/>
      <c r="G407" s="110"/>
      <c r="H407" s="110"/>
      <c r="I407" s="110"/>
      <c r="J407" s="110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</row>
    <row r="408" spans="1:54" s="39" customFormat="1" x14ac:dyDescent="0.2">
      <c r="A408" s="87"/>
      <c r="B408" s="87"/>
      <c r="C408" s="87"/>
      <c r="D408" s="87"/>
      <c r="E408" s="110"/>
      <c r="F408" s="110"/>
      <c r="G408" s="110"/>
      <c r="H408" s="110"/>
      <c r="I408" s="110"/>
      <c r="J408" s="110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</row>
    <row r="409" spans="1:54" s="39" customFormat="1" x14ac:dyDescent="0.2">
      <c r="A409" s="87"/>
      <c r="B409" s="87"/>
      <c r="C409" s="87"/>
      <c r="D409" s="87"/>
      <c r="E409" s="110"/>
      <c r="F409" s="110"/>
      <c r="G409" s="110"/>
      <c r="H409" s="110"/>
      <c r="I409" s="110"/>
      <c r="J409" s="110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</row>
    <row r="410" spans="1:54" s="39" customFormat="1" x14ac:dyDescent="0.2">
      <c r="A410" s="87"/>
      <c r="B410" s="87"/>
      <c r="C410" s="87"/>
      <c r="D410" s="87"/>
      <c r="E410" s="110"/>
      <c r="F410" s="110"/>
      <c r="G410" s="110"/>
      <c r="H410" s="110"/>
      <c r="I410" s="110"/>
      <c r="J410" s="110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</row>
    <row r="411" spans="1:54" s="39" customFormat="1" x14ac:dyDescent="0.2">
      <c r="A411" s="87"/>
      <c r="B411" s="87"/>
      <c r="C411" s="87"/>
      <c r="D411" s="87"/>
      <c r="E411" s="110"/>
      <c r="F411" s="110"/>
      <c r="G411" s="110"/>
      <c r="H411" s="110"/>
      <c r="I411" s="110"/>
      <c r="J411" s="110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</row>
    <row r="412" spans="1:54" s="39" customFormat="1" x14ac:dyDescent="0.2">
      <c r="A412" s="87"/>
      <c r="B412" s="87"/>
      <c r="C412" s="87"/>
      <c r="D412" s="87"/>
      <c r="E412" s="110"/>
      <c r="F412" s="110"/>
      <c r="G412" s="110"/>
      <c r="H412" s="110"/>
      <c r="I412" s="110"/>
      <c r="J412" s="110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</row>
    <row r="413" spans="1:54" s="39" customFormat="1" x14ac:dyDescent="0.2">
      <c r="A413" s="87"/>
      <c r="B413" s="87"/>
      <c r="C413" s="87"/>
      <c r="D413" s="87"/>
      <c r="E413" s="110"/>
      <c r="F413" s="110"/>
      <c r="G413" s="110"/>
      <c r="H413" s="110"/>
      <c r="I413" s="110"/>
      <c r="J413" s="110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</row>
  </sheetData>
  <sheetProtection formatCells="0" formatColumns="0" formatRows="0" insertColumns="0" insertRows="0" insertHyperlinks="0" deleteColumns="0" deleteRows="0" sort="0" autoFilter="0" pivotTables="0"/>
  <customSheetViews>
    <customSheetView guid="{85E7D370-BE27-4083-96F1-EA39BF0A3F4C}" scale="50" showPageBreaks="1" fitToPage="1" printArea="1">
      <selection activeCell="Q20" sqref="Q20"/>
      <pageMargins left="0" right="0" top="0" bottom="0" header="0" footer="0"/>
      <printOptions gridLines="1"/>
      <pageSetup paperSize="9" scale="69" orientation="portrait" r:id="rId1"/>
      <headerFooter alignWithMargins="0"/>
    </customSheetView>
  </customSheetViews>
  <mergeCells count="13">
    <mergeCell ref="E76:J77"/>
    <mergeCell ref="E3:J3"/>
    <mergeCell ref="E8:J8"/>
    <mergeCell ref="E9:J9"/>
    <mergeCell ref="E11:J11"/>
    <mergeCell ref="E12:J12"/>
    <mergeCell ref="E13:J13"/>
    <mergeCell ref="E7:J7"/>
    <mergeCell ref="E14:J14"/>
    <mergeCell ref="E15:J15"/>
    <mergeCell ref="F21:G21"/>
    <mergeCell ref="F22:G22"/>
    <mergeCell ref="E17:J17"/>
  </mergeCells>
  <phoneticPr fontId="3" type="noConversion"/>
  <dataValidations count="2">
    <dataValidation type="list" allowBlank="1" showInputMessage="1" showErrorMessage="1" sqref="F21" xr:uid="{00000000-0002-0000-0000-000000000000}">
      <formula1>$E$98:$E$99</formula1>
    </dataValidation>
    <dataValidation type="list" allowBlank="1" showInputMessage="1" showErrorMessage="1" sqref="F22" xr:uid="{00000000-0002-0000-0000-000001000000}">
      <formula1>$G$98:$G$99</formula1>
    </dataValidation>
  </dataValidations>
  <hyperlinks>
    <hyperlink ref="E78" r:id="rId2" xr:uid="{00000000-0004-0000-0000-000001000000}"/>
    <hyperlink ref="E15" r:id="rId3" xr:uid="{00000000-0004-0000-0000-000000000000}"/>
  </hyperlinks>
  <printOptions gridLines="1" gridLinesSet="0"/>
  <pageMargins left="0.95" right="0.23" top="0.25" bottom="0.3" header="0.17" footer="0.19"/>
  <pageSetup paperSize="9" scale="65"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 Dary Cattle 1.0</vt:lpstr>
      <vt:lpstr>'NS Dary Cattle 1.0'!Print_Area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Prof. Dr. André Soares de Oliveira</dc:creator>
  <cp:keywords/>
  <dc:description/>
  <cp:lastModifiedBy>Fineoutput</cp:lastModifiedBy>
  <cp:revision/>
  <dcterms:created xsi:type="dcterms:W3CDTF">1999-07-11T18:06:21Z</dcterms:created>
  <dcterms:modified xsi:type="dcterms:W3CDTF">2023-06-08T14:55:34Z</dcterms:modified>
  <cp:category/>
  <cp:contentStatus/>
</cp:coreProperties>
</file>