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ms-excel.sheet.macroEnabled.main+xml"/>
  <Override PartName="/xl/vbaProject.bin" ContentType="application/vnd.ms-office.vbaProject"/>
  <Override PartName="/xl/vbaProjectSignature.bin" ContentType="application/vnd.ms-office.vbaProjectSignature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4" autoFilterDateGrouping="true" firstSheet="0" minimized="false" showHorizontalScroll="true" showSheetTabs="true" showVerticalScroll="true" tabRatio="810" visibility="visible"/>
  </bookViews>
  <sheets>
    <sheet name="Title" sheetId="1" r:id="rId4"/>
    <sheet name="Cow req" sheetId="2" r:id="rId5"/>
    <sheet name="Ration form" sheetId="3" r:id="rId6"/>
    <sheet name="MIFC" sheetId="4" r:id="rId7"/>
    <sheet name="Feed database" sheetId="5" r:id="rId8"/>
    <sheet name="Energy for milk prod" sheetId="6" r:id="rId9"/>
    <sheet name="Print form" sheetId="7" r:id="rId10"/>
    <sheet name="Sheet1" sheetId="8" r:id="rId11"/>
  </sheets>
  <definedNames>
    <definedName name="DM_nut">'Feed database'!$D$7:$D$24</definedName>
    <definedName name="Energi_nut">'Feed database'!$F$7:$F$24</definedName>
    <definedName name="FeedIngredients">'Feed database'!$B$7:$B$107</definedName>
    <definedName name="HargaPakan">'Feed database'!$C$7:$C$24</definedName>
    <definedName name="Protein_nut">'Feed database'!$H$7:$H$24</definedName>
    <definedName name="Serat_nut">'Feed database'!$J$7:$J$24</definedName>
    <definedName name="solver_cvg" localSheetId="2">0.000001</definedName>
    <definedName name="solver_drv" localSheetId="2">1</definedName>
    <definedName name="solver_eng" localSheetId="2">2</definedName>
    <definedName name="solver_est" localSheetId="2">1</definedName>
    <definedName name="solver_itr" localSheetId="2">100</definedName>
    <definedName name="solver_lhs1" localSheetId="2">'Ration form'!$E$33</definedName>
    <definedName name="solver_lhs10" localSheetId="2">'Ration form'!$K$34</definedName>
    <definedName name="solver_lhs11" localSheetId="2">'Ration form'!$D$4:$D$13</definedName>
    <definedName name="solver_lhs12" localSheetId="2">'Ration form'!$E$33</definedName>
    <definedName name="solver_lhs13" localSheetId="2">'Ration form'!$F$33</definedName>
    <definedName name="solver_lhs14" localSheetId="2">'Ration form'!$G$33</definedName>
    <definedName name="solver_lhs15" localSheetId="2">'Ration form'!$H$33</definedName>
    <definedName name="solver_lhs16" localSheetId="2">'Ration form'!$K$34</definedName>
    <definedName name="solver_lhs17" localSheetId="2">'Ration form'!$D$4:$D$13</definedName>
    <definedName name="solver_lhs2" localSheetId="2">'Ration form'!$E$33</definedName>
    <definedName name="solver_lhs3" localSheetId="2">'Ration form'!$F$33</definedName>
    <definedName name="solver_lhs4" localSheetId="2">'Ration form'!$F$33</definedName>
    <definedName name="solver_lhs5" localSheetId="2">'Ration form'!$G$33</definedName>
    <definedName name="solver_lhs6" localSheetId="2">'Ration form'!$H$33</definedName>
    <definedName name="solver_lhs7" localSheetId="2">'Ration form'!$L$33</definedName>
    <definedName name="solver_lhs8" localSheetId="2">'Ration form'!$D$4:$D$13</definedName>
    <definedName name="solver_lhs9" localSheetId="2">'Ration form'!$H$33</definedName>
    <definedName name="solver_lin" localSheetId="2">1</definedName>
    <definedName name="solver_neg" localSheetId="2">1</definedName>
    <definedName name="solver_num" localSheetId="2">0</definedName>
    <definedName name="solver_nwt" localSheetId="2">1</definedName>
    <definedName name="solver_pre" localSheetId="2">0.0001</definedName>
    <definedName name="solver_rel1" localSheetId="2">1</definedName>
    <definedName name="solver_rel10" localSheetId="2">1</definedName>
    <definedName name="solver_rel11" localSheetId="2">1</definedName>
    <definedName name="solver_rel12" localSheetId="2">1</definedName>
    <definedName name="solver_rel13" localSheetId="2">3</definedName>
    <definedName name="solver_rel14" localSheetId="2">3</definedName>
    <definedName name="solver_rel15" localSheetId="2">3</definedName>
    <definedName name="solver_rel16" localSheetId="2">1</definedName>
    <definedName name="solver_rel17" localSheetId="2">1</definedName>
    <definedName name="solver_rel2" localSheetId="2">3</definedName>
    <definedName name="solver_rel3" localSheetId="2">3</definedName>
    <definedName name="solver_rel4" localSheetId="2">1</definedName>
    <definedName name="solver_rel5" localSheetId="2">3</definedName>
    <definedName name="solver_rel6" localSheetId="2">3</definedName>
    <definedName name="solver_rel7" localSheetId="2">3</definedName>
    <definedName name="solver_rel8" localSheetId="2">1</definedName>
    <definedName name="solver_rel9" localSheetId="2">3</definedName>
    <definedName name="solver_rhs1" localSheetId="2">'Ration form'!$H$37</definedName>
    <definedName name="solver_rhs10" localSheetId="2">'Ration form'!$K$35</definedName>
    <definedName name="solver_rhs11" localSheetId="2">'Ration form'!C4:C13</definedName>
    <definedName name="solver_rhs12" localSheetId="2">'Ration form'!$H$37</definedName>
    <definedName name="solver_rhs13" localSheetId="2">'Ration form'!$F$35</definedName>
    <definedName name="solver_rhs14" localSheetId="2">'Ration form'!$G$35</definedName>
    <definedName name="solver_rhs15" localSheetId="2">'Ration form'!$H$35</definedName>
    <definedName name="solver_rhs16" localSheetId="2">'Ration form'!$K$35</definedName>
    <definedName name="solver_rhs17" localSheetId="2">'Ration form'!C4:C13</definedName>
    <definedName name="solver_rhs2" localSheetId="2">'Ration form'!$E$35</definedName>
    <definedName name="solver_rhs3" localSheetId="2">'Ration form'!$F$35</definedName>
    <definedName name="solver_rhs4" localSheetId="2">'Ration form'!$F$36</definedName>
    <definedName name="solver_rhs5" localSheetId="2">'Ration form'!$G$35</definedName>
    <definedName name="solver_rhs6" localSheetId="2">'Ration form'!$H$39</definedName>
    <definedName name="solver_rhs7" localSheetId="2">'Ration form'!$L$39</definedName>
    <definedName name="solver_rhs8" localSheetId="2">'Ration form'!C4:C13</definedName>
    <definedName name="solver_rhs9" localSheetId="2">'Ration form'!$H$35</definedName>
    <definedName name="solver_scl" localSheetId="2">0</definedName>
    <definedName name="solver_sho" localSheetId="2">2</definedName>
    <definedName name="solver_tim" localSheetId="2">100</definedName>
    <definedName name="solver_tol" localSheetId="2">0.05</definedName>
    <definedName name="solver_typ" localSheetId="2">1</definedName>
    <definedName name="solver_val" localSheetId="2">0</definedName>
    <definedName name="solver_ver" localSheetId="2">3</definedName>
    <definedName name="_xlnm.Print_Area" localSheetId="6">'Print form'!$A$1:$I$39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<sst xmlns="http://schemas.openxmlformats.org/spreadsheetml/2006/main" uniqueCount="204">
  <si>
    <t>DAIRY COW FEEDING PROFIT PROGRAM</t>
  </si>
  <si>
    <t>FAORationTool.xls</t>
  </si>
  <si>
    <t>This program calculates "Milk income less feed costs" for milking cows</t>
  </si>
  <si>
    <t>Developed by Edouard BAULT (FeedAccess) based on John Moran (DPI Tatura) initial version</t>
  </si>
  <si>
    <t>May 2016</t>
  </si>
  <si>
    <t>Insert numbers only in the blue cells</t>
  </si>
  <si>
    <t>INSTRUCTIONS FOR USING PROGRAM</t>
  </si>
  <si>
    <t>1. Input cow details in "Cow req", using selecting arrows when required</t>
  </si>
  <si>
    <t>Insert cow live weight, months pregnant, target milk yield and composition, and change in daily live weight</t>
  </si>
  <si>
    <t>For farmers with no milk protein information, the content of milk solids not fat (SNF) can be used</t>
  </si>
  <si>
    <t>Milk protein % = SNF (%) - 5.4</t>
  </si>
  <si>
    <t xml:space="preserve">The program will calculate the required energy supplied by and % protein of the required ration </t>
  </si>
  <si>
    <t>2. Select the ration ingredients in "Ration form". These are derived from "Feed data base"</t>
  </si>
  <si>
    <t>Select the feeds and enter the amount of fresh feed on offer</t>
  </si>
  <si>
    <t>The program will calculate the energy, protein and fibre supplied by the ration</t>
  </si>
  <si>
    <t>The feed price, ME, CP and NDF contents of ration ingredients can be modified in "Feed data base"</t>
  </si>
  <si>
    <t xml:space="preserve">3.  Modify the ration ingredients and quantity fed to meet cow requirements for energy (MJ/d), protein (%) and fibre (%)  </t>
  </si>
  <si>
    <t>4. Insert milk return in "MIFC"</t>
  </si>
  <si>
    <t>5. Milk income less feed costs are calculated in "MIFC"</t>
  </si>
  <si>
    <t xml:space="preserve">Cow energy requirements
</t>
  </si>
  <si>
    <t>Live weight (kg)</t>
  </si>
  <si>
    <t>ME req for maintenance (MJ ME/d)</t>
  </si>
  <si>
    <t>Stage of lactation</t>
  </si>
  <si>
    <t>Protein req %</t>
  </si>
  <si>
    <t>Pregnancy (mth)</t>
  </si>
  <si>
    <t>ME req (MJ ME/d)</t>
  </si>
  <si>
    <t>Protein</t>
  </si>
  <si>
    <t>Fat% &amp; Protein %</t>
  </si>
  <si>
    <t>CS &amp; LW Ch/lactating or dry</t>
  </si>
  <si>
    <t>Energy (MJ/kg)</t>
  </si>
  <si>
    <t>Milk range (kg)</t>
  </si>
  <si>
    <t xml:space="preserve">Corresponding Percent concentrate dry 
matter of the total dry 
matter intake </t>
  </si>
  <si>
    <t>Ca req %</t>
  </si>
  <si>
    <t>P req %</t>
  </si>
  <si>
    <t>Dry</t>
  </si>
  <si>
    <t>Loss</t>
  </si>
  <si>
    <t>Energy
(MJ ME/d)</t>
  </si>
  <si>
    <t>Early lactation</t>
  </si>
  <si>
    <t>Gain &amp; dry</t>
  </si>
  <si>
    <t>&lt;=5</t>
  </si>
  <si>
    <t>Mid lactation</t>
  </si>
  <si>
    <t>Gain &amp; lactating</t>
  </si>
  <si>
    <t>5.0 - 10.0</t>
  </si>
  <si>
    <t>Late lactation</t>
  </si>
  <si>
    <t>10.0 - 15.0</t>
  </si>
  <si>
    <t>Milk yield</t>
  </si>
  <si>
    <t>Volume (kg)</t>
  </si>
  <si>
    <t>15.0 - 25.0</t>
  </si>
  <si>
    <t>Milk fat (%)</t>
  </si>
  <si>
    <t>Milk protein (%)</t>
  </si>
  <si>
    <t>Condition score/LWT change</t>
  </si>
  <si>
    <t>Live weight gain/loss (kg/d)</t>
  </si>
  <si>
    <t xml:space="preserve">TOTAL </t>
  </si>
  <si>
    <t xml:space="preserve"> </t>
  </si>
  <si>
    <t>CP (%)</t>
  </si>
  <si>
    <t>17</t>
  </si>
  <si>
    <t>NDF (%)</t>
  </si>
  <si>
    <t>Ca (%)</t>
  </si>
  <si>
    <t>P (%)</t>
  </si>
  <si>
    <t>Concentrate max (%)</t>
  </si>
  <si>
    <t>Ration formulation for milking cows</t>
  </si>
  <si>
    <t>No.</t>
  </si>
  <si>
    <t>Ration ingredients</t>
  </si>
  <si>
    <t>Max (kg/d)</t>
  </si>
  <si>
    <t>Fresh feed intake (kg/d)</t>
  </si>
  <si>
    <t>DM intake (kg/d)</t>
  </si>
  <si>
    <t>ME intake (MJ/d)</t>
  </si>
  <si>
    <t>CP intake (kg/d)</t>
  </si>
  <si>
    <t>NDF intake [kg/d)</t>
  </si>
  <si>
    <t>Ca intake (g/d)</t>
  </si>
  <si>
    <t>P intake (g/d)</t>
  </si>
  <si>
    <t>Concentrate intake (Kg DM/d)</t>
  </si>
  <si>
    <t>Non concentrate intake intake</t>
  </si>
  <si>
    <t>Unit price (/kg)</t>
  </si>
  <si>
    <t>Total price</t>
  </si>
  <si>
    <t>Chana churi/ soya chilka</t>
  </si>
  <si>
    <t>Green fodder(maize)</t>
  </si>
  <si>
    <t>Silage maize</t>
  </si>
  <si>
    <t>Cotton cake</t>
  </si>
  <si>
    <t>Cotton seed</t>
  </si>
  <si>
    <t>Musturd  cake</t>
  </si>
  <si>
    <t>Rice polish</t>
  </si>
  <si>
    <t>Dorb</t>
  </si>
  <si>
    <t>Soya doc</t>
  </si>
  <si>
    <t>Musturd doc</t>
  </si>
  <si>
    <t>wheat</t>
  </si>
  <si>
    <t>Guar korma</t>
  </si>
  <si>
    <t>Maize grain</t>
  </si>
  <si>
    <t>Cattle feed -Type II</t>
  </si>
  <si>
    <t>Wheat bran</t>
  </si>
  <si>
    <t>Wheat straw</t>
  </si>
  <si>
    <t>Molasses</t>
  </si>
  <si>
    <t>Mung churi</t>
  </si>
  <si>
    <t>Cattle feed -Type I</t>
  </si>
  <si>
    <t>green fodder(barseem)</t>
  </si>
  <si>
    <t>ground nut cake</t>
  </si>
  <si>
    <t>Barley</t>
  </si>
  <si>
    <t>Rice broken</t>
  </si>
  <si>
    <t>Urea</t>
  </si>
  <si>
    <t>Mineral mixture</t>
  </si>
  <si>
    <t>Bypass fat</t>
  </si>
  <si>
    <t xml:space="preserve">Total intake per head:  </t>
  </si>
  <si>
    <t>Feed cost (your currency/d)</t>
  </si>
  <si>
    <t xml:space="preserve">% DM:  </t>
  </si>
  <si>
    <t>Ref requirements based on max DM intake</t>
  </si>
  <si>
    <t>Max energy</t>
  </si>
  <si>
    <t>Maximum DM intake (kg/d)</t>
  </si>
  <si>
    <t>X</t>
  </si>
  <si>
    <t>=</t>
  </si>
  <si>
    <t>% Live weight</t>
  </si>
  <si>
    <t>Milk income less feed cost (MIFC)</t>
  </si>
  <si>
    <t>Live weight
(kg)</t>
  </si>
  <si>
    <t>Live weight gain/loss
(kg/d)</t>
  </si>
  <si>
    <t>Cow descriptors</t>
  </si>
  <si>
    <t>DM (kg)</t>
  </si>
  <si>
    <t>Energy
[MJ ME]</t>
  </si>
  <si>
    <t>Protein
(%)</t>
  </si>
  <si>
    <t>NDF
(%)</t>
  </si>
  <si>
    <t>Ca (g/d)</t>
  </si>
  <si>
    <t>P (g/d)</t>
  </si>
  <si>
    <t>Nutrient requirements</t>
  </si>
  <si>
    <t>Nutrient supply</t>
  </si>
  <si>
    <t>\</t>
  </si>
  <si>
    <t>Milk prod (kg/d)</t>
  </si>
  <si>
    <t>Milk fat &amp; protein(%)</t>
  </si>
  <si>
    <t>Milk return
(your currency/kg)</t>
  </si>
  <si>
    <t>Milk return
(your currency/d)</t>
  </si>
  <si>
    <t>Feed cost</t>
  </si>
  <si>
    <t xml:space="preserve">MIFC (your currency/d) </t>
  </si>
  <si>
    <t>Insert numbers only in the blue cell</t>
  </si>
  <si>
    <t>FAO FEED DATABASE</t>
  </si>
  <si>
    <t>A</t>
  </si>
  <si>
    <t>B</t>
  </si>
  <si>
    <t>C</t>
  </si>
  <si>
    <t>D</t>
  </si>
  <si>
    <t>E</t>
  </si>
  <si>
    <t>F</t>
  </si>
  <si>
    <t>G</t>
  </si>
  <si>
    <t>H</t>
  </si>
  <si>
    <t>I</t>
  </si>
  <si>
    <t xml:space="preserve">  </t>
  </si>
  <si>
    <t>Price</t>
  </si>
  <si>
    <t>DM content</t>
  </si>
  <si>
    <t>DM price</t>
  </si>
  <si>
    <t>ME content</t>
  </si>
  <si>
    <t xml:space="preserve">ME price </t>
  </si>
  <si>
    <t>CP content</t>
  </si>
  <si>
    <t>CP price</t>
  </si>
  <si>
    <t>NDF content</t>
  </si>
  <si>
    <t>NDF price</t>
  </si>
  <si>
    <t>Ca content</t>
  </si>
  <si>
    <t>Ca price</t>
  </si>
  <si>
    <t>P content</t>
  </si>
  <si>
    <t>P price</t>
  </si>
  <si>
    <t>Concentrate content</t>
  </si>
  <si>
    <t>Forage content</t>
  </si>
  <si>
    <t>Feed</t>
  </si>
  <si>
    <t>your currency/kg</t>
  </si>
  <si>
    <t>%</t>
  </si>
  <si>
    <t>your currency/kg DM</t>
  </si>
  <si>
    <t>MJ/kg DM</t>
  </si>
  <si>
    <t>Rs./MJ of ME</t>
  </si>
  <si>
    <t>Rs./kg CP</t>
  </si>
  <si>
    <t>Rs./kg NDF</t>
  </si>
  <si>
    <t>% DM</t>
  </si>
  <si>
    <t>Rs./kg Ca</t>
  </si>
  <si>
    <t>Rs./kg P</t>
  </si>
  <si>
    <t>%DM</t>
  </si>
  <si>
    <t>Formula</t>
  </si>
  <si>
    <t>A / B x 100</t>
  </si>
  <si>
    <t>C / D</t>
  </si>
  <si>
    <t>C / F</t>
  </si>
  <si>
    <t>C / H</t>
  </si>
  <si>
    <t>Energy requirements for milk production (MJ ME/kg)</t>
  </si>
  <si>
    <t>snf</t>
  </si>
  <si>
    <t>Protein %</t>
  </si>
  <si>
    <t>Fat %</t>
  </si>
  <si>
    <t>Feed  Protien Energy Ratio</t>
  </si>
  <si>
    <t>Date</t>
  </si>
  <si>
    <t>Technician</t>
  </si>
  <si>
    <t>Farmer</t>
  </si>
  <si>
    <t>Cow</t>
  </si>
  <si>
    <t>MILKING</t>
  </si>
  <si>
    <t>Cow characteristics</t>
  </si>
  <si>
    <t>Ration nutritional analysis</t>
  </si>
  <si>
    <t>Needs</t>
  </si>
  <si>
    <t>Intake</t>
  </si>
  <si>
    <t>Metabolisable Energy (MJ/d)</t>
  </si>
  <si>
    <t>Crude protein (kg/d)</t>
  </si>
  <si>
    <t>Calcium (g/d)</t>
  </si>
  <si>
    <t>Phosphorus (g/d)</t>
  </si>
  <si>
    <t>NDF</t>
  </si>
  <si>
    <t>max</t>
  </si>
  <si>
    <t>intake</t>
  </si>
  <si>
    <t>Dry matter (kg/d)</t>
  </si>
  <si>
    <t>Concentrate</t>
  </si>
  <si>
    <t>Composition of the ration</t>
  </si>
  <si>
    <t>Milk return (Rs./kg)</t>
  </si>
  <si>
    <t>Milk return (Rs./d)</t>
  </si>
  <si>
    <t>Feed cost (Rs/d)</t>
  </si>
  <si>
    <t xml:space="preserve">MIFC ROI (Rs/d) </t>
  </si>
  <si>
    <t>If you have any question please contact your technician :</t>
  </si>
  <si>
    <t xml:space="preserve">MILK LOSS </t>
  </si>
  <si>
    <t>NUMBER OF ANIMAL</t>
  </si>
</sst>
</file>

<file path=xl/styles.xml><?xml version="1.0" encoding="utf-8"?>
<styleSheet xmlns="http://schemas.openxmlformats.org/spreadsheetml/2006/main" xml:space="preserve">
  <numFmts count="5">
    <numFmt numFmtId="164" formatCode="0.0"/>
    <numFmt numFmtId="165" formatCode="_-* #,##0_-;\-* #,##0_-;_-* &quot;-&quot;??_-;_-@_-"/>
    <numFmt numFmtId="166" formatCode="#,##0_ ;\-#,##0\ "/>
    <numFmt numFmtId="167" formatCode="0.0%"/>
    <numFmt numFmtId="168" formatCode="_-* #,##0.00_-;\-* #,##0.00_-;_-* &quot;-&quot;??_-;_-@_-"/>
  </numFmts>
  <fonts count="14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0"/>
      <color rgb="FF000000"/>
      <name val="Small Fonts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1"/>
      <i val="0"/>
      <strike val="0"/>
      <u val="none"/>
      <sz val="12"/>
      <color rgb="FF000000"/>
      <name val="Arial Black"/>
    </font>
    <font>
      <b val="0"/>
      <i val="0"/>
      <strike val="0"/>
      <u val="none"/>
      <sz val="12"/>
      <color rgb="FF000000"/>
      <name val="Arial Black"/>
    </font>
    <font>
      <b val="1"/>
      <i val="0"/>
      <strike val="0"/>
      <u val="none"/>
      <sz val="14"/>
      <color rgb="FF000000"/>
      <name val="Arial"/>
    </font>
    <font>
      <b val="0"/>
      <i val="1"/>
      <strike val="0"/>
      <u val="none"/>
      <sz val="12"/>
      <color rgb="FF000000"/>
      <name val="Arial"/>
    </font>
    <font>
      <b val="1"/>
      <i val="0"/>
      <strike val="0"/>
      <u val="single"/>
      <sz val="10"/>
      <color rgb="FF000000"/>
      <name val="Arial"/>
    </font>
    <font>
      <b val="0"/>
      <i val="0"/>
      <strike val="0"/>
      <u val="none"/>
      <sz val="12"/>
      <color rgb="FFFF0000"/>
      <name val="Arial"/>
    </font>
    <font>
      <b val="1"/>
      <i val="0"/>
      <strike val="0"/>
      <u val="none"/>
      <sz val="12"/>
      <color rgb="FFFF0000"/>
      <name val="Arial"/>
    </font>
    <font>
      <b val="1"/>
      <i val="0"/>
      <strike val="0"/>
      <u val="none"/>
      <sz val="26"/>
      <color rgb="FF000000"/>
      <name val="Arial"/>
    </font>
    <font>
      <b val="1"/>
      <i val="1"/>
      <strike val="0"/>
      <u val="none"/>
      <sz val="10"/>
      <color rgb="FF000000"/>
      <name val="Arial"/>
    </font>
  </fonts>
  <fills count="14">
    <fill>
      <patternFill patternType="none"/>
    </fill>
    <fill>
      <patternFill patternType="gray125"/>
    </fill>
    <fill>
      <patternFill patternType="solid">
        <fgColor rgb="00FFFFFF"/>
        <bgColor rgb="FFFFFFFF"/>
      </patternFill>
    </fill>
    <fill>
      <patternFill patternType="solid">
        <fgColor rgb="00CCFFFF"/>
        <bgColor rgb="FFFFFFFF"/>
      </patternFill>
    </fill>
    <fill>
      <patternFill patternType="solid">
        <fgColor rgb="00FFFF00"/>
        <bgColor rgb="FFFFFFFF"/>
      </patternFill>
    </fill>
    <fill>
      <patternFill patternType="solid">
        <fgColor rgb="0000FFF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D9D9D9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00FFFF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0000CCFF"/>
        <bgColor rgb="FFFFFFFF"/>
      </patternFill>
    </fill>
  </fills>
  <borders count="5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hair">
        <color rgb="FF000000"/>
      </right>
      <top style="double">
        <color rgb="FF000000"/>
      </top>
      <bottom style="hair">
        <color rgb="FF000000"/>
      </bottom>
      <diagonal/>
    </border>
    <border>
      <left style="hair">
        <color rgb="FF000000"/>
      </left>
      <right/>
      <top style="double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double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double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double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double">
        <color rgb="FF000000"/>
      </right>
      <top style="hair">
        <color rgb="FF000000"/>
      </top>
      <bottom style="thin">
        <color rgb="FF000000"/>
      </bottom>
      <diagonal/>
    </border>
    <border>
      <left style="double">
        <color rgb="FF000000"/>
      </left>
      <right style="hair">
        <color rgb="FF000000"/>
      </right>
      <top style="double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double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double">
        <color rgb="FF000000"/>
      </top>
      <bottom style="hair">
        <color rgb="FF000000"/>
      </bottom>
      <diagonal/>
    </border>
    <border>
      <left style="double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double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hair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/>
      <top/>
      <bottom style="hair">
        <color rgb="FF000000"/>
      </bottom>
      <diagonal/>
    </border>
    <border>
      <left style="thin">
        <color rgb="FF000000"/>
      </left>
      <right style="hair">
        <color rgb="FF000000"/>
      </right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double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37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1">
      <alignment vertical="center" textRotation="0" wrapText="false" shrinkToFit="false"/>
    </xf>
    <xf xfId="0" fontId="0" numFmtId="0" fillId="0" borderId="0" applyFont="0" applyNumberFormat="0" applyFill="0" applyBorder="0" applyAlignment="1">
      <alignment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2" numFmtId="0" fillId="0" borderId="0" applyFont="1" applyNumberFormat="0" applyFill="0" applyBorder="0" applyAlignment="1">
      <alignment vertical="center" textRotation="0" wrapText="false" shrinkToFit="false"/>
    </xf>
    <xf xfId="0" fontId="0" numFmtId="0" fillId="0" borderId="0" applyFont="0" applyNumberFormat="0" applyFill="0" applyBorder="0" applyAlignment="1">
      <alignment vertical="center" textRotation="0" wrapText="true" shrinkToFit="false"/>
    </xf>
    <xf xfId="0" fontId="2" numFmtId="0" fillId="0" borderId="0" applyFont="1" applyNumberFormat="0" applyFill="0" applyBorder="0" applyAlignment="1">
      <alignment vertical="center" textRotation="0" wrapText="true" shrinkToFit="false"/>
    </xf>
    <xf xfId="0" fontId="3" numFmtId="0" fillId="0" borderId="1" applyFont="1" applyNumberFormat="0" applyFill="0" applyBorder="1" applyAlignment="1">
      <alignment horizontal="center" vertical="center" textRotation="0" wrapText="false" shrinkToFit="false"/>
    </xf>
    <xf xfId="0" fontId="3" numFmtId="0" fillId="0" borderId="1" applyFont="1" applyNumberFormat="0" applyFill="0" applyBorder="1" applyAlignment="1">
      <alignment horizontal="center" vertical="center" textRotation="0" wrapText="true" shrinkToFit="false"/>
    </xf>
    <xf xfId="0" fontId="4" quotePrefix="1" numFmtId="0" fillId="0" borderId="0" applyFont="1" applyNumberFormat="0" applyFill="0" applyBorder="0" applyAlignment="1">
      <alignment horizontal="right" vertical="center" textRotation="0" wrapText="false" shrinkToFit="false"/>
    </xf>
    <xf xfId="0" fontId="4" numFmtId="0" fillId="0" borderId="0" applyFont="1" applyNumberFormat="0" applyFill="0" applyBorder="0" applyAlignment="1">
      <alignment vertical="center" textRotation="0" wrapText="false" shrinkToFit="false"/>
    </xf>
    <xf xfId="0" fontId="4" numFmtId="0" fillId="0" borderId="0" applyFont="1" applyNumberFormat="0" applyFill="0" applyBorder="0" applyAlignment="1">
      <alignment horizontal="center" vertical="center" textRotation="0" wrapText="false" shrinkToFit="false"/>
    </xf>
    <xf xfId="0" fontId="4" numFmtId="0" fillId="0" borderId="0" applyFont="1" applyNumberFormat="0" applyFill="0" applyBorder="0" applyAlignment="1">
      <alignment vertical="center" textRotation="0" wrapText="false" shrinkToFit="false"/>
    </xf>
    <xf xfId="0" fontId="3" numFmtId="0" fillId="0" borderId="0" applyFont="1" applyNumberFormat="0" applyFill="0" applyBorder="0" applyAlignment="1">
      <alignment vertical="center" textRotation="0" wrapText="false" shrinkToFit="false"/>
    </xf>
    <xf xfId="0" fontId="4" numFmtId="0" fillId="0" borderId="2" applyFont="1" applyNumberFormat="0" applyFill="0" applyBorder="1" applyAlignment="1">
      <alignment horizontal="center" vertical="center" textRotation="0" wrapText="false" shrinkToFit="false"/>
    </xf>
    <xf xfId="0" fontId="4" numFmtId="0" fillId="0" borderId="3" applyFont="1" applyNumberFormat="0" applyFill="0" applyBorder="1" applyAlignment="1">
      <alignment horizontal="center" vertical="center" textRotation="0" wrapText="false" shrinkToFit="false"/>
    </xf>
    <xf xfId="0" fontId="3" numFmtId="0" fillId="0" borderId="4" applyFont="1" applyNumberFormat="0" applyFill="0" applyBorder="1" applyAlignment="1">
      <alignment horizontal="center" vertical="center" textRotation="0" wrapText="false" shrinkToFit="false"/>
    </xf>
    <xf xfId="0" fontId="4" numFmtId="0" fillId="0" borderId="4" applyFont="1" applyNumberFormat="0" applyFill="0" applyBorder="1" applyAlignment="1">
      <alignment horizontal="center" vertical="center" textRotation="0" wrapText="false" shrinkToFit="false"/>
    </xf>
    <xf xfId="0" fontId="3" numFmtId="0" fillId="0" borderId="5" applyFont="1" applyNumberFormat="0" applyFill="0" applyBorder="1" applyAlignment="1">
      <alignment horizontal="center" vertical="center" textRotation="0" wrapText="true" shrinkToFit="false"/>
    </xf>
    <xf xfId="0" fontId="3" numFmtId="0" fillId="0" borderId="6" applyFont="1" applyNumberFormat="0" applyFill="0" applyBorder="1" applyAlignment="1">
      <alignment horizontal="center" vertical="center" textRotation="0" wrapText="true" shrinkToFit="false"/>
    </xf>
    <xf xfId="0" fontId="3" numFmtId="0" fillId="0" borderId="7" applyFont="1" applyNumberFormat="0" applyFill="0" applyBorder="1" applyAlignment="1">
      <alignment horizontal="center" vertical="center" textRotation="0" wrapText="true" shrinkToFit="false"/>
    </xf>
    <xf xfId="0" fontId="4" numFmtId="0" fillId="0" borderId="8" applyFont="1" applyNumberFormat="0" applyFill="0" applyBorder="1" applyAlignment="1">
      <alignment horizontal="center" vertical="center" textRotation="0" wrapText="true" shrinkToFit="false"/>
    </xf>
    <xf xfId="0" fontId="4" numFmtId="0" fillId="0" borderId="9" applyFont="1" applyNumberFormat="0" applyFill="0" applyBorder="1" applyAlignment="1">
      <alignment horizontal="center" vertical="center" textRotation="0" wrapText="true" shrinkToFit="false"/>
    </xf>
    <xf xfId="0" fontId="4" quotePrefix="1" numFmtId="0" fillId="0" borderId="10" applyFont="1" applyNumberFormat="0" applyFill="0" applyBorder="1" applyAlignment="1">
      <alignment horizontal="center" vertical="center" textRotation="0" wrapText="true" shrinkToFit="false"/>
    </xf>
    <xf xfId="0" fontId="4" numFmtId="0" fillId="0" borderId="10" applyFont="1" applyNumberFormat="0" applyFill="0" applyBorder="1" applyAlignment="1">
      <alignment horizontal="center" vertical="center" textRotation="0" wrapText="true" shrinkToFit="false"/>
    </xf>
    <xf xfId="0" fontId="4" quotePrefix="1" numFmtId="0" fillId="0" borderId="8" applyFont="1" applyNumberFormat="0" applyFill="0" applyBorder="1" applyAlignment="1">
      <alignment horizontal="center" vertical="center" textRotation="0" wrapText="true" shrinkToFit="false"/>
    </xf>
    <xf xfId="0" fontId="4" numFmtId="0" fillId="0" borderId="1" applyFont="1" applyNumberFormat="0" applyFill="0" applyBorder="1" applyAlignment="1">
      <alignment horizontal="center" vertical="center" textRotation="0" wrapText="false" shrinkToFit="false"/>
    </xf>
    <xf xfId="0" fontId="4" numFmtId="0" fillId="0" borderId="11" applyFont="1" applyNumberFormat="0" applyFill="0" applyBorder="1" applyAlignment="1">
      <alignment horizontal="center" vertical="center" textRotation="0" wrapText="false" shrinkToFit="false"/>
    </xf>
    <xf xfId="0" fontId="3" numFmtId="0" fillId="0" borderId="1" applyFont="1" applyNumberFormat="0" applyFill="0" applyBorder="1" applyAlignment="1">
      <alignment horizontal="center" vertical="center" textRotation="0" wrapText="true" shrinkToFit="false"/>
    </xf>
    <xf xfId="0" fontId="3" numFmtId="0" fillId="0" borderId="11" applyFont="1" applyNumberFormat="0" applyFill="0" applyBorder="1" applyAlignment="1">
      <alignment horizontal="center" vertical="center" textRotation="0" wrapText="true" shrinkToFit="false"/>
    </xf>
    <xf xfId="0" fontId="3" quotePrefix="1" numFmtId="0" fillId="0" borderId="11" applyFont="1" applyNumberFormat="0" applyFill="0" applyBorder="1" applyAlignment="1">
      <alignment horizontal="center" vertical="center" textRotation="0" wrapText="true" shrinkToFit="false"/>
    </xf>
    <xf xfId="0" fontId="4" numFmtId="0" fillId="0" borderId="12" applyFont="1" applyNumberFormat="0" applyFill="0" applyBorder="1" applyAlignment="1">
      <alignment horizontal="center" vertical="center" textRotation="0" wrapText="false" shrinkToFit="false"/>
    </xf>
    <xf xfId="0" fontId="3" numFmtId="0" fillId="0" borderId="13" applyFont="1" applyNumberFormat="0" applyFill="0" applyBorder="1" applyAlignment="1">
      <alignment horizontal="left" vertical="center" textRotation="0" wrapText="false" shrinkToFit="false"/>
    </xf>
    <xf xfId="0" fontId="3" numFmtId="0" fillId="0" borderId="14" applyFont="1" applyNumberFormat="0" applyFill="0" applyBorder="1" applyAlignment="1">
      <alignment horizontal="left" vertical="center" textRotation="0" wrapText="false" shrinkToFit="false"/>
    </xf>
    <xf xfId="0" fontId="3" numFmtId="164" fillId="0" borderId="0" applyFont="1" applyNumberFormat="1" applyFill="0" applyBorder="0" applyAlignment="1">
      <alignment vertical="bottom" textRotation="0" wrapText="true" shrinkToFit="false"/>
    </xf>
    <xf xfId="0" fontId="3" numFmtId="164" fillId="0" borderId="15" applyFont="1" applyNumberFormat="1" applyFill="0" applyBorder="1" applyAlignment="0"/>
    <xf xfId="0" fontId="3" numFmtId="164" fillId="0" borderId="16" applyFont="1" applyNumberFormat="1" applyFill="0" applyBorder="1" applyAlignment="0"/>
    <xf xfId="0" fontId="3" numFmtId="164" fillId="0" borderId="17" applyFont="1" applyNumberFormat="1" applyFill="0" applyBorder="1" applyAlignment="0"/>
    <xf xfId="0" fontId="3" numFmtId="164" fillId="0" borderId="18" applyFont="1" applyNumberFormat="1" applyFill="0" applyBorder="1" applyAlignment="0"/>
    <xf xfId="0" fontId="3" numFmtId="164" fillId="0" borderId="19" applyFont="1" applyNumberFormat="1" applyFill="0" applyBorder="1" applyAlignment="0"/>
    <xf xfId="0" fontId="3" numFmtId="164" fillId="0" borderId="20" applyFont="1" applyNumberFormat="1" applyFill="0" applyBorder="1" applyAlignment="0"/>
    <xf xfId="0" fontId="4" numFmtId="2" fillId="0" borderId="21" applyFont="1" applyNumberFormat="1" applyFill="0" applyBorder="1" applyAlignment="0"/>
    <xf xfId="0" fontId="4" numFmtId="2" fillId="0" borderId="22" applyFont="1" applyNumberFormat="1" applyFill="0" applyBorder="1" applyAlignment="0"/>
    <xf xfId="0" fontId="4" numFmtId="2" fillId="0" borderId="23" applyFont="1" applyNumberFormat="1" applyFill="0" applyBorder="1" applyAlignment="0"/>
    <xf xfId="0" fontId="4" numFmtId="2" fillId="0" borderId="24" applyFont="1" applyNumberFormat="1" applyFill="0" applyBorder="1" applyAlignment="0"/>
    <xf xfId="0" fontId="4" numFmtId="2" fillId="0" borderId="25" applyFont="1" applyNumberFormat="1" applyFill="0" applyBorder="1" applyAlignment="0"/>
    <xf xfId="0" fontId="4" numFmtId="2" fillId="0" borderId="26" applyFont="1" applyNumberFormat="1" applyFill="0" applyBorder="1" applyAlignment="0"/>
    <xf xfId="0" fontId="4" numFmtId="2" fillId="0" borderId="27" applyFont="1" applyNumberFormat="1" applyFill="0" applyBorder="1" applyAlignment="0"/>
    <xf xfId="0" fontId="4" numFmtId="2" fillId="0" borderId="28" applyFont="1" applyNumberFormat="1" applyFill="0" applyBorder="1" applyAlignment="0"/>
    <xf xfId="0" fontId="4" numFmtId="2" fillId="0" borderId="29" applyFont="1" applyNumberFormat="1" applyFill="0" applyBorder="1" applyAlignment="0"/>
    <xf xfId="0" fontId="4" numFmtId="0" fillId="0" borderId="0" applyFont="1" applyNumberFormat="0" applyFill="0" applyBorder="0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1">
      <alignment horizontal="center" vertical="center" textRotation="0" wrapText="true" shrinkToFit="false"/>
    </xf>
    <xf xfId="0" fontId="3" numFmtId="164" fillId="0" borderId="0" applyFont="1" applyNumberFormat="1" applyFill="0" applyBorder="0" applyAlignment="1">
      <alignment horizontal="center" vertical="center" textRotation="0" wrapText="false" shrinkToFit="false"/>
    </xf>
    <xf xfId="0" fontId="4" numFmtId="2" fillId="0" borderId="0" applyFont="1" applyNumberFormat="1" applyFill="0" applyBorder="0" applyAlignment="1">
      <alignment horizontal="center" vertical="center" textRotation="0" wrapText="false" shrinkToFit="false"/>
    </xf>
    <xf xfId="0" fontId="4" numFmtId="0" fillId="2" borderId="8" applyFont="1" applyNumberFormat="0" applyFill="1" applyBorder="1" applyAlignment="1">
      <alignment horizontal="right" vertical="center" textRotation="0" wrapText="false" shrinkToFit="false"/>
    </xf>
    <xf xfId="0" fontId="4" numFmtId="0" fillId="2" borderId="10" applyFont="1" applyNumberFormat="0" applyFill="1" applyBorder="1" applyAlignment="1">
      <alignment horizontal="right" vertical="center" textRotation="0" wrapText="false" shrinkToFit="false"/>
    </xf>
    <xf xfId="0" fontId="4" numFmtId="0" fillId="2" borderId="30" applyFont="1" applyNumberFormat="0" applyFill="1" applyBorder="1" applyAlignment="1">
      <alignment horizontal="right" vertical="center" textRotation="0" wrapText="false" shrinkToFit="false"/>
    </xf>
    <xf xfId="0" fontId="4" numFmtId="0" fillId="2" borderId="31" applyFont="1" applyNumberFormat="0" applyFill="1" applyBorder="1" applyAlignment="1">
      <alignment horizontal="right" vertical="center" textRotation="0" wrapText="false" shrinkToFit="false"/>
    </xf>
    <xf xfId="0" fontId="4" numFmtId="0" fillId="2" borderId="32" applyFont="1" applyNumberFormat="0" applyFill="1" applyBorder="1" applyAlignment="1">
      <alignment horizontal="right" vertical="center" textRotation="0" wrapText="false" shrinkToFit="false"/>
    </xf>
    <xf xfId="0" fontId="4" numFmtId="0" fillId="2" borderId="33" applyFont="1" applyNumberFormat="0" applyFill="1" applyBorder="1" applyAlignment="1">
      <alignment horizontal="right" vertical="center" textRotation="0" wrapText="false" shrinkToFit="false"/>
    </xf>
    <xf xfId="0" fontId="4" numFmtId="0" fillId="2" borderId="34" applyFont="1" applyNumberFormat="0" applyFill="1" applyBorder="1" applyAlignment="1">
      <alignment horizontal="right" vertical="center" textRotation="0" wrapText="false" shrinkToFit="false"/>
    </xf>
    <xf xfId="0" fontId="4" numFmtId="0" fillId="2" borderId="35" applyFont="1" applyNumberFormat="0" applyFill="1" applyBorder="1" applyAlignment="1">
      <alignment horizontal="right" vertical="center" textRotation="0" wrapText="false" shrinkToFit="false"/>
    </xf>
    <xf xfId="0" fontId="4" numFmtId="0" fillId="2" borderId="8" applyFont="1" applyNumberFormat="0" applyFill="1" applyBorder="1" applyAlignment="1">
      <alignment horizontal="right" vertical="center" textRotation="0" wrapText="true" shrinkToFit="false"/>
    </xf>
    <xf xfId="0" fontId="4" numFmtId="0" fillId="2" borderId="10" applyFont="1" applyNumberFormat="0" applyFill="1" applyBorder="1" applyAlignment="1">
      <alignment horizontal="right" vertical="center" textRotation="0" wrapText="true" shrinkToFit="false"/>
    </xf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3" numFmtId="0" fillId="0" borderId="4" applyFont="1" applyNumberFormat="0" applyFill="0" applyBorder="1" applyAlignment="1">
      <alignment horizontal="center" vertical="center" textRotation="0" wrapText="false" shrinkToFit="false"/>
    </xf>
    <xf xfId="0" fontId="4" numFmtId="0" fillId="0" borderId="9" applyFont="1" applyNumberFormat="0" applyFill="0" applyBorder="1" applyAlignment="1">
      <alignment horizontal="center" vertical="center" textRotation="0" wrapText="false" shrinkToFit="false"/>
    </xf>
    <xf xfId="0" fontId="4" numFmtId="164" fillId="0" borderId="0" applyFont="1" applyNumberFormat="1" applyFill="0" applyBorder="0" applyAlignment="1">
      <alignment horizontal="center" vertical="center" textRotation="0" wrapText="false" shrinkToFit="false"/>
    </xf>
    <xf xfId="0" fontId="4" numFmtId="1" fillId="0" borderId="0" applyFont="1" applyNumberFormat="1" applyFill="0" applyBorder="0" applyAlignment="1">
      <alignment horizontal="center" vertical="center" textRotation="0" wrapText="false" shrinkToFit="false"/>
    </xf>
    <xf xfId="0" fontId="4" numFmtId="0" fillId="3" borderId="9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4" numFmtId="164" fillId="3" borderId="36" applyFont="1" applyNumberFormat="1" applyFill="1" applyBorder="1" applyAlignment="1" applyProtection="true">
      <alignment horizontal="center" vertical="center" textRotation="0" wrapText="false" shrinkToFit="false"/>
      <protection locked="false"/>
    </xf>
    <xf xfId="0" fontId="4" numFmtId="164" fillId="3" borderId="37" applyFont="1" applyNumberFormat="1" applyFill="1" applyBorder="1" applyAlignment="1" applyProtection="true">
      <alignment horizontal="center" vertical="center" textRotation="0" wrapText="false" shrinkToFit="false"/>
      <protection locked="false"/>
    </xf>
    <xf xfId="0" fontId="4" numFmtId="0" fillId="0" borderId="0" applyFont="1" applyNumberFormat="0" applyFill="0" applyBorder="0" applyAlignment="1">
      <alignment horizontal="center" vertical="center" textRotation="0" wrapText="false" shrinkToFit="false"/>
    </xf>
    <xf xfId="0" fontId="4" numFmtId="0" fillId="0" borderId="38" applyFont="1" applyNumberFormat="0" applyFill="0" applyBorder="1" applyAlignment="1">
      <alignment horizontal="center" vertical="center" textRotation="0" wrapText="false" shrinkToFit="false"/>
    </xf>
    <xf xfId="0" fontId="4" numFmtId="0" fillId="0" borderId="0" applyFont="1" applyNumberFormat="0" applyFill="0" applyBorder="0" applyAlignment="1">
      <alignment horizontal="left" vertical="center" textRotation="0" wrapText="false" shrinkToFit="false"/>
    </xf>
    <xf xfId="0" fontId="4" numFmtId="0" fillId="0" borderId="9" applyFont="1" applyNumberFormat="0" applyFill="0" applyBorder="1" applyAlignment="1">
      <alignment horizontal="center" vertical="center" textRotation="0" wrapText="false" shrinkToFit="false"/>
    </xf>
    <xf xfId="0" fontId="4" quotePrefix="1" numFmtId="0" fillId="0" borderId="0" applyFont="1" applyNumberFormat="0" applyFill="0" applyBorder="0" applyAlignment="1">
      <alignment horizontal="left" vertical="center" textRotation="0" wrapText="false" shrinkToFit="false"/>
    </xf>
    <xf xfId="0" fontId="3" numFmtId="0" fillId="0" borderId="0" applyFont="1" applyNumberFormat="0" applyFill="0" applyBorder="0" applyAlignment="1">
      <alignment horizontal="right" vertical="center" textRotation="0" wrapText="false" shrinkToFit="false"/>
    </xf>
    <xf xfId="0" fontId="3" numFmtId="0" fillId="0" borderId="0" applyFont="1" applyNumberFormat="0" applyFill="0" applyBorder="0" applyAlignment="1">
      <alignment vertical="center" textRotation="0" wrapText="false" shrinkToFit="false"/>
    </xf>
    <xf xfId="0" fontId="4" numFmtId="0" fillId="0" borderId="39" applyFont="1" applyNumberFormat="0" applyFill="0" applyBorder="1" applyAlignment="1">
      <alignment vertical="center" textRotation="0" wrapText="false" shrinkToFit="false"/>
    </xf>
    <xf xfId="0" fontId="5" numFmtId="164" fillId="4" borderId="9" applyFont="1" applyNumberFormat="1" applyFill="1" applyBorder="1" applyAlignment="1">
      <alignment horizontal="center" vertical="center" textRotation="0" wrapText="false" shrinkToFit="false"/>
    </xf>
    <xf xfId="0" fontId="5" numFmtId="9" fillId="4" borderId="9" applyFont="1" applyNumberFormat="1" applyFill="1" applyBorder="1" applyAlignment="1">
      <alignment horizontal="center" vertical="center" textRotation="0" wrapText="false" shrinkToFit="false"/>
    </xf>
    <xf xfId="0" fontId="4" numFmtId="0" fillId="3" borderId="38" applyFont="1" applyNumberFormat="0" applyFill="1" applyBorder="1" applyAlignment="1" applyProtection="true">
      <alignment vertical="center" textRotation="0" wrapText="false" shrinkToFit="false"/>
      <protection locked="false"/>
    </xf>
    <xf xfId="0" fontId="4" numFmtId="0" fillId="3" borderId="9" applyFont="1" applyNumberFormat="0" applyFill="1" applyBorder="1" applyAlignment="1" applyProtection="true">
      <alignment vertical="center" textRotation="0" wrapText="false" shrinkToFit="false"/>
      <protection locked="false"/>
    </xf>
    <xf xfId="0" fontId="3" numFmtId="0" fillId="0" borderId="0" applyFont="1" applyNumberFormat="0" applyFill="0" applyBorder="0" applyAlignment="1">
      <alignment horizontal="center" vertical="center" textRotation="0" wrapText="true" shrinkToFit="false"/>
    </xf>
    <xf xfId="0" fontId="4" numFmtId="0" fillId="0" borderId="40" applyFont="1" applyNumberFormat="0" applyFill="0" applyBorder="1" applyAlignment="1">
      <alignment vertical="center" textRotation="0" wrapText="false" shrinkToFit="false"/>
    </xf>
    <xf xfId="0" fontId="4" numFmtId="0" fillId="0" borderId="40" applyFont="1" applyNumberFormat="0" applyFill="0" applyBorder="1" applyAlignment="1">
      <alignment horizontal="center" vertical="center" textRotation="0" wrapText="false" shrinkToFit="false"/>
    </xf>
    <xf xfId="0" fontId="4" numFmtId="0" fillId="0" borderId="10" applyFont="1" applyNumberFormat="0" applyFill="0" applyBorder="1" applyAlignment="1">
      <alignment horizontal="center" vertical="center" textRotation="0" wrapText="false" shrinkToFit="false"/>
    </xf>
    <xf xfId="0" fontId="4" numFmtId="0" fillId="0" borderId="9" applyFont="1" applyNumberFormat="0" applyFill="0" applyBorder="1" applyAlignment="1">
      <alignment vertical="center" textRotation="0" wrapText="true" shrinkToFit="false"/>
    </xf>
    <xf xfId="0" fontId="4" numFmtId="165" fillId="3" borderId="12" applyFont="1" applyNumberFormat="1" applyFill="1" applyBorder="1" applyAlignment="1">
      <alignment horizontal="center" vertical="center" textRotation="0" wrapText="false" shrinkToFit="false"/>
    </xf>
    <xf xfId="0" fontId="4" numFmtId="165" fillId="3" borderId="41" applyFont="1" applyNumberFormat="1" applyFill="1" applyBorder="1" applyAlignment="1">
      <alignment horizontal="center" vertical="center" textRotation="0" wrapText="false" shrinkToFit="false"/>
    </xf>
    <xf xfId="0" fontId="4" numFmtId="165" fillId="3" borderId="42" applyFont="1" applyNumberFormat="1" applyFill="1" applyBorder="1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1">
      <alignment horizontal="center" vertical="center" textRotation="0" wrapText="true" shrinkToFit="false"/>
    </xf>
    <xf xfId="0" fontId="3" numFmtId="0" fillId="0" borderId="0" applyFont="1" applyNumberFormat="0" applyFill="0" applyBorder="0" applyAlignment="1">
      <alignment horizontal="left" vertical="center" textRotation="0" wrapText="true" shrinkToFit="false"/>
    </xf>
    <xf xfId="0" fontId="6" numFmtId="166" fillId="4" borderId="9" applyFont="1" applyNumberFormat="1" applyFill="1" applyBorder="1" applyAlignment="1">
      <alignment horizontal="center" vertical="center" textRotation="0" wrapText="false" shrinkToFit="false"/>
    </xf>
    <xf xfId="0" fontId="6" numFmtId="0" fillId="4" borderId="9" applyFont="1" applyNumberFormat="0" applyFill="1" applyBorder="1" applyAlignment="1">
      <alignment horizontal="center" vertical="center" textRotation="0" wrapText="false" shrinkToFit="false"/>
    </xf>
    <xf xfId="0" fontId="6" numFmtId="166" fillId="3" borderId="9" applyFont="1" applyNumberFormat="1" applyFill="1" applyBorder="1" applyAlignment="1">
      <alignment horizontal="center" vertical="center" textRotation="0" wrapText="false" shrinkToFit="false"/>
    </xf>
    <xf xfId="0" fontId="5" numFmtId="0" fillId="0" borderId="0" applyFont="1" applyNumberFormat="0" applyFill="0" applyBorder="0" applyAlignment="1">
      <alignment horizontal="right" vertical="center" textRotation="0" wrapText="false" shrinkToFit="false"/>
    </xf>
    <xf xfId="0" fontId="1" numFmtId="0" fillId="0" borderId="43" applyFont="1" applyNumberFormat="0" applyFill="0" applyBorder="1" applyAlignment="1">
      <alignment horizontal="center" vertical="center" textRotation="0" wrapText="true" shrinkToFit="false"/>
    </xf>
    <xf xfId="0" fontId="1" quotePrefix="1" numFmtId="0" fillId="0" borderId="43" applyFont="1" applyNumberFormat="0" applyFill="0" applyBorder="1" applyAlignment="1">
      <alignment horizontal="center" vertical="center" textRotation="0" wrapText="true" shrinkToFit="false"/>
    </xf>
    <xf xfId="0" fontId="4" numFmtId="164" fillId="3" borderId="38" applyFont="1" applyNumberFormat="1" applyFill="1" applyBorder="1" applyAlignment="1" applyProtection="true">
      <alignment horizontal="center" vertical="center" textRotation="0" wrapText="false" shrinkToFit="false"/>
      <protection locked="false"/>
    </xf>
    <xf xfId="0" fontId="4" numFmtId="164" fillId="3" borderId="9" applyFont="1" applyNumberFormat="1" applyFill="1" applyBorder="1" applyAlignment="1" applyProtection="true">
      <alignment horizontal="center" vertical="center" textRotation="0" wrapText="false" shrinkToFit="false"/>
      <protection locked="false"/>
    </xf>
    <xf xfId="0" fontId="5" numFmtId="167" fillId="4" borderId="9" applyFont="1" applyNumberFormat="1" applyFill="1" applyBorder="1" applyAlignment="1">
      <alignment horizontal="center" vertical="center" textRotation="0" wrapText="false" shrinkToFit="false"/>
    </xf>
    <xf xfId="0" fontId="4" numFmtId="164" fillId="3" borderId="44" applyFont="1" applyNumberFormat="1" applyFill="1" applyBorder="1" applyAlignment="1" applyProtection="true">
      <alignment horizontal="center" vertical="center" textRotation="0" wrapText="false" shrinkToFit="false"/>
      <protection locked="false"/>
    </xf>
    <xf xfId="0" fontId="6" numFmtId="164" fillId="4" borderId="9" applyFont="1" applyNumberFormat="1" applyFill="1" applyBorder="1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0"/>
    <xf xfId="0" fontId="1" numFmtId="0" fillId="0" borderId="0" applyFont="1" applyNumberFormat="0" applyFill="0" applyBorder="0" applyAlignment="0"/>
    <xf xfId="0" fontId="0" numFmtId="0" fillId="5" borderId="0" applyFont="0" applyNumberFormat="0" applyFill="1" applyBorder="0" applyAlignment="0"/>
    <xf xfId="0" fontId="4" numFmtId="164" fillId="4" borderId="26" applyFont="1" applyNumberFormat="1" applyFill="1" applyBorder="1" applyAlignment="1">
      <alignment horizontal="center" vertical="center" textRotation="0" wrapText="false" shrinkToFit="false"/>
    </xf>
    <xf xfId="0" fontId="4" numFmtId="2" fillId="4" borderId="26" applyFont="1" applyNumberFormat="1" applyFill="1" applyBorder="1" applyAlignment="1">
      <alignment horizontal="center" vertical="center" textRotation="0" wrapText="false" shrinkToFit="false"/>
    </xf>
    <xf xfId="0" fontId="7" numFmtId="0" fillId="0" borderId="0" applyFont="1" applyNumberFormat="0" applyFill="0" applyBorder="0" applyAlignment="1">
      <alignment horizontal="center" vertical="center" textRotation="0" wrapText="false" shrinkToFit="false"/>
    </xf>
    <xf xfId="0" fontId="3" numFmtId="0" fillId="0" borderId="45" applyFont="1" applyNumberFormat="0" applyFill="0" applyBorder="1" applyAlignment="1">
      <alignment horizontal="left" vertical="center" textRotation="0" wrapText="false" shrinkToFit="false"/>
    </xf>
    <xf xfId="0" fontId="4" numFmtId="165" fillId="3" borderId="46" applyFont="1" applyNumberFormat="1" applyFill="1" applyBorder="1" applyAlignment="1">
      <alignment horizontal="center" vertical="center" textRotation="0" wrapText="false" shrinkToFit="false"/>
    </xf>
    <xf xfId="0" fontId="4" numFmtId="2" fillId="3" borderId="47" applyFont="1" applyNumberFormat="1" applyFill="1" applyBorder="1" applyAlignment="1">
      <alignment horizontal="center" vertical="center" textRotation="0" wrapText="false" shrinkToFit="false"/>
    </xf>
    <xf xfId="0" fontId="4" numFmtId="2" fillId="3" borderId="36" applyFont="1" applyNumberFormat="1" applyFill="1" applyBorder="1" applyAlignment="1">
      <alignment horizontal="center" vertical="center" textRotation="0" wrapText="false" shrinkToFit="false"/>
    </xf>
    <xf xfId="0" fontId="4" numFmtId="2" fillId="3" borderId="37" applyFont="1" applyNumberFormat="1" applyFill="1" applyBorder="1" applyAlignment="1">
      <alignment horizontal="center" vertical="center" textRotation="0" wrapText="false" shrinkToFit="false"/>
    </xf>
    <xf xfId="0" fontId="4" numFmtId="2" fillId="3" borderId="48" applyFont="1" applyNumberFormat="1" applyFill="1" applyBorder="1" applyAlignment="1">
      <alignment horizontal="center" vertical="center" textRotation="0" wrapText="false" shrinkToFit="false"/>
    </xf>
    <xf xfId="0" fontId="4" numFmtId="168" fillId="3" borderId="41" applyFont="1" applyNumberFormat="1" applyFill="1" applyBorder="1" applyAlignment="1">
      <alignment horizontal="center" vertical="center" textRotation="0" wrapText="false" shrinkToFit="false"/>
    </xf>
    <xf xfId="0" fontId="5" numFmtId="10" fillId="4" borderId="9" applyFont="1" applyNumberFormat="1" applyFill="1" applyBorder="1" applyAlignment="1">
      <alignment horizontal="center" vertical="center" textRotation="0" wrapText="false" shrinkToFit="false"/>
    </xf>
    <xf xfId="0" fontId="4" numFmtId="165" fillId="3" borderId="47" applyFont="1" applyNumberFormat="1" applyFill="1" applyBorder="1" applyAlignment="1">
      <alignment horizontal="center" vertical="center" textRotation="0" wrapText="false" shrinkToFit="false"/>
    </xf>
    <xf xfId="0" fontId="4" numFmtId="165" fillId="3" borderId="36" applyFont="1" applyNumberFormat="1" applyFill="1" applyBorder="1" applyAlignment="1">
      <alignment horizontal="center" vertical="center" textRotation="0" wrapText="false" shrinkToFit="false"/>
    </xf>
    <xf xfId="0" fontId="4" numFmtId="165" fillId="3" borderId="37" applyFont="1" applyNumberFormat="1" applyFill="1" applyBorder="1" applyAlignment="1">
      <alignment horizontal="center" vertical="center" textRotation="0" wrapText="false" shrinkToFit="false"/>
    </xf>
    <xf xfId="0" fontId="4" numFmtId="165" fillId="3" borderId="48" applyFont="1" applyNumberFormat="1" applyFill="1" applyBorder="1" applyAlignment="1">
      <alignment horizontal="center" vertical="center" textRotation="0" wrapText="false" shrinkToFit="false"/>
    </xf>
    <xf xfId="0" fontId="4" numFmtId="164" fillId="6" borderId="9" applyFont="1" applyNumberFormat="1" applyFill="1" applyBorder="1" applyAlignment="1">
      <alignment horizontal="center" vertical="center" textRotation="0" wrapText="false" shrinkToFit="false"/>
    </xf>
    <xf xfId="0" fontId="3" numFmtId="0" fillId="7" borderId="9" applyFont="1" applyNumberFormat="0" applyFill="1" applyBorder="1" applyAlignment="1">
      <alignment horizontal="center" vertical="center" textRotation="0" wrapText="true" shrinkToFit="false"/>
    </xf>
    <xf xfId="0" fontId="1" numFmtId="0" fillId="7" borderId="9" applyFont="1" applyNumberFormat="0" applyFill="1" applyBorder="1" applyAlignment="1">
      <alignment horizontal="center" vertical="center" textRotation="0" wrapText="true" shrinkToFit="false"/>
    </xf>
    <xf xfId="0" fontId="4" numFmtId="0" fillId="7" borderId="9" applyFont="1" applyNumberFormat="0" applyFill="1" applyBorder="1" applyAlignment="1">
      <alignment horizontal="center" vertical="center" textRotation="0" wrapText="false" shrinkToFit="false"/>
    </xf>
    <xf xfId="0" fontId="3" numFmtId="164" fillId="7" borderId="9" applyFont="1" applyNumberFormat="1" applyFill="1" applyBorder="1" applyAlignment="1">
      <alignment horizontal="center" vertical="center" textRotation="0" wrapText="true" shrinkToFit="false"/>
    </xf>
    <xf xfId="0" fontId="3" numFmtId="164" fillId="7" borderId="9" applyFont="1" applyNumberFormat="1" applyFill="1" applyBorder="1" applyAlignment="1">
      <alignment horizontal="center" vertical="center" textRotation="0" wrapText="false" shrinkToFit="false"/>
    </xf>
    <xf xfId="0" fontId="3" numFmtId="0" fillId="7" borderId="8" applyFont="1" applyNumberFormat="0" applyFill="1" applyBorder="1" applyAlignment="1">
      <alignment horizontal="center" vertical="center" textRotation="0" wrapText="true" shrinkToFit="false"/>
    </xf>
    <xf xfId="0" fontId="3" numFmtId="164" fillId="7" borderId="8" applyFont="1" applyNumberFormat="1" applyFill="1" applyBorder="1" applyAlignment="1">
      <alignment horizontal="center" vertical="center" textRotation="0" wrapText="false" shrinkToFit="false"/>
    </xf>
    <xf xfId="0" fontId="4" numFmtId="0" fillId="7" borderId="9" applyFont="1" applyNumberFormat="0" applyFill="1" applyBorder="1" applyAlignment="1">
      <alignment horizontal="center" vertical="center" textRotation="0" wrapText="true" shrinkToFit="false"/>
    </xf>
    <xf xfId="0" fontId="4" numFmtId="9" fillId="7" borderId="9" applyFont="1" applyNumberFormat="1" applyFill="1" applyBorder="1" applyAlignment="1">
      <alignment horizontal="center" vertical="center" textRotation="0" wrapText="false" shrinkToFit="false"/>
    </xf>
    <xf xfId="0" fontId="4" numFmtId="0" fillId="6" borderId="9" applyFont="1" applyNumberFormat="0" applyFill="1" applyBorder="1" applyAlignment="1">
      <alignment horizontal="center" vertical="center" textRotation="0" wrapText="false" shrinkToFit="false"/>
    </xf>
    <xf xfId="0" fontId="4" numFmtId="16" fillId="6" borderId="9" applyFont="1" applyNumberFormat="1" applyFill="1" applyBorder="1" applyAlignment="1">
      <alignment horizontal="center" vertical="center" textRotation="0" wrapText="false" shrinkToFit="false"/>
    </xf>
    <xf xfId="0" fontId="4" numFmtId="2" fillId="6" borderId="9" applyFont="1" applyNumberFormat="1" applyFill="1" applyBorder="1" applyAlignment="1">
      <alignment horizontal="center" vertical="center" textRotation="0" wrapText="false" shrinkToFit="false"/>
    </xf>
    <xf xfId="0" fontId="4" numFmtId="2" fillId="6" borderId="38" applyFont="1" applyNumberFormat="1" applyFill="1" applyBorder="1" applyAlignment="1">
      <alignment horizontal="center" vertical="center" textRotation="0" wrapText="false" shrinkToFit="false"/>
    </xf>
    <xf xfId="0" fontId="3" numFmtId="0" fillId="8" borderId="2" applyFont="1" applyNumberFormat="0" applyFill="1" applyBorder="1" applyAlignment="1">
      <alignment horizontal="center" vertical="center" textRotation="0" wrapText="true" shrinkToFit="false"/>
    </xf>
    <xf xfId="0" fontId="3" numFmtId="0" fillId="8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40" applyFont="1" applyNumberFormat="0" applyFill="1" applyBorder="1" applyAlignment="1">
      <alignment horizontal="center" vertical="center" textRotation="0" wrapText="false" shrinkToFit="false"/>
    </xf>
    <xf xfId="0" fontId="4" numFmtId="167" fillId="6" borderId="40" applyFont="1" applyNumberFormat="1" applyFill="1" applyBorder="1" applyAlignment="1">
      <alignment horizontal="center" vertical="center" textRotation="0" wrapText="false" shrinkToFit="false"/>
    </xf>
    <xf xfId="0" fontId="4" numFmtId="0" fillId="6" borderId="0" applyFont="1" applyNumberFormat="0" applyFill="1" applyBorder="0" applyAlignment="1">
      <alignment vertical="center" textRotation="0" wrapText="false" shrinkToFit="false"/>
    </xf>
    <xf xfId="0" fontId="4" numFmtId="2" fillId="6" borderId="0" applyFont="1" applyNumberFormat="1" applyFill="1" applyBorder="0" applyAlignment="1">
      <alignment vertical="center" textRotation="0" wrapText="false" shrinkToFit="false"/>
    </xf>
    <xf xfId="0" fontId="4" numFmtId="9" fillId="6" borderId="0" applyFont="1" applyNumberFormat="1" applyFill="1" applyBorder="0" applyAlignment="1">
      <alignment vertical="center" textRotation="0" wrapText="false" shrinkToFit="false"/>
    </xf>
    <xf xfId="0" fontId="5" numFmtId="9" fillId="7" borderId="9" applyFont="1" applyNumberFormat="1" applyFill="1" applyBorder="1" applyAlignment="1">
      <alignment horizontal="center" vertical="center" textRotation="0" wrapText="false" shrinkToFit="false"/>
    </xf>
    <xf xfId="0" fontId="4" numFmtId="10" fillId="7" borderId="9" applyFont="1" applyNumberFormat="1" applyFill="1" applyBorder="1" applyAlignment="1">
      <alignment horizontal="center" vertical="center" textRotation="0" wrapText="false" shrinkToFit="false"/>
    </xf>
    <xf xfId="0" fontId="4" numFmtId="168" fillId="3" borderId="46" applyFont="1" applyNumberFormat="1" applyFill="1" applyBorder="1" applyAlignment="1">
      <alignment horizontal="center" vertical="center" textRotation="0" wrapText="false" shrinkToFit="false"/>
    </xf>
    <xf xfId="0" fontId="4" numFmtId="168" fillId="3" borderId="42" applyFont="1" applyNumberFormat="1" applyFill="1" applyBorder="1" applyAlignment="1">
      <alignment horizontal="center" vertical="center" textRotation="0" wrapText="false" shrinkToFit="false"/>
    </xf>
    <xf xfId="0" fontId="8" numFmtId="2" fillId="7" borderId="9" applyFont="1" applyNumberFormat="1" applyFill="1" applyBorder="1" applyAlignment="1">
      <alignment horizontal="center" vertical="center" textRotation="0" wrapText="false" shrinkToFit="false"/>
    </xf>
    <xf xfId="0" fontId="4" numFmtId="2" fillId="7" borderId="9" applyFont="1" applyNumberFormat="1" applyFill="1" applyBorder="1" applyAlignment="1">
      <alignment horizontal="center" vertical="center" textRotation="0" wrapText="false" shrinkToFit="false"/>
    </xf>
    <xf xfId="0" fontId="4" numFmtId="1" fillId="3" borderId="9" applyFont="1" applyNumberFormat="1" applyFill="1" applyBorder="1" applyAlignment="1" applyProtection="true">
      <alignment horizontal="center" vertical="center" textRotation="0" wrapText="false" shrinkToFit="false"/>
      <protection locked="false"/>
    </xf>
    <xf xfId="0" fontId="4" numFmtId="2" fillId="6" borderId="0" applyFont="1" applyNumberFormat="1" applyFill="1" applyBorder="0" applyAlignment="1">
      <alignment horizontal="center" vertical="center" textRotation="0" wrapText="false" shrinkToFit="false"/>
    </xf>
    <xf xfId="0" fontId="4" numFmtId="0" fillId="8" borderId="0" applyFont="1" applyNumberFormat="0" applyFill="1" applyBorder="0" applyAlignment="1">
      <alignment vertical="center" textRotation="0" wrapText="true" shrinkToFit="false"/>
    </xf>
    <xf xfId="0" fontId="4" numFmtId="2" fillId="0" borderId="0" applyFont="1" applyNumberFormat="1" applyFill="0" applyBorder="0" applyAlignment="1">
      <alignment vertical="center" textRotation="0" wrapText="false" shrinkToFit="false"/>
    </xf>
    <xf xfId="0" fontId="4" numFmtId="9" fillId="0" borderId="0" applyFont="1" applyNumberFormat="1" applyFill="0" applyBorder="0" applyAlignment="1">
      <alignment vertical="center" textRotation="0" wrapText="false" shrinkToFit="false"/>
    </xf>
    <xf xfId="0" fontId="5" numFmtId="49" fillId="4" borderId="9" applyFont="1" applyNumberFormat="1" applyFill="1" applyBorder="1" applyAlignment="1">
      <alignment horizontal="center" vertical="center" textRotation="0" wrapText="false" shrinkToFit="false"/>
    </xf>
    <xf xfId="0" fontId="4" numFmtId="0" fillId="3" borderId="0" applyFont="1" applyNumberFormat="0" applyFill="1" applyBorder="0" applyAlignment="1" applyProtection="true">
      <alignment vertical="center" textRotation="0" wrapText="false" shrinkToFit="false"/>
      <protection locked="false"/>
    </xf>
    <xf xfId="0" fontId="4" numFmtId="164" fillId="3" borderId="0" applyFont="1" applyNumberFormat="1" applyFill="1" applyBorder="0" applyAlignment="1" applyProtection="true">
      <alignment horizontal="center" vertical="center" textRotation="0" wrapText="false" shrinkToFit="false"/>
      <protection locked="false"/>
    </xf>
    <xf xfId="0" fontId="0" numFmtId="164" fillId="0" borderId="0" applyFont="0" applyNumberFormat="1" applyFill="0" applyBorder="0" applyAlignment="0"/>
    <xf xfId="0" fontId="3" numFmtId="0" fillId="0" borderId="49" applyFont="1" applyNumberFormat="0" applyFill="0" applyBorder="1" applyAlignment="1">
      <alignment horizontal="left" vertical="center" textRotation="0" wrapText="false" shrinkToFit="false"/>
    </xf>
    <xf xfId="0" fontId="4" numFmtId="2" fillId="3" borderId="50" applyFont="1" applyNumberFormat="1" applyFill="1" applyBorder="1" applyAlignment="1">
      <alignment horizontal="center" vertical="center" textRotation="0" wrapText="false" shrinkToFit="false"/>
    </xf>
    <xf xfId="0" fontId="4" numFmtId="165" fillId="3" borderId="51" applyFont="1" applyNumberFormat="1" applyFill="1" applyBorder="1" applyAlignment="1">
      <alignment horizontal="center" vertical="center" textRotation="0" wrapText="false" shrinkToFit="false"/>
    </xf>
    <xf xfId="0" fontId="4" numFmtId="164" fillId="4" borderId="52" applyFont="1" applyNumberFormat="1" applyFill="1" applyBorder="1" applyAlignment="1">
      <alignment horizontal="center" vertical="center" textRotation="0" wrapText="false" shrinkToFit="false"/>
    </xf>
    <xf xfId="0" fontId="4" numFmtId="2" fillId="4" borderId="52" applyFont="1" applyNumberFormat="1" applyFill="1" applyBorder="1" applyAlignment="1">
      <alignment horizontal="center" vertical="center" textRotation="0" wrapText="false" shrinkToFit="false"/>
    </xf>
    <xf xfId="0" fontId="4" numFmtId="168" fillId="3" borderId="51" applyFont="1" applyNumberFormat="1" applyFill="1" applyBorder="1" applyAlignment="1">
      <alignment horizontal="center" vertical="center" textRotation="0" wrapText="false" shrinkToFit="false"/>
    </xf>
    <xf xfId="0" fontId="4" numFmtId="165" fillId="3" borderId="50" applyFont="1" applyNumberFormat="1" applyFill="1" applyBorder="1" applyAlignment="1">
      <alignment horizontal="center" vertical="center" textRotation="0" wrapText="false" shrinkToFit="false"/>
    </xf>
    <xf xfId="0" fontId="3" numFmtId="0" fillId="0" borderId="9" applyFont="1" applyNumberFormat="0" applyFill="0" applyBorder="1" applyAlignment="1">
      <alignment vertical="center" textRotation="0" wrapText="false" shrinkToFit="false"/>
    </xf>
    <xf xfId="0" fontId="3" numFmtId="0" fillId="0" borderId="2" applyFont="1" applyNumberFormat="0" applyFill="0" applyBorder="1" applyAlignment="1">
      <alignment vertical="center" textRotation="0" wrapText="false" shrinkToFit="false"/>
    </xf>
    <xf xfId="0" fontId="0" numFmtId="0" fillId="9" borderId="2" applyFont="0" applyNumberFormat="0" applyFill="1" applyBorder="1" applyAlignment="1">
      <alignment vertical="center" textRotation="0" wrapText="false" shrinkToFit="false"/>
    </xf>
    <xf xfId="0" fontId="4" numFmtId="2" fillId="9" borderId="9" applyFont="1" applyNumberFormat="1" applyFill="1" applyBorder="1" applyAlignment="1">
      <alignment horizontal="center" vertical="top" textRotation="0" wrapText="false" shrinkToFit="false"/>
    </xf>
    <xf xfId="0" fontId="4" numFmtId="2" fillId="9" borderId="2" applyFont="1" applyNumberFormat="1" applyFill="1" applyBorder="1" applyAlignment="1">
      <alignment horizontal="center" vertical="top" textRotation="0" wrapText="false" shrinkToFit="false"/>
    </xf>
    <xf xfId="0" fontId="5" numFmtId="164" fillId="10" borderId="9" applyFont="1" applyNumberFormat="1" applyFill="1" applyBorder="1" applyAlignment="1">
      <alignment horizontal="center" vertical="center" textRotation="0" wrapText="false" shrinkToFit="false"/>
    </xf>
    <xf xfId="0" fontId="5" numFmtId="49" fillId="10" borderId="9" applyFont="1" applyNumberFormat="1" applyFill="1" applyBorder="1" applyAlignment="1">
      <alignment horizontal="center" vertical="center" textRotation="0" wrapText="false" shrinkToFit="false"/>
    </xf>
    <xf xfId="0" fontId="5" numFmtId="9" fillId="10" borderId="9" applyFont="1" applyNumberFormat="1" applyFill="1" applyBorder="1" applyAlignment="1">
      <alignment horizontal="center" vertical="center" textRotation="0" wrapText="false" shrinkToFit="false"/>
    </xf>
    <xf xfId="0" fontId="5" numFmtId="2" fillId="10" borderId="9" applyFont="1" applyNumberFormat="1" applyFill="1" applyBorder="1" applyAlignment="1">
      <alignment horizontal="center" vertical="center" textRotation="0" wrapText="false" shrinkToFit="false"/>
    </xf>
    <xf xfId="0" fontId="5" numFmtId="2" fillId="11" borderId="9" applyFont="1" applyNumberFormat="1" applyFill="1" applyBorder="1" applyAlignment="1">
      <alignment horizontal="center" vertical="center" textRotation="0" wrapText="false" shrinkToFit="false"/>
    </xf>
    <xf xfId="0" fontId="5" numFmtId="164" fillId="11" borderId="9" applyFont="1" applyNumberFormat="1" applyFill="1" applyBorder="1" applyAlignment="1">
      <alignment horizontal="center" vertical="center" textRotation="0" wrapText="false" shrinkToFit="false"/>
    </xf>
    <xf xfId="0" fontId="5" numFmtId="167" fillId="11" borderId="9" applyFont="1" applyNumberFormat="1" applyFill="1" applyBorder="1" applyAlignment="1">
      <alignment horizontal="center" vertical="center" textRotation="0" wrapText="false" shrinkToFit="false"/>
    </xf>
    <xf xfId="0" fontId="1" numFmtId="0" fillId="12" borderId="0" applyFont="1" applyNumberFormat="0" applyFill="1" applyBorder="0" applyAlignment="1">
      <alignment vertical="center" textRotation="0" wrapText="true" shrinkToFit="false"/>
    </xf>
    <xf xfId="0" fontId="9" numFmtId="0" fillId="12" borderId="0" applyFont="1" applyNumberFormat="0" applyFill="1" applyBorder="0" applyAlignment="1">
      <alignment vertical="center" textRotation="0" wrapText="true" shrinkToFit="false"/>
    </xf>
    <xf xfId="0" fontId="1" numFmtId="14" fillId="12" borderId="0" applyFont="1" applyNumberFormat="1" applyFill="1" applyBorder="0" applyAlignment="1">
      <alignment horizontal="left" vertical="center" textRotation="0" wrapText="true" shrinkToFit="false"/>
    </xf>
    <xf xfId="0" fontId="1" numFmtId="0" fillId="12" borderId="0" applyFont="1" applyNumberFormat="0" applyFill="1" applyBorder="0" applyAlignment="1">
      <alignment horizontal="left" vertical="center" textRotation="0" wrapText="true" shrinkToFit="false"/>
    </xf>
    <xf xfId="0" fontId="1" numFmtId="0" fillId="12" borderId="9" applyFont="1" applyNumberFormat="0" applyFill="1" applyBorder="1" applyAlignment="1">
      <alignment vertical="center" textRotation="0" wrapText="true" shrinkToFit="false"/>
    </xf>
    <xf xfId="0" fontId="1" numFmtId="1" fillId="12" borderId="9" applyFont="1" applyNumberFormat="1" applyFill="1" applyBorder="1" applyAlignment="1">
      <alignment vertical="center" textRotation="0" wrapText="true" shrinkToFit="false"/>
    </xf>
    <xf xfId="0" fontId="1" numFmtId="2" fillId="12" borderId="9" applyFont="1" applyNumberFormat="1" applyFill="1" applyBorder="1" applyAlignment="1">
      <alignment vertical="center" textRotation="0" wrapText="true" shrinkToFit="false"/>
    </xf>
    <xf xfId="0" fontId="1" numFmtId="9" fillId="12" borderId="9" applyFont="1" applyNumberFormat="1" applyFill="1" applyBorder="1" applyAlignment="1">
      <alignment vertical="center" textRotation="0" wrapText="true" shrinkToFit="false"/>
    </xf>
    <xf xfId="0" fontId="1" numFmtId="10" fillId="12" borderId="9" applyFont="1" applyNumberFormat="1" applyFill="1" applyBorder="1" applyAlignment="1">
      <alignment vertical="center" textRotation="0" wrapText="true" shrinkToFit="false"/>
    </xf>
    <xf xfId="0" fontId="1" numFmtId="0" fillId="12" borderId="9" applyFont="1" applyNumberFormat="0" applyFill="1" applyBorder="1" applyAlignment="1">
      <alignment horizontal="center" vertical="center" textRotation="0" wrapText="true" shrinkToFit="false"/>
    </xf>
    <xf xfId="0" fontId="1" numFmtId="0" fillId="12" borderId="3" applyFont="1" applyNumberFormat="0" applyFill="1" applyBorder="1" applyAlignment="1">
      <alignment vertical="center" textRotation="0" wrapText="true" shrinkToFit="false"/>
    </xf>
    <xf xfId="0" fontId="1" numFmtId="0" fillId="12" borderId="39" applyFont="1" applyNumberFormat="0" applyFill="1" applyBorder="1" applyAlignment="1">
      <alignment vertical="center" textRotation="0" wrapText="true" shrinkToFit="false"/>
    </xf>
    <xf xfId="0" fontId="1" numFmtId="0" fillId="12" borderId="4" applyFont="1" applyNumberFormat="0" applyFill="1" applyBorder="1" applyAlignment="1">
      <alignment vertical="center" textRotation="0" wrapText="true" shrinkToFit="false"/>
    </xf>
    <xf xfId="0" fontId="1" numFmtId="0" fillId="12" borderId="6" applyFont="1" applyNumberFormat="0" applyFill="1" applyBorder="1" applyAlignment="1">
      <alignment vertical="center" textRotation="0" wrapText="true" shrinkToFit="false"/>
    </xf>
    <xf xfId="0" fontId="1" numFmtId="0" fillId="12" borderId="7" applyFont="1" applyNumberFormat="0" applyFill="1" applyBorder="1" applyAlignment="1">
      <alignment vertical="center" textRotation="0" wrapText="true" shrinkToFit="false"/>
    </xf>
    <xf xfId="0" fontId="1" numFmtId="0" fillId="12" borderId="53" applyFont="1" applyNumberFormat="0" applyFill="1" applyBorder="1" applyAlignment="1">
      <alignment vertical="center" textRotation="0" wrapText="true" shrinkToFit="false"/>
    </xf>
    <xf xfId="0" fontId="1" numFmtId="0" fillId="12" borderId="54" applyFont="1" applyNumberFormat="0" applyFill="1" applyBorder="1" applyAlignment="1">
      <alignment vertical="center" textRotation="0" wrapText="true" shrinkToFit="false"/>
    </xf>
    <xf xfId="0" fontId="1" numFmtId="0" fillId="12" borderId="55" applyFont="1" applyNumberFormat="0" applyFill="1" applyBorder="1" applyAlignment="1">
      <alignment vertical="center" textRotation="0" wrapText="true" shrinkToFit="false"/>
    </xf>
    <xf xfId="0" fontId="1" numFmtId="0" fillId="12" borderId="0" applyFont="1" applyNumberFormat="0" applyFill="1" applyBorder="0" applyAlignment="0"/>
    <xf xfId="0" fontId="1" numFmtId="0" fillId="12" borderId="9" applyFont="1" applyNumberFormat="0" applyFill="1" applyBorder="1" applyAlignment="0"/>
    <xf xfId="0" fontId="6" numFmtId="166" fillId="10" borderId="9" applyFont="1" applyNumberFormat="1" applyFill="1" applyBorder="1" applyAlignment="1">
      <alignment horizontal="center" vertical="center" textRotation="0" wrapText="false" shrinkToFit="false"/>
    </xf>
    <xf xfId="0" fontId="0" numFmtId="0" fillId="8" borderId="0" applyFont="0" applyNumberFormat="0" applyFill="1" applyBorder="0" applyAlignment="0"/>
    <xf xfId="0" fontId="5" numFmtId="164" fillId="4" borderId="5" applyFont="1" applyNumberFormat="1" applyFill="1" applyBorder="1" applyAlignment="1">
      <alignment horizontal="center" vertical="center" textRotation="0" wrapText="false" shrinkToFit="false"/>
    </xf>
    <xf xfId="0" fontId="4" numFmtId="168" fillId="3" borderId="12" applyFont="1" applyNumberFormat="1" applyFill="1" applyBorder="1" applyAlignment="1">
      <alignment horizontal="center" vertical="center" textRotation="0" wrapText="false" shrinkToFit="false"/>
    </xf>
    <xf xfId="0" fontId="10" numFmtId="0" fillId="0" borderId="0" applyFont="1" applyNumberFormat="0" applyFill="0" applyBorder="0" applyAlignment="1">
      <alignment horizontal="center" vertical="center" textRotation="0" wrapText="false" shrinkToFit="false"/>
    </xf>
    <xf xfId="0" fontId="11" numFmtId="0" fillId="0" borderId="0" applyFont="1" applyNumberFormat="0" applyFill="0" applyBorder="0" applyAlignment="1">
      <alignment horizontal="center" vertical="center" textRotation="0" wrapText="true" shrinkToFit="false"/>
    </xf>
    <xf xfId="0" fontId="0" numFmtId="0" fillId="0" borderId="0" applyFont="0" applyNumberFormat="0" applyFill="0" applyBorder="0" applyAlignment="0"/>
    <xf xfId="0" fontId="0" quotePrefix="1" numFmtId="17" fillId="0" borderId="0" applyFont="0" applyNumberFormat="1" applyFill="0" applyBorder="0" applyAlignment="0"/>
    <xf xfId="0" fontId="4" numFmtId="0" fillId="5" borderId="0" applyFont="1" applyNumberFormat="0" applyFill="1" applyBorder="0" applyAlignment="0"/>
    <xf xfId="0" fontId="0" numFmtId="0" fillId="0" borderId="0" applyFont="0" applyNumberFormat="0" applyFill="0" applyBorder="0" applyAlignment="1">
      <alignment vertical="center" textRotation="0" wrapText="false" shrinkToFit="false"/>
    </xf>
    <xf xfId="0" fontId="4" numFmtId="0" fillId="13" borderId="0" applyFont="1" applyNumberFormat="0" applyFill="1" applyBorder="0" applyAlignment="0"/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vertical="center" textRotation="0" wrapText="true" shrinkToFit="false"/>
    </xf>
    <xf xfId="0" fontId="0" numFmtId="0" fillId="9" borderId="9" applyFont="0" applyNumberFormat="0" applyFill="1" applyBorder="1" applyAlignment="1">
      <alignment vertical="center" textRotation="0" wrapText="false" shrinkToFit="false"/>
    </xf>
    <xf xfId="0" fontId="0" numFmtId="0" fillId="0" borderId="9" applyFont="0" applyNumberFormat="0" applyFill="0" applyBorder="1" applyAlignment="1">
      <alignment vertical="center" textRotation="0" wrapText="false" shrinkToFit="false"/>
    </xf>
    <xf xfId="0" fontId="0" numFmtId="0" fillId="0" borderId="2" applyFont="0" applyNumberFormat="0" applyFill="0" applyBorder="1" applyAlignment="1">
      <alignment vertical="center" textRotation="0" wrapText="false" shrinkToFit="false"/>
    </xf>
    <xf xfId="0" fontId="4" numFmtId="0" fillId="3" borderId="9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4" numFmtId="164" fillId="6" borderId="44" applyFont="1" applyNumberFormat="1" applyFill="1" applyBorder="1" applyAlignment="1">
      <alignment horizontal="center" vertical="center" textRotation="0" wrapText="false" shrinkToFit="false"/>
    </xf>
    <xf xfId="0" fontId="4" numFmtId="164" fillId="6" borderId="36" applyFont="1" applyNumberFormat="1" applyFill="1" applyBorder="1" applyAlignment="1">
      <alignment horizontal="center" vertical="center" textRotation="0" wrapText="false" shrinkToFit="false"/>
    </xf>
    <xf xfId="0" fontId="4" numFmtId="164" fillId="6" borderId="37" applyFont="1" applyNumberFormat="1" applyFill="1" applyBorder="1" applyAlignment="1">
      <alignment horizontal="center" vertical="center" textRotation="0" wrapText="false" shrinkToFit="false"/>
    </xf>
    <xf xfId="0" fontId="7" numFmtId="0" fillId="0" borderId="0" applyFont="1" applyNumberFormat="0" applyFill="0" applyBorder="0" applyAlignment="1" applyProtection="true">
      <alignment horizontal="center" vertical="center" textRotation="0" wrapText="true" shrinkToFit="false"/>
      <protection locked="false"/>
    </xf>
    <xf xfId="0" fontId="7" numFmtId="0" fillId="0" borderId="0" applyFont="1" applyNumberFormat="0" applyFill="0" applyBorder="0" applyAlignment="1" applyProtection="true">
      <alignment horizontal="center" vertical="center" textRotation="0" wrapText="false" shrinkToFit="false"/>
      <protection locked="false"/>
    </xf>
    <xf xfId="0" fontId="7" numFmtId="0" fillId="0" borderId="0" applyFont="1" applyNumberFormat="0" applyFill="0" applyBorder="0" applyAlignment="1">
      <alignment horizontal="center" vertical="center" textRotation="0" wrapText="false" shrinkToFit="false"/>
    </xf>
    <xf xfId="0" fontId="7" numFmtId="0" fillId="0" borderId="0" applyFont="1" applyNumberFormat="0" applyFill="0" applyBorder="0" applyAlignment="1">
      <alignment horizontal="center" vertical="center" textRotation="0" wrapText="true" shrinkToFit="false"/>
    </xf>
    <xf xfId="0" fontId="7" numFmtId="0" fillId="0" borderId="0" applyFont="1" applyNumberFormat="0" applyFill="0" applyBorder="0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1">
      <alignment horizontal="center" vertical="top" textRotation="0" wrapText="true" shrinkToFit="false"/>
    </xf>
    <xf xfId="0" fontId="3" numFmtId="0" fillId="0" borderId="0" applyFont="1" applyNumberFormat="0" applyFill="0" applyBorder="0" applyAlignment="1">
      <alignment horizontal="center" vertical="top" textRotation="0" wrapText="false" shrinkToFit="false"/>
    </xf>
    <xf xfId="0" fontId="3" numFmtId="0" fillId="0" borderId="0" applyFont="1" applyNumberFormat="0" applyFill="0" applyBorder="0" applyAlignment="1">
      <alignment horizontal="center" vertical="center" textRotation="255" wrapText="false" shrinkToFit="false"/>
    </xf>
    <xf xfId="0" fontId="3" numFmtId="0" fillId="0" borderId="0" applyFont="1" applyNumberFormat="0" applyFill="0" applyBorder="0" applyAlignment="1">
      <alignment horizontal="center" vertical="bottom" textRotation="0" wrapText="false" shrinkToFit="false"/>
    </xf>
    <xf xfId="0" fontId="9" numFmtId="0" fillId="12" borderId="0" applyFont="1" applyNumberFormat="0" applyFill="1" applyBorder="0" applyAlignment="1">
      <alignment horizontal="left" vertical="center" textRotation="0" wrapText="true" shrinkToFit="false"/>
    </xf>
    <xf xfId="0" fontId="1" numFmtId="0" fillId="12" borderId="9" applyFont="1" applyNumberFormat="0" applyFill="1" applyBorder="1" applyAlignment="1">
      <alignment horizontal="left" vertical="center" textRotation="0" wrapText="true" shrinkToFit="false"/>
    </xf>
    <xf xfId="0" fontId="1" numFmtId="0" fillId="12" borderId="8" applyFont="1" applyNumberFormat="0" applyFill="1" applyBorder="1" applyAlignment="1">
      <alignment horizontal="left" vertical="top" textRotation="0" wrapText="true" shrinkToFit="false"/>
    </xf>
    <xf xfId="0" fontId="1" numFmtId="0" fillId="12" borderId="10" applyFont="1" applyNumberFormat="0" applyFill="1" applyBorder="1" applyAlignment="1">
      <alignment horizontal="left" vertical="top" textRotation="0" wrapText="true" shrinkToFit="false"/>
    </xf>
    <xf xfId="0" fontId="12" numFmtId="0" fillId="12" borderId="0" applyFont="1" applyNumberFormat="0" applyFill="1" applyBorder="0" applyAlignment="1">
      <alignment horizontal="center" vertical="center" textRotation="0" wrapText="true" shrinkToFit="false"/>
    </xf>
    <xf xfId="0" fontId="1" numFmtId="0" fillId="12" borderId="8" applyFont="1" applyNumberFormat="0" applyFill="1" applyBorder="1" applyAlignment="1">
      <alignment horizontal="left" vertical="center" textRotation="0" wrapText="true" shrinkToFit="false"/>
    </xf>
    <xf xfId="0" fontId="1" numFmtId="0" fillId="12" borderId="10" applyFont="1" applyNumberFormat="0" applyFill="1" applyBorder="1" applyAlignment="1">
      <alignment horizontal="left" vertical="center" textRotation="0" wrapText="true" shrinkToFit="false"/>
    </xf>
    <xf xfId="0" fontId="13" numFmtId="0" fillId="12" borderId="0" applyFont="1" applyNumberFormat="0" applyFill="1" applyBorder="0" applyAlignment="1">
      <alignment horizontal="center" vertical="bottom" textRotation="0" wrapText="true" shrinkToFit="false"/>
    </xf>
    <xf xfId="0" fontId="13" numFmtId="0" fillId="12" borderId="54" applyFont="1" applyNumberFormat="0" applyFill="1" applyBorder="1" applyAlignment="1">
      <alignment horizontal="center" vertical="bottom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vbaProject.bin.rels><?xml version="1.0" encoding="UTF-8" standalone="yes"?>
<Relationships xmlns="http://schemas.openxmlformats.org/package/2006/relationships"><Relationship Id="rId1" Type="http://schemas.microsoft.com/office/2006/relationships/vbaProject" Target="vbaProjectSignature.bin"/></Relationships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microsoft.com/office/2006/relationships/vbaProject" Target="vbaProject.bin"/></Relationships>
</file>

<file path=xl/theme/theme1.xml><?xml version="1.0" encoding="utf-8"?>
<a:theme xmlns:a="http://schemas.openxmlformats.org/drawingml/2006/main" name="Office Theme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vmlDrawing" Target="../drawings/vmlDrawing1.vml"/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2.bin"/></Relationships>
</file>

<file path=xl/worksheets/_rels/sheet3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3.bin"/></Relationships>
</file>

<file path=xl/worksheets/_rels/sheet4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4.bin"/></Relationships>
</file>

<file path=xl/worksheets/_rels/sheet5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5.bin"/></Relationships>
</file>

<file path=xl/worksheets/_rels/sheet6.xml.rels><?xml version="1.0" encoding="UTF-8" standalone="yes"?>
<Relationships xmlns="http://schemas.openxmlformats.org/package/2006/relationships"/>
</file>

<file path=xl/worksheets/_rels/sheet7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6.bin"/></Relationships>
</file>

<file path=xl/worksheets/_rels/sheet8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 codeName="Sheet1">
    <outlinePr summaryBelow="1" summaryRight="1"/>
  </sheetPr>
  <dimension ref="A1:IV21"/>
  <sheetViews>
    <sheetView tabSelected="0" workbookViewId="0" zoomScaleNormal="75" showGridLines="true" showRowColHeaders="1">
      <selection activeCell="D2" sqref="D2"/>
    </sheetView>
  </sheetViews>
  <sheetFormatPr defaultRowHeight="14.4" defaultColWidth="11.42578125" outlineLevelRow="0" outlineLevelCol="0"/>
  <cols>
    <col min="1" max="1" width="9.140625" customWidth="true" style="0"/>
    <col min="2" max="2" width="9.140625" customWidth="true" style="0"/>
    <col min="3" max="3" width="9.14062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9.140625" customWidth="true" style="0"/>
    <col min="8" max="8" width="9.140625" customWidth="true" style="0"/>
    <col min="9" max="9" width="9.140625" customWidth="true" style="0"/>
    <col min="10" max="10" width="9.140625" customWidth="true" style="0"/>
    <col min="11" max="11" width="9.140625" customWidth="true" style="0"/>
    <col min="12" max="12" width="9.140625" customWidth="true" style="0"/>
    <col min="13" max="13" width="9.140625" customWidth="true" style="0"/>
    <col min="14" max="14" width="9.140625" customWidth="true" style="0"/>
    <col min="15" max="15" width="9.140625" customWidth="true" style="0"/>
    <col min="16" max="16" width="9.140625" customWidth="true" style="0"/>
    <col min="17" max="17" width="9.140625" customWidth="true" style="0"/>
    <col min="18" max="18" width="9.140625" customWidth="true" style="0"/>
    <col min="19" max="19" width="9.140625" customWidth="true" style="0"/>
    <col min="20" max="20" width="9.140625" customWidth="true" style="0"/>
    <col min="21" max="21" width="9.140625" customWidth="true" style="0"/>
    <col min="22" max="22" width="9.140625" customWidth="true" style="0"/>
    <col min="23" max="23" width="9.140625" customWidth="true" style="0"/>
    <col min="24" max="24" width="9.140625" customWidth="true" style="0"/>
    <col min="25" max="25" width="9.140625" customWidth="true" style="0"/>
    <col min="26" max="26" width="9.140625" customWidth="true" style="0"/>
    <col min="27" max="27" width="9.140625" customWidth="true" style="0"/>
    <col min="28" max="28" width="9.140625" customWidth="true" style="0"/>
    <col min="29" max="29" width="9.140625" customWidth="true" style="0"/>
    <col min="30" max="30" width="9.140625" customWidth="true" style="0"/>
    <col min="31" max="31" width="9.140625" customWidth="true" style="0"/>
    <col min="32" max="32" width="9.140625" customWidth="true" style="0"/>
    <col min="33" max="33" width="9.140625" customWidth="true" style="0"/>
    <col min="34" max="34" width="9.140625" customWidth="true" style="0"/>
    <col min="35" max="35" width="9.140625" customWidth="true" style="0"/>
    <col min="36" max="36" width="9.140625" customWidth="true" style="0"/>
    <col min="37" max="37" width="9.140625" customWidth="true" style="0"/>
    <col min="38" max="38" width="9.140625" customWidth="true" style="0"/>
    <col min="39" max="39" width="9.140625" customWidth="true" style="0"/>
    <col min="40" max="40" width="9.140625" customWidth="true" style="0"/>
    <col min="41" max="41" width="9.140625" customWidth="true" style="0"/>
    <col min="42" max="42" width="9.140625" customWidth="true" style="0"/>
    <col min="43" max="43" width="9.140625" customWidth="true" style="0"/>
    <col min="44" max="44" width="9.140625" customWidth="true" style="0"/>
    <col min="45" max="45" width="9.140625" customWidth="true" style="0"/>
    <col min="46" max="46" width="9.140625" customWidth="true" style="0"/>
    <col min="47" max="47" width="9.140625" customWidth="true" style="0"/>
    <col min="48" max="48" width="9.140625" customWidth="true" style="0"/>
    <col min="49" max="49" width="9.140625" customWidth="true" style="0"/>
    <col min="50" max="50" width="9.140625" customWidth="true" style="0"/>
    <col min="51" max="51" width="9.140625" customWidth="true" style="0"/>
    <col min="52" max="52" width="9.140625" customWidth="true" style="0"/>
    <col min="53" max="53" width="9.140625" customWidth="true" style="0"/>
    <col min="54" max="54" width="9.140625" customWidth="true" style="0"/>
    <col min="55" max="55" width="9.140625" customWidth="true" style="0"/>
    <col min="56" max="56" width="9.140625" customWidth="true" style="0"/>
    <col min="57" max="57" width="9.140625" customWidth="true" style="0"/>
    <col min="58" max="58" width="9.140625" customWidth="true" style="0"/>
    <col min="59" max="59" width="9.140625" customWidth="true" style="0"/>
    <col min="60" max="60" width="9.140625" customWidth="true" style="0"/>
    <col min="61" max="61" width="9.140625" customWidth="true" style="0"/>
    <col min="62" max="62" width="9.140625" customWidth="true" style="0"/>
    <col min="63" max="63" width="9.140625" customWidth="true" style="0"/>
    <col min="64" max="64" width="9.140625" customWidth="true" style="0"/>
    <col min="65" max="65" width="9.140625" customWidth="true" style="0"/>
    <col min="66" max="66" width="9.140625" customWidth="true" style="0"/>
    <col min="67" max="67" width="9.140625" customWidth="true" style="0"/>
    <col min="68" max="68" width="9.140625" customWidth="true" style="0"/>
    <col min="69" max="69" width="9.140625" customWidth="true" style="0"/>
    <col min="70" max="70" width="9.140625" customWidth="true" style="0"/>
    <col min="71" max="71" width="9.140625" customWidth="true" style="0"/>
    <col min="72" max="72" width="9.140625" customWidth="true" style="0"/>
    <col min="73" max="73" width="9.140625" customWidth="true" style="0"/>
    <col min="74" max="74" width="9.140625" customWidth="true" style="0"/>
    <col min="75" max="75" width="9.140625" customWidth="true" style="0"/>
    <col min="76" max="76" width="9.140625" customWidth="true" style="0"/>
    <col min="77" max="77" width="9.140625" customWidth="true" style="0"/>
    <col min="78" max="78" width="9.140625" customWidth="true" style="0"/>
    <col min="79" max="79" width="9.140625" customWidth="true" style="0"/>
    <col min="80" max="80" width="9.140625" customWidth="true" style="0"/>
    <col min="81" max="81" width="9.140625" customWidth="true" style="0"/>
    <col min="82" max="82" width="9.140625" customWidth="true" style="0"/>
    <col min="83" max="83" width="9.140625" customWidth="true" style="0"/>
    <col min="84" max="84" width="9.140625" customWidth="true" style="0"/>
    <col min="85" max="85" width="9.140625" customWidth="true" style="0"/>
    <col min="86" max="86" width="9.140625" customWidth="true" style="0"/>
    <col min="87" max="87" width="9.140625" customWidth="true" style="0"/>
    <col min="88" max="88" width="9.140625" customWidth="true" style="0"/>
    <col min="89" max="89" width="9.140625" customWidth="true" style="0"/>
    <col min="90" max="90" width="9.140625" customWidth="true" style="0"/>
    <col min="91" max="91" width="9.140625" customWidth="true" style="0"/>
    <col min="92" max="92" width="9.140625" customWidth="true" style="0"/>
    <col min="93" max="93" width="9.140625" customWidth="true" style="0"/>
    <col min="94" max="94" width="9.140625" customWidth="true" style="0"/>
    <col min="95" max="95" width="9.140625" customWidth="true" style="0"/>
    <col min="96" max="96" width="9.140625" customWidth="true" style="0"/>
    <col min="97" max="97" width="9.140625" customWidth="true" style="0"/>
    <col min="98" max="98" width="9.140625" customWidth="true" style="0"/>
    <col min="99" max="99" width="9.140625" customWidth="true" style="0"/>
    <col min="100" max="100" width="9.140625" customWidth="true" style="0"/>
    <col min="101" max="101" width="9.140625" customWidth="true" style="0"/>
    <col min="102" max="102" width="9.140625" customWidth="true" style="0"/>
    <col min="103" max="103" width="9.140625" customWidth="true" style="0"/>
    <col min="104" max="104" width="9.140625" customWidth="true" style="0"/>
    <col min="105" max="105" width="9.140625" customWidth="true" style="0"/>
    <col min="106" max="106" width="9.140625" customWidth="true" style="0"/>
    <col min="107" max="107" width="9.140625" customWidth="true" style="0"/>
    <col min="108" max="108" width="9.140625" customWidth="true" style="0"/>
    <col min="109" max="109" width="9.140625" customWidth="true" style="0"/>
    <col min="110" max="110" width="9.140625" customWidth="true" style="0"/>
    <col min="111" max="111" width="9.140625" customWidth="true" style="0"/>
    <col min="112" max="112" width="9.140625" customWidth="true" style="0"/>
    <col min="113" max="113" width="9.140625" customWidth="true" style="0"/>
    <col min="114" max="114" width="9.140625" customWidth="true" style="0"/>
    <col min="115" max="115" width="9.140625" customWidth="true" style="0"/>
    <col min="116" max="116" width="9.140625" customWidth="true" style="0"/>
    <col min="117" max="117" width="9.140625" customWidth="true" style="0"/>
    <col min="118" max="118" width="9.140625" customWidth="true" style="0"/>
    <col min="119" max="119" width="9.140625" customWidth="true" style="0"/>
    <col min="120" max="120" width="9.140625" customWidth="true" style="0"/>
    <col min="121" max="121" width="9.140625" customWidth="true" style="0"/>
    <col min="122" max="122" width="9.140625" customWidth="true" style="0"/>
    <col min="123" max="123" width="9.140625" customWidth="true" style="0"/>
    <col min="124" max="124" width="9.140625" customWidth="true" style="0"/>
    <col min="125" max="125" width="9.140625" customWidth="true" style="0"/>
    <col min="126" max="126" width="9.140625" customWidth="true" style="0"/>
    <col min="127" max="127" width="9.140625" customWidth="true" style="0"/>
    <col min="128" max="128" width="9.140625" customWidth="true" style="0"/>
    <col min="129" max="129" width="9.140625" customWidth="true" style="0"/>
    <col min="130" max="130" width="9.140625" customWidth="true" style="0"/>
    <col min="131" max="131" width="9.140625" customWidth="true" style="0"/>
    <col min="132" max="132" width="9.140625" customWidth="true" style="0"/>
    <col min="133" max="133" width="9.140625" customWidth="true" style="0"/>
    <col min="134" max="134" width="9.140625" customWidth="true" style="0"/>
    <col min="135" max="135" width="9.140625" customWidth="true" style="0"/>
    <col min="136" max="136" width="9.140625" customWidth="true" style="0"/>
    <col min="137" max="137" width="9.140625" customWidth="true" style="0"/>
    <col min="138" max="138" width="9.140625" customWidth="true" style="0"/>
    <col min="139" max="139" width="9.140625" customWidth="true" style="0"/>
    <col min="140" max="140" width="9.140625" customWidth="true" style="0"/>
    <col min="141" max="141" width="9.140625" customWidth="true" style="0"/>
    <col min="142" max="142" width="9.140625" customWidth="true" style="0"/>
    <col min="143" max="143" width="9.140625" customWidth="true" style="0"/>
    <col min="144" max="144" width="9.140625" customWidth="true" style="0"/>
    <col min="145" max="145" width="9.140625" customWidth="true" style="0"/>
    <col min="146" max="146" width="9.140625" customWidth="true" style="0"/>
    <col min="147" max="147" width="9.140625" customWidth="true" style="0"/>
    <col min="148" max="148" width="9.140625" customWidth="true" style="0"/>
    <col min="149" max="149" width="9.140625" customWidth="true" style="0"/>
    <col min="150" max="150" width="9.140625" customWidth="true" style="0"/>
    <col min="151" max="151" width="9.140625" customWidth="true" style="0"/>
    <col min="152" max="152" width="9.140625" customWidth="true" style="0"/>
    <col min="153" max="153" width="9.140625" customWidth="true" style="0"/>
    <col min="154" max="154" width="9.140625" customWidth="true" style="0"/>
    <col min="155" max="155" width="9.140625" customWidth="true" style="0"/>
    <col min="156" max="156" width="9.140625" customWidth="true" style="0"/>
    <col min="157" max="157" width="9.140625" customWidth="true" style="0"/>
    <col min="158" max="158" width="9.140625" customWidth="true" style="0"/>
    <col min="159" max="159" width="9.140625" customWidth="true" style="0"/>
    <col min="160" max="160" width="9.140625" customWidth="true" style="0"/>
    <col min="161" max="161" width="9.140625" customWidth="true" style="0"/>
    <col min="162" max="162" width="9.140625" customWidth="true" style="0"/>
    <col min="163" max="163" width="9.140625" customWidth="true" style="0"/>
    <col min="164" max="164" width="9.140625" customWidth="true" style="0"/>
    <col min="165" max="165" width="9.140625" customWidth="true" style="0"/>
    <col min="166" max="166" width="9.140625" customWidth="true" style="0"/>
    <col min="167" max="167" width="9.140625" customWidth="true" style="0"/>
    <col min="168" max="168" width="9.140625" customWidth="true" style="0"/>
    <col min="169" max="169" width="9.140625" customWidth="true" style="0"/>
    <col min="170" max="170" width="9.140625" customWidth="true" style="0"/>
    <col min="171" max="171" width="9.140625" customWidth="true" style="0"/>
    <col min="172" max="172" width="9.140625" customWidth="true" style="0"/>
    <col min="173" max="173" width="9.140625" customWidth="true" style="0"/>
    <col min="174" max="174" width="9.140625" customWidth="true" style="0"/>
    <col min="175" max="175" width="9.140625" customWidth="true" style="0"/>
    <col min="176" max="176" width="9.140625" customWidth="true" style="0"/>
    <col min="177" max="177" width="9.140625" customWidth="true" style="0"/>
    <col min="178" max="178" width="9.140625" customWidth="true" style="0"/>
    <col min="179" max="179" width="9.140625" customWidth="true" style="0"/>
    <col min="180" max="180" width="9.140625" customWidth="true" style="0"/>
    <col min="181" max="181" width="9.140625" customWidth="true" style="0"/>
    <col min="182" max="182" width="9.140625" customWidth="true" style="0"/>
    <col min="183" max="183" width="9.140625" customWidth="true" style="0"/>
    <col min="184" max="184" width="9.140625" customWidth="true" style="0"/>
    <col min="185" max="185" width="9.140625" customWidth="true" style="0"/>
    <col min="186" max="186" width="9.140625" customWidth="true" style="0"/>
    <col min="187" max="187" width="9.140625" customWidth="true" style="0"/>
    <col min="188" max="188" width="9.140625" customWidth="true" style="0"/>
    <col min="189" max="189" width="9.140625" customWidth="true" style="0"/>
    <col min="190" max="190" width="9.140625" customWidth="true" style="0"/>
    <col min="191" max="191" width="9.140625" customWidth="true" style="0"/>
    <col min="192" max="192" width="9.140625" customWidth="true" style="0"/>
    <col min="193" max="193" width="9.140625" customWidth="true" style="0"/>
    <col min="194" max="194" width="9.140625" customWidth="true" style="0"/>
    <col min="195" max="195" width="9.140625" customWidth="true" style="0"/>
    <col min="196" max="196" width="9.140625" customWidth="true" style="0"/>
    <col min="197" max="197" width="9.140625" customWidth="true" style="0"/>
    <col min="198" max="198" width="9.140625" customWidth="true" style="0"/>
    <col min="199" max="199" width="9.140625" customWidth="true" style="0"/>
    <col min="200" max="200" width="9.140625" customWidth="true" style="0"/>
    <col min="201" max="201" width="9.140625" customWidth="true" style="0"/>
    <col min="202" max="202" width="9.140625" customWidth="true" style="0"/>
    <col min="203" max="203" width="9.140625" customWidth="true" style="0"/>
    <col min="204" max="204" width="9.140625" customWidth="true" style="0"/>
    <col min="205" max="205" width="9.140625" customWidth="true" style="0"/>
    <col min="206" max="206" width="9.140625" customWidth="true" style="0"/>
    <col min="207" max="207" width="9.140625" customWidth="true" style="0"/>
    <col min="208" max="208" width="9.140625" customWidth="true" style="0"/>
    <col min="209" max="209" width="9.140625" customWidth="true" style="0"/>
    <col min="210" max="210" width="9.140625" customWidth="true" style="0"/>
    <col min="211" max="211" width="9.140625" customWidth="true" style="0"/>
    <col min="212" max="212" width="9.140625" customWidth="true" style="0"/>
    <col min="213" max="213" width="9.140625" customWidth="true" style="0"/>
    <col min="214" max="214" width="9.140625" customWidth="true" style="0"/>
    <col min="215" max="215" width="9.140625" customWidth="true" style="0"/>
    <col min="216" max="216" width="9.140625" customWidth="true" style="0"/>
    <col min="217" max="217" width="9.140625" customWidth="true" style="0"/>
    <col min="218" max="218" width="9.140625" customWidth="true" style="0"/>
    <col min="219" max="219" width="9.140625" customWidth="true" style="0"/>
    <col min="220" max="220" width="9.140625" customWidth="true" style="0"/>
    <col min="221" max="221" width="9.140625" customWidth="true" style="0"/>
    <col min="222" max="222" width="9.140625" customWidth="true" style="0"/>
    <col min="223" max="223" width="9.140625" customWidth="true" style="0"/>
    <col min="224" max="224" width="9.140625" customWidth="true" style="0"/>
    <col min="225" max="225" width="9.140625" customWidth="true" style="0"/>
    <col min="226" max="226" width="9.140625" customWidth="true" style="0"/>
    <col min="227" max="227" width="9.140625" customWidth="true" style="0"/>
    <col min="228" max="228" width="9.140625" customWidth="true" style="0"/>
    <col min="229" max="229" width="9.140625" customWidth="true" style="0"/>
    <col min="230" max="230" width="9.140625" customWidth="true" style="0"/>
    <col min="231" max="231" width="9.140625" customWidth="true" style="0"/>
    <col min="232" max="232" width="9.140625" customWidth="true" style="0"/>
    <col min="233" max="233" width="9.140625" customWidth="true" style="0"/>
    <col min="234" max="234" width="9.140625" customWidth="true" style="0"/>
    <col min="235" max="235" width="9.140625" customWidth="true" style="0"/>
    <col min="236" max="236" width="9.140625" customWidth="true" style="0"/>
    <col min="237" max="237" width="9.140625" customWidth="true" style="0"/>
    <col min="238" max="238" width="9.140625" customWidth="true" style="0"/>
    <col min="239" max="239" width="9.140625" customWidth="true" style="0"/>
    <col min="240" max="240" width="9.140625" customWidth="true" style="0"/>
    <col min="241" max="241" width="9.140625" customWidth="true" style="0"/>
    <col min="242" max="242" width="9.140625" customWidth="true" style="0"/>
    <col min="243" max="243" width="9.140625" customWidth="true" style="0"/>
    <col min="244" max="244" width="9.140625" customWidth="true" style="0"/>
    <col min="245" max="245" width="9.140625" customWidth="true" style="0"/>
    <col min="246" max="246" width="9.140625" customWidth="true" style="0"/>
    <col min="247" max="247" width="9.140625" customWidth="true" style="0"/>
    <col min="248" max="248" width="9.140625" customWidth="true" style="0"/>
    <col min="249" max="249" width="9.140625" customWidth="true" style="0"/>
    <col min="250" max="250" width="9.140625" customWidth="true" style="0"/>
    <col min="251" max="251" width="9.140625" customWidth="true" style="0"/>
    <col min="252" max="252" width="9.140625" customWidth="true" style="0"/>
    <col min="253" max="253" width="9.140625" customWidth="true" style="0"/>
    <col min="254" max="254" width="9.140625" customWidth="true" style="0"/>
    <col min="255" max="255" width="9.140625" customWidth="true" style="0"/>
    <col min="256" max="256" width="9.140625" customWidth="true" style="0"/>
  </cols>
  <sheetData>
    <row r="1" spans="1:256" customHeight="1" ht="15.75">
      <c r="A1" s="105" t="s">
        <v>0</v>
      </c>
    </row>
    <row r="2" spans="1:256" customHeight="1" ht="15.75">
      <c r="A2" s="105" t="s">
        <v>1</v>
      </c>
    </row>
    <row r="3" spans="1:256">
      <c r="A3" s="106" t="s">
        <v>2</v>
      </c>
    </row>
    <row r="4" spans="1:256">
      <c r="A4" s="204" t="s">
        <v>3</v>
      </c>
    </row>
    <row r="5" spans="1:256">
      <c r="A5" s="205" t="s">
        <v>4</v>
      </c>
    </row>
    <row r="7" spans="1:256">
      <c r="A7" s="107" t="s">
        <v>5</v>
      </c>
      <c r="B7" s="107"/>
      <c r="C7" s="107"/>
      <c r="D7" s="107"/>
    </row>
    <row r="8" spans="1:256" customHeight="1" ht="12.6"/>
    <row r="9" spans="1:256" customHeight="1" ht="12.6">
      <c r="A9" s="106" t="s">
        <v>6</v>
      </c>
    </row>
    <row r="10" spans="1:256">
      <c r="A10" t="s">
        <v>7</v>
      </c>
    </row>
    <row r="11" spans="1:256">
      <c r="B11" t="s">
        <v>8</v>
      </c>
    </row>
    <row r="12" spans="1:256">
      <c r="B12" t="s">
        <v>9</v>
      </c>
    </row>
    <row r="13" spans="1:256">
      <c r="B13" s="204" t="s">
        <v>10</v>
      </c>
    </row>
    <row r="14" spans="1:256">
      <c r="B14" t="s">
        <v>11</v>
      </c>
    </row>
    <row r="15" spans="1:256">
      <c r="A15" t="s">
        <v>12</v>
      </c>
    </row>
    <row r="16" spans="1:256">
      <c r="B16" t="s">
        <v>13</v>
      </c>
    </row>
    <row r="17" spans="1:256">
      <c r="B17" t="s">
        <v>14</v>
      </c>
    </row>
    <row r="18" spans="1:256">
      <c r="B18" t="s">
        <v>15</v>
      </c>
    </row>
    <row r="19" spans="1:256">
      <c r="A19" t="s">
        <v>16</v>
      </c>
    </row>
    <row r="20" spans="1:256">
      <c r="A20" s="204" t="s">
        <v>17</v>
      </c>
    </row>
    <row r="21" spans="1:256">
      <c r="A21" s="204" t="s">
        <v>18</v>
      </c>
    </row>
  </sheetData>
  <printOptions gridLines="false" gridLinesSet="true"/>
  <pageMargins left="0.75" right="0.75" top="1" bottom="1" header="0.5" footer="0.5"/>
  <pageSetup paperSize="9" orientation="portrait" scale="100" fitToHeight="1" fitToWidth="1" pageOrder="downThenOver" r:id="rId1ps"/>
  <headerFooter differentOddEven="false" differentFirst="false" scaleWithDoc="true" alignWithMargins="fals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 codeName="Sheet2">
    <outlinePr summaryBelow="1" summaryRight="1"/>
  </sheetPr>
  <dimension ref="A1:AE48"/>
  <sheetViews>
    <sheetView tabSelected="0" workbookViewId="0" zoomScale="60" zoomScaleNormal="60" showGridLines="true" showRowColHeaders="1">
      <selection activeCell="D25" sqref="D25"/>
    </sheetView>
  </sheetViews>
  <sheetFormatPr defaultRowHeight="14.4" defaultColWidth="14.85546875" outlineLevelRow="0" outlineLevelCol="0"/>
  <cols>
    <col min="1" max="1" width="36.42578125" customWidth="true" style="50"/>
    <col min="2" max="2" width="18.28515625" customWidth="true" style="50"/>
    <col min="3" max="3" width="12" customWidth="true" style="50"/>
    <col min="4" max="4" width="14.7109375" customWidth="true" style="50"/>
    <col min="5" max="5" width="14.85546875" style="50"/>
    <col min="6" max="6" width="14.28515625" customWidth="true" style="50"/>
    <col min="7" max="7" width="14.140625" customWidth="true" style="50"/>
    <col min="8" max="8" width="20" customWidth="true" style="50"/>
    <col min="9" max="9" width="14.85546875" style="50"/>
    <col min="10" max="10" width="13.42578125" customWidth="true" style="50"/>
    <col min="11" max="11" width="14.85546875" style="50"/>
    <col min="12" max="12" width="9.7109375" customWidth="true" style="50"/>
    <col min="13" max="13" width="12.140625" customWidth="true" style="50"/>
    <col min="14" max="14" width="9.140625" customWidth="true" style="50"/>
    <col min="15" max="15" width="8.85546875" customWidth="true" style="50"/>
    <col min="16" max="16" width="7.42578125" customWidth="true" style="50"/>
    <col min="17" max="17" width="8.28515625" customWidth="true" style="50"/>
    <col min="18" max="18" width="7.5703125" customWidth="true" style="50"/>
    <col min="19" max="19" width="6.42578125" customWidth="true" style="50"/>
    <col min="20" max="20" width="5.85546875" customWidth="true" style="50"/>
    <col min="21" max="21" width="6.28515625" customWidth="true" style="50"/>
    <col min="22" max="22" width="6.28515625" customWidth="true" style="50"/>
    <col min="23" max="23" width="6.42578125" customWidth="true" style="50"/>
    <col min="24" max="24" width="6.140625" customWidth="true" style="50"/>
    <col min="25" max="25" width="17.5703125" customWidth="true" style="50"/>
    <col min="26" max="26" width="17.28515625" customWidth="true" style="50"/>
    <col min="27" max="27" width="16.85546875" customWidth="true" style="50"/>
    <col min="28" max="28" width="40.28515625" customWidth="true" style="50"/>
    <col min="29" max="29" width="14.85546875" style="50"/>
  </cols>
  <sheetData>
    <row r="1" spans="1:31" customHeight="1" ht="60">
      <c r="A1" s="218" t="s">
        <v>19</v>
      </c>
      <c r="B1" s="219"/>
      <c r="C1" s="219"/>
      <c r="D1" s="219"/>
      <c r="F1" s="124" t="s">
        <v>20</v>
      </c>
      <c r="G1" s="125" t="s">
        <v>21</v>
      </c>
      <c r="H1" s="124" t="s">
        <v>22</v>
      </c>
      <c r="I1" s="124" t="s">
        <v>23</v>
      </c>
      <c r="J1" s="124" t="s">
        <v>24</v>
      </c>
      <c r="K1" s="124" t="s">
        <v>25</v>
      </c>
      <c r="L1" s="129" t="s">
        <v>26</v>
      </c>
      <c r="M1" s="127" t="s">
        <v>27</v>
      </c>
      <c r="N1" s="128">
        <v>2.6</v>
      </c>
      <c r="O1" s="128">
        <v>2.7</v>
      </c>
      <c r="P1" s="128">
        <v>2.8</v>
      </c>
      <c r="Q1" s="128">
        <v>2.9</v>
      </c>
      <c r="R1" s="128">
        <v>3</v>
      </c>
      <c r="S1" s="128">
        <v>3.1</v>
      </c>
      <c r="T1" s="128">
        <v>3.2</v>
      </c>
      <c r="U1" s="128">
        <v>3.3</v>
      </c>
      <c r="V1" s="128">
        <v>3.4</v>
      </c>
      <c r="W1" s="128">
        <v>3.5</v>
      </c>
      <c r="X1" s="128">
        <v>3.6</v>
      </c>
      <c r="Y1" s="124" t="s">
        <v>28</v>
      </c>
      <c r="Z1" s="124" t="s">
        <v>29</v>
      </c>
      <c r="AA1" s="133" t="s">
        <v>30</v>
      </c>
      <c r="AB1" s="131" t="s">
        <v>31</v>
      </c>
      <c r="AC1" s="124" t="s">
        <v>22</v>
      </c>
      <c r="AD1" s="124" t="s">
        <v>32</v>
      </c>
      <c r="AE1" s="124" t="s">
        <v>33</v>
      </c>
    </row>
    <row r="2" spans="1:31" customHeight="1" ht="15.75">
      <c r="F2" s="126">
        <v>100</v>
      </c>
      <c r="G2" s="149">
        <v>17</v>
      </c>
      <c r="H2" s="126" t="s">
        <v>34</v>
      </c>
      <c r="I2" s="126">
        <v>12</v>
      </c>
      <c r="J2" s="126">
        <v>0</v>
      </c>
      <c r="K2" s="126">
        <v>0</v>
      </c>
      <c r="L2" s="130">
        <v>2.6</v>
      </c>
      <c r="M2" s="128">
        <v>3</v>
      </c>
      <c r="N2" s="148">
        <v>4.5</v>
      </c>
      <c r="O2" s="148">
        <v>4.5</v>
      </c>
      <c r="P2" s="148">
        <v>4.5</v>
      </c>
      <c r="Q2" s="148">
        <v>4.55</v>
      </c>
      <c r="R2" s="148">
        <v>4.6</v>
      </c>
      <c r="S2" s="148">
        <v>4.65</v>
      </c>
      <c r="T2" s="148">
        <v>4.7</v>
      </c>
      <c r="U2" s="148">
        <v>4.75</v>
      </c>
      <c r="V2" s="148">
        <v>4.8</v>
      </c>
      <c r="W2" s="148">
        <v>4.8</v>
      </c>
      <c r="X2" s="148">
        <v>4.8</v>
      </c>
      <c r="Y2" s="126" t="s">
        <v>35</v>
      </c>
      <c r="Z2" s="126">
        <v>28</v>
      </c>
      <c r="AA2" s="133">
        <v>0</v>
      </c>
      <c r="AB2" s="132">
        <v>0.3</v>
      </c>
      <c r="AC2" s="133" t="str">
        <f>H2</f>
        <v>Dry</v>
      </c>
      <c r="AD2" s="145">
        <v>0.004</v>
      </c>
      <c r="AE2" s="145">
        <v>0.002</v>
      </c>
    </row>
    <row r="3" spans="1:31" customHeight="1" ht="30">
      <c r="D3" s="51" t="s">
        <v>36</v>
      </c>
      <c r="F3" s="126">
        <v>125</v>
      </c>
      <c r="G3" s="149">
        <v>19.062</v>
      </c>
      <c r="H3" s="126" t="s">
        <v>37</v>
      </c>
      <c r="I3" s="126">
        <v>17</v>
      </c>
      <c r="J3" s="126">
        <v>1</v>
      </c>
      <c r="K3" s="126">
        <v>0</v>
      </c>
      <c r="L3" s="130">
        <v>2.7</v>
      </c>
      <c r="M3" s="128">
        <v>3.1</v>
      </c>
      <c r="N3" s="148">
        <v>4.55</v>
      </c>
      <c r="O3" s="148">
        <v>4.55</v>
      </c>
      <c r="P3" s="148">
        <v>4.6</v>
      </c>
      <c r="Q3" s="148">
        <v>4.6</v>
      </c>
      <c r="R3" s="148">
        <v>4.65</v>
      </c>
      <c r="S3" s="148">
        <v>4.7</v>
      </c>
      <c r="T3" s="148">
        <v>4.75</v>
      </c>
      <c r="U3" s="148">
        <v>4.8</v>
      </c>
      <c r="V3" s="148">
        <v>4.85</v>
      </c>
      <c r="W3" s="148">
        <v>4.85</v>
      </c>
      <c r="X3" s="148">
        <v>4.9</v>
      </c>
      <c r="Y3" s="126" t="s">
        <v>38</v>
      </c>
      <c r="Z3" s="126">
        <v>55</v>
      </c>
      <c r="AA3" s="133" t="s">
        <v>39</v>
      </c>
      <c r="AB3" s="132">
        <v>0.4</v>
      </c>
      <c r="AC3" s="133" t="str">
        <f>H3</f>
        <v>Early lactation</v>
      </c>
      <c r="AD3" s="145">
        <v>0.008</v>
      </c>
      <c r="AE3" s="145">
        <v>0.004</v>
      </c>
    </row>
    <row r="4" spans="1:31" customHeight="1" ht="30">
      <c r="A4" s="54" t="s">
        <v>20</v>
      </c>
      <c r="B4" s="55"/>
      <c r="C4" s="150">
        <v>550</v>
      </c>
      <c r="D4" s="123">
        <f>IF(ISNUMBER(C4),VLOOKUP(C4,F2:G22,2,FALSE),"")</f>
        <v>59</v>
      </c>
      <c r="F4" s="126">
        <v>150</v>
      </c>
      <c r="G4" s="149">
        <v>22</v>
      </c>
      <c r="H4" s="126" t="s">
        <v>40</v>
      </c>
      <c r="I4" s="126">
        <v>16</v>
      </c>
      <c r="J4" s="126">
        <v>2</v>
      </c>
      <c r="K4" s="126">
        <v>0</v>
      </c>
      <c r="L4" s="130">
        <v>2.8</v>
      </c>
      <c r="M4" s="128">
        <v>3.2</v>
      </c>
      <c r="N4" s="148">
        <v>4.6</v>
      </c>
      <c r="O4" s="148">
        <v>4.65</v>
      </c>
      <c r="P4" s="148">
        <v>4.7</v>
      </c>
      <c r="Q4" s="148">
        <v>4.7</v>
      </c>
      <c r="R4" s="148">
        <v>4.7</v>
      </c>
      <c r="S4" s="148">
        <v>4.75</v>
      </c>
      <c r="T4" s="148">
        <v>4.8</v>
      </c>
      <c r="U4" s="148">
        <v>4.85</v>
      </c>
      <c r="V4" s="148">
        <v>4.9</v>
      </c>
      <c r="W4" s="148">
        <v>4.95</v>
      </c>
      <c r="X4" s="148">
        <v>5</v>
      </c>
      <c r="Y4" s="126" t="s">
        <v>41</v>
      </c>
      <c r="Z4" s="126">
        <v>44</v>
      </c>
      <c r="AA4" s="134" t="s">
        <v>42</v>
      </c>
      <c r="AB4" s="132">
        <v>0.5</v>
      </c>
      <c r="AC4" s="133" t="str">
        <f>H4</f>
        <v>Mid lactation</v>
      </c>
      <c r="AD4" s="145">
        <v>0.007</v>
      </c>
      <c r="AE4" s="145">
        <v>0.0035</v>
      </c>
    </row>
    <row r="5" spans="1:31" customHeight="1" ht="30">
      <c r="A5" s="54" t="s">
        <v>24</v>
      </c>
      <c r="B5" s="55"/>
      <c r="C5" s="69">
        <v>0</v>
      </c>
      <c r="D5" s="123">
        <f>IF(ISNUMBER(C5),VLOOKUP(C5,J2:K11,2,FALSE),"")</f>
        <v>0</v>
      </c>
      <c r="F5" s="126">
        <v>175</v>
      </c>
      <c r="G5" s="149">
        <v>24.5688</v>
      </c>
      <c r="H5" s="126" t="s">
        <v>43</v>
      </c>
      <c r="I5" s="126">
        <v>15</v>
      </c>
      <c r="J5" s="126">
        <v>3</v>
      </c>
      <c r="K5" s="126">
        <v>0</v>
      </c>
      <c r="L5" s="130">
        <v>2.9</v>
      </c>
      <c r="M5" s="128">
        <v>3.3</v>
      </c>
      <c r="N5" s="148">
        <v>4.65</v>
      </c>
      <c r="O5" s="148">
        <v>4.69</v>
      </c>
      <c r="P5" s="148">
        <v>4.73</v>
      </c>
      <c r="Q5" s="148">
        <v>4.77</v>
      </c>
      <c r="R5" s="148">
        <v>4.81</v>
      </c>
      <c r="S5" s="148">
        <v>4.85</v>
      </c>
      <c r="T5" s="148">
        <v>4.85</v>
      </c>
      <c r="U5" s="148">
        <v>4.93</v>
      </c>
      <c r="V5" s="148">
        <v>4.95</v>
      </c>
      <c r="W5" s="148">
        <v>5.01</v>
      </c>
      <c r="X5" s="148">
        <v>5.05</v>
      </c>
      <c r="AA5" s="133" t="s">
        <v>44</v>
      </c>
      <c r="AB5" s="132">
        <v>0.6</v>
      </c>
      <c r="AC5" s="133" t="str">
        <f>H5</f>
        <v>Late lactation</v>
      </c>
      <c r="AD5" s="145">
        <v>0.004</v>
      </c>
      <c r="AE5" s="145">
        <v>0.002</v>
      </c>
    </row>
    <row r="6" spans="1:31" customHeight="1" ht="30">
      <c r="A6" s="56" t="s">
        <v>45</v>
      </c>
      <c r="B6" s="57" t="s">
        <v>46</v>
      </c>
      <c r="C6" s="103">
        <v>25.0</v>
      </c>
      <c r="D6" s="215">
        <f>IF(ISNUMBER(C6),IF(ISNUMBER(C7),IF(ISNUMBER(C8),C6*INDEX($M$1:$X$24,MATCH($C$7,$M$1:$M$24,0),MATCH($C$8,$M$1:$X$1,0))*1,""),""),"")</f>
        <v>124</v>
      </c>
      <c r="F6" s="126">
        <v>200</v>
      </c>
      <c r="G6" s="149">
        <v>27</v>
      </c>
      <c r="J6" s="126">
        <v>4</v>
      </c>
      <c r="K6" s="126">
        <v>0</v>
      </c>
      <c r="L6" s="130">
        <v>3</v>
      </c>
      <c r="M6" s="128">
        <v>3.4</v>
      </c>
      <c r="N6" s="148">
        <v>4.7</v>
      </c>
      <c r="O6" s="148">
        <v>4.75</v>
      </c>
      <c r="P6" s="148">
        <v>4.8</v>
      </c>
      <c r="Q6" s="148">
        <v>4.845</v>
      </c>
      <c r="R6" s="148">
        <v>4.9</v>
      </c>
      <c r="S6" s="148">
        <v>4.925</v>
      </c>
      <c r="T6" s="148">
        <v>4.9</v>
      </c>
      <c r="U6" s="148">
        <v>4.95</v>
      </c>
      <c r="V6" s="148">
        <v>5</v>
      </c>
      <c r="W6" s="148">
        <v>5.085</v>
      </c>
      <c r="X6" s="148">
        <v>5.1</v>
      </c>
      <c r="AA6" s="133" t="s">
        <v>47</v>
      </c>
      <c r="AB6" s="132">
        <v>0.7</v>
      </c>
    </row>
    <row r="7" spans="1:31" customHeight="1" ht="30">
      <c r="A7" s="58"/>
      <c r="B7" s="59" t="s">
        <v>48</v>
      </c>
      <c r="C7" s="70">
        <v>3.5</v>
      </c>
      <c r="D7" s="216"/>
      <c r="F7" s="126">
        <v>225</v>
      </c>
      <c r="G7" s="149">
        <v>29.652</v>
      </c>
      <c r="J7" s="126">
        <v>5</v>
      </c>
      <c r="K7" s="126">
        <v>0</v>
      </c>
      <c r="L7" s="130">
        <v>3.1</v>
      </c>
      <c r="M7" s="128">
        <v>3.5</v>
      </c>
      <c r="N7" s="148">
        <v>4.8</v>
      </c>
      <c r="O7" s="148">
        <v>4.84</v>
      </c>
      <c r="P7" s="148">
        <v>4.88</v>
      </c>
      <c r="Q7" s="148">
        <v>4.92</v>
      </c>
      <c r="R7" s="148">
        <v>4.96</v>
      </c>
      <c r="S7" s="148">
        <v>5</v>
      </c>
      <c r="T7" s="148">
        <v>5.04</v>
      </c>
      <c r="U7" s="148">
        <v>5.08</v>
      </c>
      <c r="V7" s="148">
        <v>5.08</v>
      </c>
      <c r="W7" s="148">
        <v>5.15</v>
      </c>
      <c r="X7" s="148">
        <v>5.16</v>
      </c>
    </row>
    <row r="8" spans="1:31" customHeight="1" ht="30">
      <c r="A8" s="60"/>
      <c r="B8" s="61" t="s">
        <v>49</v>
      </c>
      <c r="C8" s="71">
        <v>3.0</v>
      </c>
      <c r="D8" s="217"/>
      <c r="F8" s="126">
        <v>250</v>
      </c>
      <c r="G8" s="149">
        <v>31</v>
      </c>
      <c r="J8" s="126">
        <v>6</v>
      </c>
      <c r="K8" s="126">
        <v>8</v>
      </c>
      <c r="L8" s="130">
        <v>3.2</v>
      </c>
      <c r="M8" s="128">
        <v>3.6</v>
      </c>
      <c r="N8" s="148">
        <v>4.9</v>
      </c>
      <c r="O8" s="148">
        <v>4.9</v>
      </c>
      <c r="P8" s="148">
        <v>4.9</v>
      </c>
      <c r="Q8" s="148">
        <v>4.995</v>
      </c>
      <c r="R8" s="148">
        <v>5</v>
      </c>
      <c r="S8" s="148">
        <v>5.075</v>
      </c>
      <c r="T8" s="148">
        <v>5.1</v>
      </c>
      <c r="U8" s="148">
        <v>5.155</v>
      </c>
      <c r="V8" s="148">
        <v>5.1</v>
      </c>
      <c r="W8" s="148">
        <v>5.15</v>
      </c>
      <c r="X8" s="148">
        <v>5.2</v>
      </c>
    </row>
    <row r="9" spans="1:31" customHeight="1" ht="39">
      <c r="A9" s="62" t="s">
        <v>50</v>
      </c>
      <c r="B9" s="63" t="s">
        <v>51</v>
      </c>
      <c r="C9" s="69">
        <v>12</v>
      </c>
      <c r="D9" s="123">
        <f>IF(ISNUMBER(C9),$C$9*IF($C$9&lt;0,$Z$2,IF(AND($C$9&gt;0,$C$6&lt;1),$Z$3,IF(AND($C$9&gt;0,$C$6&gt;=1),$Z$4,0))),"")</f>
        <v>528</v>
      </c>
      <c r="F9" s="126">
        <v>275</v>
      </c>
      <c r="G9" s="149">
        <v>34.5234</v>
      </c>
      <c r="J9" s="126">
        <v>7</v>
      </c>
      <c r="K9" s="126">
        <v>10</v>
      </c>
      <c r="L9" s="130">
        <v>3.3</v>
      </c>
      <c r="M9" s="128">
        <v>3.7</v>
      </c>
      <c r="N9" s="148">
        <v>4.95</v>
      </c>
      <c r="O9" s="148">
        <v>4.99</v>
      </c>
      <c r="P9" s="148">
        <v>5.01</v>
      </c>
      <c r="Q9" s="148">
        <v>5.07</v>
      </c>
      <c r="R9" s="148">
        <v>5.07</v>
      </c>
      <c r="S9" s="148">
        <v>5.15</v>
      </c>
      <c r="T9" s="148">
        <v>5.13</v>
      </c>
      <c r="U9" s="148">
        <v>5.23</v>
      </c>
      <c r="V9" s="148">
        <v>5.19</v>
      </c>
      <c r="W9" s="148">
        <v>5.2</v>
      </c>
      <c r="X9" s="148">
        <v>5.25</v>
      </c>
    </row>
    <row r="10" spans="1:31" customHeight="1" ht="30">
      <c r="A10" s="64"/>
      <c r="B10" s="64"/>
      <c r="C10" s="65" t="s">
        <v>52</v>
      </c>
      <c r="D10" s="80">
        <f>SUM(D4:D9)</f>
        <v>711</v>
      </c>
      <c r="E10" s="11">
        <f>D10*239</f>
        <v>169929</v>
      </c>
      <c r="F10" s="126">
        <v>300</v>
      </c>
      <c r="G10" s="149">
        <v>36</v>
      </c>
      <c r="J10" s="126">
        <v>8</v>
      </c>
      <c r="K10" s="126">
        <v>15</v>
      </c>
      <c r="L10" s="130">
        <v>3.4</v>
      </c>
      <c r="M10" s="128">
        <v>3.8</v>
      </c>
      <c r="N10" s="148">
        <v>5</v>
      </c>
      <c r="O10" s="148">
        <v>5.065</v>
      </c>
      <c r="P10" s="148">
        <v>5.1</v>
      </c>
      <c r="Q10" s="148">
        <v>5.1675</v>
      </c>
      <c r="R10" s="148">
        <v>5.1</v>
      </c>
      <c r="S10" s="148">
        <v>5.15</v>
      </c>
      <c r="T10" s="148">
        <v>5.2</v>
      </c>
      <c r="U10" s="148">
        <v>5.3275</v>
      </c>
      <c r="V10" s="148">
        <v>5.3</v>
      </c>
      <c r="W10" s="148">
        <v>5.3</v>
      </c>
      <c r="X10" s="148">
        <v>5.3</v>
      </c>
    </row>
    <row r="11" spans="1:31" customHeight="1" ht="30">
      <c r="A11" s="64"/>
      <c r="B11" s="64"/>
      <c r="C11" s="50" t="s">
        <v>53</v>
      </c>
      <c r="D11" s="52"/>
      <c r="F11" s="126">
        <v>325</v>
      </c>
      <c r="G11" s="149">
        <v>39.0771</v>
      </c>
      <c r="J11" s="126">
        <v>9</v>
      </c>
      <c r="K11" s="126">
        <v>20</v>
      </c>
      <c r="L11" s="130">
        <v>3.5</v>
      </c>
      <c r="M11" s="128">
        <v>3.9</v>
      </c>
      <c r="N11" s="148">
        <v>5.05</v>
      </c>
      <c r="O11" s="148">
        <v>5.14</v>
      </c>
      <c r="P11" s="148">
        <v>5.11</v>
      </c>
      <c r="Q11" s="148">
        <v>5.265</v>
      </c>
      <c r="R11" s="148">
        <v>5.17</v>
      </c>
      <c r="S11" s="148">
        <v>5.2</v>
      </c>
      <c r="T11" s="148">
        <v>5.23</v>
      </c>
      <c r="U11" s="148">
        <v>5.425</v>
      </c>
      <c r="V11" s="148">
        <v>5.29</v>
      </c>
      <c r="W11" s="148">
        <v>5.3</v>
      </c>
      <c r="X11" s="148">
        <v>5.35</v>
      </c>
    </row>
    <row r="12" spans="1:31" customHeight="1" ht="30">
      <c r="D12" s="51" t="s">
        <v>54</v>
      </c>
      <c r="F12" s="126">
        <v>350</v>
      </c>
      <c r="G12" s="149">
        <v>40</v>
      </c>
      <c r="L12" s="130">
        <v>3.6</v>
      </c>
      <c r="M12" s="128">
        <v>4</v>
      </c>
      <c r="N12" s="148">
        <v>5.1</v>
      </c>
      <c r="O12" s="148">
        <v>5.1875</v>
      </c>
      <c r="P12" s="148">
        <v>5.2</v>
      </c>
      <c r="Q12" s="148">
        <v>5.1875</v>
      </c>
      <c r="R12" s="148">
        <v>5.3</v>
      </c>
      <c r="S12" s="148">
        <v>5.2475</v>
      </c>
      <c r="T12" s="148">
        <v>5.3</v>
      </c>
      <c r="U12" s="148">
        <v>5.3075</v>
      </c>
      <c r="V12" s="148">
        <v>5.4</v>
      </c>
      <c r="W12" s="148">
        <v>5.4175</v>
      </c>
      <c r="X12" s="148">
        <v>5.5</v>
      </c>
    </row>
    <row r="13" spans="1:31" customHeight="1" ht="30">
      <c r="A13" s="66" t="s">
        <v>22</v>
      </c>
      <c r="B13" s="214" t="s">
        <v>37</v>
      </c>
      <c r="C13" s="214"/>
      <c r="D13" s="155" t="s">
        <v>55</v>
      </c>
      <c r="F13" s="126">
        <v>375</v>
      </c>
      <c r="G13" s="149">
        <v>43.419</v>
      </c>
      <c r="M13" s="128">
        <v>4.1</v>
      </c>
      <c r="N13" s="148">
        <v>5.2</v>
      </c>
      <c r="O13" s="148">
        <v>5.235</v>
      </c>
      <c r="P13" s="148">
        <v>5.27</v>
      </c>
      <c r="Q13" s="148">
        <v>5.235</v>
      </c>
      <c r="R13" s="148">
        <v>5.34</v>
      </c>
      <c r="S13" s="148">
        <v>5.295</v>
      </c>
      <c r="T13" s="148">
        <v>5.41</v>
      </c>
      <c r="U13" s="148">
        <v>5.355</v>
      </c>
      <c r="V13" s="148">
        <v>5.48</v>
      </c>
      <c r="W13" s="148">
        <v>5.515</v>
      </c>
      <c r="X13" s="148">
        <v>5.55</v>
      </c>
    </row>
    <row r="14" spans="1:31" customHeight="1" ht="30">
      <c r="F14" s="126">
        <v>400</v>
      </c>
      <c r="G14" s="149">
        <v>45</v>
      </c>
      <c r="M14" s="128">
        <v>4.2</v>
      </c>
      <c r="N14" s="148">
        <v>5.3</v>
      </c>
      <c r="O14" s="148">
        <v>5.3325</v>
      </c>
      <c r="P14" s="148">
        <v>5.3</v>
      </c>
      <c r="Q14" s="148">
        <v>5.3325</v>
      </c>
      <c r="R14" s="148">
        <v>5.4</v>
      </c>
      <c r="S14" s="148">
        <v>5.3925</v>
      </c>
      <c r="T14" s="148">
        <v>5.5</v>
      </c>
      <c r="U14" s="148">
        <v>5.4575</v>
      </c>
      <c r="V14" s="148">
        <v>5.5</v>
      </c>
      <c r="W14" s="148">
        <v>5.6125</v>
      </c>
      <c r="X14" s="148">
        <v>5.6</v>
      </c>
    </row>
    <row r="15" spans="1:31" customHeight="1" ht="30">
      <c r="D15" s="51" t="s">
        <v>56</v>
      </c>
      <c r="F15" s="126">
        <v>425</v>
      </c>
      <c r="G15" s="149">
        <v>47.7609</v>
      </c>
      <c r="M15" s="128">
        <v>4.3</v>
      </c>
      <c r="N15" s="148">
        <v>5.35</v>
      </c>
      <c r="O15" s="148">
        <v>5.43</v>
      </c>
      <c r="P15" s="148">
        <v>5.41</v>
      </c>
      <c r="Q15" s="148">
        <v>5.43</v>
      </c>
      <c r="R15" s="148">
        <v>5.47</v>
      </c>
      <c r="S15" s="148">
        <v>5.49</v>
      </c>
      <c r="T15" s="148">
        <v>5.53</v>
      </c>
      <c r="U15" s="148">
        <v>5.56</v>
      </c>
      <c r="V15" s="148">
        <v>5.59</v>
      </c>
      <c r="W15" s="148">
        <v>5.71</v>
      </c>
      <c r="X15" s="148">
        <v>5.65</v>
      </c>
    </row>
    <row r="16" spans="1:31" customHeight="1" ht="30">
      <c r="D16" s="144">
        <v>0.3</v>
      </c>
      <c r="F16" s="126">
        <v>450</v>
      </c>
      <c r="G16" s="149">
        <v>49</v>
      </c>
      <c r="M16" s="128">
        <v>4.4</v>
      </c>
      <c r="N16" s="148">
        <v>5.4</v>
      </c>
      <c r="O16" s="148">
        <v>5.45</v>
      </c>
      <c r="P16" s="148">
        <v>5.5</v>
      </c>
      <c r="Q16" s="148">
        <v>5.5275</v>
      </c>
      <c r="R16" s="148">
        <v>5.5</v>
      </c>
      <c r="S16" s="148">
        <v>5.5875</v>
      </c>
      <c r="T16" s="148">
        <v>5.6</v>
      </c>
      <c r="U16" s="148">
        <v>5.6275</v>
      </c>
      <c r="V16" s="148">
        <v>5.7</v>
      </c>
      <c r="W16" s="148">
        <v>5.8075</v>
      </c>
      <c r="X16" s="148">
        <v>5.7</v>
      </c>
    </row>
    <row r="17" spans="1:31" customHeight="1" ht="15.75">
      <c r="F17" s="126">
        <v>475</v>
      </c>
      <c r="G17" s="149">
        <v>51.891</v>
      </c>
      <c r="M17" s="128">
        <v>4.5</v>
      </c>
      <c r="N17" s="148">
        <v>5.45</v>
      </c>
      <c r="O17" s="148">
        <v>5.5</v>
      </c>
      <c r="P17" s="148">
        <v>5.52</v>
      </c>
      <c r="Q17" s="148">
        <v>5.625</v>
      </c>
      <c r="R17" s="148">
        <v>5.59</v>
      </c>
      <c r="S17" s="148">
        <v>5.685</v>
      </c>
      <c r="T17" s="148">
        <v>5.66</v>
      </c>
      <c r="U17" s="148">
        <v>5.695</v>
      </c>
      <c r="V17" s="148">
        <v>5.73</v>
      </c>
      <c r="W17" s="148">
        <v>5.905</v>
      </c>
      <c r="X17" s="148">
        <v>5.8</v>
      </c>
    </row>
    <row r="18" spans="1:31" customHeight="1" ht="15.75">
      <c r="A18" s="206" t="s">
        <v>5</v>
      </c>
      <c r="D18" s="51" t="s">
        <v>57</v>
      </c>
      <c r="F18" s="126">
        <v>500</v>
      </c>
      <c r="G18" s="149">
        <v>54</v>
      </c>
      <c r="M18" s="128">
        <v>4.6</v>
      </c>
      <c r="N18" s="148">
        <v>5.5</v>
      </c>
      <c r="O18" s="148">
        <v>5.6</v>
      </c>
      <c r="P18" s="148">
        <v>5.6</v>
      </c>
      <c r="Q18" s="148">
        <v>5.7225</v>
      </c>
      <c r="R18" s="148">
        <v>5.7</v>
      </c>
      <c r="S18" s="148">
        <v>5.7825</v>
      </c>
      <c r="T18" s="148">
        <v>5.7</v>
      </c>
      <c r="U18" s="148">
        <v>5.7625</v>
      </c>
      <c r="V18" s="148">
        <v>5.8</v>
      </c>
      <c r="W18" s="148">
        <v>6.0025</v>
      </c>
      <c r="X18" s="148">
        <v>5.9</v>
      </c>
    </row>
    <row r="19" spans="1:31" customHeight="1" ht="19.5">
      <c r="D19" s="118">
        <f>IF(B13="","",VLOOKUP(B13,AC2:AE5,2,FALSE))</f>
        <v>0.008</v>
      </c>
      <c r="F19" s="126">
        <v>525</v>
      </c>
      <c r="G19" s="149">
        <v>56.0211</v>
      </c>
      <c r="M19" s="128">
        <v>4.7</v>
      </c>
      <c r="N19" s="148">
        <v>5.55</v>
      </c>
      <c r="O19" s="148">
        <v>5.6</v>
      </c>
      <c r="P19" s="148">
        <v>5.63</v>
      </c>
      <c r="Q19" s="148">
        <v>5.8</v>
      </c>
      <c r="R19" s="148">
        <v>5.8</v>
      </c>
      <c r="S19" s="148">
        <v>5.8</v>
      </c>
      <c r="T19" s="148">
        <v>5.9</v>
      </c>
      <c r="U19" s="148">
        <v>5.83</v>
      </c>
      <c r="V19" s="148">
        <v>5.87</v>
      </c>
      <c r="W19" s="148">
        <v>6.1</v>
      </c>
      <c r="X19" s="148">
        <v>5.95</v>
      </c>
    </row>
    <row r="20" spans="1:31" customHeight="1" ht="15.75">
      <c r="D20" s="67"/>
      <c r="F20" s="126">
        <v>550</v>
      </c>
      <c r="G20" s="149">
        <v>59</v>
      </c>
      <c r="J20" s="68"/>
      <c r="K20" s="68"/>
      <c r="L20" s="68"/>
      <c r="M20" s="128">
        <v>4.8</v>
      </c>
      <c r="N20" s="148">
        <v>5.6</v>
      </c>
      <c r="O20" s="148">
        <v>5.7</v>
      </c>
      <c r="P20" s="148">
        <v>5.7</v>
      </c>
      <c r="Q20" s="148">
        <v>5.9175</v>
      </c>
      <c r="R20" s="148">
        <v>5.8</v>
      </c>
      <c r="S20" s="148">
        <v>5.87</v>
      </c>
      <c r="T20" s="148">
        <v>5.9</v>
      </c>
      <c r="U20" s="148">
        <v>5.8875</v>
      </c>
      <c r="V20" s="148">
        <v>5.9</v>
      </c>
      <c r="W20" s="148">
        <v>6.1</v>
      </c>
      <c r="X20" s="148">
        <v>6</v>
      </c>
    </row>
    <row r="21" spans="1:31" customHeight="1" ht="15.75">
      <c r="D21" s="51" t="s">
        <v>58</v>
      </c>
      <c r="E21" s="67"/>
      <c r="F21" s="126">
        <v>575</v>
      </c>
      <c r="G21" s="149">
        <v>59.7696</v>
      </c>
      <c r="J21" s="68"/>
      <c r="K21" s="68"/>
      <c r="L21" s="68"/>
      <c r="M21" s="128">
        <v>4.9</v>
      </c>
      <c r="N21" s="148">
        <v>5.7</v>
      </c>
      <c r="O21" s="148">
        <v>5.7</v>
      </c>
      <c r="P21" s="148">
        <v>5.77</v>
      </c>
      <c r="Q21" s="148">
        <v>6.015</v>
      </c>
      <c r="R21" s="148">
        <v>5.84</v>
      </c>
      <c r="S21" s="148">
        <v>5.87</v>
      </c>
      <c r="T21" s="148">
        <v>5.9</v>
      </c>
      <c r="U21" s="148">
        <v>5.945</v>
      </c>
      <c r="V21" s="148">
        <v>5.98</v>
      </c>
      <c r="W21" s="148">
        <v>6.1</v>
      </c>
      <c r="X21" s="148">
        <v>6.05</v>
      </c>
    </row>
    <row r="22" spans="1:31" customHeight="1" ht="19.5">
      <c r="D22" s="118">
        <f>IF(B13="","",VLOOKUP(B13,AC2:AE5,3,FALSE))</f>
        <v>0.004</v>
      </c>
      <c r="E22" s="67"/>
      <c r="F22" s="126">
        <v>600</v>
      </c>
      <c r="G22" s="149">
        <v>63</v>
      </c>
      <c r="J22" s="68"/>
      <c r="K22" s="68"/>
      <c r="L22" s="68"/>
      <c r="M22" s="128">
        <v>5</v>
      </c>
      <c r="N22" s="148">
        <v>5.8</v>
      </c>
      <c r="O22" s="148">
        <v>5.8</v>
      </c>
      <c r="P22" s="148">
        <v>5.8</v>
      </c>
      <c r="Q22" s="148">
        <v>5.85</v>
      </c>
      <c r="R22" s="148">
        <v>5.9</v>
      </c>
      <c r="S22" s="148">
        <v>5.8725</v>
      </c>
      <c r="T22" s="148">
        <v>6</v>
      </c>
      <c r="U22" s="148">
        <v>6.02</v>
      </c>
      <c r="V22" s="148">
        <v>6.1</v>
      </c>
      <c r="W22" s="148">
        <v>6.1</v>
      </c>
      <c r="X22" s="148">
        <v>6.1</v>
      </c>
    </row>
    <row r="23" spans="1:31" customHeight="1" ht="15.75">
      <c r="D23" s="67"/>
      <c r="E23" s="67"/>
      <c r="M23" s="128">
        <v>5.1</v>
      </c>
      <c r="N23" s="148">
        <v>5.85</v>
      </c>
      <c r="O23" s="148">
        <v>5.85</v>
      </c>
      <c r="P23" s="148">
        <v>5.92</v>
      </c>
      <c r="Q23" s="148">
        <v>5.92</v>
      </c>
      <c r="R23" s="148">
        <v>5.95</v>
      </c>
      <c r="S23" s="148">
        <v>6</v>
      </c>
      <c r="T23" s="148">
        <v>6.06</v>
      </c>
      <c r="U23" s="148">
        <v>6.095</v>
      </c>
      <c r="V23" s="148">
        <v>6.13</v>
      </c>
      <c r="W23" s="148">
        <v>6.2</v>
      </c>
      <c r="X23" s="148">
        <v>6.2</v>
      </c>
    </row>
    <row r="24" spans="1:31" customHeight="1" ht="31.5">
      <c r="D24" s="51" t="s">
        <v>59</v>
      </c>
      <c r="M24" s="128">
        <v>5.2</v>
      </c>
      <c r="N24" s="148">
        <v>5.9</v>
      </c>
      <c r="O24" s="148">
        <v>5.94</v>
      </c>
      <c r="P24" s="148">
        <v>6</v>
      </c>
      <c r="Q24" s="148">
        <v>6.02</v>
      </c>
      <c r="R24" s="148">
        <v>6</v>
      </c>
      <c r="S24" s="148">
        <v>6.1</v>
      </c>
      <c r="T24" s="148">
        <v>6.1</v>
      </c>
      <c r="U24" s="148">
        <v>6.18</v>
      </c>
      <c r="V24" s="148">
        <v>6.2</v>
      </c>
      <c r="W24" s="148">
        <v>6.26</v>
      </c>
      <c r="X24" s="148">
        <v>6.3</v>
      </c>
    </row>
    <row r="25" spans="1:31" customHeight="1" ht="19.5">
      <c r="D25" s="81">
        <f>IF(C6&gt;15,AB6,IF(C6&gt;10,AB5,IF(C6&gt;5,AB4,IF(C6=0,AB2,AB3))))</f>
        <v>0.7</v>
      </c>
    </row>
    <row r="27" spans="1:31" customHeight="1" ht="15.75">
      <c r="A27" s="202"/>
      <c r="B27" s="202"/>
      <c r="C27" s="202"/>
      <c r="D27" s="203"/>
      <c r="E27" s="202"/>
      <c r="F27" s="202"/>
      <c r="G27" s="202"/>
      <c r="H27" s="202"/>
      <c r="I27" s="202"/>
    </row>
    <row r="28" spans="1:31">
      <c r="A28" s="202"/>
      <c r="B28" s="202"/>
      <c r="C28" s="202"/>
      <c r="D28" s="202"/>
      <c r="E28" s="202"/>
      <c r="F28" s="202"/>
      <c r="G28" s="202"/>
      <c r="H28" s="202"/>
      <c r="I28" s="202"/>
    </row>
    <row r="29" spans="1:31">
      <c r="A29" s="202"/>
      <c r="B29" s="202"/>
      <c r="C29" s="202"/>
      <c r="D29" s="202"/>
      <c r="E29" s="202"/>
      <c r="F29" s="202"/>
      <c r="G29" s="202"/>
      <c r="H29" s="202"/>
      <c r="I29" s="202"/>
    </row>
    <row r="30" spans="1:31">
      <c r="A30" s="202"/>
      <c r="B30" s="202"/>
      <c r="C30" s="202"/>
      <c r="D30" s="202"/>
      <c r="E30" s="202"/>
      <c r="F30" s="202"/>
      <c r="G30" s="202"/>
      <c r="H30" s="202"/>
      <c r="I30" s="202"/>
    </row>
    <row r="31" spans="1:31">
      <c r="A31" s="202"/>
      <c r="B31" s="202"/>
      <c r="C31" s="202"/>
      <c r="D31" s="202"/>
      <c r="E31" s="202"/>
      <c r="F31" s="202"/>
      <c r="G31" s="202"/>
      <c r="H31" s="202"/>
      <c r="I31" s="202"/>
    </row>
    <row r="32" spans="1:31">
      <c r="A32" s="202"/>
      <c r="B32" s="202"/>
      <c r="C32" s="202"/>
      <c r="D32" s="202"/>
      <c r="E32" s="202"/>
      <c r="F32" s="202"/>
      <c r="G32" s="202"/>
      <c r="H32" s="202"/>
      <c r="I32" s="202"/>
    </row>
    <row r="33" spans="1:31">
      <c r="A33" s="202"/>
      <c r="B33" s="202"/>
      <c r="C33" s="202"/>
      <c r="D33" s="202"/>
      <c r="E33" s="202"/>
      <c r="F33" s="202"/>
      <c r="G33" s="202"/>
      <c r="H33" s="202"/>
      <c r="I33" s="202"/>
    </row>
    <row r="34" spans="1:31">
      <c r="A34" s="202"/>
      <c r="B34" s="202"/>
      <c r="C34" s="202"/>
      <c r="D34" s="202"/>
      <c r="E34" s="202"/>
      <c r="F34" s="202"/>
      <c r="G34" s="202"/>
      <c r="H34" s="202"/>
      <c r="I34" s="202"/>
    </row>
    <row r="35" spans="1:31">
      <c r="A35" s="202"/>
      <c r="B35" s="202"/>
      <c r="C35" s="202"/>
      <c r="D35" s="202"/>
      <c r="E35" s="202"/>
      <c r="F35" s="202"/>
      <c r="G35" s="202"/>
      <c r="H35" s="202"/>
      <c r="I35" s="202"/>
    </row>
    <row r="36" spans="1:31">
      <c r="A36" s="202"/>
      <c r="B36" s="202"/>
      <c r="C36" s="202"/>
      <c r="D36" s="202"/>
      <c r="E36" s="202"/>
      <c r="F36" s="202"/>
      <c r="G36" s="202"/>
      <c r="H36" s="202"/>
      <c r="I36" s="202"/>
    </row>
    <row r="37" spans="1:31">
      <c r="A37" s="202"/>
      <c r="B37" s="202"/>
      <c r="C37" s="202"/>
      <c r="D37" s="202"/>
      <c r="E37" s="202"/>
      <c r="F37" s="202"/>
      <c r="G37" s="202"/>
      <c r="H37" s="202"/>
      <c r="I37" s="202"/>
    </row>
    <row r="38" spans="1:31">
      <c r="A38" s="202"/>
      <c r="B38" s="202"/>
      <c r="C38" s="202"/>
      <c r="D38" s="202"/>
      <c r="E38" s="202"/>
      <c r="F38" s="202"/>
      <c r="G38" s="202"/>
      <c r="H38" s="202"/>
      <c r="I38" s="202"/>
    </row>
    <row r="39" spans="1:31">
      <c r="A39" s="202"/>
      <c r="B39" s="202"/>
      <c r="C39" s="202"/>
      <c r="D39" s="202"/>
      <c r="E39" s="202"/>
      <c r="F39" s="202"/>
      <c r="G39" s="202"/>
      <c r="H39" s="202"/>
      <c r="I39" s="202"/>
      <c r="T39" s="53"/>
    </row>
    <row r="40" spans="1:31">
      <c r="A40" s="202"/>
      <c r="B40" s="202"/>
      <c r="C40" s="202"/>
      <c r="D40" s="202"/>
      <c r="E40" s="202"/>
      <c r="F40" s="202"/>
      <c r="G40" s="202"/>
      <c r="H40" s="202"/>
      <c r="I40" s="202"/>
      <c r="T40" s="53"/>
    </row>
    <row r="41" spans="1:31">
      <c r="A41" s="202"/>
      <c r="B41" s="202"/>
      <c r="C41" s="202"/>
      <c r="D41" s="202"/>
      <c r="E41" s="202"/>
      <c r="F41" s="202"/>
      <c r="G41" s="202"/>
      <c r="H41" s="202"/>
      <c r="I41" s="202"/>
    </row>
    <row r="42" spans="1:31">
      <c r="A42" s="202"/>
      <c r="B42" s="202"/>
      <c r="C42" s="202"/>
      <c r="D42" s="202"/>
      <c r="E42" s="202"/>
      <c r="F42" s="202"/>
      <c r="G42" s="202"/>
      <c r="H42" s="202"/>
      <c r="I42" s="202"/>
    </row>
    <row r="43" spans="1:31">
      <c r="A43" s="202"/>
      <c r="B43" s="202"/>
      <c r="C43" s="202"/>
      <c r="D43" s="202"/>
      <c r="E43" s="202"/>
      <c r="F43" s="202"/>
      <c r="G43" s="202"/>
      <c r="H43" s="202"/>
      <c r="I43" s="202"/>
    </row>
    <row r="44" spans="1:31">
      <c r="A44" s="202"/>
      <c r="B44" s="202"/>
      <c r="C44" s="202"/>
      <c r="D44" s="202"/>
      <c r="E44" s="202"/>
      <c r="F44" s="202"/>
      <c r="G44" s="202"/>
      <c r="H44" s="202"/>
      <c r="I44" s="202"/>
    </row>
    <row r="45" spans="1:31">
      <c r="A45" s="202"/>
      <c r="B45" s="202"/>
      <c r="C45" s="202"/>
      <c r="D45" s="202"/>
      <c r="E45" s="202"/>
      <c r="F45" s="202"/>
      <c r="G45" s="202"/>
      <c r="H45" s="202"/>
      <c r="I45" s="202"/>
    </row>
    <row r="46" spans="1:31">
      <c r="A46" s="202"/>
      <c r="B46" s="202"/>
      <c r="C46" s="202"/>
      <c r="D46" s="202"/>
      <c r="E46" s="202"/>
      <c r="F46" s="202"/>
      <c r="G46" s="202"/>
      <c r="H46" s="202"/>
      <c r="I46" s="202"/>
    </row>
    <row r="47" spans="1:31">
      <c r="A47" s="202"/>
      <c r="B47" s="202"/>
      <c r="C47" s="202"/>
      <c r="D47" s="202"/>
      <c r="E47" s="202"/>
      <c r="F47" s="202"/>
      <c r="G47" s="202"/>
      <c r="H47" s="202"/>
      <c r="I47" s="202"/>
    </row>
    <row r="48" spans="1:31">
      <c r="A48" s="202"/>
      <c r="B48" s="202"/>
      <c r="C48" s="202"/>
      <c r="D48" s="202"/>
      <c r="E48" s="202"/>
      <c r="F48" s="202"/>
      <c r="G48" s="202"/>
      <c r="H48" s="202"/>
      <c r="I48" s="202"/>
    </row>
  </sheetData>
  <mergeCells>
    <mergeCell ref="B13:C13"/>
    <mergeCell ref="D6:D8"/>
    <mergeCell ref="A1:D1"/>
  </mergeCells>
  <dataValidations count="6">
    <dataValidation type="list" allowBlank="1" showDropDown="0" showInputMessage="1" showErrorMessage="1" sqref="B13:C13">
      <formula1>$H$2:$H$5</formula1>
    </dataValidation>
    <dataValidation type="list" allowBlank="1" showDropDown="0" showInputMessage="1" showErrorMessage="1" sqref="B13:C13">
      <formula1>$H$2:$H$5</formula1>
    </dataValidation>
    <dataValidation type="list" allowBlank="1" showDropDown="0" showInputMessage="1" showErrorMessage="1" sqref="C5">
      <formula1>$J$2:$J$11</formula1>
    </dataValidation>
    <dataValidation type="list" allowBlank="1" showDropDown="0" showInputMessage="1" showErrorMessage="1" sqref="C4">
      <formula1>$F$2:$F$22</formula1>
    </dataValidation>
    <dataValidation type="list" allowBlank="1" showDropDown="0" showInputMessage="1" showErrorMessage="1" sqref="C7">
      <formula1>$M$2:$M$24</formula1>
    </dataValidation>
    <dataValidation type="list" allowBlank="1" showDropDown="0" showInputMessage="1" showErrorMessage="1" sqref="C8">
      <formula1>$N$1:$X$1</formula1>
    </dataValidation>
  </dataValidations>
  <printOptions gridLines="false" gridLinesSet="true"/>
  <pageMargins left="0.53" right="0.98425196850394" top="0.29" bottom="0.23" header="0.25" footer="0.32"/>
  <pageSetup paperSize="9" orientation="landscape" scale="100" fitToHeight="1" fitToWidth="1" pageOrder="downThenOver" r:id="rId1ps"/>
  <headerFooter differentOddEven="false" differentFirst="false" scaleWithDoc="true" alignWithMargins="false">
    <oddHeader/>
    <oddFooter/>
    <evenHeader/>
    <evenFooter/>
    <firstHeader/>
    <firstFooter/>
  </headerFooter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 codeName="Sheet3">
    <outlinePr summaryBelow="1" summaryRight="1"/>
  </sheetPr>
  <dimension ref="A1:N82"/>
  <sheetViews>
    <sheetView tabSelected="0" workbookViewId="0" zoomScale="75" showGridLines="true" showRowColHeaders="1" topLeftCell="A4">
      <selection activeCell="L39" sqref="L39"/>
    </sheetView>
  </sheetViews>
  <sheetFormatPr defaultRowHeight="14.4" defaultColWidth="14.85546875" outlineLevelRow="0" outlineLevelCol="0"/>
  <cols>
    <col min="1" max="1" width="4" customWidth="true" style="72"/>
    <col min="2" max="2" width="31.85546875" customWidth="true" style="10"/>
    <col min="3" max="3" width="12.5703125" customWidth="true" style="10"/>
    <col min="4" max="4" width="13.5703125" customWidth="true" style="10"/>
    <col min="5" max="5" width="14.28515625" customWidth="true" style="10"/>
    <col min="6" max="6" width="18.28515625" customWidth="true" style="10"/>
    <col min="7" max="7" width="14.28515625" customWidth="true" style="10"/>
    <col min="8" max="8" width="14.28515625" customWidth="true" style="10"/>
    <col min="9" max="9" width="14.28515625" customWidth="true" style="10"/>
    <col min="10" max="10" width="12" customWidth="true" style="10"/>
    <col min="11" max="11" width="14.85546875" style="10"/>
    <col min="12" max="12" width="14.85546875" style="10"/>
    <col min="13" max="13" width="31.85546875" customWidth="true" style="10"/>
    <col min="14" max="14" width="14.85546875" style="10"/>
  </cols>
  <sheetData>
    <row r="1" spans="1:14" customHeight="1" ht="30">
      <c r="A1" s="220" t="s">
        <v>60</v>
      </c>
      <c r="B1" s="220"/>
      <c r="C1" s="220"/>
      <c r="D1" s="220"/>
      <c r="E1" s="220"/>
      <c r="F1" s="220"/>
      <c r="G1" s="220"/>
      <c r="H1" s="220"/>
      <c r="I1" s="110"/>
    </row>
    <row r="2" spans="1:14" customHeight="1" ht="30"/>
    <row r="3" spans="1:14" customHeight="1" ht="78">
      <c r="A3" s="7" t="s">
        <v>61</v>
      </c>
      <c r="B3" s="7" t="s">
        <v>62</v>
      </c>
      <c r="C3" s="7" t="s">
        <v>63</v>
      </c>
      <c r="D3" s="8" t="s">
        <v>64</v>
      </c>
      <c r="E3" s="137" t="s">
        <v>65</v>
      </c>
      <c r="F3" s="137" t="s">
        <v>66</v>
      </c>
      <c r="G3" s="137" t="s">
        <v>67</v>
      </c>
      <c r="H3" s="137" t="s">
        <v>68</v>
      </c>
      <c r="I3" s="137" t="s">
        <v>69</v>
      </c>
      <c r="J3" s="137" t="s">
        <v>70</v>
      </c>
      <c r="K3" s="137" t="s">
        <v>71</v>
      </c>
      <c r="L3" s="152" t="s">
        <v>72</v>
      </c>
      <c r="M3" s="138" t="s">
        <v>73</v>
      </c>
      <c r="N3" s="138" t="s">
        <v>74</v>
      </c>
    </row>
    <row r="4" spans="1:14" customHeight="1" ht="21.75">
      <c r="A4" s="73">
        <v>1</v>
      </c>
      <c r="B4" s="82" t="s">
        <v>75</v>
      </c>
      <c r="C4" s="100">
        <v>3</v>
      </c>
      <c r="D4" s="100">
        <v>10</v>
      </c>
      <c r="E4" s="135">
        <f>IF($D4=0,"",VLOOKUP($B4,'Feed database'!$B$7:$Q$106,3,FALSE)/100*$D4)</f>
        <v>8.9</v>
      </c>
      <c r="F4" s="135">
        <f>IF($D4=0,"",VLOOKUP($B4,'Feed database'!$B$7:$Q$106,5,FALSE)*$E4)</f>
        <v>109.292</v>
      </c>
      <c r="G4" s="135">
        <f>IF($D4=0,"",VLOOKUP($B4,'Feed database'!$B$7:$Q$106,7,FALSE)/100*$E4)</f>
        <v>1.78</v>
      </c>
      <c r="H4" s="135">
        <f>IF($D4=0,"",VLOOKUP($B4,'Feed database'!$B$7:$Q$106,9,FALSE)/100*$E4)</f>
        <v>4.272</v>
      </c>
      <c r="I4" s="135">
        <f>IF($D4=0,"",VLOOKUP($B4,'Feed database'!$B$7:$Q$106,11,FALSE)/100*$E4*1000)</f>
        <v>17.8</v>
      </c>
      <c r="J4" s="135">
        <f>IF($D4=0,"",VLOOKUP($B4,'Feed database'!$B$7:$Q$106,13,FALSE)/100*$E4*1000)</f>
        <v>22.25</v>
      </c>
      <c r="K4" s="135">
        <f>IF($D4=0,"",VLOOKUP($B4,'Feed database'!$B$7:$Q$106,15,FALSE)*$E4/100)</f>
        <v>7.921</v>
      </c>
      <c r="M4" s="136">
        <f>VLOOKUP(B4,'Feed database'!$B$7:$C$106,2,FALSE)</f>
        <v>5</v>
      </c>
      <c r="N4" s="136">
        <f>IF(M4="",0,M4*D4)</f>
        <v>50</v>
      </c>
    </row>
    <row r="5" spans="1:14" customHeight="1" ht="21" s="74" customFormat="1">
      <c r="A5" s="75">
        <v>2</v>
      </c>
      <c r="B5" s="83" t="s">
        <v>76</v>
      </c>
      <c r="C5" s="101">
        <v>30</v>
      </c>
      <c r="D5" s="101">
        <v>0</v>
      </c>
      <c r="E5" s="135" t="str">
        <f>IF($D5=0,"",VLOOKUP($B5,'Feed database'!$B$7:$Q$106,3,FALSE)/100*$D5)</f>
        <v/>
      </c>
      <c r="F5" s="135" t="str">
        <f>IF($D5=0,"",VLOOKUP($B5,'Feed database'!$B$7:$Q$106,5,FALSE)*$E5)</f>
        <v/>
      </c>
      <c r="G5" s="135" t="str">
        <f>IF($D5=0,"",VLOOKUP($B5,'Feed database'!$B$7:$Q$106,7,FALSE)/100*$E5)</f>
        <v/>
      </c>
      <c r="H5" s="135" t="str">
        <f>IF($D5=0,"",VLOOKUP($B5,'Feed database'!$B$7:$Q$106,9,FALSE)/100*$E5)</f>
        <v/>
      </c>
      <c r="I5" s="135" t="str">
        <f>IF($D5=0,"",VLOOKUP($B5,'Feed database'!$B$7:$Q$106,11,FALSE)/100*$E5*1000)</f>
        <v/>
      </c>
      <c r="J5" s="135" t="str">
        <f>IF($D5=0,"",VLOOKUP($B5,'Feed database'!$B$7:$Q$106,13,FALSE)/100*$E5*1000)</f>
        <v/>
      </c>
      <c r="K5" s="135" t="str">
        <f>IF($D5=0,"",VLOOKUP($B5,'Feed database'!$B$7:$Q$106,15,FALSE)*$E5/100)</f>
        <v/>
      </c>
      <c r="M5" s="135">
        <f>VLOOKUP(B5,'Feed database'!$B$7:$C$106,2,FALSE)</f>
        <v>0</v>
      </c>
      <c r="N5" s="135">
        <f>IF(M5="",0,M5*D5)</f>
        <v>0</v>
      </c>
    </row>
    <row r="6" spans="1:14" customHeight="1" ht="23.25">
      <c r="A6" s="75">
        <v>3</v>
      </c>
      <c r="B6" s="83" t="s">
        <v>77</v>
      </c>
      <c r="C6" s="101">
        <v>30</v>
      </c>
      <c r="D6" s="101">
        <v>14</v>
      </c>
      <c r="E6" s="135">
        <f>IF($D6=0,"",VLOOKUP($B6,'Feed database'!$B$7:$Q$106,3,FALSE)/100*$D6)</f>
        <v>4.48</v>
      </c>
      <c r="F6" s="135">
        <f>IF($D6=0,"",VLOOKUP($B6,'Feed database'!$B$7:$Q$106,5,FALSE)*$E6)</f>
        <v>48.384</v>
      </c>
      <c r="G6" s="135">
        <f>IF($D6=0,"",VLOOKUP($B6,'Feed database'!$B$7:$Q$106,7,FALSE)/100*$E6)</f>
        <v>0.336</v>
      </c>
      <c r="H6" s="135">
        <f>IF($D6=0,"",VLOOKUP($B6,'Feed database'!$B$7:$Q$106,9,FALSE)/100*$E6)</f>
        <v>2.016</v>
      </c>
      <c r="I6" s="135">
        <f>IF($D6=0,"",VLOOKUP($B6,'Feed database'!$B$7:$Q$106,11,FALSE)/100*$E6*1000)</f>
        <v>9.856</v>
      </c>
      <c r="J6" s="135">
        <f>IF($D6=0,"",VLOOKUP($B6,'Feed database'!$B$7:$Q$106,13,FALSE)/100*$E6*1000)</f>
        <v>11.648</v>
      </c>
      <c r="K6" s="135">
        <f>IF($D6=0,"",VLOOKUP($B6,'Feed database'!$B$7:$Q$106,15,FALSE)*$E6/100)</f>
        <v>0</v>
      </c>
      <c r="M6" s="135">
        <f>VLOOKUP(B6,'Feed database'!$B$7:$C$106,2,FALSE)</f>
        <v>7</v>
      </c>
      <c r="N6" s="135">
        <f>IF(M6="",0,M6*D6)</f>
        <v>98</v>
      </c>
    </row>
    <row r="7" spans="1:14" customHeight="1" ht="21.75">
      <c r="A7" s="75">
        <v>4</v>
      </c>
      <c r="B7" s="83" t="s">
        <v>78</v>
      </c>
      <c r="C7" s="101">
        <v>1</v>
      </c>
      <c r="D7" s="101">
        <v>1.92</v>
      </c>
      <c r="E7" s="135">
        <f>IF($D7=0,"",VLOOKUP($B7,'Feed database'!$B$7:$Q$106,3,FALSE)/100*$D7)</f>
        <v>1.7088</v>
      </c>
      <c r="F7" s="135">
        <f>IF($D7=0,"",VLOOKUP($B7,'Feed database'!$B$7:$Q$106,5,FALSE)*$E7)</f>
        <v>13.995072</v>
      </c>
      <c r="G7" s="135">
        <f>IF($D7=0,"",VLOOKUP($B7,'Feed database'!$B$7:$Q$106,7,FALSE)/100*$E7)</f>
        <v>0.410112</v>
      </c>
      <c r="H7" s="135">
        <f>IF($D7=0,"",VLOOKUP($B7,'Feed database'!$B$7:$Q$106,9,FALSE)/100*$E7)</f>
        <v>0.546816</v>
      </c>
      <c r="I7" s="135">
        <f>IF($D7=0,"",VLOOKUP($B7,'Feed database'!$B$7:$Q$106,11,FALSE)/100*$E7*1000)</f>
        <v>2.73408</v>
      </c>
      <c r="J7" s="135">
        <f>IF($D7=0,"",VLOOKUP($B7,'Feed database'!$B$7:$Q$106,13,FALSE)/100*$E7*1000)</f>
        <v>16.2336</v>
      </c>
      <c r="K7" s="135">
        <f>IF($D7=0,"",VLOOKUP($B7,'Feed database'!$B$7:$Q$106,15,FALSE)*$E7/100)</f>
        <v>1.520832</v>
      </c>
      <c r="M7" s="135">
        <f>VLOOKUP(B7,'Feed database'!$B$7:$C$106,2,FALSE)</f>
        <v>29</v>
      </c>
      <c r="N7" s="135">
        <f>IF(M7="",0,M7*D7)</f>
        <v>55.68</v>
      </c>
    </row>
    <row r="8" spans="1:14" customHeight="1" ht="21">
      <c r="A8" s="75">
        <v>5</v>
      </c>
      <c r="B8" s="83" t="s">
        <v>79</v>
      </c>
      <c r="C8" s="101">
        <v>3</v>
      </c>
      <c r="D8" s="101"/>
      <c r="E8" s="135" t="str">
        <f>IF($D8=0,"",VLOOKUP($B8,'Feed database'!$B$7:$Q$106,3,FALSE)/100*$D8)</f>
        <v/>
      </c>
      <c r="F8" s="135" t="str">
        <f>IF($D8=0,"",VLOOKUP($B8,'Feed database'!$B$7:$Q$106,5,FALSE)*$E8)</f>
        <v/>
      </c>
      <c r="G8" s="135" t="str">
        <f>IF($D8=0,"",VLOOKUP($B8,'Feed database'!$B$7:$Q$106,7,FALSE)/100*$E8)</f>
        <v/>
      </c>
      <c r="H8" s="135" t="str">
        <f>IF($D8=0,"",VLOOKUP($B8,'Feed database'!$B$7:$Q$106,9,FALSE)/100*$E8)</f>
        <v/>
      </c>
      <c r="I8" s="135" t="str">
        <f>IF($D8=0,"",VLOOKUP($B8,'Feed database'!$B$7:$Q$106,11,FALSE)/100*$E8*1000)</f>
        <v/>
      </c>
      <c r="J8" s="135" t="str">
        <f>IF($D8=0,"",VLOOKUP($B8,'Feed database'!$B$7:$Q$106,13,FALSE)/100*$E8*1000)</f>
        <v/>
      </c>
      <c r="K8" s="135" t="str">
        <f>IF($D8=0,"",VLOOKUP($B8,'Feed database'!$B$7:$Q$106,15,FALSE)*$E8/100)</f>
        <v/>
      </c>
      <c r="M8" s="135">
        <f>VLOOKUP(B8,'Feed database'!$B$7:$C$106,2,FALSE)</f>
        <v>39</v>
      </c>
      <c r="N8" s="135">
        <f>IF(M8="",0,M8*D8)</f>
        <v>0</v>
      </c>
    </row>
    <row r="9" spans="1:14" customHeight="1" ht="15.75">
      <c r="A9" s="75">
        <v>6</v>
      </c>
      <c r="B9" s="83" t="s">
        <v>80</v>
      </c>
      <c r="C9" s="101">
        <v>3</v>
      </c>
      <c r="D9" s="101"/>
      <c r="E9" s="135" t="str">
        <f>IF($D9=0,"",VLOOKUP($B9,'Feed database'!$B$7:$Q$106,3,FALSE)/100*$D9)</f>
        <v/>
      </c>
      <c r="F9" s="135" t="str">
        <f>IF($D9=0,"",VLOOKUP($B9,'Feed database'!$B$7:$Q$106,5,FALSE)*$E9)</f>
        <v/>
      </c>
      <c r="G9" s="135" t="str">
        <f>IF($D9=0,"",VLOOKUP($B9,'Feed database'!$B$7:$Q$106,7,FALSE)/100*$E9)</f>
        <v/>
      </c>
      <c r="H9" s="135" t="str">
        <f>IF($D9=0,"",VLOOKUP($B9,'Feed database'!$B$7:$Q$106,9,FALSE)/100*$E9)</f>
        <v/>
      </c>
      <c r="I9" s="135" t="str">
        <f>IF($D9=0,"",VLOOKUP($B9,'Feed database'!$B$7:$Q$106,11,FALSE)/100*$E9*1000)</f>
        <v/>
      </c>
      <c r="J9" s="135" t="str">
        <f>IF($D9=0,"",VLOOKUP($B9,'Feed database'!$B$7:$Q$106,13,FALSE)/100*$E9*1000)</f>
        <v/>
      </c>
      <c r="K9" s="135" t="str">
        <f>IF($D9=0,"",VLOOKUP($B9,'Feed database'!$B$7:$Q$106,15,FALSE)*$E9/100)</f>
        <v/>
      </c>
      <c r="M9" s="135">
        <f>VLOOKUP(B9,'Feed database'!$B$7:$C$106,2,FALSE)</f>
        <v>27</v>
      </c>
      <c r="N9" s="135">
        <f>IF(M9="",0,M9*D9)</f>
        <v>0</v>
      </c>
    </row>
    <row r="10" spans="1:14" customHeight="1" ht="21.75">
      <c r="A10" s="75">
        <v>7</v>
      </c>
      <c r="B10" s="83" t="s">
        <v>81</v>
      </c>
      <c r="C10" s="101">
        <v>3</v>
      </c>
      <c r="D10" s="101"/>
      <c r="E10" s="135" t="str">
        <f>IF($D10=0,"",VLOOKUP($B10,'Feed database'!$B$7:$Q$106,3,FALSE)/100*$D10)</f>
        <v/>
      </c>
      <c r="F10" s="135" t="str">
        <f>IF($D10=0,"",VLOOKUP($B10,'Feed database'!$B$7:$Q$106,5,FALSE)*$E10)</f>
        <v/>
      </c>
      <c r="G10" s="135" t="str">
        <f>IF($D10=0,"",VLOOKUP($B10,'Feed database'!$B$7:$Q$106,7,FALSE)/100*$E10)</f>
        <v/>
      </c>
      <c r="H10" s="135" t="str">
        <f>IF($D10=0,"",VLOOKUP($B10,'Feed database'!$B$7:$Q$106,9,FALSE)/100*$E10)</f>
        <v/>
      </c>
      <c r="I10" s="135" t="str">
        <f>IF($D10=0,"",VLOOKUP($B10,'Feed database'!$B$7:$Q$106,11,FALSE)/100*$E10*1000)</f>
        <v/>
      </c>
      <c r="J10" s="135" t="str">
        <f>IF($D10=0,"",VLOOKUP($B10,'Feed database'!$B$7:$Q$106,13,FALSE)/100*$E10*1000)</f>
        <v/>
      </c>
      <c r="K10" s="135" t="str">
        <f>IF($D10=0,"",VLOOKUP($B10,'Feed database'!$B$7:$Q$106,15,FALSE)*$E10/100)</f>
        <v/>
      </c>
      <c r="M10" s="135">
        <f>VLOOKUP(B10,'Feed database'!$B$7:$C$106,2,FALSE)</f>
        <v>23</v>
      </c>
      <c r="N10" s="135">
        <f>IF(M10="",0,M10*D10)</f>
        <v>0</v>
      </c>
    </row>
    <row r="11" spans="1:14" customHeight="1" ht="21">
      <c r="A11" s="75">
        <v>8</v>
      </c>
      <c r="B11" s="83" t="s">
        <v>82</v>
      </c>
      <c r="C11" s="101">
        <v>3</v>
      </c>
      <c r="D11" s="101"/>
      <c r="E11" s="135" t="str">
        <f>IF($D11=0,"",VLOOKUP($B11,'Feed database'!$B$7:$Q$106,3,FALSE)/100*$D11)</f>
        <v/>
      </c>
      <c r="F11" s="135" t="str">
        <f>IF($D11=0,"",VLOOKUP($B11,'Feed database'!$B$7:$Q$106,5,FALSE)*$E11)</f>
        <v/>
      </c>
      <c r="G11" s="135" t="str">
        <f>IF($D11=0,"",VLOOKUP($B11,'Feed database'!$B$7:$Q$106,7,FALSE)/100*$E11)</f>
        <v/>
      </c>
      <c r="H11" s="135" t="str">
        <f>IF($D11=0,"",VLOOKUP($B11,'Feed database'!$B$7:$Q$106,9,FALSE)/100*$E11)</f>
        <v/>
      </c>
      <c r="I11" s="135" t="str">
        <f>IF($D11=0,"",VLOOKUP($B11,'Feed database'!$B$7:$Q$106,11,FALSE)/100*$E11*1000)</f>
        <v/>
      </c>
      <c r="J11" s="135" t="str">
        <f>IF($D11=0,"",VLOOKUP($B11,'Feed database'!$B$7:$Q$106,13,FALSE)/100*$E11*1000)</f>
        <v/>
      </c>
      <c r="K11" s="135" t="str">
        <f>IF($D11=0,"",VLOOKUP($B11,'Feed database'!$B$7:$Q$106,15,FALSE)*$E11/100)</f>
        <v/>
      </c>
      <c r="M11" s="135">
        <f>VLOOKUP(B11,'Feed database'!$B$7:$C$106,2,FALSE)</f>
        <v>14</v>
      </c>
      <c r="N11" s="135">
        <f>IF(M11="",0,M11*D11)</f>
        <v>0</v>
      </c>
    </row>
    <row r="12" spans="1:14">
      <c r="A12" s="75">
        <v>9</v>
      </c>
      <c r="B12" s="83" t="s">
        <v>83</v>
      </c>
      <c r="C12" s="101">
        <v>3</v>
      </c>
      <c r="D12" s="101">
        <v>1.42</v>
      </c>
      <c r="E12" s="135">
        <f>IF($D12=0,"",VLOOKUP($B12,'Feed database'!$B$7:$Q$106,3,FALSE)/100*$D12)</f>
        <v>1.2638</v>
      </c>
      <c r="F12" s="135">
        <f>IF($D12=0,"",VLOOKUP($B12,'Feed database'!$B$7:$Q$106,5,FALSE)*$E12)</f>
        <v>11.576408</v>
      </c>
      <c r="G12" s="135">
        <f>IF($D12=0,"",VLOOKUP($B12,'Feed database'!$B$7:$Q$106,7,FALSE)/100*$E12)</f>
        <v>0.56871</v>
      </c>
      <c r="H12" s="135">
        <f>IF($D12=0,"",VLOOKUP($B12,'Feed database'!$B$7:$Q$106,9,FALSE)/100*$E12)</f>
        <v>0.113742</v>
      </c>
      <c r="I12" s="135">
        <f>IF($D12=0,"",VLOOKUP($B12,'Feed database'!$B$7:$Q$106,11,FALSE)/100*$E12*1000)</f>
        <v>2.78036</v>
      </c>
      <c r="J12" s="135">
        <f>IF($D12=0,"",VLOOKUP($B12,'Feed database'!$B$7:$Q$106,13,FALSE)/100*$E12*1000)</f>
        <v>7.96194</v>
      </c>
      <c r="K12" s="135">
        <f>IF($D12=0,"",VLOOKUP($B12,'Feed database'!$B$7:$Q$106,15,FALSE)*$E12/100)</f>
        <v>1.124782</v>
      </c>
      <c r="M12" s="135">
        <f>VLOOKUP(B12,'Feed database'!$B$7:$C$106,2,FALSE)</f>
        <v>52</v>
      </c>
      <c r="N12" s="135">
        <f>IF(M12="",0,M12*D12)</f>
        <v>73.84</v>
      </c>
    </row>
    <row r="13" spans="1:14">
      <c r="A13" s="75">
        <v>10</v>
      </c>
      <c r="B13" s="83" t="s">
        <v>84</v>
      </c>
      <c r="C13" s="101">
        <v>3</v>
      </c>
      <c r="D13" s="101"/>
      <c r="E13" s="135" t="str">
        <f>IF($D13=0,"",VLOOKUP($B13,'Feed database'!$B$7:$Q$106,3,FALSE)/100*$D13)</f>
        <v/>
      </c>
      <c r="F13" s="135" t="str">
        <f>IF($D13=0,"",VLOOKUP($B13,'Feed database'!$B$7:$Q$106,5,FALSE)*$E13)</f>
        <v/>
      </c>
      <c r="G13" s="135" t="str">
        <f>IF($D13=0,"",VLOOKUP($B13,'Feed database'!$B$7:$Q$106,7,FALSE)/100*$E13)</f>
        <v/>
      </c>
      <c r="H13" s="135" t="str">
        <f>IF($D13=0,"",VLOOKUP($B13,'Feed database'!$B$7:$Q$106,9,FALSE)/100*$E13)</f>
        <v/>
      </c>
      <c r="I13" s="135" t="str">
        <f>IF($D13=0,"",VLOOKUP($B13,'Feed database'!$B$7:$Q$106,11,FALSE)/100*$E13*1000)</f>
        <v/>
      </c>
      <c r="J13" s="135" t="str">
        <f>IF($D13=0,"",VLOOKUP($B13,'Feed database'!$B$7:$Q$106,13,FALSE)/100*$E13*1000)</f>
        <v/>
      </c>
      <c r="K13" s="135" t="str">
        <f>IF($D13=0,"",VLOOKUP($B13,'Feed database'!$B$7:$Q$106,15,FALSE)*$E13/100)</f>
        <v/>
      </c>
      <c r="M13" s="135">
        <f>VLOOKUP(B13,'Feed database'!$B$7:$C$106,2,FALSE)</f>
        <v>25</v>
      </c>
      <c r="N13" s="135">
        <f>IF(M13="",0,M13*D13)</f>
        <v>0</v>
      </c>
    </row>
    <row r="14" spans="1:14">
      <c r="A14" s="72">
        <v>11</v>
      </c>
      <c r="B14" s="156" t="s">
        <v>85</v>
      </c>
      <c r="C14" s="157">
        <v>3</v>
      </c>
      <c r="D14" s="101"/>
      <c r="E14" s="135" t="str">
        <f>IF($D14=0,"",VLOOKUP($B14,'Feed database'!$B$7:$Q$106,3,FALSE)/100*$D14)</f>
        <v/>
      </c>
      <c r="F14" s="135" t="str">
        <f>IF($D14=0,"",VLOOKUP($B14,'Feed database'!$B$7:$Q$106,5,FALSE)*$E14)</f>
        <v/>
      </c>
      <c r="G14" s="135" t="str">
        <f>IF($D14=0,"",VLOOKUP($B14,'Feed database'!$B$7:$Q$106,7,FALSE)/100*$E14)</f>
        <v/>
      </c>
      <c r="H14" s="135" t="str">
        <f>IF($D14=0,"",VLOOKUP($B14,'Feed database'!$B$7:$Q$106,9,FALSE)/100*$E14)</f>
        <v/>
      </c>
      <c r="I14" s="135" t="str">
        <f>IF($D14=0,"",VLOOKUP($B14,'Feed database'!$B$7:$Q$106,11,FALSE)/100*$E14*1000)</f>
        <v/>
      </c>
      <c r="J14" s="135" t="str">
        <f>IF($D14=0,"",VLOOKUP($B14,'Feed database'!$B$7:$Q$106,13,FALSE)/100*$E14*1000)</f>
        <v/>
      </c>
      <c r="K14" s="135" t="str">
        <f>IF($D14=0,"",VLOOKUP($B14,'Feed database'!$B$7:$Q$106,15,FALSE)*$E14/100)</f>
        <v/>
      </c>
      <c r="M14" s="135">
        <f>VLOOKUP(B14,'Feed database'!$B$7:$C$106,2,FALSE)</f>
        <v>22</v>
      </c>
      <c r="N14" s="135">
        <f>IF(M14="",0,M14*D14)</f>
        <v>0</v>
      </c>
    </row>
    <row r="15" spans="1:14">
      <c r="A15" s="72">
        <v>12</v>
      </c>
      <c r="B15" s="83" t="s">
        <v>86</v>
      </c>
      <c r="C15" s="101">
        <v>3</v>
      </c>
      <c r="D15" s="101"/>
      <c r="E15" s="135" t="str">
        <f>IF($D15=0,"",VLOOKUP($B15,'Feed database'!$B$7:$Q$106,3,FALSE)/100*$D15)</f>
        <v/>
      </c>
      <c r="F15" s="135" t="str">
        <f>IF($D15=0,"",VLOOKUP($B15,'Feed database'!$B$7:$Q$106,5,FALSE)*$E15)</f>
        <v/>
      </c>
      <c r="G15" s="135" t="str">
        <f>IF($D15=0,"",VLOOKUP($B15,'Feed database'!$B$7:$Q$106,7,FALSE)/100*$E15)</f>
        <v/>
      </c>
      <c r="H15" s="135" t="str">
        <f>IF($D15=0,"",VLOOKUP($B15,'Feed database'!$B$7:$Q$106,9,FALSE)/100*$E15)</f>
        <v/>
      </c>
      <c r="I15" s="135" t="str">
        <f>IF($D15=0,"",VLOOKUP($B15,'Feed database'!$B$7:$Q$106,11,FALSE)/100*$E15*1000)</f>
        <v/>
      </c>
      <c r="J15" s="135" t="str">
        <f>IF($D15=0,"",VLOOKUP($B15,'Feed database'!$B$7:$Q$106,13,FALSE)/100*$E15*1000)</f>
        <v/>
      </c>
      <c r="K15" s="135" t="str">
        <f>IF($D15=0,"",VLOOKUP($B15,'Feed database'!$B$7:$Q$106,15,FALSE)*$E15/100)</f>
        <v/>
      </c>
      <c r="M15" s="135">
        <f>VLOOKUP(B15,'Feed database'!$B$7:$C$106,2,FALSE)</f>
        <v>36</v>
      </c>
      <c r="N15" s="135">
        <f>IF(M15="",0,M15*D15)</f>
        <v>0</v>
      </c>
    </row>
    <row r="16" spans="1:14">
      <c r="A16" s="72">
        <v>13</v>
      </c>
      <c r="B16" s="83" t="s">
        <v>87</v>
      </c>
      <c r="C16" s="101">
        <v>3</v>
      </c>
      <c r="D16" s="101">
        <v>4.32</v>
      </c>
      <c r="E16" s="135">
        <f>IF($D16=0,"",VLOOKUP($B16,'Feed database'!$B$7:$Q$106,3,FALSE)/100*$D16)</f>
        <v>3.8448</v>
      </c>
      <c r="F16" s="135">
        <f>IF($D16=0,"",VLOOKUP($B16,'Feed database'!$B$7:$Q$106,5,FALSE)*$E16)</f>
        <v>47.214144</v>
      </c>
      <c r="G16" s="135">
        <f>IF($D16=0,"",VLOOKUP($B16,'Feed database'!$B$7:$Q$106,7,FALSE)/100*$E16)</f>
        <v>0.346032</v>
      </c>
      <c r="H16" s="135">
        <f>IF($D16=0,"",VLOOKUP($B16,'Feed database'!$B$7:$Q$106,9,FALSE)/100*$E16)</f>
        <v>0.499824</v>
      </c>
      <c r="I16" s="135">
        <f>IF($D16=0,"",VLOOKUP($B16,'Feed database'!$B$7:$Q$106,11,FALSE)/100*$E16*1000)</f>
        <v>1.9224</v>
      </c>
      <c r="J16" s="135">
        <f>IF($D16=0,"",VLOOKUP($B16,'Feed database'!$B$7:$Q$106,13,FALSE)/100*$E16*1000)</f>
        <v>11.5344</v>
      </c>
      <c r="K16" s="135">
        <f>IF($D16=0,"",VLOOKUP($B16,'Feed database'!$B$7:$Q$106,15,FALSE)*$E16/100)</f>
        <v>3.421872</v>
      </c>
      <c r="M16" s="135">
        <f>VLOOKUP(B16,'Feed database'!$B$7:$C$106,2,FALSE)</f>
        <v>19</v>
      </c>
      <c r="N16" s="135">
        <f>IF(M16="",0,M16*D16)</f>
        <v>82.08</v>
      </c>
    </row>
    <row r="17" spans="1:14">
      <c r="A17" s="72">
        <v>14</v>
      </c>
      <c r="B17" s="83" t="s">
        <v>88</v>
      </c>
      <c r="C17" s="101">
        <v>3</v>
      </c>
      <c r="D17" s="101"/>
      <c r="E17" s="135" t="str">
        <f>IF($D17=0,"",VLOOKUP($B17,'Feed database'!$B$7:$Q$106,3,FALSE)/100*$D17)</f>
        <v/>
      </c>
      <c r="F17" s="135" t="str">
        <f>IF($D17=0,"",VLOOKUP($B17,'Feed database'!$B$7:$Q$106,5,FALSE)*$E17)</f>
        <v/>
      </c>
      <c r="G17" s="135" t="str">
        <f>IF($D17=0,"",VLOOKUP($B17,'Feed database'!$B$7:$Q$106,7,FALSE)/100*$E17)</f>
        <v/>
      </c>
      <c r="H17" s="135" t="str">
        <f>IF($D17=0,"",VLOOKUP($B17,'Feed database'!$B$7:$Q$106,9,FALSE)/100*$E17)</f>
        <v/>
      </c>
      <c r="I17" s="135" t="str">
        <f>IF($D17=0,"",VLOOKUP($B17,'Feed database'!$B$7:$Q$106,11,FALSE)/100*$E17*1000)</f>
        <v/>
      </c>
      <c r="J17" s="135" t="str">
        <f>IF($D17=0,"",VLOOKUP($B17,'Feed database'!$B$7:$Q$106,13,FALSE)/100*$E17*1000)</f>
        <v/>
      </c>
      <c r="K17" s="135" t="str">
        <f>IF($D17=0,"",VLOOKUP($B17,'Feed database'!$B$7:$Q$106,15,FALSE)*$E17/100)</f>
        <v/>
      </c>
      <c r="M17" s="135">
        <f>VLOOKUP(B17,'Feed database'!$B$7:$C$106,2,FALSE)</f>
        <v>28</v>
      </c>
      <c r="N17" s="135">
        <f>IF(M17="",0,M17*D17)</f>
        <v>0</v>
      </c>
    </row>
    <row r="18" spans="1:14">
      <c r="A18" s="72">
        <v>15</v>
      </c>
      <c r="B18" s="83" t="s">
        <v>89</v>
      </c>
      <c r="C18" s="101">
        <v>3</v>
      </c>
      <c r="D18" s="101">
        <v>2.8</v>
      </c>
      <c r="E18" s="135">
        <f>IF($D18=0,"",VLOOKUP($B18,'Feed database'!$B$7:$Q$106,3,FALSE)/100*$D18)</f>
        <v>2.492</v>
      </c>
      <c r="F18" s="135">
        <f>IF($D18=0,"",VLOOKUP($B18,'Feed database'!$B$7:$Q$106,5,FALSE)*$E18)</f>
        <v>24.12256</v>
      </c>
      <c r="G18" s="135">
        <f>IF($D18=0,"",VLOOKUP($B18,'Feed database'!$B$7:$Q$106,7,FALSE)/100*$E18)</f>
        <v>0.39872</v>
      </c>
      <c r="H18" s="135">
        <f>IF($D18=0,"",VLOOKUP($B18,'Feed database'!$B$7:$Q$106,9,FALSE)/100*$E18)</f>
        <v>1.59488</v>
      </c>
      <c r="I18" s="135">
        <f>IF($D18=0,"",VLOOKUP($B18,'Feed database'!$B$7:$Q$106,11,FALSE)/100*$E18*1000)</f>
        <v>4.2364</v>
      </c>
      <c r="J18" s="135">
        <f>IF($D18=0,"",VLOOKUP($B18,'Feed database'!$B$7:$Q$106,13,FALSE)/100*$E18*1000)</f>
        <v>23.1756</v>
      </c>
      <c r="K18" s="135">
        <f>IF($D18=0,"",VLOOKUP($B18,'Feed database'!$B$7:$Q$106,15,FALSE)*$E18/100)</f>
        <v>2.21788</v>
      </c>
      <c r="M18" s="135">
        <f>VLOOKUP(B18,'Feed database'!$B$7:$C$106,2,FALSE)</f>
        <v>21</v>
      </c>
      <c r="N18" s="135">
        <f>IF(M18="",0,M18*D18)</f>
        <v>58.8</v>
      </c>
    </row>
    <row r="19" spans="1:14">
      <c r="A19" s="72">
        <v>16</v>
      </c>
      <c r="B19" s="83" t="s">
        <v>90</v>
      </c>
      <c r="C19" s="101">
        <v>3</v>
      </c>
      <c r="D19" s="101">
        <v>4</v>
      </c>
      <c r="E19" s="135">
        <f>IF($D19=0,"",VLOOKUP($B19,'Feed database'!$B$7:$Q$106,3,FALSE)/100*$D19)</f>
        <v>3.56</v>
      </c>
      <c r="F19" s="135">
        <f>IF($D19=0,"",VLOOKUP($B19,'Feed database'!$B$7:$Q$106,5,FALSE)*$E19)</f>
        <v>20.648</v>
      </c>
      <c r="G19" s="135">
        <f>IF($D19=0,"",VLOOKUP($B19,'Feed database'!$B$7:$Q$106,7,FALSE)/100*$E19)</f>
        <v>0.11748</v>
      </c>
      <c r="H19" s="135">
        <f>IF($D19=0,"",VLOOKUP($B19,'Feed database'!$B$7:$Q$106,9,FALSE)/100*$E19)</f>
        <v>2.7412</v>
      </c>
      <c r="I19" s="135">
        <f>IF($D19=0,"",VLOOKUP($B19,'Feed database'!$B$7:$Q$106,11,FALSE)/100*$E19*1000)</f>
        <v>11.036</v>
      </c>
      <c r="J19" s="135">
        <f>IF($D19=0,"",VLOOKUP($B19,'Feed database'!$B$7:$Q$106,13,FALSE)/100*$E19*1000)</f>
        <v>1.78</v>
      </c>
      <c r="K19" s="135">
        <f>IF($D19=0,"",VLOOKUP($B19,'Feed database'!$B$7:$Q$106,15,FALSE)*$E19/100)</f>
        <v>0</v>
      </c>
      <c r="M19" s="135">
        <f>VLOOKUP(B19,'Feed database'!$B$7:$C$106,2,FALSE)</f>
        <v>7</v>
      </c>
      <c r="N19" s="135">
        <f>IF(M19="",0,M19*D19)</f>
        <v>28</v>
      </c>
    </row>
    <row r="20" spans="1:14">
      <c r="A20" s="72">
        <v>17</v>
      </c>
      <c r="B20" s="83" t="s">
        <v>91</v>
      </c>
      <c r="C20" s="101">
        <v>3</v>
      </c>
      <c r="D20" s="101"/>
      <c r="E20" s="135" t="str">
        <f>IF($D20=0,"",VLOOKUP($B20,'Feed database'!$B$7:$Q$106,3,FALSE)/100*$D20)</f>
        <v/>
      </c>
      <c r="F20" s="135" t="str">
        <f>IF($D20=0,"",VLOOKUP($B20,'Feed database'!$B$7:$Q$106,5,FALSE)*$E20)</f>
        <v/>
      </c>
      <c r="G20" s="135" t="str">
        <f>IF($D20=0,"",VLOOKUP($B20,'Feed database'!$B$7:$Q$106,7,FALSE)/100*$E20)</f>
        <v/>
      </c>
      <c r="H20" s="135" t="str">
        <f>IF($D20=0,"",VLOOKUP($B20,'Feed database'!$B$7:$Q$106,9,FALSE)/100*$E20)</f>
        <v/>
      </c>
      <c r="I20" s="135" t="str">
        <f>IF($D20=0,"",VLOOKUP($B20,'Feed database'!$B$7:$Q$106,11,FALSE)/100*$E20*1000)</f>
        <v/>
      </c>
      <c r="J20" s="135" t="str">
        <f>IF($D20=0,"",VLOOKUP($B20,'Feed database'!$B$7:$Q$106,13,FALSE)/100*$E20*1000)</f>
        <v/>
      </c>
      <c r="K20" s="135" t="str">
        <f>IF($D20=0,"",VLOOKUP($B20,'Feed database'!$B$7:$Q$106,15,FALSE)*$E20/100)</f>
        <v/>
      </c>
      <c r="M20" s="135">
        <f>VLOOKUP(B20,'Feed database'!$B$7:$C$106,2,FALSE)</f>
        <v>14</v>
      </c>
      <c r="N20" s="135">
        <f>IF(M20="",0,M20*D20)</f>
        <v>0</v>
      </c>
    </row>
    <row r="21" spans="1:14">
      <c r="A21" s="72">
        <v>18</v>
      </c>
      <c r="B21" s="83" t="s">
        <v>92</v>
      </c>
      <c r="C21" s="101">
        <v>4</v>
      </c>
      <c r="D21" s="101"/>
      <c r="E21" s="135" t="str">
        <f>IF($D21=0,"",VLOOKUP($B21,'Feed database'!$B$7:$Q$106,3,FALSE)/100*$D21)</f>
        <v/>
      </c>
      <c r="F21" s="135" t="str">
        <f>IF($D21=0,"",VLOOKUP($B21,'Feed database'!$B$7:$Q$106,5,FALSE)*$E21)</f>
        <v/>
      </c>
      <c r="G21" s="135" t="str">
        <f>IF($D21=0,"",VLOOKUP($B21,'Feed database'!$B$7:$Q$106,7,FALSE)/100*$E21)</f>
        <v/>
      </c>
      <c r="H21" s="135" t="str">
        <f>IF($D21=0,"",VLOOKUP($B21,'Feed database'!$B$7:$Q$106,9,FALSE)/100*$E21)</f>
        <v/>
      </c>
      <c r="I21" s="135" t="str">
        <f>IF($D21=0,"",VLOOKUP($B21,'Feed database'!$B$7:$Q$106,11,FALSE)/100*$E21*1000)</f>
        <v/>
      </c>
      <c r="J21" s="135" t="str">
        <f>IF($D21=0,"",VLOOKUP($B21,'Feed database'!$B$7:$Q$106,13,FALSE)/100*$E21*1000)</f>
        <v/>
      </c>
      <c r="K21" s="135" t="str">
        <f>IF($D21=0,"",VLOOKUP($B21,'Feed database'!$B$7:$Q$106,15,FALSE)*$E21/100)</f>
        <v/>
      </c>
      <c r="M21" s="135">
        <f>VLOOKUP(B21,'Feed database'!$B$7:$C$106,2,FALSE)</f>
        <v>25</v>
      </c>
      <c r="N21" s="135">
        <f>IF(M21="",0,M21*D21)</f>
        <v>0</v>
      </c>
    </row>
    <row r="22" spans="1:14">
      <c r="A22" s="72">
        <v>19</v>
      </c>
      <c r="B22" s="83" t="s">
        <v>93</v>
      </c>
      <c r="C22" s="101">
        <v>2</v>
      </c>
      <c r="D22" s="101">
        <v>0.1</v>
      </c>
      <c r="E22" s="135">
        <f>IF($D22=0,"",VLOOKUP($B22,'Feed database'!$B$7:$Q$106,3,FALSE)/100*$D22)</f>
        <v>0.089</v>
      </c>
      <c r="F22" s="135">
        <f>IF($D22=0,"",VLOOKUP($B22,'Feed database'!$B$7:$Q$106,5,FALSE)*$E22)</f>
        <v>1.1125</v>
      </c>
      <c r="G22" s="135">
        <f>IF($D22=0,"",VLOOKUP($B22,'Feed database'!$B$7:$Q$106,7,FALSE)/100*$E22)</f>
        <v>0.01958</v>
      </c>
      <c r="H22" s="135">
        <f>IF($D22=0,"",VLOOKUP($B22,'Feed database'!$B$7:$Q$106,9,FALSE)/100*$E22)</f>
        <v>0.02136</v>
      </c>
      <c r="I22" s="135">
        <f>IF($D22=0,"",VLOOKUP($B22,'Feed database'!$B$7:$Q$106,11,FALSE)/100*$E22*1000)</f>
        <v>0.89</v>
      </c>
      <c r="J22" s="135">
        <f>IF($D22=0,"",VLOOKUP($B22,'Feed database'!$B$7:$Q$106,13,FALSE)/100*$E22*1000)</f>
        <v>0.712</v>
      </c>
      <c r="K22" s="135">
        <f>IF($D22=0,"",VLOOKUP($B22,'Feed database'!$B$7:$Q$106,15,FALSE)*$E22/100)</f>
        <v>0.07921</v>
      </c>
      <c r="M22" s="135">
        <f>VLOOKUP(B22,'Feed database'!$B$7:$C$106,2,FALSE)</f>
        <v>32</v>
      </c>
      <c r="N22" s="135">
        <f>IF(M22="",0,M22*D22)</f>
        <v>3.2</v>
      </c>
    </row>
    <row r="23" spans="1:14">
      <c r="A23" s="72">
        <v>20</v>
      </c>
      <c r="B23" s="83" t="s">
        <v>94</v>
      </c>
      <c r="C23" s="101">
        <v>25</v>
      </c>
      <c r="D23" s="101"/>
      <c r="E23" s="135" t="str">
        <f>IF($D23=0,"",VLOOKUP($B23,'Feed database'!$B$7:$Q$106,3,FALSE)/100*$D23)</f>
        <v/>
      </c>
      <c r="F23" s="135" t="str">
        <f>IF($D23=0,"",VLOOKUP($B23,'Feed database'!$B$7:$Q$106,5,FALSE)*$E23)</f>
        <v/>
      </c>
      <c r="G23" s="135" t="str">
        <f>IF($D23=0,"",VLOOKUP($B23,'Feed database'!$B$7:$Q$106,7,FALSE)/100*$E23)</f>
        <v/>
      </c>
      <c r="H23" s="135" t="str">
        <f>IF($D23=0,"",VLOOKUP($B23,'Feed database'!$B$7:$Q$106,9,FALSE)/100*$E23)</f>
        <v/>
      </c>
      <c r="I23" s="135" t="str">
        <f>IF($D23=0,"",VLOOKUP($B23,'Feed database'!$B$7:$Q$106,11,FALSE)/100*$E23*1000)</f>
        <v/>
      </c>
      <c r="J23" s="135" t="str">
        <f>IF($D23=0,"",VLOOKUP($B23,'Feed database'!$B$7:$Q$106,13,FALSE)/100*$E23*1000)</f>
        <v/>
      </c>
      <c r="K23" s="135" t="str">
        <f>IF($D23=0,"",VLOOKUP($B23,'Feed database'!$B$7:$Q$106,15,FALSE)*$E23/100)</f>
        <v/>
      </c>
      <c r="M23" s="135">
        <f>VLOOKUP(B23,'Feed database'!$B$7:$C$106,2,FALSE)</f>
        <v>5</v>
      </c>
      <c r="N23" s="135">
        <f>IF(M23="",0,M23*D23)</f>
        <v>0</v>
      </c>
    </row>
    <row r="24" spans="1:14">
      <c r="A24" s="72">
        <v>21</v>
      </c>
      <c r="B24" s="83" t="s">
        <v>95</v>
      </c>
      <c r="C24" s="101">
        <v>3</v>
      </c>
      <c r="D24" s="101">
        <v>1.42</v>
      </c>
      <c r="E24" s="135">
        <f>IF($D24=0,"",VLOOKUP($B24,'Feed database'!$B$7:$Q$106,3,FALSE)/100*$D24)</f>
        <v>1.2638</v>
      </c>
      <c r="F24" s="135">
        <f>IF($D24=0,"",VLOOKUP($B24,'Feed database'!$B$7:$Q$106,5,FALSE)*$E24)</f>
        <v>11.24782</v>
      </c>
      <c r="G24" s="135">
        <f>IF($D24=0,"",VLOOKUP($B24,'Feed database'!$B$7:$Q$106,7,FALSE)/100*$E24)</f>
        <v>0.50552</v>
      </c>
      <c r="H24" s="135">
        <f>IF($D24=0,"",VLOOKUP($B24,'Feed database'!$B$7:$Q$106,9,FALSE)/100*$E24)</f>
        <v>0.290674</v>
      </c>
      <c r="I24" s="135">
        <f>IF($D24=0,"",VLOOKUP($B24,'Feed database'!$B$7:$Q$106,11,FALSE)/100*$E24*1000)</f>
        <v>2.78036</v>
      </c>
      <c r="J24" s="135">
        <f>IF($D24=0,"",VLOOKUP($B24,'Feed database'!$B$7:$Q$106,13,FALSE)/100*$E24*1000)</f>
        <v>2.5276</v>
      </c>
      <c r="K24" s="135">
        <f>IF($D24=0,"",VLOOKUP($B24,'Feed database'!$B$7:$Q$106,15,FALSE)*$E24/100)</f>
        <v>1.124782</v>
      </c>
      <c r="M24" s="135">
        <f>VLOOKUP(B24,'Feed database'!$B$7:$C$106,2,FALSE)</f>
        <v>25</v>
      </c>
      <c r="N24" s="135">
        <f>IF(M24="",0,M24*D24)</f>
        <v>35.5</v>
      </c>
    </row>
    <row r="25" spans="1:14">
      <c r="A25" s="72">
        <v>22</v>
      </c>
      <c r="B25" s="83" t="s">
        <v>96</v>
      </c>
      <c r="C25" s="101">
        <v>3</v>
      </c>
      <c r="D25" s="101"/>
      <c r="E25" s="135" t="str">
        <f>IF($D25=0,"",VLOOKUP($B25,'Feed database'!$B$7:$Q$106,3,FALSE)/100*$D25)</f>
        <v/>
      </c>
      <c r="F25" s="135" t="str">
        <f>IF($D25=0,"",VLOOKUP($B25,'Feed database'!$B$7:$Q$106,5,FALSE)*$E25)</f>
        <v/>
      </c>
      <c r="G25" s="135" t="str">
        <f>IF($D25=0,"",VLOOKUP($B25,'Feed database'!$B$7:$Q$106,7,FALSE)/100*$E25)</f>
        <v/>
      </c>
      <c r="H25" s="135" t="str">
        <f>IF($D25=0,"",VLOOKUP($B25,'Feed database'!$B$7:$Q$106,9,FALSE)/100*$E25)</f>
        <v/>
      </c>
      <c r="I25" s="135" t="str">
        <f>IF($D25=0,"",VLOOKUP($B25,'Feed database'!$B$7:$Q$106,11,FALSE)/100*$E25*1000)</f>
        <v/>
      </c>
      <c r="J25" s="135" t="str">
        <f>IF($D25=0,"",VLOOKUP($B25,'Feed database'!$B$7:$Q$106,13,FALSE)/100*$E25*1000)</f>
        <v/>
      </c>
      <c r="K25" s="135" t="str">
        <f>IF($D25=0,"",VLOOKUP($B25,'Feed database'!$B$7:$Q$106,15,FALSE)*$E25/100)</f>
        <v/>
      </c>
      <c r="M25" s="135">
        <f>VLOOKUP(B25,'Feed database'!$B$7:$C$106,2,FALSE)</f>
        <v>25</v>
      </c>
      <c r="N25" s="135">
        <f>IF(M25="",0,M25*D25)</f>
        <v>0</v>
      </c>
    </row>
    <row r="26" spans="1:14">
      <c r="A26" s="72">
        <v>23</v>
      </c>
      <c r="B26" s="83" t="s">
        <v>97</v>
      </c>
      <c r="C26" s="101">
        <v>3</v>
      </c>
      <c r="D26" s="101"/>
      <c r="E26" s="135" t="str">
        <f>IF($D26=0,"",VLOOKUP($B26,'Feed database'!$B$7:$Q$106,3,FALSE)/100*$D26)</f>
        <v/>
      </c>
      <c r="F26" s="135" t="str">
        <f>IF($D26=0,"",VLOOKUP($B26,'Feed database'!$B$7:$Q$106,5,FALSE)*$E26)</f>
        <v/>
      </c>
      <c r="G26" s="135" t="str">
        <f>IF($D26=0,"",VLOOKUP($B26,'Feed database'!$B$7:$Q$106,7,FALSE)/100*$E26)</f>
        <v/>
      </c>
      <c r="H26" s="135" t="str">
        <f>IF($D26=0,"",VLOOKUP($B26,'Feed database'!$B$7:$Q$106,9,FALSE)/100*$E26)</f>
        <v/>
      </c>
      <c r="I26" s="135" t="str">
        <f>IF($D26=0,"",VLOOKUP($B26,'Feed database'!$B$7:$Q$106,11,FALSE)/100*$E26*1000)</f>
        <v/>
      </c>
      <c r="J26" s="135" t="str">
        <f>IF($D26=0,"",VLOOKUP($B26,'Feed database'!$B$7:$Q$106,13,FALSE)/100*$E26*1000)</f>
        <v/>
      </c>
      <c r="K26" s="135" t="str">
        <f>IF($D26=0,"",VLOOKUP($B26,'Feed database'!$B$7:$Q$106,15,FALSE)*$E26/100)</f>
        <v/>
      </c>
      <c r="M26" s="135">
        <f>VLOOKUP(B26,'Feed database'!$B$7:$C$106,2,FALSE)</f>
        <v>20</v>
      </c>
      <c r="N26" s="135">
        <f>IF(M26="",0,M26*D26)</f>
        <v>0</v>
      </c>
    </row>
    <row r="27" spans="1:14">
      <c r="A27" s="72">
        <v>24</v>
      </c>
      <c r="B27" s="83" t="s">
        <v>98</v>
      </c>
      <c r="C27" s="101">
        <v>0.05</v>
      </c>
      <c r="D27" s="101"/>
      <c r="E27" s="135" t="str">
        <f>IF($D27=0,"",VLOOKUP($B27,'Feed database'!$B$7:$Q$106,3,FALSE)/100*$D27)</f>
        <v/>
      </c>
      <c r="F27" s="135" t="str">
        <f>IF($D27=0,"",VLOOKUP($B27,'Feed database'!$B$7:$Q$106,5,FALSE)*$E27)</f>
        <v/>
      </c>
      <c r="G27" s="135" t="str">
        <f>IF($D27=0,"",VLOOKUP($B27,'Feed database'!$B$7:$Q$106,7,FALSE)/100*$E27)</f>
        <v/>
      </c>
      <c r="H27" s="135" t="str">
        <f>IF($D27=0,"",VLOOKUP($B27,'Feed database'!$B$7:$Q$106,9,FALSE)/100*$E27)</f>
        <v/>
      </c>
      <c r="I27" s="135" t="str">
        <f>IF($D27=0,"",VLOOKUP($B27,'Feed database'!$B$7:$Q$106,11,FALSE)/100*$E27*1000)</f>
        <v/>
      </c>
      <c r="J27" s="135" t="str">
        <f>IF($D27=0,"",VLOOKUP($B27,'Feed database'!$B$7:$Q$106,13,FALSE)/100*$E27*1000)</f>
        <v/>
      </c>
      <c r="K27" s="135" t="str">
        <f>IF($D27=0,"",VLOOKUP($B27,'Feed database'!$B$7:$Q$106,15,FALSE)*$E27/100)</f>
        <v/>
      </c>
      <c r="M27" s="135">
        <f>VLOOKUP(B27,'Feed database'!$B$7:$C$106,2,FALSE)</f>
        <v>8</v>
      </c>
      <c r="N27" s="135">
        <f>IF(M27="",0,M27*D27)</f>
        <v>0</v>
      </c>
    </row>
    <row r="28" spans="1:14">
      <c r="A28" s="72">
        <v>25</v>
      </c>
      <c r="B28" s="83" t="s">
        <v>99</v>
      </c>
      <c r="C28" s="101">
        <v>0.1</v>
      </c>
      <c r="D28" s="101">
        <v>0.1</v>
      </c>
      <c r="E28" s="135">
        <f>IF($D28=0,"",VLOOKUP($B28,'Feed database'!$B$7:$Q$106,3,FALSE)/100*$D28)</f>
        <v>0.09</v>
      </c>
      <c r="F28" s="135">
        <f>IF($D28=0,"",VLOOKUP($B28,'Feed database'!$B$7:$Q$106,5,FALSE)*$E28)</f>
        <v>0</v>
      </c>
      <c r="G28" s="135">
        <f>IF($D28=0,"",VLOOKUP($B28,'Feed database'!$B$7:$Q$106,7,FALSE)/100*$E28)</f>
        <v>0</v>
      </c>
      <c r="H28" s="135">
        <f>IF($D28=0,"",VLOOKUP($B28,'Feed database'!$B$7:$Q$106,9,FALSE)/100*$E28)</f>
        <v>0</v>
      </c>
      <c r="I28" s="135">
        <f>IF($D28=0,"",VLOOKUP($B28,'Feed database'!$B$7:$Q$106,11,FALSE)/100*$E28*1000)</f>
        <v>21.6</v>
      </c>
      <c r="J28" s="135">
        <f>IF($D28=0,"",VLOOKUP($B28,'Feed database'!$B$7:$Q$106,13,FALSE)/100*$E28*1000)</f>
        <v>10.8</v>
      </c>
      <c r="K28" s="135">
        <f>IF($D28=0,"",VLOOKUP($B28,'Feed database'!$B$7:$Q$106,15,FALSE)*$E28/100)</f>
        <v>0.081</v>
      </c>
      <c r="M28" s="135">
        <f>VLOOKUP(B28,'Feed database'!$B$7:$C$106,2,FALSE)</f>
        <v>180</v>
      </c>
      <c r="N28" s="135">
        <f>IF(M28="",0,M28*D28)</f>
        <v>18</v>
      </c>
    </row>
    <row r="29" spans="1:14">
      <c r="A29" s="72">
        <v>26</v>
      </c>
      <c r="B29" s="83" t="s">
        <v>100</v>
      </c>
      <c r="C29" s="101">
        <v>0.3</v>
      </c>
      <c r="D29" s="101"/>
      <c r="E29" s="135" t="str">
        <f>IF($D29=0,"",VLOOKUP($B29,'Feed database'!$B$7:$Q$106,3,FALSE)/100*$D29)</f>
        <v/>
      </c>
      <c r="F29" s="135" t="str">
        <f>IF($D29=0,"",VLOOKUP($B29,'Feed database'!$B$7:$Q$106,5,FALSE)*$E29)</f>
        <v/>
      </c>
      <c r="G29" s="135" t="str">
        <f>IF($D29=0,"",VLOOKUP($B29,'Feed database'!$B$7:$Q$106,7,FALSE)/100*$E29)</f>
        <v/>
      </c>
      <c r="H29" s="135" t="str">
        <f>IF($D29=0,"",VLOOKUP($B29,'Feed database'!$B$7:$Q$106,9,FALSE)/100*$E29)</f>
        <v/>
      </c>
      <c r="I29" s="135" t="str">
        <f>IF($D29=0,"",VLOOKUP($B29,'Feed database'!$B$7:$Q$106,11,FALSE)/100*$E29*1000)</f>
        <v/>
      </c>
      <c r="J29" s="135" t="str">
        <f>IF($D29=0,"",VLOOKUP($B29,'Feed database'!$B$7:$Q$106,13,FALSE)/100*$E29*1000)</f>
        <v/>
      </c>
      <c r="K29" s="135" t="str">
        <f>IF($D29=0,"",VLOOKUP($B29,'Feed database'!$B$7:$Q$106,15,FALSE)*$E29/100)</f>
        <v/>
      </c>
      <c r="M29" s="135">
        <f>VLOOKUP(B29,'Feed database'!$B$7:$C$106,2,FALSE)</f>
        <v>110</v>
      </c>
      <c r="N29" s="135">
        <f>IF(M29="",0,M29*D29)</f>
        <v>0</v>
      </c>
    </row>
    <row r="30" spans="1:14">
      <c r="A30" s="72">
        <v>26</v>
      </c>
      <c r="B30" s="83"/>
      <c r="C30" s="101"/>
      <c r="D30" s="101"/>
      <c r="E30" s="135" t="str">
        <f>IF($D30=0,"",VLOOKUP($B30,'Feed database'!$B$7:$Q$106,3,FALSE)/100*$D30)</f>
        <v/>
      </c>
      <c r="F30" s="135" t="str">
        <f>IF($D30=0,"",VLOOKUP($B30,'Feed database'!$B$7:$Q$106,5,FALSE)*$E30)</f>
        <v/>
      </c>
      <c r="G30" s="135" t="str">
        <f>IF($D30=0,"",VLOOKUP($B30,'Feed database'!$B$7:$Q$106,7,FALSE)/100*$E30)</f>
        <v/>
      </c>
      <c r="H30" s="135" t="str">
        <f>IF($D30=0,"",VLOOKUP($B30,'Feed database'!$B$7:$Q$106,9,FALSE)/100*$E30)</f>
        <v/>
      </c>
      <c r="I30" s="135" t="str">
        <f>IF($D30=0,"",VLOOKUP($B30,'Feed database'!$B$7:$Q$106,11,FALSE)/100*$E30*1000)</f>
        <v/>
      </c>
      <c r="J30" s="135" t="str">
        <f>IF($D30=0,"",VLOOKUP($B30,'Feed database'!$B$7:$Q$106,13,FALSE)/100*$E30*1000)</f>
        <v/>
      </c>
      <c r="K30" s="135" t="str">
        <f>IF($D30=0,"",VLOOKUP($B30,'Feed database'!$B$7:$Q$106,15,FALSE)*$E30/100)</f>
        <v/>
      </c>
      <c r="M30" s="135"/>
      <c r="N30" s="135"/>
    </row>
    <row r="31" spans="1:14">
      <c r="A31" s="72">
        <v>27</v>
      </c>
      <c r="B31" s="83"/>
      <c r="C31" s="101"/>
      <c r="D31" s="101"/>
      <c r="E31" s="135" t="str">
        <f>IF($D31=0,"",VLOOKUP($B31,'Feed database'!$B$7:$Q$106,3,FALSE)/100*$D31)</f>
        <v/>
      </c>
      <c r="F31" s="135" t="str">
        <f>IF($D31=0,"",VLOOKUP($B31,'Feed database'!$B$7:$Q$106,5,FALSE)*$E31)</f>
        <v/>
      </c>
      <c r="G31" s="135" t="str">
        <f>IF($D31=0,"",VLOOKUP($B31,'Feed database'!$B$7:$Q$106,7,FALSE)/100*$E31)</f>
        <v/>
      </c>
      <c r="H31" s="135" t="str">
        <f>IF($D31=0,"",VLOOKUP($B31,'Feed database'!$B$7:$Q$106,9,FALSE)/100*$E31)</f>
        <v/>
      </c>
      <c r="I31" s="135" t="str">
        <f>IF($D31=0,"",VLOOKUP($B31,'Feed database'!$B$7:$Q$106,11,FALSE)/100*$E31*1000)</f>
        <v/>
      </c>
      <c r="J31" s="135" t="str">
        <f>IF($D31=0,"",VLOOKUP($B31,'Feed database'!$B$7:$Q$106,13,FALSE)/100*$E31*1000)</f>
        <v/>
      </c>
      <c r="K31" s="135" t="str">
        <f>IF($D31=0,"",VLOOKUP($B31,'Feed database'!$B$7:$Q$106,15,FALSE)*$E31/100)</f>
        <v/>
      </c>
      <c r="M31" s="135"/>
      <c r="N31" s="135"/>
    </row>
    <row r="32" spans="1:14">
      <c r="A32" s="72">
        <v>28</v>
      </c>
      <c r="B32" s="83"/>
      <c r="C32" s="101"/>
      <c r="D32" s="101"/>
      <c r="E32" s="135"/>
      <c r="F32" s="135"/>
      <c r="G32" s="135" t="str">
        <f>IF($D32=0,"",VLOOKUP($B32,'Feed database'!$B$7:$Q$106,7,FALSE)/100*$E32)</f>
        <v/>
      </c>
      <c r="H32" s="135"/>
      <c r="I32" s="135"/>
      <c r="J32" s="135"/>
      <c r="K32" s="135" t="str">
        <f>IF($D32=0,"",VLOOKUP($B32,'Feed database'!$B$7:$Q$106,15,FALSE)*$E32/100)</f>
        <v/>
      </c>
      <c r="M32" s="135"/>
      <c r="N32" s="135"/>
    </row>
    <row r="33" spans="1:14" customHeight="1" ht="19.5">
      <c r="B33" s="77" t="s">
        <v>101</v>
      </c>
      <c r="C33" s="78"/>
      <c r="D33" s="200">
        <f>SUM(D4:D29)</f>
        <v>40.08</v>
      </c>
      <c r="E33" s="200">
        <f>SUM(E4:E32)</f>
        <v>27.6922</v>
      </c>
      <c r="F33" s="200">
        <f>SUM(F4:F32)</f>
        <v>287.592504</v>
      </c>
      <c r="G33" s="200">
        <f>SUM(G4:G32)</f>
        <v>4.482154</v>
      </c>
      <c r="H33" s="200">
        <f>SUM(H4:H32)</f>
        <v>12.096496</v>
      </c>
      <c r="I33" s="200">
        <f>SUM(I4:I32)</f>
        <v>75.6356</v>
      </c>
      <c r="J33" s="200">
        <f>SUM(J4:J32)</f>
        <v>108.62314</v>
      </c>
      <c r="K33" s="200">
        <f>SUM(K4:K32)</f>
        <v>17.491358</v>
      </c>
      <c r="L33" s="153">
        <f>E33-K33</f>
        <v>10.200842</v>
      </c>
      <c r="M33" s="77" t="s">
        <v>102</v>
      </c>
      <c r="N33" s="80">
        <f>SUM(N4:N32)</f>
        <v>503.1</v>
      </c>
    </row>
    <row r="34" spans="1:14" customHeight="1" ht="19.5">
      <c r="D34" s="79"/>
      <c r="E34" s="79"/>
      <c r="F34" s="77" t="s">
        <v>103</v>
      </c>
      <c r="G34" s="102">
        <f>IF(G33=0,0,G33/$E33)</f>
        <v>0.16185619055185</v>
      </c>
      <c r="H34" s="102">
        <f>IF(H33=0,0,H33/$E33)</f>
        <v>0.43681960985404</v>
      </c>
      <c r="I34" s="118">
        <f>IF(I33=0,0,I33/1000/$E33)</f>
        <v>0.0027312961772629</v>
      </c>
      <c r="J34" s="118">
        <f>IF(J33=0,0,J33/1000/$E33)</f>
        <v>0.0039225175320126</v>
      </c>
      <c r="K34" s="118">
        <f>K33/E33</f>
        <v>0.63163482857989</v>
      </c>
    </row>
    <row r="35" spans="1:14">
      <c r="B35" s="141" t="s">
        <v>104</v>
      </c>
      <c r="C35" s="141"/>
      <c r="D35" s="141"/>
      <c r="E35" s="141">
        <f>1.5*D37/100</f>
        <v>8.25</v>
      </c>
      <c r="F35" s="141">
        <f>'Cow req'!D10</f>
        <v>711</v>
      </c>
      <c r="G35" s="142">
        <f>'Cow req'!D13*H37</f>
        <v>327.25</v>
      </c>
      <c r="H35" s="143">
        <f>'Cow req'!D16</f>
        <v>0.3</v>
      </c>
      <c r="I35" s="151">
        <f>'Cow req'!D19*H37*1000</f>
        <v>154</v>
      </c>
      <c r="J35" s="151">
        <f>'Cow req'!D22*H37*1000</f>
        <v>77</v>
      </c>
      <c r="K35" s="143">
        <f>'Cow req'!D25</f>
        <v>0.7</v>
      </c>
      <c r="L35" s="154">
        <f>1-K35</f>
        <v>0.3</v>
      </c>
    </row>
    <row r="36" spans="1:14" customHeight="1" ht="31.5">
      <c r="B36" s="10" t="s">
        <v>105</v>
      </c>
      <c r="F36" s="10">
        <f>F35*1.05</f>
        <v>746.55</v>
      </c>
      <c r="H36" s="84" t="s">
        <v>65</v>
      </c>
      <c r="I36" s="84"/>
      <c r="J36" s="74"/>
    </row>
    <row r="37" spans="1:14" customHeight="1" ht="19.5">
      <c r="B37" s="88" t="s">
        <v>106</v>
      </c>
      <c r="C37" s="85"/>
      <c r="D37" s="139">
        <f>'Cow req'!$C$4</f>
        <v>550</v>
      </c>
      <c r="E37" s="86" t="s">
        <v>107</v>
      </c>
      <c r="F37" s="140">
        <f>IF('Cow req'!C6&gt;20,3.5%,3%)</f>
        <v>0.035</v>
      </c>
      <c r="G37" s="87" t="s">
        <v>108</v>
      </c>
      <c r="H37" s="80">
        <f>D37*F37</f>
        <v>19.25</v>
      </c>
      <c r="I37" s="76"/>
      <c r="J37" s="76"/>
    </row>
    <row r="38" spans="1:14" customHeight="1" ht="31.5">
      <c r="D38" s="84" t="s">
        <v>20</v>
      </c>
      <c r="F38" s="84" t="s">
        <v>109</v>
      </c>
      <c r="I38" s="10" t="str">
        <f>IF(D37*F37&gt;E33,D37*F37,"Feed intake exceeds animal capacity")</f>
        <v>Feed intake exceeds animal capacity</v>
      </c>
      <c r="J38" s="76"/>
    </row>
    <row r="39" spans="1:14">
      <c r="H39" s="10">
        <f>H35*E35</f>
        <v>2.475</v>
      </c>
      <c r="J39" s="76"/>
      <c r="L39" s="10">
        <f>L35*E35</f>
        <v>2.475</v>
      </c>
    </row>
    <row r="40" spans="1:14">
      <c r="B40" s="206" t="s">
        <v>5</v>
      </c>
    </row>
    <row r="67" spans="1:14">
      <c r="J67" s="9"/>
    </row>
    <row r="68" spans="1:14">
      <c r="J68" s="9"/>
    </row>
    <row r="69" spans="1:14">
      <c r="J69" s="9"/>
    </row>
    <row r="70" spans="1:14">
      <c r="J70" s="9"/>
    </row>
    <row r="71" spans="1:14">
      <c r="J71" s="9"/>
    </row>
    <row r="72" spans="1:14">
      <c r="J72" s="9"/>
    </row>
    <row r="73" spans="1:14">
      <c r="J73" s="9"/>
    </row>
    <row r="74" spans="1:14">
      <c r="J74" s="9"/>
    </row>
    <row r="75" spans="1:14">
      <c r="J75" s="9"/>
    </row>
    <row r="76" spans="1:14">
      <c r="J76" s="9"/>
    </row>
    <row r="77" spans="1:14">
      <c r="J77" s="9"/>
    </row>
    <row r="78" spans="1:14">
      <c r="J78" s="9"/>
    </row>
    <row r="79" spans="1:14">
      <c r="J79" s="9"/>
    </row>
    <row r="80" spans="1:14">
      <c r="J80" s="9"/>
    </row>
    <row r="81" spans="1:14">
      <c r="J81" s="9"/>
    </row>
    <row r="82" spans="1:14">
      <c r="J82" s="9"/>
    </row>
  </sheetData>
  <mergeCells>
    <mergeCell ref="A1:H1"/>
  </mergeCells>
  <dataValidations count="1">
    <dataValidation type="list" allowBlank="1" showDropDown="0" showInputMessage="1" showErrorMessage="1" sqref="B4:B32">
      <formula1>FeedIngredients</formula1>
    </dataValidation>
  </dataValidations>
  <printOptions gridLines="false" gridLinesSet="true"/>
  <pageMargins left="0.7" right="0.7" top="0.787401575" bottom="0.787401575" header="0.3" footer="0.3"/>
  <pageSetup paperSize="9" orientation="landscape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 codeName="Sheet5">
    <outlinePr summaryBelow="1" summaryRight="1"/>
  </sheetPr>
  <dimension ref="A1:IW18"/>
  <sheetViews>
    <sheetView tabSelected="0" workbookViewId="0" zoomScale="75" showGridLines="true" showRowColHeaders="1">
      <selection activeCell="E16" sqref="E16"/>
    </sheetView>
  </sheetViews>
  <sheetFormatPr defaultRowHeight="14.4" defaultColWidth="11.42578125" outlineLevelRow="0" outlineLevelCol="0"/>
  <cols>
    <col min="1" max="1" width="52.7109375" customWidth="true" style="12"/>
    <col min="2" max="2" width="18.140625" customWidth="true" style="12"/>
    <col min="3" max="3" width="23.42578125" customWidth="true" style="12"/>
    <col min="4" max="4" width="30.85546875" customWidth="true" style="12"/>
    <col min="5" max="5" width="20.85546875" customWidth="true" style="12"/>
    <col min="6" max="6" width="9.85546875" customWidth="true" style="12"/>
    <col min="7" max="7" width="12.5703125" customWidth="true" style="12"/>
    <col min="8" max="8" width="9.140625" customWidth="true" style="12"/>
    <col min="9" max="9" width="9.140625" customWidth="true" style="12"/>
    <col min="10" max="10" width="9.140625" customWidth="true" style="12"/>
    <col min="11" max="11" width="9.140625" customWidth="true" style="12"/>
    <col min="12" max="12" width="9.140625" customWidth="true" style="12"/>
    <col min="13" max="13" width="9.140625" customWidth="true" style="12"/>
    <col min="14" max="14" width="9.140625" customWidth="true" style="12"/>
    <col min="15" max="15" width="9.140625" customWidth="true" style="12"/>
    <col min="16" max="16" width="9.140625" customWidth="true" style="12"/>
    <col min="17" max="17" width="9.140625" customWidth="true" style="12"/>
    <col min="18" max="18" width="9.140625" customWidth="true" style="12"/>
    <col min="19" max="19" width="9.140625" customWidth="true" style="12"/>
    <col min="20" max="20" width="9.140625" customWidth="true" style="12"/>
    <col min="21" max="21" width="9.140625" customWidth="true" style="12"/>
    <col min="22" max="22" width="9.140625" customWidth="true" style="12"/>
    <col min="23" max="23" width="9.140625" customWidth="true" style="12"/>
    <col min="24" max="24" width="9.140625" customWidth="true" style="12"/>
    <col min="25" max="25" width="9.140625" customWidth="true" style="12"/>
    <col min="26" max="26" width="9.140625" customWidth="true" style="12"/>
    <col min="27" max="27" width="9.140625" customWidth="true" style="12"/>
    <col min="28" max="28" width="9.140625" customWidth="true" style="12"/>
    <col min="29" max="29" width="9.140625" customWidth="true" style="12"/>
    <col min="30" max="30" width="9.140625" customWidth="true" style="12"/>
    <col min="31" max="31" width="9.140625" customWidth="true" style="12"/>
    <col min="32" max="32" width="9.140625" customWidth="true" style="12"/>
    <col min="33" max="33" width="9.140625" customWidth="true" style="12"/>
    <col min="34" max="34" width="9.140625" customWidth="true" style="12"/>
    <col min="35" max="35" width="9.140625" customWidth="true" style="12"/>
    <col min="36" max="36" width="9.140625" customWidth="true" style="12"/>
    <col min="37" max="37" width="9.140625" customWidth="true" style="12"/>
    <col min="38" max="38" width="9.140625" customWidth="true" style="12"/>
    <col min="39" max="39" width="9.140625" customWidth="true" style="12"/>
    <col min="40" max="40" width="9.140625" customWidth="true" style="12"/>
    <col min="41" max="41" width="9.140625" customWidth="true" style="12"/>
    <col min="42" max="42" width="9.140625" customWidth="true" style="12"/>
    <col min="43" max="43" width="9.140625" customWidth="true" style="12"/>
    <col min="44" max="44" width="9.140625" customWidth="true" style="12"/>
    <col min="45" max="45" width="9.140625" customWidth="true" style="12"/>
    <col min="46" max="46" width="9.140625" customWidth="true" style="12"/>
    <col min="47" max="47" width="9.140625" customWidth="true" style="12"/>
    <col min="48" max="48" width="9.140625" customWidth="true" style="12"/>
    <col min="49" max="49" width="9.140625" customWidth="true" style="12"/>
    <col min="50" max="50" width="9.140625" customWidth="true" style="12"/>
    <col min="51" max="51" width="9.140625" customWidth="true" style="12"/>
    <col min="52" max="52" width="9.140625" customWidth="true" style="12"/>
    <col min="53" max="53" width="9.140625" customWidth="true" style="12"/>
    <col min="54" max="54" width="9.140625" customWidth="true" style="12"/>
    <col min="55" max="55" width="9.140625" customWidth="true" style="12"/>
    <col min="56" max="56" width="9.140625" customWidth="true" style="12"/>
    <col min="57" max="57" width="9.140625" customWidth="true" style="12"/>
    <col min="58" max="58" width="9.140625" customWidth="true" style="12"/>
    <col min="59" max="59" width="9.140625" customWidth="true" style="12"/>
    <col min="60" max="60" width="9.140625" customWidth="true" style="12"/>
    <col min="61" max="61" width="9.140625" customWidth="true" style="12"/>
    <col min="62" max="62" width="9.140625" customWidth="true" style="12"/>
    <col min="63" max="63" width="9.140625" customWidth="true" style="12"/>
    <col min="64" max="64" width="9.140625" customWidth="true" style="12"/>
    <col min="65" max="65" width="9.140625" customWidth="true" style="12"/>
    <col min="66" max="66" width="9.140625" customWidth="true" style="12"/>
    <col min="67" max="67" width="9.140625" customWidth="true" style="12"/>
    <col min="68" max="68" width="9.140625" customWidth="true" style="12"/>
    <col min="69" max="69" width="9.140625" customWidth="true" style="12"/>
    <col min="70" max="70" width="9.140625" customWidth="true" style="12"/>
    <col min="71" max="71" width="9.140625" customWidth="true" style="12"/>
    <col min="72" max="72" width="9.140625" customWidth="true" style="12"/>
    <col min="73" max="73" width="9.140625" customWidth="true" style="12"/>
    <col min="74" max="74" width="9.140625" customWidth="true" style="12"/>
    <col min="75" max="75" width="9.140625" customWidth="true" style="12"/>
    <col min="76" max="76" width="9.140625" customWidth="true" style="12"/>
    <col min="77" max="77" width="9.140625" customWidth="true" style="12"/>
    <col min="78" max="78" width="9.140625" customWidth="true" style="12"/>
    <col min="79" max="79" width="9.140625" customWidth="true" style="12"/>
    <col min="80" max="80" width="9.140625" customWidth="true" style="12"/>
    <col min="81" max="81" width="9.140625" customWidth="true" style="12"/>
    <col min="82" max="82" width="9.140625" customWidth="true" style="12"/>
    <col min="83" max="83" width="9.140625" customWidth="true" style="12"/>
    <col min="84" max="84" width="9.140625" customWidth="true" style="12"/>
    <col min="85" max="85" width="9.140625" customWidth="true" style="12"/>
    <col min="86" max="86" width="9.140625" customWidth="true" style="12"/>
    <col min="87" max="87" width="9.140625" customWidth="true" style="12"/>
    <col min="88" max="88" width="9.140625" customWidth="true" style="12"/>
    <col min="89" max="89" width="9.140625" customWidth="true" style="12"/>
    <col min="90" max="90" width="9.140625" customWidth="true" style="12"/>
    <col min="91" max="91" width="9.140625" customWidth="true" style="12"/>
    <col min="92" max="92" width="9.140625" customWidth="true" style="12"/>
    <col min="93" max="93" width="9.140625" customWidth="true" style="12"/>
    <col min="94" max="94" width="9.140625" customWidth="true" style="12"/>
    <col min="95" max="95" width="9.140625" customWidth="true" style="12"/>
    <col min="96" max="96" width="9.140625" customWidth="true" style="12"/>
    <col min="97" max="97" width="9.140625" customWidth="true" style="12"/>
    <col min="98" max="98" width="9.140625" customWidth="true" style="12"/>
    <col min="99" max="99" width="9.140625" customWidth="true" style="12"/>
    <col min="100" max="100" width="9.140625" customWidth="true" style="12"/>
    <col min="101" max="101" width="9.140625" customWidth="true" style="12"/>
    <col min="102" max="102" width="9.140625" customWidth="true" style="12"/>
    <col min="103" max="103" width="9.140625" customWidth="true" style="12"/>
    <col min="104" max="104" width="9.140625" customWidth="true" style="12"/>
    <col min="105" max="105" width="9.140625" customWidth="true" style="12"/>
    <col min="106" max="106" width="9.140625" customWidth="true" style="12"/>
    <col min="107" max="107" width="9.140625" customWidth="true" style="12"/>
    <col min="108" max="108" width="9.140625" customWidth="true" style="12"/>
    <col min="109" max="109" width="9.140625" customWidth="true" style="12"/>
    <col min="110" max="110" width="9.140625" customWidth="true" style="12"/>
    <col min="111" max="111" width="9.140625" customWidth="true" style="12"/>
    <col min="112" max="112" width="9.140625" customWidth="true" style="12"/>
    <col min="113" max="113" width="9.140625" customWidth="true" style="12"/>
    <col min="114" max="114" width="9.140625" customWidth="true" style="12"/>
    <col min="115" max="115" width="9.140625" customWidth="true" style="12"/>
    <col min="116" max="116" width="9.140625" customWidth="true" style="12"/>
    <col min="117" max="117" width="9.140625" customWidth="true" style="12"/>
    <col min="118" max="118" width="9.140625" customWidth="true" style="12"/>
    <col min="119" max="119" width="9.140625" customWidth="true" style="12"/>
    <col min="120" max="120" width="9.140625" customWidth="true" style="12"/>
    <col min="121" max="121" width="9.140625" customWidth="true" style="12"/>
    <col min="122" max="122" width="9.140625" customWidth="true" style="12"/>
    <col min="123" max="123" width="9.140625" customWidth="true" style="12"/>
    <col min="124" max="124" width="9.140625" customWidth="true" style="12"/>
    <col min="125" max="125" width="9.140625" customWidth="true" style="12"/>
    <col min="126" max="126" width="9.140625" customWidth="true" style="12"/>
    <col min="127" max="127" width="9.140625" customWidth="true" style="12"/>
    <col min="128" max="128" width="9.140625" customWidth="true" style="12"/>
    <col min="129" max="129" width="9.140625" customWidth="true" style="12"/>
    <col min="130" max="130" width="9.140625" customWidth="true" style="12"/>
    <col min="131" max="131" width="9.140625" customWidth="true" style="12"/>
    <col min="132" max="132" width="9.140625" customWidth="true" style="12"/>
    <col min="133" max="133" width="9.140625" customWidth="true" style="12"/>
    <col min="134" max="134" width="9.140625" customWidth="true" style="12"/>
    <col min="135" max="135" width="9.140625" customWidth="true" style="12"/>
    <col min="136" max="136" width="9.140625" customWidth="true" style="12"/>
    <col min="137" max="137" width="9.140625" customWidth="true" style="12"/>
    <col min="138" max="138" width="9.140625" customWidth="true" style="12"/>
    <col min="139" max="139" width="9.140625" customWidth="true" style="12"/>
    <col min="140" max="140" width="9.140625" customWidth="true" style="12"/>
    <col min="141" max="141" width="9.140625" customWidth="true" style="12"/>
    <col min="142" max="142" width="9.140625" customWidth="true" style="12"/>
    <col min="143" max="143" width="9.140625" customWidth="true" style="12"/>
    <col min="144" max="144" width="9.140625" customWidth="true" style="12"/>
    <col min="145" max="145" width="9.140625" customWidth="true" style="12"/>
    <col min="146" max="146" width="9.140625" customWidth="true" style="12"/>
    <col min="147" max="147" width="9.140625" customWidth="true" style="12"/>
    <col min="148" max="148" width="9.140625" customWidth="true" style="12"/>
    <col min="149" max="149" width="9.140625" customWidth="true" style="12"/>
    <col min="150" max="150" width="9.140625" customWidth="true" style="12"/>
    <col min="151" max="151" width="9.140625" customWidth="true" style="12"/>
    <col min="152" max="152" width="9.140625" customWidth="true" style="12"/>
    <col min="153" max="153" width="9.140625" customWidth="true" style="12"/>
    <col min="154" max="154" width="9.140625" customWidth="true" style="12"/>
    <col min="155" max="155" width="9.140625" customWidth="true" style="12"/>
    <col min="156" max="156" width="9.140625" customWidth="true" style="12"/>
    <col min="157" max="157" width="9.140625" customWidth="true" style="12"/>
    <col min="158" max="158" width="9.140625" customWidth="true" style="12"/>
    <col min="159" max="159" width="9.140625" customWidth="true" style="12"/>
    <col min="160" max="160" width="9.140625" customWidth="true" style="12"/>
    <col min="161" max="161" width="9.140625" customWidth="true" style="12"/>
    <col min="162" max="162" width="9.140625" customWidth="true" style="12"/>
    <col min="163" max="163" width="9.140625" customWidth="true" style="12"/>
    <col min="164" max="164" width="9.140625" customWidth="true" style="12"/>
    <col min="165" max="165" width="9.140625" customWidth="true" style="12"/>
    <col min="166" max="166" width="9.140625" customWidth="true" style="12"/>
    <col min="167" max="167" width="9.140625" customWidth="true" style="12"/>
    <col min="168" max="168" width="9.140625" customWidth="true" style="12"/>
    <col min="169" max="169" width="9.140625" customWidth="true" style="12"/>
    <col min="170" max="170" width="9.140625" customWidth="true" style="12"/>
    <col min="171" max="171" width="9.140625" customWidth="true" style="12"/>
    <col min="172" max="172" width="9.140625" customWidth="true" style="12"/>
    <col min="173" max="173" width="9.140625" customWidth="true" style="12"/>
    <col min="174" max="174" width="9.140625" customWidth="true" style="12"/>
    <col min="175" max="175" width="9.140625" customWidth="true" style="12"/>
    <col min="176" max="176" width="9.140625" customWidth="true" style="12"/>
    <col min="177" max="177" width="9.140625" customWidth="true" style="12"/>
    <col min="178" max="178" width="9.140625" customWidth="true" style="12"/>
    <col min="179" max="179" width="9.140625" customWidth="true" style="12"/>
    <col min="180" max="180" width="9.140625" customWidth="true" style="12"/>
    <col min="181" max="181" width="9.140625" customWidth="true" style="12"/>
    <col min="182" max="182" width="9.140625" customWidth="true" style="12"/>
    <col min="183" max="183" width="9.140625" customWidth="true" style="12"/>
    <col min="184" max="184" width="9.140625" customWidth="true" style="12"/>
    <col min="185" max="185" width="9.140625" customWidth="true" style="12"/>
    <col min="186" max="186" width="9.140625" customWidth="true" style="12"/>
    <col min="187" max="187" width="9.140625" customWidth="true" style="12"/>
    <col min="188" max="188" width="9.140625" customWidth="true" style="12"/>
    <col min="189" max="189" width="9.140625" customWidth="true" style="12"/>
    <col min="190" max="190" width="9.140625" customWidth="true" style="12"/>
    <col min="191" max="191" width="9.140625" customWidth="true" style="12"/>
    <col min="192" max="192" width="9.140625" customWidth="true" style="12"/>
    <col min="193" max="193" width="9.140625" customWidth="true" style="12"/>
    <col min="194" max="194" width="9.140625" customWidth="true" style="12"/>
    <col min="195" max="195" width="9.140625" customWidth="true" style="12"/>
    <col min="196" max="196" width="9.140625" customWidth="true" style="12"/>
    <col min="197" max="197" width="9.140625" customWidth="true" style="12"/>
    <col min="198" max="198" width="9.140625" customWidth="true" style="12"/>
    <col min="199" max="199" width="9.140625" customWidth="true" style="12"/>
    <col min="200" max="200" width="9.140625" customWidth="true" style="12"/>
    <col min="201" max="201" width="9.140625" customWidth="true" style="12"/>
    <col min="202" max="202" width="9.140625" customWidth="true" style="12"/>
    <col min="203" max="203" width="9.140625" customWidth="true" style="12"/>
    <col min="204" max="204" width="9.140625" customWidth="true" style="12"/>
    <col min="205" max="205" width="9.140625" customWidth="true" style="12"/>
    <col min="206" max="206" width="9.140625" customWidth="true" style="12"/>
    <col min="207" max="207" width="9.140625" customWidth="true" style="12"/>
    <col min="208" max="208" width="9.140625" customWidth="true" style="12"/>
    <col min="209" max="209" width="9.140625" customWidth="true" style="12"/>
    <col min="210" max="210" width="9.140625" customWidth="true" style="12"/>
    <col min="211" max="211" width="9.140625" customWidth="true" style="12"/>
    <col min="212" max="212" width="9.140625" customWidth="true" style="12"/>
    <col min="213" max="213" width="9.140625" customWidth="true" style="12"/>
    <col min="214" max="214" width="9.140625" customWidth="true" style="12"/>
    <col min="215" max="215" width="9.140625" customWidth="true" style="12"/>
    <col min="216" max="216" width="9.140625" customWidth="true" style="12"/>
    <col min="217" max="217" width="9.140625" customWidth="true" style="12"/>
    <col min="218" max="218" width="9.140625" customWidth="true" style="12"/>
    <col min="219" max="219" width="9.140625" customWidth="true" style="12"/>
    <col min="220" max="220" width="9.140625" customWidth="true" style="12"/>
    <col min="221" max="221" width="9.140625" customWidth="true" style="12"/>
    <col min="222" max="222" width="9.140625" customWidth="true" style="12"/>
    <col min="223" max="223" width="9.140625" customWidth="true" style="12"/>
    <col min="224" max="224" width="9.140625" customWidth="true" style="12"/>
    <col min="225" max="225" width="9.140625" customWidth="true" style="12"/>
    <col min="226" max="226" width="9.140625" customWidth="true" style="12"/>
    <col min="227" max="227" width="9.140625" customWidth="true" style="12"/>
    <col min="228" max="228" width="9.140625" customWidth="true" style="12"/>
    <col min="229" max="229" width="9.140625" customWidth="true" style="12"/>
    <col min="230" max="230" width="9.140625" customWidth="true" style="12"/>
    <col min="231" max="231" width="9.140625" customWidth="true" style="12"/>
    <col min="232" max="232" width="9.140625" customWidth="true" style="12"/>
    <col min="233" max="233" width="9.140625" customWidth="true" style="12"/>
    <col min="234" max="234" width="9.140625" customWidth="true" style="12"/>
    <col min="235" max="235" width="9.140625" customWidth="true" style="12"/>
    <col min="236" max="236" width="9.140625" customWidth="true" style="12"/>
    <col min="237" max="237" width="9.140625" customWidth="true" style="12"/>
    <col min="238" max="238" width="9.140625" customWidth="true" style="12"/>
    <col min="239" max="239" width="9.140625" customWidth="true" style="12"/>
    <col min="240" max="240" width="9.140625" customWidth="true" style="12"/>
    <col min="241" max="241" width="9.140625" customWidth="true" style="12"/>
    <col min="242" max="242" width="9.140625" customWidth="true" style="12"/>
    <col min="243" max="243" width="9.140625" customWidth="true" style="12"/>
    <col min="244" max="244" width="9.140625" customWidth="true" style="12"/>
    <col min="245" max="245" width="9.140625" customWidth="true" style="12"/>
    <col min="246" max="246" width="9.140625" customWidth="true" style="12"/>
    <col min="247" max="247" width="9.140625" customWidth="true" style="12"/>
    <col min="248" max="248" width="9.140625" customWidth="true" style="12"/>
    <col min="249" max="249" width="9.140625" customWidth="true" style="12"/>
    <col min="250" max="250" width="9.140625" customWidth="true" style="12"/>
    <col min="251" max="251" width="9.140625" customWidth="true" style="12"/>
    <col min="252" max="252" width="9.140625" customWidth="true" style="12"/>
    <col min="253" max="253" width="9.140625" customWidth="true" style="12"/>
    <col min="254" max="254" width="9.140625" customWidth="true" style="12"/>
    <col min="255" max="255" width="9.140625" customWidth="true" style="12"/>
    <col min="256" max="256" width="9.140625" customWidth="true" style="12"/>
    <col min="257" max="257" width="11.42578125" style="12"/>
  </cols>
  <sheetData>
    <row r="1" spans="1:257" customHeight="1" ht="45">
      <c r="A1" s="221" t="s">
        <v>110</v>
      </c>
      <c r="B1" s="222"/>
      <c r="C1" s="222"/>
      <c r="D1" s="222"/>
      <c r="E1" s="222"/>
    </row>
    <row r="4" spans="1:257" customHeight="1" ht="31.5">
      <c r="B4" s="92" t="s">
        <v>111</v>
      </c>
      <c r="C4" s="92" t="s">
        <v>24</v>
      </c>
      <c r="D4" s="92" t="s">
        <v>112</v>
      </c>
      <c r="E4" s="92" t="s">
        <v>22</v>
      </c>
    </row>
    <row r="5" spans="1:257" customHeight="1" ht="30">
      <c r="A5" s="13" t="s">
        <v>113</v>
      </c>
      <c r="B5" s="95">
        <f>'Cow req'!C4</f>
        <v>550</v>
      </c>
      <c r="C5" s="95">
        <f>'Cow req'!C5</f>
        <v>0</v>
      </c>
      <c r="D5" s="95">
        <f>'Cow req'!C9</f>
        <v>12</v>
      </c>
      <c r="E5" s="95" t="str">
        <f>'Cow req'!B13</f>
        <v>Early lactation</v>
      </c>
    </row>
    <row r="7" spans="1:257" customHeight="1" ht="31.5">
      <c r="B7" s="92" t="s">
        <v>114</v>
      </c>
      <c r="C7" s="92" t="s">
        <v>115</v>
      </c>
      <c r="D7" s="92" t="s">
        <v>116</v>
      </c>
      <c r="E7" s="92" t="s">
        <v>117</v>
      </c>
      <c r="F7" s="92" t="s">
        <v>118</v>
      </c>
      <c r="G7" s="92" t="s">
        <v>119</v>
      </c>
    </row>
    <row r="8" spans="1:257" customHeight="1" ht="30">
      <c r="A8" s="13" t="s">
        <v>120</v>
      </c>
      <c r="B8" s="171">
        <f>'Ration form'!H37</f>
        <v>19.25</v>
      </c>
      <c r="C8" s="171">
        <f>'Cow req'!$D$10</f>
        <v>711</v>
      </c>
      <c r="D8" s="172">
        <f>'Cow req'!$D$13*100</f>
        <v>1700</v>
      </c>
      <c r="E8" s="173">
        <f>'Cow req'!$D$16</f>
        <v>0.3</v>
      </c>
      <c r="F8" s="174">
        <f>'Cow req'!D19*'Ration form'!H37*1000</f>
        <v>154</v>
      </c>
      <c r="G8" s="174">
        <f>'Cow req'!D22*'Ration form'!H37*1000</f>
        <v>77</v>
      </c>
    </row>
    <row r="9" spans="1:257" customHeight="1" ht="30">
      <c r="A9" s="13" t="s">
        <v>121</v>
      </c>
      <c r="B9" s="175">
        <f>'Ration form'!E33</f>
        <v>27.6922</v>
      </c>
      <c r="C9" s="176">
        <f>'Ration form'!F33</f>
        <v>287.592504</v>
      </c>
      <c r="D9" s="177">
        <f>'Ration form'!G34</f>
        <v>0.16185619055185</v>
      </c>
      <c r="E9" s="177">
        <f>'Ration form'!H34</f>
        <v>0.43681960985404</v>
      </c>
      <c r="F9" s="175">
        <f>'Ration form'!I33</f>
        <v>75.6356</v>
      </c>
      <c r="G9" s="175">
        <f>'Ration form'!J33</f>
        <v>108.62314</v>
      </c>
    </row>
    <row r="10" spans="1:257" customHeight="1" ht="15.75">
      <c r="A10" s="13"/>
      <c r="B10" s="11"/>
      <c r="C10" s="11"/>
      <c r="D10" s="11"/>
      <c r="E10" s="11"/>
      <c r="F10" s="12" t="s">
        <v>122</v>
      </c>
    </row>
    <row r="11" spans="1:257" customHeight="1" ht="31.5">
      <c r="A11" s="13"/>
      <c r="B11" s="92" t="s">
        <v>123</v>
      </c>
      <c r="C11" s="92" t="s">
        <v>124</v>
      </c>
      <c r="D11" s="92" t="s">
        <v>125</v>
      </c>
      <c r="E11" s="92" t="s">
        <v>126</v>
      </c>
    </row>
    <row r="12" spans="1:257" customHeight="1" ht="30">
      <c r="A12" s="93" t="s">
        <v>45</v>
      </c>
      <c r="B12" s="104">
        <f>'Cow req'!C6</f>
        <v>25</v>
      </c>
      <c r="C12" s="95" t="str">
        <f>'Cow req'!C7&amp;"% and "&amp;'Cow req'!C8&amp;"%"</f>
        <v>3.5% and 3%</v>
      </c>
      <c r="D12" s="96">
        <v>40</v>
      </c>
      <c r="E12" s="94">
        <f>B12*D12</f>
        <v>1000</v>
      </c>
    </row>
    <row r="13" spans="1:257" customHeight="1" ht="15.75">
      <c r="A13" s="13"/>
      <c r="E13" s="12" t="s">
        <v>53</v>
      </c>
    </row>
    <row r="14" spans="1:257" customHeight="1" ht="30">
      <c r="A14" s="13" t="s">
        <v>127</v>
      </c>
      <c r="E14" s="198">
        <f>'Ration form'!N33</f>
        <v>503.1</v>
      </c>
    </row>
    <row r="15" spans="1:257" customHeight="1" ht="15.75">
      <c r="A15" s="13"/>
    </row>
    <row r="16" spans="1:257" customHeight="1" ht="30">
      <c r="D16" s="97" t="s">
        <v>128</v>
      </c>
      <c r="E16" s="94">
        <f>E12-E14</f>
        <v>496.9</v>
      </c>
    </row>
    <row r="18" spans="1:257">
      <c r="A18" s="206" t="s">
        <v>129</v>
      </c>
    </row>
  </sheetData>
  <mergeCells>
    <mergeCell ref="A1:E1"/>
  </mergeCells>
  <printOptions gridLines="false" gridLinesSet="true"/>
  <pageMargins left="0.7" right="0.7" top="0.787401575" bottom="0.787401575" header="0.3" footer="0.3"/>
  <pageSetup paperSize="9" orientation="landscape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 codeName="Sheet6">
    <outlinePr summaryBelow="1" summaryRight="1"/>
  </sheetPr>
  <dimension ref="A1:Y32"/>
  <sheetViews>
    <sheetView tabSelected="1" workbookViewId="0" zoomScale="80" zoomScaleNormal="80" showGridLines="false" showRowColHeaders="1" topLeftCell="A4">
      <selection activeCell="O32" sqref="O32"/>
    </sheetView>
  </sheetViews>
  <sheetFormatPr defaultRowHeight="14.4" defaultColWidth="9.140625" outlineLevelRow="0" outlineLevelCol="0"/>
  <cols>
    <col min="1" max="1" width="4.140625" customWidth="true" style="3"/>
    <col min="2" max="2" width="38.85546875" customWidth="true" style="2"/>
    <col min="3" max="3" width="17.42578125" customWidth="true" style="2"/>
    <col min="4" max="4" width="11.28515625" customWidth="true" style="2"/>
    <col min="5" max="5" width="17.7109375" customWidth="true" style="2"/>
    <col min="6" max="6" width="11.42578125" customWidth="true" style="2"/>
    <col min="7" max="7" width="14.7109375" customWidth="true" style="2"/>
    <col min="8" max="8" width="12" customWidth="true" style="2"/>
    <col min="9" max="9" width="16.42578125" customWidth="true" style="2"/>
    <col min="10" max="10" width="11.140625" customWidth="true" style="2"/>
    <col min="11" max="11" width="14" customWidth="true" style="2"/>
    <col min="12" max="12" width="15" customWidth="true" style="2"/>
    <col min="13" max="13" width="14.85546875" customWidth="true" style="2"/>
    <col min="14" max="14" width="12.42578125" customWidth="true" style="2"/>
    <col min="15" max="15" width="11.140625" customWidth="true" style="2"/>
    <col min="16" max="16" width="15.7109375" customWidth="true" style="2"/>
    <col min="17" max="17" width="16.42578125" customWidth="true" style="2"/>
    <col min="18" max="18" width="9.140625" style="2"/>
  </cols>
  <sheetData>
    <row r="1" spans="1:25" customHeight="1" ht="15.75" s="1" customFormat="1">
      <c r="A1" s="223" t="s">
        <v>130</v>
      </c>
      <c r="B1" s="223"/>
      <c r="C1" s="223"/>
      <c r="D1" s="223"/>
      <c r="E1" s="223"/>
      <c r="F1" s="223"/>
      <c r="G1" s="223"/>
      <c r="H1" s="223"/>
      <c r="I1" s="223"/>
      <c r="J1" s="223"/>
      <c r="K1" s="223"/>
    </row>
    <row r="2" spans="1:25" customHeight="1" ht="15.75">
      <c r="A2" s="11"/>
      <c r="B2" s="12"/>
      <c r="C2" s="12"/>
      <c r="D2" s="12"/>
      <c r="E2" s="13"/>
      <c r="F2" s="12"/>
      <c r="G2" s="12"/>
      <c r="H2" s="12"/>
      <c r="I2" s="13"/>
      <c r="J2" s="12"/>
      <c r="K2" s="12"/>
      <c r="L2" s="207"/>
      <c r="M2" s="207"/>
      <c r="N2" s="207"/>
      <c r="O2" s="207"/>
      <c r="P2" s="207"/>
      <c r="Q2" s="207"/>
      <c r="R2" s="207"/>
      <c r="S2" s="207"/>
      <c r="T2" s="207"/>
      <c r="U2" s="207"/>
      <c r="V2" s="207"/>
      <c r="W2" s="207"/>
      <c r="X2" s="207"/>
      <c r="Y2" s="207"/>
    </row>
    <row r="3" spans="1:25" customHeight="1" ht="15.75" s="3" customFormat="1">
      <c r="A3" s="11"/>
      <c r="B3" s="208" t="s">
        <v>5</v>
      </c>
      <c r="C3" s="14" t="s">
        <v>131</v>
      </c>
      <c r="D3" s="15" t="s">
        <v>132</v>
      </c>
      <c r="E3" s="16" t="s">
        <v>133</v>
      </c>
      <c r="F3" s="15" t="s">
        <v>134</v>
      </c>
      <c r="G3" s="17" t="s">
        <v>135</v>
      </c>
      <c r="H3" s="15" t="s">
        <v>136</v>
      </c>
      <c r="I3" s="16" t="s">
        <v>137</v>
      </c>
      <c r="J3" s="15" t="s">
        <v>138</v>
      </c>
      <c r="K3" s="17" t="s">
        <v>139</v>
      </c>
      <c r="L3" s="15" t="s">
        <v>138</v>
      </c>
      <c r="M3" s="17" t="s">
        <v>139</v>
      </c>
      <c r="N3" s="15" t="s">
        <v>138</v>
      </c>
      <c r="O3" s="17" t="s">
        <v>139</v>
      </c>
      <c r="P3" s="15"/>
      <c r="Q3" s="17"/>
      <c r="R3" s="209"/>
      <c r="S3" s="209"/>
      <c r="T3" s="209"/>
      <c r="U3" s="209"/>
      <c r="V3" s="209"/>
      <c r="W3" s="209"/>
      <c r="X3" s="209"/>
      <c r="Y3" s="209"/>
    </row>
    <row r="4" spans="1:25" customHeight="1" ht="31.5">
      <c r="A4" s="12"/>
      <c r="B4" s="11" t="s">
        <v>140</v>
      </c>
      <c r="C4" s="18" t="s">
        <v>141</v>
      </c>
      <c r="D4" s="19" t="s">
        <v>142</v>
      </c>
      <c r="E4" s="20" t="s">
        <v>143</v>
      </c>
      <c r="F4" s="19" t="s">
        <v>144</v>
      </c>
      <c r="G4" s="20" t="s">
        <v>145</v>
      </c>
      <c r="H4" s="19" t="s">
        <v>146</v>
      </c>
      <c r="I4" s="20" t="s">
        <v>147</v>
      </c>
      <c r="J4" s="19" t="s">
        <v>148</v>
      </c>
      <c r="K4" s="20" t="s">
        <v>149</v>
      </c>
      <c r="L4" s="19" t="s">
        <v>150</v>
      </c>
      <c r="M4" s="20" t="s">
        <v>151</v>
      </c>
      <c r="N4" s="19" t="s">
        <v>152</v>
      </c>
      <c r="O4" s="20" t="s">
        <v>153</v>
      </c>
      <c r="P4" s="19" t="s">
        <v>154</v>
      </c>
      <c r="Q4" s="20" t="s">
        <v>155</v>
      </c>
      <c r="R4" s="207"/>
      <c r="S4" s="207"/>
      <c r="T4" s="207"/>
      <c r="U4" s="207"/>
      <c r="V4" s="207"/>
      <c r="W4" s="4"/>
      <c r="X4" s="4"/>
      <c r="Y4" s="207"/>
    </row>
    <row r="5" spans="1:25" customHeight="1" ht="30" s="5" customFormat="1">
      <c r="A5" s="11"/>
      <c r="B5" s="21" t="s">
        <v>156</v>
      </c>
      <c r="C5" s="22" t="s">
        <v>157</v>
      </c>
      <c r="D5" s="21" t="s">
        <v>158</v>
      </c>
      <c r="E5" s="23" t="s">
        <v>159</v>
      </c>
      <c r="F5" s="21" t="s">
        <v>160</v>
      </c>
      <c r="G5" s="24" t="s">
        <v>161</v>
      </c>
      <c r="H5" s="25" t="s">
        <v>158</v>
      </c>
      <c r="I5" s="23" t="s">
        <v>162</v>
      </c>
      <c r="J5" s="25" t="s">
        <v>158</v>
      </c>
      <c r="K5" s="23" t="s">
        <v>163</v>
      </c>
      <c r="L5" s="25" t="s">
        <v>164</v>
      </c>
      <c r="M5" s="23" t="s">
        <v>165</v>
      </c>
      <c r="N5" s="25" t="s">
        <v>164</v>
      </c>
      <c r="O5" s="23" t="s">
        <v>166</v>
      </c>
      <c r="P5" s="21" t="s">
        <v>167</v>
      </c>
      <c r="Q5" s="24" t="s">
        <v>167</v>
      </c>
      <c r="R5" s="210"/>
      <c r="S5" s="210"/>
      <c r="T5" s="210"/>
      <c r="U5" s="210"/>
      <c r="V5" s="210"/>
      <c r="W5" s="6"/>
      <c r="X5" s="6"/>
      <c r="Y5" s="210"/>
    </row>
    <row r="6" spans="1:25" customHeight="1" ht="16.5">
      <c r="A6" s="26" t="s">
        <v>61</v>
      </c>
      <c r="B6" s="27" t="s">
        <v>168</v>
      </c>
      <c r="C6" s="28"/>
      <c r="D6" s="29"/>
      <c r="E6" s="98" t="s">
        <v>169</v>
      </c>
      <c r="F6" s="29"/>
      <c r="G6" s="99" t="s">
        <v>170</v>
      </c>
      <c r="H6" s="30"/>
      <c r="I6" s="99" t="s">
        <v>171</v>
      </c>
      <c r="J6" s="30"/>
      <c r="K6" s="99" t="s">
        <v>172</v>
      </c>
      <c r="L6" s="30"/>
      <c r="M6" s="99" t="s">
        <v>172</v>
      </c>
      <c r="N6" s="30"/>
      <c r="O6" s="99" t="s">
        <v>172</v>
      </c>
      <c r="P6" s="30"/>
      <c r="Q6" s="99"/>
      <c r="R6" s="207"/>
      <c r="S6" s="207"/>
      <c r="T6" s="207"/>
      <c r="U6" s="207"/>
      <c r="V6" s="207"/>
      <c r="W6" s="4"/>
      <c r="X6" s="4"/>
      <c r="Y6" s="207"/>
    </row>
    <row r="7" spans="1:25" customHeight="1" ht="17.25">
      <c r="A7" s="31">
        <f>ROW()-6</f>
        <v>1</v>
      </c>
      <c r="B7" s="32" t="s">
        <v>75</v>
      </c>
      <c r="C7" s="116">
        <v>5</v>
      </c>
      <c r="D7" s="89">
        <v>89</v>
      </c>
      <c r="E7" s="108">
        <f>IF(C7="",0,IF(D7=0,0,C7/D7*100))</f>
        <v>5.6179775280899</v>
      </c>
      <c r="F7" s="89">
        <v>12.28</v>
      </c>
      <c r="G7" s="109">
        <f>IF(F7="",0,IF(F7=0,0,E7/F7))</f>
        <v>0.45749002671742</v>
      </c>
      <c r="H7" s="89">
        <v>20</v>
      </c>
      <c r="I7" s="109">
        <f>IF(H7="",0,IF(H7=0,0,E7/H7))</f>
        <v>0.28089887640449</v>
      </c>
      <c r="J7" s="89">
        <v>48</v>
      </c>
      <c r="K7" s="108">
        <f>IF(J7="",0,IF(J7=0,0,E7/J7))</f>
        <v>0.11704119850187</v>
      </c>
      <c r="L7" s="201">
        <v>0.2</v>
      </c>
      <c r="M7" s="108">
        <f>IF(L7="",0,IF(L7=0,0,E7/L7))</f>
        <v>28.089887640449</v>
      </c>
      <c r="N7" s="201">
        <v>0.25</v>
      </c>
      <c r="O7" s="108">
        <f>IF(N7="",0,IF(N7=0,0,E7/N7))</f>
        <v>22.47191011236</v>
      </c>
      <c r="P7" s="89">
        <v>89</v>
      </c>
      <c r="Q7" s="122">
        <v>0</v>
      </c>
      <c r="R7" s="207"/>
      <c r="S7" s="207"/>
      <c r="T7" s="207"/>
      <c r="U7" s="207"/>
      <c r="V7" s="207"/>
      <c r="W7" s="4"/>
      <c r="X7" s="4"/>
      <c r="Y7" s="207"/>
    </row>
    <row r="8" spans="1:25" customHeight="1" ht="17.25">
      <c r="A8" s="31">
        <f>ROW()-6</f>
        <v>2</v>
      </c>
      <c r="B8" s="111" t="s">
        <v>76</v>
      </c>
      <c r="C8" s="113">
        <v>0</v>
      </c>
      <c r="D8" s="112">
        <v>20</v>
      </c>
      <c r="E8" s="108">
        <f>IF(C8="",0,IF(D8=0,0,C8/D8*100))</f>
        <v>0</v>
      </c>
      <c r="F8" s="112">
        <v>9.3</v>
      </c>
      <c r="G8" s="109">
        <f>IF(F8="",0,IF(F8=0,0,E8/F8))</f>
        <v>0</v>
      </c>
      <c r="H8" s="112">
        <v>12</v>
      </c>
      <c r="I8" s="109">
        <f>IF(H8="",0,IF(H8=0,0,E8/H8))</f>
        <v>0</v>
      </c>
      <c r="J8" s="112">
        <v>56</v>
      </c>
      <c r="K8" s="108">
        <f>IF(J8="",0,IF(J8=0,0,E8/J8))</f>
        <v>0</v>
      </c>
      <c r="L8" s="146">
        <v>0.29</v>
      </c>
      <c r="M8" s="108">
        <f>IF(L8="",0,IF(L8=0,0,E8/L8))</f>
        <v>0</v>
      </c>
      <c r="N8" s="146">
        <v>0.24</v>
      </c>
      <c r="O8" s="108">
        <f>IF(N8="",0,IF(N8=0,0,E8/N8))</f>
        <v>0</v>
      </c>
      <c r="P8" s="112">
        <v>0</v>
      </c>
      <c r="Q8" s="119">
        <v>20</v>
      </c>
      <c r="R8" s="207"/>
      <c r="S8" s="207"/>
      <c r="T8" s="207"/>
      <c r="U8" s="207"/>
      <c r="V8" s="207"/>
      <c r="W8" s="4"/>
      <c r="X8" s="4"/>
      <c r="Y8" s="207"/>
    </row>
    <row r="9" spans="1:25" customHeight="1" ht="17.25">
      <c r="A9" s="31">
        <f>ROW()-6</f>
        <v>3</v>
      </c>
      <c r="B9" s="33" t="s">
        <v>77</v>
      </c>
      <c r="C9" s="114">
        <v>7</v>
      </c>
      <c r="D9" s="90">
        <v>32</v>
      </c>
      <c r="E9" s="108">
        <f>IF(C9="",0,IF(D9=0,0,C9/D9*100))</f>
        <v>21.875</v>
      </c>
      <c r="F9" s="90">
        <v>10.8</v>
      </c>
      <c r="G9" s="109">
        <f>IF(F9="",0,IF(F9=0,0,E9/F9))</f>
        <v>2.025462962963</v>
      </c>
      <c r="H9" s="90">
        <v>7.5</v>
      </c>
      <c r="I9" s="109">
        <f>IF(H9="",0,IF(H9=0,0,E9/H9))</f>
        <v>2.9166666666667</v>
      </c>
      <c r="J9" s="90">
        <v>45</v>
      </c>
      <c r="K9" s="108">
        <f>IF(J9="",0,IF(J9=0,0,E9/J9))</f>
        <v>0.48611111111111</v>
      </c>
      <c r="L9" s="117">
        <v>0.22</v>
      </c>
      <c r="M9" s="108">
        <f>IF(L9="",0,IF(L9=0,0,E9/L9))</f>
        <v>99.431818181818</v>
      </c>
      <c r="N9" s="117">
        <v>0.26</v>
      </c>
      <c r="O9" s="108">
        <f>IF(N9="",0,IF(N9=0,0,E9/N9))</f>
        <v>84.134615384615</v>
      </c>
      <c r="P9" s="90">
        <v>0</v>
      </c>
      <c r="Q9" s="120">
        <v>32</v>
      </c>
      <c r="R9" s="207"/>
      <c r="S9" s="207"/>
      <c r="T9" s="207"/>
      <c r="U9" s="207"/>
      <c r="V9" s="207"/>
      <c r="W9" s="4"/>
      <c r="X9" s="4"/>
      <c r="Y9" s="207"/>
    </row>
    <row r="10" spans="1:25" customHeight="1" ht="17.25">
      <c r="A10" s="31">
        <f>ROW()-6</f>
        <v>4</v>
      </c>
      <c r="B10" s="33" t="s">
        <v>78</v>
      </c>
      <c r="C10" s="114">
        <v>29</v>
      </c>
      <c r="D10" s="90">
        <v>89</v>
      </c>
      <c r="E10" s="108">
        <f>IF(C10="",0,IF(D10=0,0,C10/D10*100))</f>
        <v>32.584269662921</v>
      </c>
      <c r="F10" s="90">
        <v>8.19</v>
      </c>
      <c r="G10" s="109">
        <f>IF(F10="",0,IF(F10=0,0,E10/F10))</f>
        <v>3.978543304386</v>
      </c>
      <c r="H10" s="90">
        <v>24</v>
      </c>
      <c r="I10" s="109">
        <f>IF(H10="",0,IF(H10=0,0,E10/H10))</f>
        <v>1.3576779026217</v>
      </c>
      <c r="J10" s="90">
        <v>32</v>
      </c>
      <c r="K10" s="108">
        <f>IF(J10="",0,IF(J10=0,0,E10/J10))</f>
        <v>1.0182584269663</v>
      </c>
      <c r="L10" s="117">
        <v>0.16</v>
      </c>
      <c r="M10" s="108">
        <f>IF(L10="",0,IF(L10=0,0,E10/L10))</f>
        <v>203.65168539326</v>
      </c>
      <c r="N10" s="117">
        <v>0.95</v>
      </c>
      <c r="O10" s="108">
        <f>IF(N10="",0,IF(N10=0,0,E10/N10))</f>
        <v>34.299231224128</v>
      </c>
      <c r="P10" s="90">
        <v>89</v>
      </c>
      <c r="Q10" s="120"/>
      <c r="R10" s="207"/>
      <c r="S10" s="207"/>
      <c r="T10" s="207"/>
      <c r="U10" s="207"/>
      <c r="V10" s="207"/>
      <c r="W10" s="4"/>
      <c r="X10" s="4"/>
      <c r="Y10" s="207"/>
    </row>
    <row r="11" spans="1:25" customHeight="1" ht="17.25">
      <c r="A11" s="31">
        <f>ROW()-6</f>
        <v>5</v>
      </c>
      <c r="B11" s="33" t="s">
        <v>79</v>
      </c>
      <c r="C11" s="114">
        <v>39</v>
      </c>
      <c r="D11" s="90">
        <v>88</v>
      </c>
      <c r="E11" s="108">
        <f>IF(C11="",0,IF(D11=0,0,C11/D11*100))</f>
        <v>44.318181818182</v>
      </c>
      <c r="F11" s="90">
        <v>7</v>
      </c>
      <c r="G11" s="109">
        <f>IF(F11="",0,IF(F11=0,0,E11/F11))</f>
        <v>6.3311688311688</v>
      </c>
      <c r="H11" s="90">
        <v>22</v>
      </c>
      <c r="I11" s="109">
        <f>IF(H11="",0,IF(H11=0,0,E11/H11))</f>
        <v>2.0144628099174</v>
      </c>
      <c r="J11" s="90">
        <v>22</v>
      </c>
      <c r="K11" s="108">
        <f>IF(J11="",0,IF(J11=0,0,E11/J11))</f>
        <v>2.0144628099174</v>
      </c>
      <c r="L11" s="117">
        <v>0.15</v>
      </c>
      <c r="M11" s="108">
        <f>IF(L11="",0,IF(L11=0,0,E11/L11))</f>
        <v>295.45454545455</v>
      </c>
      <c r="N11" s="117">
        <v>0.7</v>
      </c>
      <c r="O11" s="108">
        <f>IF(N11="",0,IF(N11=0,0,E11/N11))</f>
        <v>63.311688311688</v>
      </c>
      <c r="P11" s="90">
        <v>88</v>
      </c>
      <c r="Q11" s="120"/>
      <c r="R11" s="207"/>
      <c r="S11" s="207"/>
      <c r="T11" s="207"/>
      <c r="U11" s="207"/>
      <c r="V11" s="207"/>
      <c r="W11" s="4"/>
      <c r="X11" s="4"/>
      <c r="Y11" s="207"/>
    </row>
    <row r="12" spans="1:25" customHeight="1" ht="17.25">
      <c r="A12" s="31">
        <f>ROW()-6</f>
        <v>6</v>
      </c>
      <c r="B12" s="33" t="s">
        <v>80</v>
      </c>
      <c r="C12" s="114">
        <v>27</v>
      </c>
      <c r="D12" s="90">
        <v>89</v>
      </c>
      <c r="E12" s="108">
        <f>IF(C12="",0,IF(D12=0,0,C12/D12*100))</f>
        <v>30.337078651685</v>
      </c>
      <c r="F12" s="90">
        <v>9.68</v>
      </c>
      <c r="G12" s="109">
        <f>IF(F12="",0,IF(F12=0,0,E12/F12))</f>
        <v>3.1339957284799</v>
      </c>
      <c r="H12" s="90">
        <v>32</v>
      </c>
      <c r="I12" s="109">
        <f>IF(H12="",0,IF(H12=0,0,E12/H12))</f>
        <v>0.94803370786517</v>
      </c>
      <c r="J12" s="90">
        <v>25</v>
      </c>
      <c r="K12" s="108">
        <f>IF(J12="",0,IF(J12=0,0,E12/J12))</f>
        <v>1.2134831460674</v>
      </c>
      <c r="L12" s="117">
        <v>0.84</v>
      </c>
      <c r="M12" s="108">
        <f>IF(L12="",0,IF(L12=0,0,E12/L12))</f>
        <v>36.115569823435</v>
      </c>
      <c r="N12" s="117">
        <v>1.1</v>
      </c>
      <c r="O12" s="108">
        <f>IF(N12="",0,IF(N12=0,0,E12/N12))</f>
        <v>27.579162410623</v>
      </c>
      <c r="P12" s="90">
        <v>89</v>
      </c>
      <c r="Q12" s="120"/>
      <c r="R12" s="207"/>
      <c r="S12" s="207"/>
      <c r="T12" s="207"/>
      <c r="U12" s="207"/>
      <c r="V12" s="207"/>
      <c r="W12" s="4"/>
      <c r="X12" s="4"/>
      <c r="Y12" s="207"/>
    </row>
    <row r="13" spans="1:25" customHeight="1" ht="17.25">
      <c r="A13" s="31">
        <f>ROW()-6</f>
        <v>7</v>
      </c>
      <c r="B13" s="33" t="s">
        <v>81</v>
      </c>
      <c r="C13" s="114">
        <v>23</v>
      </c>
      <c r="D13" s="90">
        <v>89</v>
      </c>
      <c r="E13" s="108">
        <f>IF(C13="",0,IF(D13=0,0,C13/D13*100))</f>
        <v>25.842696629213</v>
      </c>
      <c r="F13" s="90">
        <v>7.44</v>
      </c>
      <c r="G13" s="109">
        <f>IF(F13="",0,IF(F13=0,0,E13/F13))</f>
        <v>3.473480729733</v>
      </c>
      <c r="H13" s="90">
        <v>13</v>
      </c>
      <c r="I13" s="109">
        <f>IF(H13="",0,IF(H13=0,0,E13/H13))</f>
        <v>1.9878997407087</v>
      </c>
      <c r="J13" s="90">
        <v>25</v>
      </c>
      <c r="K13" s="108">
        <f>IF(J13="",0,IF(J13=0,0,E13/J13))</f>
        <v>1.0337078651685</v>
      </c>
      <c r="L13" s="117">
        <v>0.1</v>
      </c>
      <c r="M13" s="108">
        <f>IF(L13="",0,IF(L13=0,0,E13/L13))</f>
        <v>258.42696629213</v>
      </c>
      <c r="N13" s="117">
        <v>1.58</v>
      </c>
      <c r="O13" s="108">
        <f>IF(N13="",0,IF(N13=0,0,E13/N13))</f>
        <v>16.356137107097</v>
      </c>
      <c r="P13" s="90">
        <v>89</v>
      </c>
      <c r="Q13" s="120"/>
      <c r="R13" s="207"/>
      <c r="S13" s="207"/>
      <c r="T13" s="207"/>
      <c r="U13" s="207"/>
      <c r="V13" s="207"/>
      <c r="W13" s="4"/>
      <c r="X13" s="4"/>
      <c r="Y13" s="207"/>
    </row>
    <row r="14" spans="1:25" customHeight="1" ht="17.25">
      <c r="A14" s="31">
        <f>ROW()-6</f>
        <v>8</v>
      </c>
      <c r="B14" s="33" t="s">
        <v>82</v>
      </c>
      <c r="C14" s="114">
        <v>14</v>
      </c>
      <c r="D14" s="90">
        <v>89</v>
      </c>
      <c r="E14" s="108">
        <f>IF(C14="",0,IF(D14=0,0,C14/D14*100))</f>
        <v>15.730337078652</v>
      </c>
      <c r="F14" s="90">
        <v>6.33</v>
      </c>
      <c r="G14" s="109">
        <f>IF(F14="",0,IF(F14=0,0,E14/F14))</f>
        <v>2.4850453520777</v>
      </c>
      <c r="H14" s="90">
        <v>14</v>
      </c>
      <c r="I14" s="109">
        <f>IF(H14="",0,IF(H14=0,0,E14/H14))</f>
        <v>1.123595505618</v>
      </c>
      <c r="J14" s="90">
        <v>51</v>
      </c>
      <c r="K14" s="108">
        <f>IF(J14="",0,IF(J14=0,0,E14/J14))</f>
        <v>0.30843798193435</v>
      </c>
      <c r="L14" s="117">
        <v>0.18</v>
      </c>
      <c r="M14" s="108">
        <f>IF(L14="",0,IF(L14=0,0,E14/L14))</f>
        <v>87.390761548065</v>
      </c>
      <c r="N14" s="117">
        <v>1.33</v>
      </c>
      <c r="O14" s="108">
        <f>IF(N14="",0,IF(N14=0,0,E14/N14))</f>
        <v>11.827321111768</v>
      </c>
      <c r="P14" s="90">
        <v>89</v>
      </c>
      <c r="Q14" s="120"/>
      <c r="R14" s="207"/>
      <c r="S14" s="207"/>
      <c r="T14" s="207"/>
      <c r="U14" s="207"/>
      <c r="V14" s="207"/>
      <c r="W14" s="4"/>
      <c r="X14" s="4"/>
      <c r="Y14" s="207"/>
    </row>
    <row r="15" spans="1:25" customHeight="1" ht="17.25">
      <c r="A15" s="31">
        <f>ROW()-6</f>
        <v>9</v>
      </c>
      <c r="B15" s="33" t="s">
        <v>83</v>
      </c>
      <c r="C15" s="114">
        <v>52</v>
      </c>
      <c r="D15" s="90">
        <v>89</v>
      </c>
      <c r="E15" s="108">
        <f>IF(C15="",0,IF(D15=0,0,C15/D15*100))</f>
        <v>58.426966292135</v>
      </c>
      <c r="F15" s="90">
        <v>9.16</v>
      </c>
      <c r="G15" s="109">
        <f>IF(F15="",0,IF(F15=0,0,E15/F15))</f>
        <v>6.3784897698837</v>
      </c>
      <c r="H15" s="90">
        <v>45</v>
      </c>
      <c r="I15" s="109">
        <f>IF(H15="",0,IF(H15=0,0,E15/H15))</f>
        <v>1.2983770287141</v>
      </c>
      <c r="J15" s="90">
        <v>9</v>
      </c>
      <c r="K15" s="108">
        <f>IF(J15="",0,IF(J15=0,0,E15/J15))</f>
        <v>6.4918851435705</v>
      </c>
      <c r="L15" s="117">
        <v>0.22</v>
      </c>
      <c r="M15" s="108">
        <f>IF(L15="",0,IF(L15=0,0,E15/L15))</f>
        <v>265.5771195097</v>
      </c>
      <c r="N15" s="117">
        <v>0.63</v>
      </c>
      <c r="O15" s="108">
        <f>IF(N15="",0,IF(N15=0,0,E15/N15))</f>
        <v>92.741216336722</v>
      </c>
      <c r="P15" s="90">
        <v>89</v>
      </c>
      <c r="Q15" s="120"/>
      <c r="R15" s="207"/>
      <c r="S15" s="207"/>
      <c r="T15" s="207"/>
      <c r="U15" s="207"/>
      <c r="V15" s="207"/>
      <c r="W15" s="4"/>
      <c r="X15" s="4"/>
      <c r="Y15" s="207"/>
    </row>
    <row r="16" spans="1:25" customHeight="1" ht="17.25">
      <c r="A16" s="31">
        <f>ROW()-6</f>
        <v>10</v>
      </c>
      <c r="B16" s="33" t="s">
        <v>84</v>
      </c>
      <c r="C16" s="114">
        <v>25</v>
      </c>
      <c r="D16" s="90">
        <v>89</v>
      </c>
      <c r="E16" s="108">
        <f>IF(C16="",0,IF(D16=0,0,C16/D16*100))</f>
        <v>28.089887640449</v>
      </c>
      <c r="F16" s="90">
        <v>7.44</v>
      </c>
      <c r="G16" s="109">
        <f>IF(F16="",0,IF(F16=0,0,E16/F16))</f>
        <v>3.7755225323185</v>
      </c>
      <c r="H16" s="90">
        <v>37</v>
      </c>
      <c r="I16" s="109">
        <f>IF(H16="",0,IF(H16=0,0,E16/H16))</f>
        <v>0.75918615244458</v>
      </c>
      <c r="J16" s="90">
        <v>23</v>
      </c>
      <c r="K16" s="108">
        <f>IF(J16="",0,IF(J16=0,0,E16/J16))</f>
        <v>1.2212994626282</v>
      </c>
      <c r="L16" s="117">
        <v>0.84</v>
      </c>
      <c r="M16" s="108">
        <f>IF(L16="",0,IF(L16=0,0,E16/L16))</f>
        <v>33.440342429106</v>
      </c>
      <c r="N16" s="117">
        <v>1.1</v>
      </c>
      <c r="O16" s="108">
        <f>IF(N16="",0,IF(N16=0,0,E16/N16))</f>
        <v>25.536261491318</v>
      </c>
      <c r="P16" s="90">
        <v>89</v>
      </c>
      <c r="Q16" s="120">
        <v>0</v>
      </c>
      <c r="R16" s="207"/>
      <c r="S16" s="207"/>
      <c r="T16" s="207"/>
      <c r="U16" s="207"/>
      <c r="V16" s="207"/>
      <c r="W16" s="4"/>
      <c r="X16" s="4"/>
      <c r="Y16" s="207"/>
    </row>
    <row r="17" spans="1:25" customHeight="1" ht="17.25">
      <c r="A17" s="31">
        <f>ROW()-6</f>
        <v>11</v>
      </c>
      <c r="B17" s="33" t="s">
        <v>85</v>
      </c>
      <c r="C17" s="114">
        <v>22</v>
      </c>
      <c r="D17" s="90">
        <v>89</v>
      </c>
      <c r="E17" s="108">
        <f>IF(C17="",0,IF(D17=0,0,C17/D17*100))</f>
        <v>24.719101123596</v>
      </c>
      <c r="F17" s="90">
        <v>10.42</v>
      </c>
      <c r="G17" s="109">
        <f>IF(F17="",0,IF(F17=0,0,E17/F17))</f>
        <v>2.3722745799996</v>
      </c>
      <c r="H17" s="90">
        <v>11</v>
      </c>
      <c r="I17" s="109">
        <f>IF(H17="",0,IF(H17=0,0,E17/H17))</f>
        <v>2.247191011236</v>
      </c>
      <c r="J17" s="90">
        <v>16</v>
      </c>
      <c r="K17" s="108">
        <f>IF(J17="",0,IF(J17=0,0,E17/J17))</f>
        <v>1.5449438202247</v>
      </c>
      <c r="L17" s="117">
        <v>0.33</v>
      </c>
      <c r="M17" s="108">
        <f>IF(L17="",0,IF(L17=0,0,E17/L17))</f>
        <v>74.906367041198</v>
      </c>
      <c r="N17" s="117">
        <v>0.28</v>
      </c>
      <c r="O17" s="108">
        <f>IF(N17="",0,IF(N17=0,0,E17/N17))</f>
        <v>88.282504012841</v>
      </c>
      <c r="P17" s="90">
        <v>89</v>
      </c>
      <c r="Q17" s="120"/>
      <c r="R17" s="207"/>
      <c r="S17" s="207"/>
      <c r="T17" s="207"/>
      <c r="U17" s="207"/>
      <c r="V17" s="207"/>
      <c r="W17" s="4"/>
      <c r="X17" s="4"/>
      <c r="Y17" s="207"/>
    </row>
    <row r="18" spans="1:25" customHeight="1" ht="17.25">
      <c r="A18" s="31">
        <f>ROW()-6</f>
        <v>12</v>
      </c>
      <c r="B18" s="33" t="s">
        <v>86</v>
      </c>
      <c r="C18" s="114">
        <v>36</v>
      </c>
      <c r="D18" s="90">
        <v>89</v>
      </c>
      <c r="E18" s="108">
        <f>IF(C18="",0,IF(D18=0,0,C18/D18*100))</f>
        <v>40.449438202247</v>
      </c>
      <c r="F18" s="90">
        <v>9.3</v>
      </c>
      <c r="G18" s="109">
        <f>IF(F18="",0,IF(F18=0,0,E18/F18))</f>
        <v>4.3494019572309</v>
      </c>
      <c r="H18" s="90">
        <v>45</v>
      </c>
      <c r="I18" s="109">
        <f>IF(H18="",0,IF(H18=0,0,E18/H18))</f>
        <v>0.89887640449438</v>
      </c>
      <c r="J18" s="90">
        <v>29</v>
      </c>
      <c r="K18" s="108">
        <f>IF(J18="",0,IF(J18=0,0,E18/J18))</f>
        <v>1.3948082138706</v>
      </c>
      <c r="L18" s="117">
        <v>0.39</v>
      </c>
      <c r="M18" s="108">
        <f>IF(L18="",0,IF(L18=0,0,E18/L18))</f>
        <v>103.71650821089</v>
      </c>
      <c r="N18" s="117">
        <v>0.69</v>
      </c>
      <c r="O18" s="108">
        <f>IF(N18="",0,IF(N18=0,0,E18/N18))</f>
        <v>58.622374206155</v>
      </c>
      <c r="P18" s="90">
        <v>89</v>
      </c>
      <c r="Q18" s="120">
        <v>0</v>
      </c>
      <c r="R18" s="207"/>
      <c r="S18" s="207"/>
      <c r="T18" s="207"/>
      <c r="U18" s="207"/>
      <c r="V18" s="207"/>
      <c r="W18" s="4"/>
      <c r="X18" s="4"/>
      <c r="Y18" s="207"/>
    </row>
    <row r="19" spans="1:25" customHeight="1" ht="17.25">
      <c r="A19" s="31">
        <f>ROW()-6</f>
        <v>13</v>
      </c>
      <c r="B19" s="33" t="s">
        <v>87</v>
      </c>
      <c r="C19" s="114">
        <v>19</v>
      </c>
      <c r="D19" s="90">
        <v>89</v>
      </c>
      <c r="E19" s="108">
        <f>IF(C19="",0,IF(D19=0,0,C19/D19*100))</f>
        <v>21.348314606742</v>
      </c>
      <c r="F19" s="90">
        <v>12.28</v>
      </c>
      <c r="G19" s="109">
        <f>IF(F19="",0,IF(F19=0,0,E19/F19))</f>
        <v>1.7384621015262</v>
      </c>
      <c r="H19" s="90">
        <v>9</v>
      </c>
      <c r="I19" s="109">
        <f>IF(H19="",0,IF(H19=0,0,E19/H19))</f>
        <v>2.3720349563046</v>
      </c>
      <c r="J19" s="90">
        <v>13</v>
      </c>
      <c r="K19" s="108">
        <f>IF(J19="",0,IF(J19=0,0,E19/J19))</f>
        <v>1.6421780466724</v>
      </c>
      <c r="L19" s="117">
        <v>0.05</v>
      </c>
      <c r="M19" s="108">
        <f>IF(L19="",0,IF(L19=0,0,E19/L19))</f>
        <v>426.96629213483</v>
      </c>
      <c r="N19" s="117">
        <v>0.3</v>
      </c>
      <c r="O19" s="108">
        <f>IF(N19="",0,IF(N19=0,0,E19/N19))</f>
        <v>71.161048689139</v>
      </c>
      <c r="P19" s="90">
        <v>89</v>
      </c>
      <c r="Q19" s="120">
        <v>0</v>
      </c>
      <c r="R19" s="207"/>
      <c r="S19" s="207"/>
      <c r="T19" s="207"/>
      <c r="U19" s="207"/>
      <c r="V19" s="207"/>
      <c r="W19" s="4"/>
      <c r="X19" s="4"/>
      <c r="Y19" s="207"/>
    </row>
    <row r="20" spans="1:25" customHeight="1" ht="17.25">
      <c r="A20" s="31">
        <f>ROW()-6</f>
        <v>14</v>
      </c>
      <c r="B20" s="33" t="s">
        <v>88</v>
      </c>
      <c r="C20" s="114">
        <v>28</v>
      </c>
      <c r="D20" s="90">
        <v>89</v>
      </c>
      <c r="E20" s="108">
        <f>IF(C20="",0,IF(D20=0,0,C20/D20*100))</f>
        <v>31.460674157303</v>
      </c>
      <c r="F20" s="90">
        <v>11</v>
      </c>
      <c r="G20" s="109">
        <f>IF(F20="",0,IF(F20=0,0,E20/F20))</f>
        <v>2.8600612870276</v>
      </c>
      <c r="H20" s="90">
        <v>21</v>
      </c>
      <c r="I20" s="109">
        <f>IF(H20="",0,IF(H20=0,0,E20/H20))</f>
        <v>1.498127340824</v>
      </c>
      <c r="J20" s="90">
        <v>18</v>
      </c>
      <c r="K20" s="108">
        <f>IF(J20="",0,IF(J20=0,0,E20/J20))</f>
        <v>1.7478152309613</v>
      </c>
      <c r="L20" s="117">
        <v>1</v>
      </c>
      <c r="M20" s="108">
        <f>IF(L20="",0,IF(L20=0,0,E20/L20))</f>
        <v>31.460674157303</v>
      </c>
      <c r="N20" s="117">
        <v>0.8</v>
      </c>
      <c r="O20" s="108">
        <f>IF(N20="",0,IF(N20=0,0,E20/N20))</f>
        <v>39.325842696629</v>
      </c>
      <c r="P20" s="90">
        <v>89</v>
      </c>
      <c r="Q20" s="120">
        <v>0</v>
      </c>
      <c r="R20" s="207"/>
      <c r="S20" s="207"/>
      <c r="T20" s="207"/>
      <c r="U20" s="207"/>
      <c r="V20" s="207"/>
      <c r="W20" s="4"/>
      <c r="X20" s="4"/>
      <c r="Y20" s="207"/>
    </row>
    <row r="21" spans="1:25" customHeight="1" ht="17.25">
      <c r="A21" s="31">
        <f>ROW()-6</f>
        <v>15</v>
      </c>
      <c r="B21" s="33" t="s">
        <v>89</v>
      </c>
      <c r="C21" s="114">
        <v>21</v>
      </c>
      <c r="D21" s="90">
        <v>89</v>
      </c>
      <c r="E21" s="108">
        <f>IF(C21="",0,IF(D21=0,0,C21/D21*100))</f>
        <v>23.595505617978</v>
      </c>
      <c r="F21" s="90">
        <v>9.68</v>
      </c>
      <c r="G21" s="109">
        <f>IF(F21="",0,IF(F21=0,0,E21/F21))</f>
        <v>2.4375522332621</v>
      </c>
      <c r="H21" s="90">
        <v>16</v>
      </c>
      <c r="I21" s="109">
        <f>IF(H21="",0,IF(H21=0,0,E21/H21))</f>
        <v>1.4747191011236</v>
      </c>
      <c r="J21" s="90">
        <v>64</v>
      </c>
      <c r="K21" s="108">
        <f>IF(J21="",0,IF(J21=0,0,E21/J21))</f>
        <v>0.3686797752809</v>
      </c>
      <c r="L21" s="117">
        <v>0.17</v>
      </c>
      <c r="M21" s="108">
        <f>IF(L21="",0,IF(L21=0,0,E21/L21))</f>
        <v>138.79709187046</v>
      </c>
      <c r="N21" s="117">
        <v>0.93</v>
      </c>
      <c r="O21" s="108">
        <f>IF(N21="",0,IF(N21=0,0,E21/N21))</f>
        <v>25.37151141718</v>
      </c>
      <c r="P21" s="90">
        <v>89</v>
      </c>
      <c r="Q21" s="120"/>
      <c r="R21" s="207"/>
      <c r="S21" s="207"/>
      <c r="T21" s="207"/>
      <c r="U21" s="207"/>
      <c r="V21" s="207"/>
      <c r="W21" s="4"/>
      <c r="X21" s="4"/>
      <c r="Y21" s="207"/>
    </row>
    <row r="22" spans="1:25" customHeight="1" ht="17.25">
      <c r="A22" s="31">
        <f>ROW()-6</f>
        <v>16</v>
      </c>
      <c r="B22" s="33" t="s">
        <v>90</v>
      </c>
      <c r="C22" s="114">
        <v>7</v>
      </c>
      <c r="D22" s="90">
        <v>89</v>
      </c>
      <c r="E22" s="108">
        <f>IF(C22="",0,IF(D22=0,0,C22/D22*100))</f>
        <v>7.8651685393258</v>
      </c>
      <c r="F22" s="90">
        <v>5.8</v>
      </c>
      <c r="G22" s="109">
        <f>IF(F22="",0,IF(F22=0,0,E22/F22))</f>
        <v>1.3560635412631</v>
      </c>
      <c r="H22" s="90">
        <v>3.3</v>
      </c>
      <c r="I22" s="109">
        <f>IF(H22="",0,IF(H22=0,0,E22/H22))</f>
        <v>2.3833844058563</v>
      </c>
      <c r="J22" s="90">
        <v>77</v>
      </c>
      <c r="K22" s="108">
        <f>IF(J22="",0,IF(J22=0,0,E22/J22))</f>
        <v>0.10214504596527</v>
      </c>
      <c r="L22" s="117">
        <v>0.31</v>
      </c>
      <c r="M22" s="108">
        <f>IF(L22="",0,IF(L22=0,0,E22/L22))</f>
        <v>25.37151141718</v>
      </c>
      <c r="N22" s="117">
        <v>0.05</v>
      </c>
      <c r="O22" s="108">
        <f>IF(N22="",0,IF(N22=0,0,E22/N22))</f>
        <v>157.30337078652</v>
      </c>
      <c r="P22" s="90"/>
      <c r="Q22" s="120">
        <v>100</v>
      </c>
      <c r="R22" s="207"/>
      <c r="S22" s="207"/>
      <c r="T22" s="207"/>
      <c r="U22" s="207"/>
      <c r="V22" s="207"/>
      <c r="W22" s="4"/>
      <c r="X22" s="4"/>
      <c r="Y22" s="207"/>
    </row>
    <row r="23" spans="1:25" customHeight="1" ht="17.25">
      <c r="A23" s="31">
        <f>ROW()-6</f>
        <v>17</v>
      </c>
      <c r="B23" s="33" t="s">
        <v>91</v>
      </c>
      <c r="C23" s="114">
        <v>14</v>
      </c>
      <c r="D23" s="90">
        <v>74</v>
      </c>
      <c r="E23" s="108">
        <f>IF(C23="",0,IF(D23=0,0,C23/D23*100))</f>
        <v>18.918918918919</v>
      </c>
      <c r="F23" s="90">
        <v>6.19</v>
      </c>
      <c r="G23" s="109">
        <f>IF(F23="",0,IF(F23=0,0,E23/F23))</f>
        <v>3.0563681613762</v>
      </c>
      <c r="H23" s="90">
        <v>3</v>
      </c>
      <c r="I23" s="109">
        <f>IF(H23="",0,IF(H23=0,0,E23/H23))</f>
        <v>6.3063063063063</v>
      </c>
      <c r="J23" s="90">
        <v>0</v>
      </c>
      <c r="K23" s="108">
        <f>IF(J23="",0,IF(J23=0,0,E23/J23))</f>
        <v>0</v>
      </c>
      <c r="L23" s="117">
        <v>0.22</v>
      </c>
      <c r="M23" s="108">
        <f>IF(L23="",0,IF(L23=0,0,E23/L23))</f>
        <v>85.995085995086</v>
      </c>
      <c r="N23" s="117">
        <v>0.6</v>
      </c>
      <c r="O23" s="108">
        <f>IF(N23="",0,IF(N23=0,0,E23/N23))</f>
        <v>31.531531531532</v>
      </c>
      <c r="P23" s="90">
        <v>74</v>
      </c>
      <c r="Q23" s="120"/>
      <c r="R23" s="207"/>
      <c r="S23" s="207"/>
      <c r="T23" s="207"/>
      <c r="U23" s="207"/>
      <c r="V23" s="207"/>
      <c r="W23" s="4"/>
      <c r="X23" s="4"/>
      <c r="Y23" s="207"/>
    </row>
    <row r="24" spans="1:25" customHeight="1" ht="17.25">
      <c r="A24" s="31">
        <f>ROW()-6</f>
        <v>18</v>
      </c>
      <c r="B24" s="33" t="s">
        <v>92</v>
      </c>
      <c r="C24" s="115">
        <v>25</v>
      </c>
      <c r="D24" s="91">
        <v>89</v>
      </c>
      <c r="E24" s="108">
        <f>IF(C24="",0,IF(D24=0,0,C24/D24*100))</f>
        <v>28.089887640449</v>
      </c>
      <c r="F24" s="91">
        <v>9.3</v>
      </c>
      <c r="G24" s="109">
        <f>IF(F24="",0,IF(F24=0,0,E24/F24))</f>
        <v>3.0204180258548</v>
      </c>
      <c r="H24" s="91">
        <v>20</v>
      </c>
      <c r="I24" s="109">
        <f>IF(H24="",0,IF(H24=0,0,E24/H24))</f>
        <v>1.4044943820225</v>
      </c>
      <c r="J24" s="91">
        <v>41</v>
      </c>
      <c r="K24" s="108">
        <f>IF(J24="",0,IF(J24=0,0,E24/J24))</f>
        <v>0.68511921074267</v>
      </c>
      <c r="L24" s="147">
        <v>0.65</v>
      </c>
      <c r="M24" s="108">
        <f>IF(L24="",0,IF(L24=0,0,E24/L24))</f>
        <v>43.215211754538</v>
      </c>
      <c r="N24" s="147">
        <v>0.68</v>
      </c>
      <c r="O24" s="108">
        <f>IF(N24="",0,IF(N24=0,0,E24/N24))</f>
        <v>41.308658294779</v>
      </c>
      <c r="P24" s="91">
        <v>89</v>
      </c>
      <c r="Q24" s="121"/>
      <c r="R24" s="207"/>
      <c r="S24" s="207"/>
      <c r="T24" s="207"/>
      <c r="U24" s="207"/>
      <c r="V24" s="207"/>
      <c r="W24" s="4"/>
      <c r="X24" s="4"/>
      <c r="Y24" s="207"/>
    </row>
    <row r="25" spans="1:25" customHeight="1" ht="17.25">
      <c r="A25" s="31">
        <f>ROW()-6</f>
        <v>19</v>
      </c>
      <c r="B25" s="33" t="s">
        <v>93</v>
      </c>
      <c r="C25" s="115">
        <v>32</v>
      </c>
      <c r="D25" s="91">
        <v>89</v>
      </c>
      <c r="E25" s="108">
        <f>IF(C25="",0,IF(D25=0,0,C25/D25*100))</f>
        <v>35.955056179775</v>
      </c>
      <c r="F25" s="91">
        <v>12.5</v>
      </c>
      <c r="G25" s="109">
        <f>IF(F25="",0,IF(F25=0,0,E25/F25))</f>
        <v>2.876404494382</v>
      </c>
      <c r="H25" s="91">
        <v>22</v>
      </c>
      <c r="I25" s="109">
        <f>IF(H25="",0,IF(H25=0,0,E25/H25))</f>
        <v>1.6343207354443</v>
      </c>
      <c r="J25" s="91">
        <v>24</v>
      </c>
      <c r="K25" s="108">
        <f>IF(J25="",0,IF(J25=0,0,E25/J25))</f>
        <v>1.498127340824</v>
      </c>
      <c r="L25" s="147">
        <v>1</v>
      </c>
      <c r="M25" s="108">
        <f>IF(L25="",0,IF(L25=0,0,E25/L25))</f>
        <v>35.955056179775</v>
      </c>
      <c r="N25" s="147">
        <v>0.8</v>
      </c>
      <c r="O25" s="108">
        <f>IF(N25="",0,IF(N25=0,0,E25/N25))</f>
        <v>44.943820224719</v>
      </c>
      <c r="P25" s="91">
        <v>89</v>
      </c>
      <c r="Q25" s="121"/>
      <c r="R25" s="207"/>
      <c r="S25" s="207"/>
      <c r="T25" s="207"/>
      <c r="U25" s="207"/>
      <c r="V25" s="207"/>
      <c r="W25" s="4"/>
      <c r="X25" s="4"/>
      <c r="Y25" s="207"/>
    </row>
    <row r="26" spans="1:25" customHeight="1" ht="17.25">
      <c r="A26" s="31">
        <f>ROW()-6</f>
        <v>20</v>
      </c>
      <c r="B26" s="159" t="s">
        <v>94</v>
      </c>
      <c r="C26" s="160">
        <v>5</v>
      </c>
      <c r="D26" s="161">
        <v>16</v>
      </c>
      <c r="E26" s="162">
        <f>IF(C26="",0,IF(D26=0,0,C26/D26*100))</f>
        <v>31.25</v>
      </c>
      <c r="F26" s="161">
        <v>9.6</v>
      </c>
      <c r="G26" s="163">
        <f>IF(F26="",0,IF(F26=0,0,E26/F26))</f>
        <v>3.2552083333333</v>
      </c>
      <c r="H26" s="161">
        <v>18</v>
      </c>
      <c r="I26" s="163">
        <f>IF(H26="",0,IF(H26=0,0,E26/H26))</f>
        <v>1.7361111111111</v>
      </c>
      <c r="J26" s="161">
        <v>45</v>
      </c>
      <c r="K26" s="162">
        <f>IF(J26="",0,IF(J26=0,0,E26/J26))</f>
        <v>0.69444444444444</v>
      </c>
      <c r="L26" s="164">
        <v>0.55</v>
      </c>
      <c r="M26" s="162">
        <f>IF(L26="",0,IF(L26=0,0,E26/L26))</f>
        <v>56.818181818182</v>
      </c>
      <c r="N26" s="164">
        <v>0.54</v>
      </c>
      <c r="O26" s="162">
        <f>IF(N26="",0,IF(N26=0,0,E26/N26))</f>
        <v>57.87037037037</v>
      </c>
      <c r="P26" s="161"/>
      <c r="Q26" s="165">
        <v>16</v>
      </c>
      <c r="R26" s="207"/>
      <c r="S26" s="207"/>
      <c r="T26" s="207"/>
      <c r="U26" s="207"/>
      <c r="V26" s="207"/>
      <c r="W26" s="4"/>
      <c r="X26" s="4"/>
      <c r="Y26" s="207"/>
    </row>
    <row r="27" spans="1:25" customHeight="1" ht="17.25">
      <c r="A27" s="31">
        <f>ROW()-6</f>
        <v>21</v>
      </c>
      <c r="B27" s="166" t="s">
        <v>95</v>
      </c>
      <c r="C27" s="169">
        <v>25</v>
      </c>
      <c r="D27" s="211">
        <v>89</v>
      </c>
      <c r="E27" s="162">
        <f>IF(C27="",0,IF(D27=0,0,C27/D27*100))</f>
        <v>28.089887640449</v>
      </c>
      <c r="F27" s="211">
        <v>8.9</v>
      </c>
      <c r="G27" s="163">
        <f>IF(F27="",0,IF(F27=0,0,E27/F27))</f>
        <v>3.1561671506123</v>
      </c>
      <c r="H27" s="211">
        <v>40</v>
      </c>
      <c r="I27" s="163">
        <f>IF(H27="",0,IF(H27=0,0,E27/H27))</f>
        <v>0.70224719101124</v>
      </c>
      <c r="J27" s="211">
        <v>23</v>
      </c>
      <c r="K27" s="162">
        <f>IF(J27="",0,IF(J27=0,0,E27/J27))</f>
        <v>1.2212994626282</v>
      </c>
      <c r="L27" s="211">
        <v>0.22</v>
      </c>
      <c r="M27" s="162">
        <f>IF(L27="",0,IF(L27=0,0,E27/L27))</f>
        <v>127.68130745659</v>
      </c>
      <c r="N27" s="211">
        <v>0.2</v>
      </c>
      <c r="O27" s="162">
        <f>IF(N27="",0,IF(N27=0,0,E27/N27))</f>
        <v>140.44943820225</v>
      </c>
      <c r="P27" s="161">
        <v>89</v>
      </c>
      <c r="Q27" s="212"/>
      <c r="R27" s="207"/>
      <c r="S27" s="207"/>
      <c r="T27" s="207"/>
      <c r="U27" s="207"/>
      <c r="V27" s="207"/>
      <c r="W27" s="207"/>
      <c r="X27" s="207"/>
      <c r="Y27" s="207"/>
    </row>
    <row r="28" spans="1:25" customHeight="1" ht="17.25">
      <c r="A28" s="31">
        <f>ROW()-6</f>
        <v>22</v>
      </c>
      <c r="B28" s="166" t="s">
        <v>96</v>
      </c>
      <c r="C28" s="169">
        <v>25</v>
      </c>
      <c r="D28" s="211">
        <v>90</v>
      </c>
      <c r="E28" s="162">
        <f>IF(C28="",0,IF(D28=0,0,C28/D28*100))</f>
        <v>27.777777777778</v>
      </c>
      <c r="F28" s="211">
        <v>11.17</v>
      </c>
      <c r="G28" s="163">
        <f>IF(F28="",0,IF(F28=0,0,E28/F28))</f>
        <v>2.4868198547697</v>
      </c>
      <c r="H28" s="211">
        <v>12</v>
      </c>
      <c r="I28" s="163">
        <f>IF(H28="",0,IF(H28=0,0,E28/H28))</f>
        <v>2.3148148148148</v>
      </c>
      <c r="J28" s="211">
        <v>20</v>
      </c>
      <c r="K28" s="162">
        <f>IF(J28="",0,IF(J28=0,0,E28/J28))</f>
        <v>1.3888888888889</v>
      </c>
      <c r="L28" s="211">
        <v>0.05</v>
      </c>
      <c r="M28" s="162">
        <f>IF(L28="",0,IF(L28=0,0,E28/L28))</f>
        <v>555.55555555556</v>
      </c>
      <c r="N28" s="211">
        <v>0.1</v>
      </c>
      <c r="O28" s="162">
        <f>IF(N28="",0,IF(N28=0,0,E28/N28))</f>
        <v>277.77777777778</v>
      </c>
      <c r="P28" s="161">
        <v>90</v>
      </c>
      <c r="Q28" s="212"/>
      <c r="R28" s="207"/>
      <c r="S28" s="207"/>
      <c r="T28" s="207"/>
      <c r="U28" s="207"/>
      <c r="V28" s="207"/>
      <c r="W28" s="207"/>
      <c r="X28" s="207"/>
      <c r="Y28" s="207"/>
    </row>
    <row r="29" spans="1:25" customHeight="1" ht="17.25">
      <c r="A29" s="31">
        <f>ROW()-6</f>
        <v>23</v>
      </c>
      <c r="B29" s="166" t="s">
        <v>97</v>
      </c>
      <c r="C29" s="169">
        <v>20</v>
      </c>
      <c r="D29" s="211">
        <v>90</v>
      </c>
      <c r="E29" s="162">
        <f>IF(C29="",0,IF(D29=0,0,C29/D29*100))</f>
        <v>22.222222222222</v>
      </c>
      <c r="F29" s="211">
        <v>9.68</v>
      </c>
      <c r="G29" s="163">
        <f>IF(F29="",0,IF(F29=0,0,E29/F29))</f>
        <v>2.2956841138659</v>
      </c>
      <c r="H29" s="211">
        <v>9</v>
      </c>
      <c r="I29" s="163">
        <f>IF(H29="",0,IF(H29=0,0,E29/H29))</f>
        <v>2.4691358024691</v>
      </c>
      <c r="J29" s="211">
        <v>12.5</v>
      </c>
      <c r="K29" s="162">
        <f>IF(J29="",0,IF(J29=0,0,E29/J29))</f>
        <v>1.7777777777778</v>
      </c>
      <c r="L29" s="211">
        <v>0.02</v>
      </c>
      <c r="M29" s="162">
        <f>IF(L29="",0,IF(L29=0,0,E29/L29))</f>
        <v>1111.1111111111</v>
      </c>
      <c r="N29" s="211">
        <v>0.28</v>
      </c>
      <c r="O29" s="162">
        <f>IF(N29="",0,IF(N29=0,0,E29/N29))</f>
        <v>79.365079365079</v>
      </c>
      <c r="P29" s="161">
        <v>90</v>
      </c>
      <c r="Q29" s="212"/>
      <c r="R29" s="207"/>
      <c r="S29" s="207"/>
      <c r="T29" s="207"/>
      <c r="U29" s="207"/>
      <c r="V29" s="207"/>
      <c r="W29" s="207"/>
      <c r="X29" s="207"/>
      <c r="Y29" s="207"/>
    </row>
    <row r="30" spans="1:25" customHeight="1" ht="17.25">
      <c r="A30" s="31">
        <f>ROW()-6</f>
        <v>24</v>
      </c>
      <c r="B30" s="167" t="s">
        <v>98</v>
      </c>
      <c r="C30" s="170">
        <v>8</v>
      </c>
      <c r="D30" s="168">
        <v>89</v>
      </c>
      <c r="E30" s="162">
        <f>IF(C30="",0,IF(D30=0,0,C30/D30*100))</f>
        <v>8.9887640449438</v>
      </c>
      <c r="F30" s="168">
        <v>0</v>
      </c>
      <c r="G30" s="163">
        <f>IF(F30="",0,IF(F30=0,0,E30/F30))</f>
        <v>0</v>
      </c>
      <c r="H30" s="168">
        <v>281</v>
      </c>
      <c r="I30" s="163">
        <f>IF(H30="",0,IF(H30=0,0,E30/H30))</f>
        <v>0.031988484145708</v>
      </c>
      <c r="J30" s="168"/>
      <c r="K30" s="162">
        <f>IF(J30="",0,IF(J30=0,0,E30/J30))</f>
        <v>0</v>
      </c>
      <c r="L30" s="168"/>
      <c r="M30" s="162">
        <f>IF(L30="",0,IF(L30=0,0,E30/L30))</f>
        <v>0</v>
      </c>
      <c r="N30" s="168"/>
      <c r="O30" s="162">
        <f>IF(N30="",0,IF(N30=0,0,E30/N30))</f>
        <v>0</v>
      </c>
      <c r="P30" s="161">
        <v>89</v>
      </c>
      <c r="Q30" s="213"/>
      <c r="R30" s="207"/>
      <c r="S30" s="207"/>
      <c r="T30" s="207"/>
      <c r="U30" s="207"/>
      <c r="V30" s="207"/>
      <c r="W30" s="207"/>
      <c r="X30" s="207"/>
      <c r="Y30" s="207"/>
    </row>
    <row r="31" spans="1:25" customHeight="1" ht="17.25">
      <c r="A31" s="31">
        <f>ROW()-6</f>
        <v>25</v>
      </c>
      <c r="B31" s="166" t="s">
        <v>99</v>
      </c>
      <c r="C31" s="169">
        <v>180</v>
      </c>
      <c r="D31" s="211">
        <v>90</v>
      </c>
      <c r="E31" s="162">
        <f>IF(C31="",0,IF(D31=0,0,C31/D31*100))</f>
        <v>200</v>
      </c>
      <c r="F31" s="211">
        <v>0</v>
      </c>
      <c r="G31" s="163">
        <f>IF(F31="",0,IF(F31=0,0,E31/F31))</f>
        <v>0</v>
      </c>
      <c r="H31" s="211"/>
      <c r="I31" s="163">
        <f>IF(H31="",0,IF(H31=0,0,E31/H31))</f>
        <v>0</v>
      </c>
      <c r="J31" s="211">
        <v>0</v>
      </c>
      <c r="K31" s="162">
        <f>IF(J31="",0,IF(J31=0,0,E31/J31))</f>
        <v>0</v>
      </c>
      <c r="L31" s="211">
        <v>24</v>
      </c>
      <c r="M31" s="162">
        <f>IF(L31="",0,IF(L31=0,0,E31/L31))</f>
        <v>8.3333333333333</v>
      </c>
      <c r="N31" s="211">
        <v>12</v>
      </c>
      <c r="O31" s="162">
        <f>IF(N31="",0,IF(N31=0,0,E31/N31))</f>
        <v>16.666666666667</v>
      </c>
      <c r="P31" s="161">
        <v>90</v>
      </c>
      <c r="Q31" s="212"/>
      <c r="R31" s="207"/>
      <c r="S31" s="207"/>
      <c r="T31" s="207"/>
      <c r="U31" s="207"/>
      <c r="V31" s="207"/>
      <c r="W31" s="207"/>
      <c r="X31" s="207"/>
      <c r="Y31" s="207"/>
    </row>
    <row r="32" spans="1:25" customHeight="1" ht="16.5">
      <c r="A32" s="31">
        <f>ROW()-6</f>
        <v>26</v>
      </c>
      <c r="B32" s="166" t="s">
        <v>100</v>
      </c>
      <c r="C32" s="169">
        <v>110</v>
      </c>
      <c r="D32" s="211">
        <v>90</v>
      </c>
      <c r="E32" s="162">
        <f>IF(C32="",0,IF(D32=0,0,C32/D32*100))</f>
        <v>122.22222222222</v>
      </c>
      <c r="F32" s="211">
        <v>35</v>
      </c>
      <c r="G32" s="163">
        <f>IF(F32="",0,IF(F32=0,0,E32/F32))</f>
        <v>3.4920634920635</v>
      </c>
      <c r="H32" s="211"/>
      <c r="I32" s="163">
        <f>IF(H32="",0,IF(H32=0,0,E32/H32))</f>
        <v>0</v>
      </c>
      <c r="J32" s="211">
        <v>0</v>
      </c>
      <c r="K32" s="162">
        <f>IF(J32="",0,IF(J32=0,0,E32/J32))</f>
        <v>0</v>
      </c>
      <c r="L32" s="211"/>
      <c r="M32" s="162">
        <f>IF(L32="",0,IF(L32=0,0,E32/L32))</f>
        <v>0</v>
      </c>
      <c r="N32" s="211"/>
      <c r="O32" s="162">
        <f>IF(N32="",0,IF(N32=0,0,E32/N32))</f>
        <v>0</v>
      </c>
      <c r="P32" s="161">
        <v>90</v>
      </c>
      <c r="Q32" s="212"/>
      <c r="R32" s="207"/>
      <c r="S32" s="207"/>
      <c r="T32" s="207"/>
      <c r="U32" s="207"/>
      <c r="V32" s="207"/>
      <c r="W32" s="207"/>
      <c r="X32" s="207"/>
      <c r="Y32" s="207"/>
    </row>
  </sheetData>
  <mergeCells>
    <mergeCell ref="A1:K1"/>
  </mergeCells>
  <printOptions gridLines="false" gridLinesSet="true"/>
  <pageMargins left="0.7" right="0.7" top="0.75" bottom="0.75" header="0.3" footer="0.3"/>
  <pageSetup paperSize="9" orientation="landscape" scale="100" fitToHeight="1" fitToWidth="1" pageOrder="downThenOver" r:id="rId1ps"/>
  <headerFooter differentOddEven="false" differentFirst="false" scaleWithDoc="true" alignWithMargins="false">
    <oddHeader/>
    <oddFooter/>
    <evenHeader/>
    <evenFooter/>
    <firstHeader/>
    <firstFooter/>
  </headerFooter>
  <tableParts count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 codeName="Sheet7">
    <outlinePr summaryBelow="1" summaryRight="1"/>
  </sheetPr>
  <dimension ref="A1:M27"/>
  <sheetViews>
    <sheetView tabSelected="0" workbookViewId="0" zoomScale="76" zoomScaleNormal="76" showGridLines="true" showRowColHeaders="1">
      <selection activeCell="M2" sqref="M2"/>
    </sheetView>
  </sheetViews>
  <sheetFormatPr defaultRowHeight="14.4" defaultColWidth="11.5703125" outlineLevelRow="0" outlineLevelCol="0"/>
  <cols>
    <col min="1" max="1" width="4" customWidth="true" style="0"/>
    <col min="2" max="2" width="8.5703125" customWidth="true" style="0"/>
    <col min="3" max="3" width="8.5703125" customWidth="true" style="0"/>
    <col min="4" max="4" width="8.5703125" customWidth="true" style="0"/>
    <col min="5" max="5" width="8.5703125" customWidth="true" style="0"/>
    <col min="6" max="6" width="8.5703125" customWidth="true" style="0"/>
    <col min="7" max="7" width="8.5703125" customWidth="true" style="0"/>
    <col min="8" max="8" width="8.5703125" customWidth="true" style="0"/>
    <col min="9" max="9" width="8.5703125" customWidth="true" style="0"/>
    <col min="10" max="10" width="8.5703125" customWidth="true" style="0"/>
    <col min="11" max="11" width="8.5703125" customWidth="true" style="0"/>
    <col min="12" max="12" width="8.5703125" customWidth="true" style="0"/>
    <col min="13" max="13" width="8.5703125" customWidth="true" style="0"/>
  </cols>
  <sheetData>
    <row r="1" spans="1:13" customHeight="1" ht="37.5">
      <c r="B1" s="224" t="s">
        <v>173</v>
      </c>
      <c r="C1" s="225"/>
      <c r="D1" s="225"/>
      <c r="E1" s="225"/>
      <c r="F1" s="225"/>
      <c r="G1" s="225"/>
      <c r="H1" s="225"/>
      <c r="I1" s="225"/>
      <c r="J1" s="225"/>
      <c r="K1" s="225"/>
      <c r="L1" s="225"/>
      <c r="M1" s="225"/>
    </row>
    <row r="2" spans="1:13">
      <c r="B2" t="s">
        <v>174</v>
      </c>
      <c r="C2" s="158">
        <f>C4+5.4</f>
        <v>8</v>
      </c>
      <c r="D2" s="158">
        <f>D4+5.4</f>
        <v>8.1</v>
      </c>
      <c r="E2" s="158">
        <f>E4+5.4</f>
        <v>8.2</v>
      </c>
      <c r="F2" s="158">
        <f>F4+5.4</f>
        <v>8.3</v>
      </c>
      <c r="G2" s="158">
        <f>G4+5.4</f>
        <v>8.4</v>
      </c>
      <c r="H2" s="158">
        <f>H4+5.4</f>
        <v>8.5</v>
      </c>
      <c r="I2" s="158">
        <f>I4+5.4</f>
        <v>8.6</v>
      </c>
      <c r="J2" s="158">
        <f>J4+5.4</f>
        <v>8.7</v>
      </c>
      <c r="K2" s="158">
        <f>K4+5.4</f>
        <v>8.8</v>
      </c>
      <c r="L2" s="158">
        <f>L4+5.4</f>
        <v>8.9</v>
      </c>
      <c r="M2" s="158">
        <f>M4+5.4</f>
        <v>9</v>
      </c>
    </row>
    <row r="3" spans="1:13" customHeight="1" ht="15.75">
      <c r="C3" s="227" t="s">
        <v>175</v>
      </c>
      <c r="D3" s="227"/>
      <c r="E3" s="227"/>
      <c r="F3" s="227"/>
      <c r="G3" s="227"/>
      <c r="H3" s="227"/>
      <c r="I3" s="227"/>
      <c r="J3" s="227"/>
      <c r="K3" s="227"/>
      <c r="L3" s="227"/>
      <c r="M3" s="227"/>
    </row>
    <row r="4" spans="1:13" customHeight="1" ht="16.5">
      <c r="B4" s="34"/>
      <c r="C4" s="35">
        <v>2.6</v>
      </c>
      <c r="D4" s="36">
        <v>2.7</v>
      </c>
      <c r="E4" s="36">
        <v>2.8</v>
      </c>
      <c r="F4" s="36">
        <v>2.9</v>
      </c>
      <c r="G4" s="36">
        <v>3</v>
      </c>
      <c r="H4" s="36">
        <v>3.1</v>
      </c>
      <c r="I4" s="36">
        <v>3.2</v>
      </c>
      <c r="J4" s="36">
        <v>3.3</v>
      </c>
      <c r="K4" s="36">
        <v>3.4</v>
      </c>
      <c r="L4" s="36">
        <v>3.5</v>
      </c>
      <c r="M4" s="37">
        <v>3.6</v>
      </c>
    </row>
    <row r="5" spans="1:13" customHeight="1" ht="16.5">
      <c r="A5" s="226" t="s">
        <v>176</v>
      </c>
      <c r="B5" s="38">
        <v>3</v>
      </c>
      <c r="C5" s="41">
        <v>4.5</v>
      </c>
      <c r="D5" s="42">
        <v>4.5</v>
      </c>
      <c r="E5" s="42">
        <v>4.5</v>
      </c>
      <c r="F5" s="42">
        <v>4.55</v>
      </c>
      <c r="G5" s="42">
        <v>4.6</v>
      </c>
      <c r="H5" s="42">
        <v>4.65</v>
      </c>
      <c r="I5" s="42">
        <v>4.7</v>
      </c>
      <c r="J5" s="42">
        <v>4.75</v>
      </c>
      <c r="K5" s="42">
        <v>4.8</v>
      </c>
      <c r="L5" s="42">
        <v>4.8</v>
      </c>
      <c r="M5" s="43">
        <v>4.8</v>
      </c>
    </row>
    <row r="6" spans="1:13" customHeight="1" ht="15.75">
      <c r="A6" s="226"/>
      <c r="B6" s="39">
        <v>3.1</v>
      </c>
      <c r="C6" s="44">
        <v>4.55</v>
      </c>
      <c r="D6" s="45">
        <v>4.55</v>
      </c>
      <c r="E6" s="45">
        <v>4.6</v>
      </c>
      <c r="F6" s="45">
        <v>4.6</v>
      </c>
      <c r="G6" s="45">
        <v>4.65</v>
      </c>
      <c r="H6" s="45">
        <v>4.7</v>
      </c>
      <c r="I6" s="45">
        <v>4.75</v>
      </c>
      <c r="J6" s="45">
        <v>4.8</v>
      </c>
      <c r="K6" s="45">
        <v>4.85</v>
      </c>
      <c r="L6" s="45">
        <v>4.85</v>
      </c>
      <c r="M6" s="46">
        <v>4.9</v>
      </c>
    </row>
    <row r="7" spans="1:13" customHeight="1" ht="15.75">
      <c r="A7" s="226"/>
      <c r="B7" s="39">
        <v>3.2</v>
      </c>
      <c r="C7" s="44">
        <v>4.6</v>
      </c>
      <c r="D7" s="45">
        <v>4.65</v>
      </c>
      <c r="E7" s="45">
        <v>4.7</v>
      </c>
      <c r="F7" s="45">
        <v>4.7</v>
      </c>
      <c r="G7" s="45">
        <v>4.7</v>
      </c>
      <c r="H7" s="45">
        <v>4.75</v>
      </c>
      <c r="I7" s="45">
        <v>4.8</v>
      </c>
      <c r="J7" s="45">
        <v>4.85</v>
      </c>
      <c r="K7" s="45">
        <v>4.9</v>
      </c>
      <c r="L7" s="45">
        <v>4.95</v>
      </c>
      <c r="M7" s="46">
        <v>5</v>
      </c>
    </row>
    <row r="8" spans="1:13" customHeight="1" ht="15.75">
      <c r="A8" s="226"/>
      <c r="B8" s="39">
        <v>3.3</v>
      </c>
      <c r="C8" s="44">
        <v>4.65</v>
      </c>
      <c r="D8" s="45">
        <v>4.69</v>
      </c>
      <c r="E8" s="45">
        <v>4.73</v>
      </c>
      <c r="F8" s="45">
        <v>4.77</v>
      </c>
      <c r="G8" s="45">
        <v>4.81</v>
      </c>
      <c r="H8" s="45">
        <v>4.85</v>
      </c>
      <c r="I8" s="45">
        <v>4.85</v>
      </c>
      <c r="J8" s="45">
        <v>4.93</v>
      </c>
      <c r="K8" s="45">
        <v>4.95</v>
      </c>
      <c r="L8" s="45">
        <v>5.01</v>
      </c>
      <c r="M8" s="46">
        <v>5.05</v>
      </c>
    </row>
    <row r="9" spans="1:13" customHeight="1" ht="15.75">
      <c r="A9" s="226"/>
      <c r="B9" s="39">
        <v>3.4</v>
      </c>
      <c r="C9" s="44">
        <v>4.7</v>
      </c>
      <c r="D9" s="45">
        <v>4.75</v>
      </c>
      <c r="E9" s="45">
        <v>4.8</v>
      </c>
      <c r="F9" s="45">
        <v>4.845</v>
      </c>
      <c r="G9" s="45">
        <v>4.9</v>
      </c>
      <c r="H9" s="45">
        <v>4.925</v>
      </c>
      <c r="I9" s="45">
        <v>4.9</v>
      </c>
      <c r="J9" s="45">
        <v>4.95</v>
      </c>
      <c r="K9" s="45">
        <v>5</v>
      </c>
      <c r="L9" s="45">
        <v>5.085</v>
      </c>
      <c r="M9" s="46">
        <v>5.1</v>
      </c>
    </row>
    <row r="10" spans="1:13" customHeight="1" ht="15.75">
      <c r="A10" s="226"/>
      <c r="B10" s="39">
        <v>3.5</v>
      </c>
      <c r="C10" s="44">
        <v>4.8</v>
      </c>
      <c r="D10" s="45">
        <v>4.84</v>
      </c>
      <c r="E10" s="45">
        <v>4.88</v>
      </c>
      <c r="F10" s="45">
        <v>4.92</v>
      </c>
      <c r="G10" s="45">
        <v>4.96</v>
      </c>
      <c r="H10" s="45">
        <v>5</v>
      </c>
      <c r="I10" s="45">
        <v>5.04</v>
      </c>
      <c r="J10" s="45">
        <v>5.08</v>
      </c>
      <c r="K10" s="45">
        <v>5.08</v>
      </c>
      <c r="L10" s="45">
        <v>5.15</v>
      </c>
      <c r="M10" s="46">
        <v>5.16</v>
      </c>
    </row>
    <row r="11" spans="1:13" customHeight="1" ht="15.75">
      <c r="A11" s="226"/>
      <c r="B11" s="39">
        <v>3.6</v>
      </c>
      <c r="C11" s="44">
        <v>4.9</v>
      </c>
      <c r="D11" s="45">
        <v>4.9</v>
      </c>
      <c r="E11" s="45">
        <v>4.9</v>
      </c>
      <c r="F11" s="45">
        <v>4.995</v>
      </c>
      <c r="G11" s="45">
        <v>5</v>
      </c>
      <c r="H11" s="45">
        <v>5.075</v>
      </c>
      <c r="I11" s="45">
        <v>5.1</v>
      </c>
      <c r="J11" s="45">
        <v>5.155</v>
      </c>
      <c r="K11" s="45">
        <v>5.1</v>
      </c>
      <c r="L11" s="45">
        <v>5.15</v>
      </c>
      <c r="M11" s="46">
        <v>5.2</v>
      </c>
    </row>
    <row r="12" spans="1:13" customHeight="1" ht="15.75">
      <c r="A12" s="226"/>
      <c r="B12" s="39">
        <v>3.7</v>
      </c>
      <c r="C12" s="44">
        <v>4.95</v>
      </c>
      <c r="D12" s="45">
        <v>4.99</v>
      </c>
      <c r="E12" s="45">
        <v>5.01</v>
      </c>
      <c r="F12" s="45">
        <v>5.07</v>
      </c>
      <c r="G12" s="45">
        <v>5.07</v>
      </c>
      <c r="H12" s="45">
        <v>5.15</v>
      </c>
      <c r="I12" s="45">
        <v>5.13</v>
      </c>
      <c r="J12" s="45">
        <v>5.23</v>
      </c>
      <c r="K12" s="45">
        <v>5.19</v>
      </c>
      <c r="L12" s="45">
        <v>5.2</v>
      </c>
      <c r="M12" s="46">
        <v>5.25</v>
      </c>
    </row>
    <row r="13" spans="1:13" customHeight="1" ht="15.75">
      <c r="A13" s="226"/>
      <c r="B13" s="39">
        <v>3.8</v>
      </c>
      <c r="C13" s="44">
        <v>5</v>
      </c>
      <c r="D13" s="45">
        <v>5.065</v>
      </c>
      <c r="E13" s="45">
        <v>5.1</v>
      </c>
      <c r="F13" s="45">
        <v>5.1675</v>
      </c>
      <c r="G13" s="45">
        <v>5.1</v>
      </c>
      <c r="H13" s="45">
        <v>5.15</v>
      </c>
      <c r="I13" s="45">
        <v>5.2</v>
      </c>
      <c r="J13" s="45">
        <v>5.3275</v>
      </c>
      <c r="K13" s="45">
        <v>5.3</v>
      </c>
      <c r="L13" s="45">
        <v>5.3</v>
      </c>
      <c r="M13" s="46">
        <v>5.3</v>
      </c>
    </row>
    <row r="14" spans="1:13" customHeight="1" ht="15.75">
      <c r="A14" s="226"/>
      <c r="B14" s="39">
        <v>3.9</v>
      </c>
      <c r="C14" s="44">
        <v>5.05</v>
      </c>
      <c r="D14" s="45">
        <v>5.14</v>
      </c>
      <c r="E14" s="45">
        <v>5.11</v>
      </c>
      <c r="F14" s="45">
        <v>5.265</v>
      </c>
      <c r="G14" s="45">
        <v>5.17</v>
      </c>
      <c r="H14" s="45">
        <v>5.2</v>
      </c>
      <c r="I14" s="45">
        <v>5.23</v>
      </c>
      <c r="J14" s="45">
        <v>5.425</v>
      </c>
      <c r="K14" s="45">
        <v>5.29</v>
      </c>
      <c r="L14" s="45">
        <v>5.3</v>
      </c>
      <c r="M14" s="46">
        <v>5.35</v>
      </c>
    </row>
    <row r="15" spans="1:13" customHeight="1" ht="15.75">
      <c r="A15" s="226"/>
      <c r="B15" s="39">
        <v>4</v>
      </c>
      <c r="C15" s="44">
        <v>5.1</v>
      </c>
      <c r="D15" s="45">
        <v>5.1875</v>
      </c>
      <c r="E15" s="45">
        <v>5.2</v>
      </c>
      <c r="F15" s="45">
        <v>5.1875</v>
      </c>
      <c r="G15" s="45">
        <v>5.3</v>
      </c>
      <c r="H15" s="45">
        <v>5.2475</v>
      </c>
      <c r="I15" s="45">
        <v>5.3</v>
      </c>
      <c r="J15" s="45">
        <v>5.3075</v>
      </c>
      <c r="K15" s="45">
        <v>5.4</v>
      </c>
      <c r="L15" s="45">
        <v>5.4175</v>
      </c>
      <c r="M15" s="46">
        <v>5.5</v>
      </c>
    </row>
    <row r="16" spans="1:13" customHeight="1" ht="15.75">
      <c r="A16" s="226"/>
      <c r="B16" s="39">
        <v>4.1</v>
      </c>
      <c r="C16" s="44">
        <v>5.2</v>
      </c>
      <c r="D16" s="45">
        <v>5.235</v>
      </c>
      <c r="E16" s="45">
        <v>5.27</v>
      </c>
      <c r="F16" s="45">
        <v>5.235</v>
      </c>
      <c r="G16" s="45">
        <v>5.34</v>
      </c>
      <c r="H16" s="45">
        <v>5.295</v>
      </c>
      <c r="I16" s="45">
        <v>5.41</v>
      </c>
      <c r="J16" s="45">
        <v>5.355</v>
      </c>
      <c r="K16" s="45">
        <v>5.48</v>
      </c>
      <c r="L16" s="45">
        <v>5.515</v>
      </c>
      <c r="M16" s="46">
        <v>5.55</v>
      </c>
    </row>
    <row r="17" spans="1:13" customHeight="1" ht="15.75">
      <c r="A17" s="226"/>
      <c r="B17" s="39">
        <v>4.2</v>
      </c>
      <c r="C17" s="44">
        <v>5.3</v>
      </c>
      <c r="D17" s="45">
        <v>5.3325</v>
      </c>
      <c r="E17" s="45">
        <v>5.3</v>
      </c>
      <c r="F17" s="45">
        <v>5.3325</v>
      </c>
      <c r="G17" s="45">
        <v>5.4</v>
      </c>
      <c r="H17" s="45">
        <v>5.3925</v>
      </c>
      <c r="I17" s="45">
        <v>5.5</v>
      </c>
      <c r="J17" s="45">
        <v>5.4575</v>
      </c>
      <c r="K17" s="45">
        <v>5.5</v>
      </c>
      <c r="L17" s="45">
        <v>5.6125</v>
      </c>
      <c r="M17" s="46">
        <v>5.6</v>
      </c>
    </row>
    <row r="18" spans="1:13" customHeight="1" ht="15.75">
      <c r="A18" s="226"/>
      <c r="B18" s="39">
        <v>4.3</v>
      </c>
      <c r="C18" s="44">
        <v>5.35</v>
      </c>
      <c r="D18" s="45">
        <v>5.43</v>
      </c>
      <c r="E18" s="45">
        <v>5.41</v>
      </c>
      <c r="F18" s="45">
        <v>5.43</v>
      </c>
      <c r="G18" s="45">
        <v>5.47</v>
      </c>
      <c r="H18" s="45">
        <v>5.49</v>
      </c>
      <c r="I18" s="45">
        <v>5.53</v>
      </c>
      <c r="J18" s="45">
        <v>5.56</v>
      </c>
      <c r="K18" s="45">
        <v>5.59</v>
      </c>
      <c r="L18" s="45">
        <v>5.71</v>
      </c>
      <c r="M18" s="46">
        <v>5.65</v>
      </c>
    </row>
    <row r="19" spans="1:13" customHeight="1" ht="15.75">
      <c r="A19" s="226"/>
      <c r="B19" s="39">
        <v>4.4</v>
      </c>
      <c r="C19" s="44">
        <v>5.4</v>
      </c>
      <c r="D19" s="45">
        <v>5.45</v>
      </c>
      <c r="E19" s="45">
        <v>5.5</v>
      </c>
      <c r="F19" s="45">
        <v>5.5275</v>
      </c>
      <c r="G19" s="45">
        <v>5.5</v>
      </c>
      <c r="H19" s="45">
        <v>5.5875</v>
      </c>
      <c r="I19" s="45">
        <v>5.6</v>
      </c>
      <c r="J19" s="45">
        <v>5.6275</v>
      </c>
      <c r="K19" s="45">
        <v>5.7</v>
      </c>
      <c r="L19" s="45">
        <v>5.8075</v>
      </c>
      <c r="M19" s="46">
        <v>5.7</v>
      </c>
    </row>
    <row r="20" spans="1:13" customHeight="1" ht="15.75">
      <c r="A20" s="226"/>
      <c r="B20" s="39">
        <v>4.5</v>
      </c>
      <c r="C20" s="44">
        <v>5.45</v>
      </c>
      <c r="D20" s="45">
        <v>5.5</v>
      </c>
      <c r="E20" s="45">
        <v>5.52</v>
      </c>
      <c r="F20" s="45">
        <v>5.625</v>
      </c>
      <c r="G20" s="45">
        <v>5.59</v>
      </c>
      <c r="H20" s="45">
        <v>5.685</v>
      </c>
      <c r="I20" s="45">
        <v>5.66</v>
      </c>
      <c r="J20" s="45">
        <v>5.695</v>
      </c>
      <c r="K20" s="45">
        <v>5.73</v>
      </c>
      <c r="L20" s="45">
        <v>5.905</v>
      </c>
      <c r="M20" s="46">
        <v>5.8</v>
      </c>
    </row>
    <row r="21" spans="1:13" customHeight="1" ht="15.75">
      <c r="A21" s="226"/>
      <c r="B21" s="39">
        <v>4.6</v>
      </c>
      <c r="C21" s="44">
        <v>5.5</v>
      </c>
      <c r="D21" s="45">
        <v>5.6</v>
      </c>
      <c r="E21" s="45">
        <v>5.6</v>
      </c>
      <c r="F21" s="45">
        <v>5.7225</v>
      </c>
      <c r="G21" s="45">
        <v>5.7</v>
      </c>
      <c r="H21" s="45">
        <v>5.7825</v>
      </c>
      <c r="I21" s="45">
        <v>5.7</v>
      </c>
      <c r="J21" s="45">
        <v>5.7625</v>
      </c>
      <c r="K21" s="45">
        <v>5.8</v>
      </c>
      <c r="L21" s="45">
        <v>6.0025</v>
      </c>
      <c r="M21" s="46">
        <v>5.9</v>
      </c>
    </row>
    <row r="22" spans="1:13" customHeight="1" ht="15.75">
      <c r="A22" s="226"/>
      <c r="B22" s="39">
        <v>4.7</v>
      </c>
      <c r="C22" s="44">
        <v>5.55</v>
      </c>
      <c r="D22" s="45">
        <v>5.6</v>
      </c>
      <c r="E22" s="45">
        <v>5.63</v>
      </c>
      <c r="F22" s="45">
        <v>5.8</v>
      </c>
      <c r="G22" s="45">
        <v>5.8</v>
      </c>
      <c r="H22" s="45">
        <v>5.8</v>
      </c>
      <c r="I22" s="45">
        <v>5.9</v>
      </c>
      <c r="J22" s="45">
        <v>5.83</v>
      </c>
      <c r="K22" s="45">
        <v>5.87</v>
      </c>
      <c r="L22" s="45">
        <v>6.1</v>
      </c>
      <c r="M22" s="46">
        <v>5.95</v>
      </c>
    </row>
    <row r="23" spans="1:13" customHeight="1" ht="15.75">
      <c r="A23" s="226"/>
      <c r="B23" s="39">
        <v>4.8</v>
      </c>
      <c r="C23" s="44">
        <v>5.6</v>
      </c>
      <c r="D23" s="45">
        <v>5.7</v>
      </c>
      <c r="E23" s="45">
        <v>5.7</v>
      </c>
      <c r="F23" s="45">
        <v>5.9175</v>
      </c>
      <c r="G23" s="45">
        <v>5.8</v>
      </c>
      <c r="H23" s="45">
        <v>5.87</v>
      </c>
      <c r="I23" s="45">
        <v>5.9</v>
      </c>
      <c r="J23" s="45">
        <v>5.8875</v>
      </c>
      <c r="K23" s="45">
        <v>5.9</v>
      </c>
      <c r="L23" s="45">
        <v>6.1</v>
      </c>
      <c r="M23" s="46">
        <v>6</v>
      </c>
    </row>
    <row r="24" spans="1:13" customHeight="1" ht="15.75">
      <c r="A24" s="226"/>
      <c r="B24" s="39">
        <v>4.9</v>
      </c>
      <c r="C24" s="44">
        <v>5.7</v>
      </c>
      <c r="D24" s="45">
        <v>5.7</v>
      </c>
      <c r="E24" s="45">
        <v>5.77</v>
      </c>
      <c r="F24" s="45">
        <v>6.015</v>
      </c>
      <c r="G24" s="45">
        <v>5.84</v>
      </c>
      <c r="H24" s="45">
        <v>5.87</v>
      </c>
      <c r="I24" s="45">
        <v>5.9</v>
      </c>
      <c r="J24" s="45">
        <v>5.945</v>
      </c>
      <c r="K24" s="45">
        <v>5.98</v>
      </c>
      <c r="L24" s="45">
        <v>6.1</v>
      </c>
      <c r="M24" s="46">
        <v>6.05</v>
      </c>
    </row>
    <row r="25" spans="1:13" customHeight="1" ht="15.75">
      <c r="A25" s="226"/>
      <c r="B25" s="39">
        <v>5</v>
      </c>
      <c r="C25" s="44">
        <v>5.8</v>
      </c>
      <c r="D25" s="45">
        <v>5.8</v>
      </c>
      <c r="E25" s="45">
        <v>5.8</v>
      </c>
      <c r="F25" s="45">
        <v>5.85</v>
      </c>
      <c r="G25" s="45">
        <v>5.9</v>
      </c>
      <c r="H25" s="45">
        <v>5.8725</v>
      </c>
      <c r="I25" s="45">
        <v>6</v>
      </c>
      <c r="J25" s="45">
        <v>6.02</v>
      </c>
      <c r="K25" s="45">
        <v>6.1</v>
      </c>
      <c r="L25" s="45">
        <v>6.1</v>
      </c>
      <c r="M25" s="46">
        <v>6.1</v>
      </c>
    </row>
    <row r="26" spans="1:13" customHeight="1" ht="15.75">
      <c r="A26" s="226"/>
      <c r="B26" s="39">
        <v>5.1</v>
      </c>
      <c r="C26" s="44">
        <v>5.85</v>
      </c>
      <c r="D26" s="45">
        <v>5.85</v>
      </c>
      <c r="E26" s="45">
        <v>5.92</v>
      </c>
      <c r="F26" s="45">
        <v>5.92</v>
      </c>
      <c r="G26" s="45">
        <v>5.95</v>
      </c>
      <c r="H26" s="45">
        <v>6</v>
      </c>
      <c r="I26" s="45">
        <v>6.06</v>
      </c>
      <c r="J26" s="45">
        <v>6.095</v>
      </c>
      <c r="K26" s="45">
        <v>6.13</v>
      </c>
      <c r="L26" s="45">
        <v>6.2</v>
      </c>
      <c r="M26" s="46">
        <v>6.2</v>
      </c>
    </row>
    <row r="27" spans="1:13" customHeight="1" ht="15.75">
      <c r="A27" s="226"/>
      <c r="B27" s="40">
        <v>5.2</v>
      </c>
      <c r="C27" s="47">
        <v>5.9</v>
      </c>
      <c r="D27" s="48">
        <v>5.94</v>
      </c>
      <c r="E27" s="48">
        <v>6</v>
      </c>
      <c r="F27" s="48">
        <v>6.02</v>
      </c>
      <c r="G27" s="48">
        <v>6</v>
      </c>
      <c r="H27" s="48">
        <v>6.1</v>
      </c>
      <c r="I27" s="48">
        <v>6.1</v>
      </c>
      <c r="J27" s="48">
        <v>6.18</v>
      </c>
      <c r="K27" s="48">
        <v>6.2</v>
      </c>
      <c r="L27" s="48">
        <v>6.26</v>
      </c>
      <c r="M27" s="49">
        <v>6.3</v>
      </c>
    </row>
  </sheetData>
  <mergeCells>
    <mergeCell ref="B1:M1"/>
    <mergeCell ref="A5:A27"/>
    <mergeCell ref="C3:M3"/>
  </mergeCells>
  <printOptions gridLines="false" gridLinesSet="true"/>
  <pageMargins left="0.7" right="0.7" top="0.787401575" bottom="0.7874015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 codeName="Sheet8">
    <outlinePr summaryBelow="1" summaryRight="1"/>
    <pageSetUpPr fitToPage="1"/>
  </sheetPr>
  <dimension ref="A1:AB71"/>
  <sheetViews>
    <sheetView tabSelected="0" workbookViewId="0" zoomScale="70" zoomScaleNormal="70" showGridLines="true" showRowColHeaders="1" topLeftCell="A16">
      <selection activeCell="D57" sqref="D57"/>
    </sheetView>
  </sheetViews>
  <sheetFormatPr defaultRowHeight="14.4" defaultColWidth="11.42578125" outlineLevelRow="0" outlineLevelCol="0"/>
  <cols>
    <col min="1" max="1" width="6.28515625" customWidth="true" style="0"/>
    <col min="2" max="2" width="25.140625" customWidth="true" style="0"/>
    <col min="3" max="3" width="14.42578125" customWidth="true" style="0"/>
    <col min="4" max="4" width="11.42578125" style="0"/>
    <col min="5" max="5" width="6.85546875" customWidth="true" style="0"/>
    <col min="6" max="6" width="24.85546875" customWidth="true" style="0"/>
    <col min="7" max="7" width="18.42578125" customWidth="true" style="0"/>
    <col min="8" max="8" width="9.42578125" customWidth="true" style="0"/>
    <col min="9" max="9" width="5" customWidth="true" style="0"/>
  </cols>
  <sheetData>
    <row r="1" spans="1:28" customHeight="1" ht="8.25">
      <c r="A1" s="178"/>
      <c r="B1" s="178"/>
      <c r="C1" s="178"/>
      <c r="D1" s="178"/>
      <c r="E1" s="178"/>
      <c r="F1" s="178"/>
      <c r="G1" s="178"/>
      <c r="H1" s="178"/>
      <c r="I1" s="178"/>
      <c r="J1" s="199"/>
      <c r="K1" s="199"/>
      <c r="L1" s="199"/>
      <c r="M1" s="199"/>
      <c r="N1" s="199"/>
      <c r="O1" s="199"/>
      <c r="P1" s="199"/>
      <c r="Q1" s="199"/>
      <c r="R1" s="199"/>
      <c r="S1" s="199"/>
      <c r="T1" s="199"/>
      <c r="U1" s="199"/>
      <c r="V1" s="199"/>
      <c r="W1" s="199"/>
      <c r="X1" s="199"/>
      <c r="Y1" s="199"/>
      <c r="Z1" s="199"/>
      <c r="AA1" s="199"/>
      <c r="AB1" s="199"/>
    </row>
    <row r="2" spans="1:28">
      <c r="A2" s="178"/>
      <c r="B2" s="178"/>
      <c r="C2" s="178"/>
      <c r="D2" s="178"/>
      <c r="E2" s="178"/>
      <c r="F2" s="178"/>
      <c r="G2" s="178"/>
      <c r="H2" s="178"/>
      <c r="I2" s="178"/>
      <c r="J2" s="199"/>
      <c r="K2" s="199"/>
      <c r="L2" s="199"/>
      <c r="M2" s="199"/>
      <c r="N2" s="199"/>
      <c r="O2" s="199"/>
      <c r="P2" s="199"/>
      <c r="Q2" s="199"/>
      <c r="R2" s="199"/>
      <c r="S2" s="199"/>
      <c r="T2" s="199"/>
      <c r="U2" s="199"/>
      <c r="V2" s="199"/>
      <c r="W2" s="199"/>
      <c r="X2" s="199"/>
      <c r="Y2" s="199"/>
      <c r="Z2" s="199"/>
      <c r="AA2" s="199"/>
      <c r="AB2" s="199"/>
    </row>
    <row r="3" spans="1:28" customHeight="1" ht="12.75">
      <c r="A3" s="178"/>
      <c r="B3" s="232" t="s">
        <v>177</v>
      </c>
      <c r="C3" s="232"/>
      <c r="D3" s="232"/>
      <c r="E3" s="232"/>
      <c r="F3" s="232"/>
      <c r="G3" s="232"/>
      <c r="H3" s="232"/>
      <c r="I3" s="178"/>
      <c r="J3" s="199"/>
      <c r="K3" s="199"/>
      <c r="L3" s="199"/>
      <c r="M3" s="199"/>
      <c r="N3" s="199"/>
      <c r="O3" s="199"/>
      <c r="P3" s="199"/>
      <c r="Q3" s="199"/>
      <c r="R3" s="199"/>
      <c r="S3" s="199"/>
      <c r="T3" s="199"/>
      <c r="U3" s="199"/>
      <c r="V3" s="199"/>
      <c r="W3" s="199"/>
      <c r="X3" s="199"/>
      <c r="Y3" s="199"/>
      <c r="Z3" s="199"/>
      <c r="AA3" s="199"/>
      <c r="AB3" s="199"/>
    </row>
    <row r="4" spans="1:28" customHeight="1" ht="12.75">
      <c r="A4" s="178"/>
      <c r="B4" s="232"/>
      <c r="C4" s="232"/>
      <c r="D4" s="232"/>
      <c r="E4" s="232"/>
      <c r="F4" s="232"/>
      <c r="G4" s="232"/>
      <c r="H4" s="232"/>
      <c r="I4" s="178"/>
      <c r="J4" s="199"/>
      <c r="K4" s="199"/>
      <c r="L4" s="199"/>
      <c r="M4" s="199"/>
      <c r="N4" s="199"/>
      <c r="O4" s="199"/>
      <c r="P4" s="199"/>
      <c r="Q4" s="199"/>
      <c r="R4" s="199"/>
      <c r="S4" s="199"/>
      <c r="T4" s="199"/>
      <c r="U4" s="199"/>
      <c r="V4" s="199"/>
      <c r="W4" s="199"/>
      <c r="X4" s="199"/>
      <c r="Y4" s="199"/>
      <c r="Z4" s="199"/>
      <c r="AA4" s="199"/>
      <c r="AB4" s="199"/>
    </row>
    <row r="5" spans="1:28" customHeight="1" ht="12.75">
      <c r="A5" s="178"/>
      <c r="B5" s="232"/>
      <c r="C5" s="232"/>
      <c r="D5" s="232"/>
      <c r="E5" s="232"/>
      <c r="F5" s="232"/>
      <c r="G5" s="232"/>
      <c r="H5" s="232"/>
      <c r="I5" s="178"/>
      <c r="J5" s="199"/>
      <c r="K5" s="199"/>
      <c r="L5" s="199"/>
      <c r="M5" s="199"/>
      <c r="N5" s="199"/>
      <c r="O5" s="199"/>
      <c r="P5" s="199"/>
      <c r="Q5" s="199"/>
      <c r="R5" s="199"/>
      <c r="S5" s="199"/>
      <c r="T5" s="199"/>
      <c r="U5" s="199"/>
      <c r="V5" s="199"/>
      <c r="W5" s="199"/>
      <c r="X5" s="199"/>
      <c r="Y5" s="199"/>
      <c r="Z5" s="199"/>
      <c r="AA5" s="199"/>
      <c r="AB5" s="199"/>
    </row>
    <row r="6" spans="1:28">
      <c r="A6" s="178"/>
      <c r="B6" s="178"/>
      <c r="C6" s="178"/>
      <c r="D6" s="178"/>
      <c r="E6" s="178"/>
      <c r="F6" s="178"/>
      <c r="G6" s="178"/>
      <c r="H6" s="178"/>
      <c r="I6" s="178"/>
      <c r="J6" s="199"/>
      <c r="K6" s="199"/>
      <c r="L6" s="199"/>
      <c r="M6" s="199"/>
      <c r="N6" s="199"/>
      <c r="O6" s="199"/>
      <c r="P6" s="199"/>
      <c r="Q6" s="199"/>
      <c r="R6" s="199"/>
      <c r="S6" s="199"/>
      <c r="T6" s="199"/>
      <c r="U6" s="199"/>
      <c r="V6" s="199"/>
      <c r="W6" s="199"/>
      <c r="X6" s="199"/>
      <c r="Y6" s="199"/>
      <c r="Z6" s="199"/>
      <c r="AA6" s="199"/>
      <c r="AB6" s="199"/>
    </row>
    <row r="7" spans="1:28">
      <c r="A7" s="178"/>
      <c r="B7" s="178"/>
      <c r="C7" s="178"/>
      <c r="D7" s="178"/>
      <c r="E7" s="178"/>
      <c r="F7" s="178"/>
      <c r="G7" s="178"/>
      <c r="H7" s="178"/>
      <c r="I7" s="178"/>
      <c r="J7" s="199"/>
      <c r="K7" s="199"/>
      <c r="L7" s="199"/>
      <c r="M7" s="199"/>
      <c r="N7" s="199"/>
      <c r="O7" s="199"/>
      <c r="P7" s="199"/>
      <c r="Q7" s="199"/>
      <c r="R7" s="199"/>
      <c r="S7" s="199"/>
      <c r="T7" s="199"/>
      <c r="U7" s="199"/>
      <c r="V7" s="199"/>
      <c r="W7" s="199"/>
      <c r="X7" s="199"/>
      <c r="Y7" s="199"/>
      <c r="Z7" s="199"/>
      <c r="AA7" s="199"/>
      <c r="AB7" s="199"/>
    </row>
    <row r="8" spans="1:28">
      <c r="A8" s="178"/>
      <c r="B8" s="178"/>
      <c r="C8" s="178"/>
      <c r="D8" s="178"/>
      <c r="E8" s="178"/>
      <c r="F8" s="178"/>
      <c r="G8" s="178"/>
      <c r="H8" s="178"/>
      <c r="I8" s="178"/>
      <c r="J8" s="199"/>
      <c r="K8" s="199"/>
      <c r="L8" s="199"/>
      <c r="M8" s="199"/>
      <c r="N8" s="199"/>
      <c r="O8" s="199"/>
      <c r="P8" s="199"/>
      <c r="Q8" s="199"/>
      <c r="R8" s="199"/>
      <c r="S8" s="199"/>
      <c r="T8" s="199"/>
      <c r="U8" s="199"/>
      <c r="V8" s="199"/>
      <c r="W8" s="199"/>
      <c r="X8" s="199"/>
      <c r="Y8" s="199"/>
      <c r="Z8" s="199"/>
      <c r="AA8" s="199"/>
      <c r="AB8" s="199"/>
    </row>
    <row r="9" spans="1:28">
      <c r="A9" s="178"/>
      <c r="B9" s="178"/>
      <c r="C9" s="178"/>
      <c r="D9" s="178"/>
      <c r="E9" s="178"/>
      <c r="F9" s="179" t="s">
        <v>178</v>
      </c>
      <c r="G9" s="180">
        <f>TODAY()</f>
        <v>45826</v>
      </c>
      <c r="H9" s="178"/>
      <c r="I9" s="178"/>
      <c r="J9" s="199"/>
      <c r="K9" s="199"/>
      <c r="L9" s="199"/>
      <c r="M9" s="199"/>
      <c r="N9" s="199"/>
      <c r="O9" s="199"/>
      <c r="P9" s="199"/>
      <c r="Q9" s="199"/>
      <c r="R9" s="199"/>
      <c r="S9" s="199"/>
      <c r="T9" s="199"/>
      <c r="U9" s="199"/>
      <c r="V9" s="199"/>
      <c r="W9" s="199"/>
      <c r="X9" s="199"/>
      <c r="Y9" s="199"/>
      <c r="Z9" s="199"/>
      <c r="AA9" s="199"/>
      <c r="AB9" s="199"/>
    </row>
    <row r="10" spans="1:28">
      <c r="A10" s="178"/>
      <c r="B10" s="178"/>
      <c r="C10" s="178"/>
      <c r="D10" s="178"/>
      <c r="E10" s="178"/>
      <c r="F10" s="179" t="s">
        <v>179</v>
      </c>
      <c r="G10" s="181"/>
      <c r="H10" s="178"/>
      <c r="I10" s="178"/>
      <c r="J10" s="199"/>
      <c r="K10" s="199"/>
      <c r="L10" s="199"/>
      <c r="M10" s="199"/>
      <c r="N10" s="199"/>
      <c r="O10" s="199"/>
      <c r="P10" s="199"/>
      <c r="Q10" s="199"/>
      <c r="R10" s="199"/>
      <c r="S10" s="199"/>
      <c r="T10" s="199"/>
      <c r="U10" s="199"/>
      <c r="V10" s="199"/>
      <c r="W10" s="199"/>
      <c r="X10" s="199"/>
      <c r="Y10" s="199"/>
      <c r="Z10" s="199"/>
      <c r="AA10" s="199"/>
      <c r="AB10" s="199"/>
    </row>
    <row r="11" spans="1:28">
      <c r="A11" s="178"/>
      <c r="B11" s="178"/>
      <c r="C11" s="178"/>
      <c r="D11" s="178"/>
      <c r="E11" s="178"/>
      <c r="F11" s="179" t="s">
        <v>180</v>
      </c>
      <c r="G11" s="178"/>
      <c r="H11" s="178"/>
      <c r="I11" s="178"/>
      <c r="J11" s="199"/>
      <c r="K11" s="199"/>
      <c r="L11" s="199"/>
      <c r="M11" s="199"/>
      <c r="N11" s="199"/>
      <c r="O11" s="199"/>
      <c r="P11" s="199"/>
      <c r="Q11" s="199"/>
      <c r="R11" s="199"/>
      <c r="S11" s="199"/>
      <c r="T11" s="199"/>
      <c r="U11" s="199"/>
      <c r="V11" s="199"/>
      <c r="W11" s="199"/>
      <c r="X11" s="199"/>
      <c r="Y11" s="199"/>
      <c r="Z11" s="199"/>
      <c r="AA11" s="199"/>
      <c r="AB11" s="199"/>
    </row>
    <row r="12" spans="1:28">
      <c r="A12" s="178"/>
      <c r="B12" s="178"/>
      <c r="C12" s="178"/>
      <c r="D12" s="178"/>
      <c r="E12" s="178"/>
      <c r="F12" s="179" t="s">
        <v>181</v>
      </c>
      <c r="G12" s="178" t="s">
        <v>182</v>
      </c>
      <c r="H12" s="178"/>
      <c r="I12" s="178"/>
      <c r="J12" s="199"/>
      <c r="K12" s="199"/>
      <c r="L12" s="199"/>
      <c r="M12" s="199"/>
      <c r="N12" s="199"/>
      <c r="O12" s="199"/>
      <c r="P12" s="199"/>
      <c r="Q12" s="199"/>
      <c r="R12" s="199"/>
      <c r="S12" s="199"/>
      <c r="T12" s="199"/>
      <c r="U12" s="199"/>
      <c r="V12" s="199"/>
      <c r="W12" s="199"/>
      <c r="X12" s="199"/>
      <c r="Y12" s="199"/>
      <c r="Z12" s="199"/>
      <c r="AA12" s="199"/>
      <c r="AB12" s="199"/>
    </row>
    <row r="13" spans="1:28" customHeight="1" ht="25.5">
      <c r="A13" s="178"/>
      <c r="B13" s="179" t="s">
        <v>183</v>
      </c>
      <c r="C13" s="178"/>
      <c r="D13" s="178"/>
      <c r="E13" s="178"/>
      <c r="F13" s="228" t="s">
        <v>184</v>
      </c>
      <c r="G13" s="228"/>
      <c r="H13" s="178"/>
      <c r="I13" s="178"/>
      <c r="J13" s="199"/>
      <c r="K13" s="199"/>
      <c r="L13" s="199"/>
      <c r="M13" s="199"/>
      <c r="N13" s="199"/>
      <c r="O13" s="199"/>
      <c r="P13" s="199"/>
      <c r="Q13" s="199"/>
      <c r="R13" s="199"/>
      <c r="S13" s="199"/>
      <c r="T13" s="199"/>
      <c r="U13" s="199"/>
      <c r="V13" s="199"/>
      <c r="W13" s="199"/>
      <c r="X13" s="199"/>
      <c r="Y13" s="199"/>
      <c r="Z13" s="199"/>
    </row>
    <row r="14" spans="1:28">
      <c r="A14" s="178"/>
      <c r="B14" s="178"/>
      <c r="C14" s="178"/>
      <c r="D14" s="178"/>
      <c r="E14" s="178"/>
      <c r="F14" s="178"/>
      <c r="G14" s="178"/>
      <c r="H14" s="178"/>
      <c r="I14" s="178"/>
      <c r="J14" s="199"/>
      <c r="K14" s="199"/>
      <c r="L14" s="199"/>
      <c r="M14" s="199"/>
      <c r="N14" s="199"/>
      <c r="O14" s="199"/>
      <c r="P14" s="199"/>
      <c r="Q14" s="199"/>
      <c r="R14" s="199"/>
      <c r="S14" s="199"/>
      <c r="T14" s="199"/>
      <c r="U14" s="199"/>
      <c r="V14" s="199"/>
      <c r="W14" s="199"/>
      <c r="X14" s="199"/>
      <c r="Y14" s="199"/>
      <c r="Z14" s="199"/>
    </row>
    <row r="15" spans="1:28">
      <c r="A15" s="178"/>
      <c r="B15" s="182" t="str">
        <f>'Cow req'!A4</f>
        <v>Live weight (kg)</v>
      </c>
      <c r="C15" s="183">
        <f>'Cow req'!C4</f>
        <v>550</v>
      </c>
      <c r="D15" s="178"/>
      <c r="E15" s="178"/>
      <c r="F15" s="178"/>
      <c r="G15" s="182" t="s">
        <v>185</v>
      </c>
      <c r="H15" s="182" t="s">
        <v>186</v>
      </c>
      <c r="I15" s="178"/>
      <c r="J15" s="199"/>
      <c r="K15" s="199"/>
      <c r="L15" s="199"/>
      <c r="M15" s="199"/>
      <c r="N15" s="199"/>
      <c r="O15" s="199"/>
      <c r="P15" s="199"/>
      <c r="Q15" s="199"/>
      <c r="R15" s="199"/>
      <c r="S15" s="199"/>
      <c r="T15" s="199"/>
      <c r="U15" s="199"/>
      <c r="V15" s="199"/>
      <c r="W15" s="199"/>
      <c r="X15" s="199"/>
      <c r="Y15" s="199"/>
      <c r="Z15" s="199"/>
    </row>
    <row r="16" spans="1:28" customHeight="1" ht="25.5">
      <c r="A16" s="178"/>
      <c r="B16" s="182" t="str">
        <f>'Cow req'!A5</f>
        <v>Pregnancy (mth)</v>
      </c>
      <c r="C16" s="182">
        <f>'Cow req'!C5</f>
        <v>0</v>
      </c>
      <c r="D16" s="178"/>
      <c r="E16" s="178"/>
      <c r="F16" s="182" t="s">
        <v>187</v>
      </c>
      <c r="G16" s="182">
        <f>'Cow req'!D10</f>
        <v>711</v>
      </c>
      <c r="H16" s="182">
        <f>'Ration form'!F33</f>
        <v>287.592504</v>
      </c>
      <c r="I16" s="178"/>
      <c r="J16" s="199"/>
      <c r="K16" s="199"/>
      <c r="L16" s="199"/>
      <c r="M16" s="199"/>
      <c r="N16" s="199"/>
      <c r="O16" s="199"/>
      <c r="P16" s="199"/>
      <c r="Q16" s="199"/>
      <c r="R16" s="199"/>
      <c r="S16" s="199"/>
      <c r="T16" s="199"/>
      <c r="U16" s="199"/>
      <c r="V16" s="199"/>
      <c r="W16" s="199"/>
      <c r="X16" s="199"/>
      <c r="Y16" s="199"/>
      <c r="Z16" s="199"/>
    </row>
    <row r="17" spans="1:28">
      <c r="A17" s="178"/>
      <c r="B17" s="182" t="str">
        <f>"Milk "&amp;'Cow req'!B6</f>
        <v>Milk Volume (kg)</v>
      </c>
      <c r="C17" s="182">
        <f>'Cow req'!C6</f>
        <v>25</v>
      </c>
      <c r="D17" s="178"/>
      <c r="E17" s="178"/>
      <c r="F17" s="182" t="s">
        <v>188</v>
      </c>
      <c r="G17" s="184">
        <f>'Ration form'!G35/100</f>
        <v>3.2725</v>
      </c>
      <c r="H17" s="184">
        <f>'Ration form'!G33</f>
        <v>4.482154</v>
      </c>
      <c r="I17" s="178"/>
      <c r="J17" s="199"/>
      <c r="K17" s="199"/>
      <c r="L17" s="199"/>
      <c r="M17" s="199"/>
      <c r="N17" s="199"/>
      <c r="O17" s="199"/>
      <c r="P17" s="199"/>
      <c r="Q17" s="199"/>
      <c r="R17" s="199"/>
      <c r="S17" s="199"/>
      <c r="T17" s="199"/>
      <c r="U17" s="199"/>
      <c r="V17" s="199"/>
      <c r="W17" s="199"/>
      <c r="X17" s="199"/>
      <c r="Y17" s="199"/>
      <c r="Z17" s="199"/>
    </row>
    <row r="18" spans="1:28">
      <c r="A18" s="178"/>
      <c r="B18" s="182" t="str">
        <f>'Cow req'!B7</f>
        <v>Milk fat (%)</v>
      </c>
      <c r="C18" s="182">
        <f>'Cow req'!C7</f>
        <v>3.5</v>
      </c>
      <c r="D18" s="178"/>
      <c r="E18" s="178"/>
      <c r="F18" s="182" t="s">
        <v>189</v>
      </c>
      <c r="G18" s="184">
        <f>'Ration form'!I35</f>
        <v>154</v>
      </c>
      <c r="H18" s="184">
        <f>'Ration form'!I33</f>
        <v>75.6356</v>
      </c>
      <c r="I18" s="178"/>
      <c r="J18" s="199"/>
      <c r="K18" s="199"/>
      <c r="L18" s="199"/>
      <c r="M18" s="199"/>
      <c r="N18" s="199"/>
      <c r="O18" s="199"/>
      <c r="P18" s="199"/>
      <c r="Q18" s="199"/>
      <c r="R18" s="199"/>
      <c r="S18" s="199"/>
      <c r="T18" s="199"/>
      <c r="U18" s="199"/>
      <c r="V18" s="199"/>
      <c r="W18" s="199"/>
      <c r="X18" s="199"/>
      <c r="Y18" s="199"/>
      <c r="Z18" s="199"/>
    </row>
    <row r="19" spans="1:28">
      <c r="A19" s="178"/>
      <c r="B19" s="182" t="str">
        <f>'Cow req'!B8</f>
        <v>Milk protein (%)</v>
      </c>
      <c r="C19" s="182">
        <f>'Cow req'!C8</f>
        <v>3</v>
      </c>
      <c r="D19" s="178"/>
      <c r="E19" s="178"/>
      <c r="F19" s="182" t="s">
        <v>190</v>
      </c>
      <c r="G19" s="184">
        <f>'Ration form'!J35</f>
        <v>77</v>
      </c>
      <c r="H19" s="184">
        <f>'Ration form'!J33</f>
        <v>108.62314</v>
      </c>
      <c r="I19" s="178"/>
      <c r="J19" s="199"/>
      <c r="K19" s="199"/>
      <c r="L19" s="199"/>
      <c r="M19" s="199"/>
      <c r="N19" s="199"/>
      <c r="O19" s="199"/>
      <c r="P19" s="199"/>
      <c r="Q19" s="199"/>
      <c r="R19" s="199"/>
      <c r="S19" s="199"/>
      <c r="T19" s="199"/>
      <c r="U19" s="199"/>
      <c r="V19" s="199"/>
      <c r="W19" s="199"/>
      <c r="X19" s="199"/>
      <c r="Y19" s="199"/>
      <c r="Z19" s="199"/>
    </row>
    <row r="20" spans="1:28" customHeight="1" ht="25.5">
      <c r="A20" s="178"/>
      <c r="B20" s="182" t="str">
        <f>'Cow req'!B9</f>
        <v>Live weight gain/loss (kg/d)</v>
      </c>
      <c r="C20" s="182">
        <f>'Cow req'!C9</f>
        <v>12</v>
      </c>
      <c r="D20" s="178"/>
      <c r="E20" s="178"/>
      <c r="F20" s="182" t="s">
        <v>191</v>
      </c>
      <c r="G20" s="185">
        <f>'Ration form'!H35</f>
        <v>0.3</v>
      </c>
      <c r="H20" s="186">
        <f>'Ration form'!H34</f>
        <v>0.43681960985404</v>
      </c>
      <c r="I20" s="178"/>
      <c r="J20" s="199"/>
      <c r="K20" s="199"/>
      <c r="L20" s="199"/>
      <c r="M20" s="199"/>
      <c r="N20" s="199"/>
      <c r="O20" s="199"/>
      <c r="P20" s="199"/>
      <c r="Q20" s="199"/>
      <c r="R20" s="199"/>
      <c r="S20" s="199"/>
      <c r="T20" s="199"/>
      <c r="U20" s="199"/>
      <c r="V20" s="199"/>
      <c r="W20" s="199"/>
      <c r="X20" s="199"/>
      <c r="Y20" s="199"/>
      <c r="Z20" s="199"/>
    </row>
    <row r="21" spans="1:28">
      <c r="A21" s="178"/>
      <c r="B21" s="182" t="str">
        <f>'Cow req'!A13</f>
        <v>Stage of lactation</v>
      </c>
      <c r="C21" s="182" t="str">
        <f>'Cow req'!B13</f>
        <v>Early lactation</v>
      </c>
      <c r="D21" s="178"/>
      <c r="E21" s="178"/>
      <c r="F21" s="178"/>
      <c r="G21" s="178"/>
      <c r="H21" s="178"/>
      <c r="I21" s="178"/>
      <c r="J21" s="199"/>
      <c r="K21" s="199"/>
      <c r="L21" s="199"/>
      <c r="M21" s="199"/>
      <c r="N21" s="199"/>
      <c r="O21" s="199"/>
      <c r="P21" s="199"/>
      <c r="Q21" s="199"/>
      <c r="R21" s="199"/>
      <c r="S21" s="199"/>
      <c r="T21" s="199"/>
      <c r="U21" s="199"/>
      <c r="V21" s="199"/>
      <c r="W21" s="199"/>
      <c r="X21" s="199"/>
      <c r="Y21" s="199"/>
      <c r="Z21" s="199"/>
    </row>
    <row r="22" spans="1:28">
      <c r="A22" s="178"/>
      <c r="B22" s="178"/>
      <c r="C22" s="178"/>
      <c r="D22" s="178"/>
      <c r="E22" s="178"/>
      <c r="F22" s="178"/>
      <c r="G22" s="182" t="s">
        <v>192</v>
      </c>
      <c r="H22" s="182" t="s">
        <v>193</v>
      </c>
      <c r="I22" s="178"/>
      <c r="J22" s="199"/>
      <c r="K22" s="199"/>
      <c r="L22" s="199"/>
      <c r="M22" s="199"/>
      <c r="N22" s="199"/>
      <c r="O22" s="199"/>
      <c r="P22" s="199"/>
      <c r="Q22" s="199"/>
      <c r="R22" s="199"/>
      <c r="S22" s="199"/>
      <c r="T22" s="199"/>
      <c r="U22" s="199"/>
      <c r="V22" s="199"/>
      <c r="W22" s="199"/>
      <c r="X22" s="199"/>
      <c r="Y22" s="199"/>
      <c r="Z22" s="199"/>
    </row>
    <row r="23" spans="1:28">
      <c r="A23" s="178"/>
      <c r="B23" s="178"/>
      <c r="C23" s="178"/>
      <c r="D23" s="178"/>
      <c r="E23" s="178"/>
      <c r="F23" s="182" t="s">
        <v>194</v>
      </c>
      <c r="G23" s="182">
        <f>'Ration form'!H37</f>
        <v>19.25</v>
      </c>
      <c r="H23" s="184">
        <f>'Ration form'!E33</f>
        <v>27.6922</v>
      </c>
      <c r="I23" s="178"/>
      <c r="J23" s="199"/>
      <c r="K23" s="199"/>
      <c r="L23" s="199"/>
      <c r="M23" s="199"/>
      <c r="N23" s="199"/>
      <c r="O23" s="199"/>
      <c r="P23" s="199"/>
      <c r="Q23" s="199"/>
      <c r="R23" s="199"/>
      <c r="S23" s="199"/>
      <c r="T23" s="199"/>
      <c r="U23" s="199"/>
      <c r="V23" s="199"/>
      <c r="W23" s="199"/>
      <c r="X23" s="199"/>
      <c r="Y23" s="199"/>
      <c r="Z23" s="199"/>
    </row>
    <row r="24" spans="1:28">
      <c r="A24" s="178"/>
      <c r="B24" s="178"/>
      <c r="C24" s="178"/>
      <c r="D24" s="178"/>
      <c r="E24" s="178"/>
      <c r="F24" s="182" t="s">
        <v>195</v>
      </c>
      <c r="G24" s="185">
        <f>'Ration form'!K35</f>
        <v>0.7</v>
      </c>
      <c r="H24" s="186">
        <f>'Ration form'!K34</f>
        <v>0.63163482857989</v>
      </c>
      <c r="I24" s="178"/>
      <c r="J24" s="199"/>
      <c r="K24" s="199"/>
      <c r="L24" s="199"/>
      <c r="M24" s="199"/>
      <c r="N24" s="199"/>
      <c r="O24" s="199"/>
      <c r="P24" s="199"/>
      <c r="Q24" s="199"/>
      <c r="R24" s="199"/>
      <c r="S24" s="199"/>
      <c r="T24" s="199"/>
      <c r="U24" s="199"/>
      <c r="V24" s="199"/>
      <c r="W24" s="199"/>
      <c r="X24" s="199"/>
      <c r="Y24" s="199"/>
      <c r="Z24" s="199"/>
    </row>
    <row r="25" spans="1:28">
      <c r="A25" s="178"/>
      <c r="B25" s="179" t="s">
        <v>196</v>
      </c>
      <c r="C25" s="178"/>
      <c r="D25" s="178"/>
      <c r="E25" s="178"/>
      <c r="F25" s="178"/>
      <c r="G25" s="178"/>
      <c r="H25" s="178"/>
      <c r="I25" s="178"/>
      <c r="J25" s="199"/>
      <c r="K25" s="199"/>
      <c r="L25" s="199"/>
      <c r="M25" s="199"/>
      <c r="N25" s="199"/>
      <c r="O25" s="199"/>
      <c r="P25" s="199"/>
      <c r="Q25" s="199"/>
      <c r="R25" s="199"/>
      <c r="S25" s="199"/>
      <c r="T25" s="199"/>
      <c r="U25" s="199"/>
      <c r="V25" s="199"/>
      <c r="W25" s="199"/>
      <c r="X25" s="199"/>
      <c r="Y25" s="199"/>
      <c r="Z25" s="199"/>
    </row>
    <row r="26" spans="1:28">
      <c r="A26" s="178"/>
      <c r="B26" s="178"/>
      <c r="C26" s="178"/>
      <c r="D26" s="178"/>
      <c r="E26" s="178"/>
      <c r="F26" s="178"/>
      <c r="G26" s="178"/>
      <c r="H26" s="178"/>
      <c r="I26" s="178"/>
      <c r="J26" s="199"/>
      <c r="K26" s="199"/>
      <c r="L26" s="199"/>
      <c r="M26" s="199"/>
      <c r="N26" s="199"/>
      <c r="O26" s="199"/>
      <c r="P26" s="199"/>
      <c r="Q26" s="199"/>
      <c r="R26" s="199"/>
      <c r="S26" s="199"/>
      <c r="T26" s="199"/>
      <c r="U26" s="199"/>
      <c r="V26" s="199"/>
      <c r="W26" s="199"/>
      <c r="X26" s="199"/>
      <c r="Y26" s="199"/>
      <c r="Z26" s="199"/>
    </row>
    <row r="27" spans="1:28" customHeight="1" ht="38.25">
      <c r="A27" s="178"/>
      <c r="B27" s="229" t="str">
        <f>'Ration form'!B3</f>
        <v>Ration ingredients</v>
      </c>
      <c r="C27" s="229"/>
      <c r="D27" s="187" t="str">
        <f>'Ration form'!D3</f>
        <v>Fresh feed intake (kg/d)</v>
      </c>
      <c r="E27" s="178"/>
      <c r="F27" s="228" t="str">
        <f>MIFC!A1</f>
        <v>Milk income less feed cost (MIFC)</v>
      </c>
      <c r="G27" s="228"/>
      <c r="H27" s="228"/>
      <c r="I27" s="178"/>
      <c r="J27" s="199"/>
      <c r="K27" s="199"/>
      <c r="L27" s="199"/>
      <c r="M27" s="199"/>
      <c r="N27" s="199"/>
      <c r="O27" s="199"/>
      <c r="P27" s="199"/>
      <c r="Q27" s="199"/>
      <c r="R27" s="199"/>
      <c r="S27" s="199"/>
      <c r="T27" s="199"/>
      <c r="U27" s="199"/>
      <c r="V27" s="199"/>
      <c r="W27" s="199"/>
      <c r="X27" s="199"/>
      <c r="Y27" s="199"/>
      <c r="Z27" s="199"/>
    </row>
    <row r="28" spans="1:28">
      <c r="A28" s="178">
        <v>1</v>
      </c>
      <c r="B28" s="229" t="str">
        <f>IF('Ration form'!B4="&lt;Empty&gt;","",'Ration form'!B4)</f>
        <v>Chana churi/ soya chilka</v>
      </c>
      <c r="C28" s="229"/>
      <c r="D28" s="182">
        <f>IF('Ration form'!B4="&lt;Empty&gt;","",'Ration form'!D4)</f>
        <v>10</v>
      </c>
      <c r="E28" s="178"/>
      <c r="F28" s="178"/>
      <c r="G28" s="178"/>
      <c r="H28" s="178"/>
      <c r="I28" s="178"/>
      <c r="J28" s="199"/>
      <c r="K28" s="199"/>
      <c r="L28" s="199"/>
      <c r="M28" s="199"/>
      <c r="N28" s="199"/>
      <c r="O28" s="199"/>
      <c r="P28" s="199"/>
      <c r="Q28" s="199"/>
      <c r="R28" s="199"/>
      <c r="S28" s="199"/>
      <c r="T28" s="199"/>
      <c r="U28" s="199"/>
      <c r="V28" s="199"/>
      <c r="W28" s="199"/>
      <c r="X28" s="199"/>
      <c r="Y28" s="199"/>
      <c r="Z28" s="199"/>
    </row>
    <row r="29" spans="1:28">
      <c r="A29" s="178">
        <v>2</v>
      </c>
      <c r="B29" s="229" t="str">
        <f>IF('Ration form'!B5="&lt;Empty&gt;","",'Ration form'!B5)</f>
        <v>Green fodder(maize)</v>
      </c>
      <c r="C29" s="229"/>
      <c r="D29" s="182">
        <f>IF('Ration form'!B5="&lt;Empty&gt;","",'Ration form'!D5)</f>
        <v>0</v>
      </c>
      <c r="E29" s="178"/>
      <c r="F29" s="233" t="s">
        <v>197</v>
      </c>
      <c r="G29" s="234"/>
      <c r="H29" s="182">
        <f>MIFC!D12</f>
        <v>40</v>
      </c>
      <c r="I29" s="178"/>
      <c r="J29" s="199"/>
      <c r="K29" s="199"/>
      <c r="L29" s="199"/>
      <c r="M29" s="199"/>
      <c r="N29" s="199"/>
      <c r="O29" s="199"/>
      <c r="P29" s="199"/>
      <c r="Q29" s="199"/>
      <c r="R29" s="199"/>
      <c r="S29" s="199"/>
      <c r="T29" s="199"/>
      <c r="U29" s="199"/>
      <c r="V29" s="199"/>
      <c r="W29" s="199"/>
      <c r="X29" s="199"/>
      <c r="Y29" s="199"/>
      <c r="Z29" s="199"/>
    </row>
    <row r="30" spans="1:28">
      <c r="A30" s="178">
        <v>3</v>
      </c>
      <c r="B30" s="229" t="str">
        <f>IF('Ration form'!B6="&lt;Empty&gt;","",'Ration form'!B6)</f>
        <v>Silage maize</v>
      </c>
      <c r="C30" s="229"/>
      <c r="D30" s="182">
        <f>IF('Ration form'!B6="&lt;Empty&gt;","",'Ration form'!D6)</f>
        <v>14</v>
      </c>
      <c r="E30" s="178"/>
      <c r="F30" s="233" t="s">
        <v>198</v>
      </c>
      <c r="G30" s="234"/>
      <c r="H30" s="182">
        <f>MIFC!E12</f>
        <v>1000</v>
      </c>
      <c r="I30" s="178"/>
      <c r="J30" s="199"/>
      <c r="K30" s="199"/>
      <c r="L30" s="199"/>
      <c r="M30" s="199"/>
      <c r="N30" s="199"/>
      <c r="O30" s="199"/>
      <c r="P30" s="199"/>
      <c r="Q30" s="199"/>
      <c r="R30" s="199"/>
      <c r="S30" s="199"/>
      <c r="T30" s="199"/>
      <c r="U30" s="199"/>
      <c r="V30" s="199"/>
      <c r="W30" s="199"/>
      <c r="X30" s="199"/>
      <c r="Y30" s="199"/>
      <c r="Z30" s="199"/>
    </row>
    <row r="31" spans="1:28">
      <c r="A31" s="178">
        <v>4</v>
      </c>
      <c r="B31" s="229" t="str">
        <f>IF('Ration form'!B7="&lt;Empty&gt;","",'Ration form'!B7)</f>
        <v>Cotton cake</v>
      </c>
      <c r="C31" s="229"/>
      <c r="D31" s="182">
        <f>IF('Ration form'!B7="&lt;Empty&gt;","",'Ration form'!D7)</f>
        <v>1.92</v>
      </c>
      <c r="E31" s="178"/>
      <c r="F31" s="233" t="s">
        <v>199</v>
      </c>
      <c r="G31" s="234"/>
      <c r="H31" s="182">
        <f>MIFC!E14</f>
        <v>503.1</v>
      </c>
      <c r="I31" s="178"/>
      <c r="J31" s="199"/>
      <c r="K31" s="199"/>
      <c r="L31" s="199"/>
      <c r="M31" s="199"/>
      <c r="N31" s="199"/>
      <c r="O31" s="199"/>
      <c r="P31" s="199"/>
      <c r="Q31" s="199"/>
      <c r="R31" s="199"/>
      <c r="S31" s="199"/>
      <c r="T31" s="199"/>
      <c r="U31" s="199"/>
      <c r="V31" s="199"/>
      <c r="W31" s="199"/>
      <c r="X31" s="199"/>
      <c r="Y31" s="199"/>
      <c r="Z31" s="199"/>
    </row>
    <row r="32" spans="1:28">
      <c r="A32" s="178">
        <v>5</v>
      </c>
      <c r="B32" s="229" t="str">
        <f>IF('Ration form'!B8="&lt;Empty&gt;","",'Ration form'!B8)</f>
        <v>Cotton seed</v>
      </c>
      <c r="C32" s="229"/>
      <c r="D32" s="182">
        <f>IF('Ration form'!B8="&lt;Empty&gt;","",'Ration form'!D8)</f>
        <v/>
      </c>
      <c r="E32" s="178"/>
      <c r="F32" s="233" t="s">
        <v>200</v>
      </c>
      <c r="G32" s="234"/>
      <c r="H32" s="182">
        <f>MIFC!E16</f>
        <v>496.9</v>
      </c>
      <c r="I32" s="178"/>
      <c r="J32" s="199"/>
      <c r="K32" s="199"/>
      <c r="L32" s="199"/>
      <c r="M32" s="199"/>
      <c r="N32" s="199"/>
      <c r="O32" s="199"/>
      <c r="P32" s="199"/>
      <c r="Q32" s="199"/>
      <c r="R32" s="199"/>
      <c r="S32" s="199"/>
      <c r="T32" s="199"/>
      <c r="U32" s="199"/>
      <c r="V32" s="199"/>
      <c r="W32" s="199"/>
      <c r="X32" s="199"/>
      <c r="Y32" s="199"/>
      <c r="Z32" s="199"/>
    </row>
    <row r="33" spans="1:28">
      <c r="A33" s="178">
        <v>6</v>
      </c>
      <c r="B33" s="229" t="str">
        <f>IF('Ration form'!B9="&lt;Empty&gt;","",'Ration form'!B9)</f>
        <v>Musturd  cake</v>
      </c>
      <c r="C33" s="229"/>
      <c r="D33" s="182">
        <f>IF('Ration form'!B9="&lt;Empty&gt;","",'Ration form'!D9)</f>
        <v/>
      </c>
      <c r="E33" s="178"/>
      <c r="F33" s="178"/>
      <c r="G33" s="178"/>
      <c r="H33" s="178"/>
      <c r="I33" s="178"/>
      <c r="J33" s="199"/>
      <c r="K33" s="199"/>
      <c r="L33" s="199"/>
      <c r="M33" s="199"/>
      <c r="N33" s="199"/>
      <c r="O33" s="199"/>
      <c r="P33" s="199"/>
      <c r="Q33" s="199"/>
      <c r="R33" s="199"/>
      <c r="S33" s="199"/>
      <c r="T33" s="199"/>
      <c r="U33" s="199"/>
      <c r="V33" s="199"/>
      <c r="W33" s="199"/>
      <c r="X33" s="199"/>
      <c r="Y33" s="199"/>
      <c r="Z33" s="199"/>
    </row>
    <row r="34" spans="1:28">
      <c r="A34" s="178">
        <v>7</v>
      </c>
      <c r="B34" s="229" t="str">
        <f>IF('Ration form'!B10="&lt;Empty&gt;","",'Ration form'!B10)</f>
        <v>Rice polish</v>
      </c>
      <c r="C34" s="229"/>
      <c r="D34" s="182">
        <f>IF('Ration form'!B10="&lt;Empty&gt;","",'Ration form'!D10)</f>
        <v/>
      </c>
      <c r="E34" s="178"/>
      <c r="F34" s="235" t="s">
        <v>201</v>
      </c>
      <c r="G34" s="235"/>
      <c r="H34" s="235"/>
      <c r="I34" s="178"/>
      <c r="J34" s="199"/>
      <c r="K34" s="199"/>
      <c r="L34" s="199"/>
      <c r="M34" s="199"/>
      <c r="N34" s="199"/>
      <c r="O34" s="199"/>
      <c r="P34" s="199"/>
      <c r="Q34" s="199"/>
      <c r="R34" s="199"/>
      <c r="S34" s="199"/>
      <c r="T34" s="199"/>
      <c r="U34" s="199"/>
      <c r="V34" s="199"/>
      <c r="W34" s="199"/>
      <c r="X34" s="199"/>
      <c r="Y34" s="199"/>
      <c r="Z34" s="199"/>
    </row>
    <row r="35" spans="1:28" customHeight="1" ht="12.75">
      <c r="A35" s="178">
        <v>8</v>
      </c>
      <c r="B35" s="229" t="str">
        <f>IF('Ration form'!B11="&lt;Empty&gt;","",'Ration form'!B11)</f>
        <v>Dorb</v>
      </c>
      <c r="C35" s="229"/>
      <c r="D35" s="182">
        <f>IF('Ration form'!B11="&lt;Empty&gt;","",'Ration form'!D11)</f>
        <v/>
      </c>
      <c r="E35" s="178"/>
      <c r="F35" s="236"/>
      <c r="G35" s="236"/>
      <c r="H35" s="236"/>
      <c r="I35" s="178"/>
      <c r="J35" s="199"/>
      <c r="K35" s="199"/>
      <c r="L35" s="199"/>
      <c r="M35" s="199"/>
      <c r="N35" s="199"/>
      <c r="O35" s="199"/>
      <c r="P35" s="199"/>
      <c r="Q35" s="199"/>
      <c r="R35" s="199"/>
      <c r="S35" s="199"/>
      <c r="T35" s="199"/>
      <c r="U35" s="199"/>
      <c r="V35" s="199"/>
      <c r="W35" s="199"/>
      <c r="X35" s="199"/>
      <c r="Y35" s="199"/>
      <c r="Z35" s="199"/>
    </row>
    <row r="36" spans="1:28">
      <c r="A36" s="178">
        <v>9</v>
      </c>
      <c r="B36" s="229" t="str">
        <f>IF('Ration form'!B12="&lt;Empty&gt;","",'Ration form'!B12)</f>
        <v>Soya doc</v>
      </c>
      <c r="C36" s="229"/>
      <c r="D36" s="182">
        <f>IF('Ration form'!B12="&lt;Empty&gt;","",'Ration form'!D12)</f>
        <v>1.42</v>
      </c>
      <c r="E36" s="178"/>
      <c r="F36" s="188"/>
      <c r="G36" s="189"/>
      <c r="H36" s="190"/>
      <c r="I36" s="178"/>
      <c r="J36" s="199"/>
      <c r="K36" s="199"/>
      <c r="L36" s="199"/>
      <c r="M36" s="199"/>
      <c r="N36" s="199"/>
      <c r="O36" s="199"/>
      <c r="P36" s="199"/>
      <c r="Q36" s="199"/>
      <c r="R36" s="199"/>
      <c r="S36" s="199"/>
      <c r="T36" s="199"/>
      <c r="U36" s="199"/>
      <c r="V36" s="199"/>
      <c r="W36" s="199"/>
      <c r="X36" s="199"/>
      <c r="Y36" s="199"/>
      <c r="Z36" s="199"/>
    </row>
    <row r="37" spans="1:28">
      <c r="A37" s="178">
        <v>10</v>
      </c>
      <c r="B37" s="229" t="str">
        <f>IF('Ration form'!B13="&lt;Empty&gt;","",'Ration form'!B13)</f>
        <v>Musturd doc</v>
      </c>
      <c r="C37" s="229"/>
      <c r="D37" s="182">
        <f>IF('Ration form'!B13="&lt;Empty&gt;","",'Ration form'!D13)</f>
        <v/>
      </c>
      <c r="E37" s="178"/>
      <c r="F37" s="191"/>
      <c r="G37" s="178"/>
      <c r="H37" s="192"/>
      <c r="I37" s="178"/>
      <c r="J37" s="199"/>
      <c r="K37" s="199"/>
      <c r="L37" s="199"/>
      <c r="M37" s="199"/>
      <c r="N37" s="199"/>
      <c r="O37" s="199"/>
      <c r="P37" s="199"/>
      <c r="Q37" s="199"/>
      <c r="R37" s="199"/>
      <c r="S37" s="199"/>
      <c r="T37" s="199"/>
      <c r="U37" s="199"/>
      <c r="V37" s="199"/>
      <c r="W37" s="199"/>
      <c r="X37" s="199"/>
      <c r="Y37" s="199"/>
      <c r="Z37" s="199"/>
    </row>
    <row r="38" spans="1:28">
      <c r="A38" s="178">
        <v>11</v>
      </c>
      <c r="B38" s="229" t="str">
        <f>IF('Ration form'!B14="&lt;Empty&gt;","",'Ration form'!B14)</f>
        <v>wheat</v>
      </c>
      <c r="C38" s="229"/>
      <c r="D38" s="182">
        <f>IF('Ration form'!B14="&lt;Empty&gt;","",'Ration form'!D14)</f>
        <v/>
      </c>
      <c r="E38" s="178"/>
      <c r="F38" s="191"/>
      <c r="G38" s="178"/>
      <c r="H38" s="192"/>
      <c r="I38" s="178"/>
      <c r="J38" s="199"/>
      <c r="K38" s="199"/>
      <c r="L38" s="199"/>
      <c r="M38" s="199"/>
      <c r="N38" s="199"/>
      <c r="O38" s="199"/>
      <c r="P38" s="199"/>
      <c r="Q38" s="199"/>
      <c r="R38" s="199"/>
      <c r="S38" s="199"/>
      <c r="T38" s="199"/>
      <c r="U38" s="199"/>
      <c r="V38" s="199"/>
      <c r="W38" s="199"/>
      <c r="X38" s="199"/>
      <c r="Y38" s="199"/>
      <c r="Z38" s="199"/>
    </row>
    <row r="39" spans="1:28">
      <c r="A39" s="178">
        <v>12</v>
      </c>
      <c r="B39" s="229" t="str">
        <f>IF('Ration form'!B15="&lt;Empty&gt;","",'Ration form'!B15)</f>
        <v>Guar korma</v>
      </c>
      <c r="C39" s="229"/>
      <c r="D39" s="182">
        <f>IF('Ration form'!B15="&lt;Empty&gt;","",'Ration form'!D15)</f>
        <v/>
      </c>
      <c r="E39" s="178"/>
      <c r="F39" s="193"/>
      <c r="G39" s="194"/>
      <c r="H39" s="195"/>
      <c r="I39" s="178"/>
      <c r="J39" s="199"/>
      <c r="K39" s="199"/>
      <c r="L39" s="199"/>
      <c r="M39" s="199"/>
      <c r="N39" s="199"/>
      <c r="O39" s="199"/>
      <c r="P39" s="199"/>
      <c r="Q39" s="199"/>
      <c r="R39" s="199"/>
      <c r="S39" s="199"/>
      <c r="T39" s="199"/>
      <c r="U39" s="199"/>
      <c r="V39" s="199"/>
      <c r="W39" s="199"/>
      <c r="X39" s="199"/>
      <c r="Y39" s="199"/>
      <c r="Z39" s="199"/>
    </row>
    <row r="40" spans="1:28">
      <c r="A40" s="178">
        <v>13</v>
      </c>
      <c r="B40" s="229" t="str">
        <f>IF('Ration form'!B16="&lt;Empty&gt;","",'Ration form'!B16)</f>
        <v>Maize grain</v>
      </c>
      <c r="C40" s="229"/>
      <c r="D40" s="182">
        <f>IF('Ration form'!B16="&lt;Empty&gt;","",'Ration form'!D16)</f>
        <v>4.32</v>
      </c>
      <c r="E40" s="178"/>
      <c r="F40" s="178"/>
      <c r="G40" s="178"/>
      <c r="H40" s="178"/>
      <c r="I40" s="178"/>
      <c r="J40" s="199"/>
      <c r="K40" s="199"/>
      <c r="L40" s="199"/>
      <c r="M40" s="199"/>
      <c r="N40" s="199"/>
      <c r="O40" s="199"/>
      <c r="P40" s="199"/>
      <c r="Q40" s="199"/>
      <c r="R40" s="199"/>
      <c r="S40" s="199"/>
      <c r="T40" s="199"/>
      <c r="U40" s="199"/>
      <c r="V40" s="199"/>
      <c r="W40" s="199"/>
      <c r="X40" s="199"/>
      <c r="Y40" s="199"/>
      <c r="Z40" s="199"/>
    </row>
    <row r="41" spans="1:28">
      <c r="A41" s="178">
        <v>14</v>
      </c>
      <c r="B41" s="229" t="str">
        <f>IF('Ration form'!B17="&lt;Empty&gt;","",'Ration form'!B17)</f>
        <v>Cattle feed -Type II</v>
      </c>
      <c r="C41" s="229"/>
      <c r="D41" s="182">
        <f>IF('Ration form'!B17="&lt;Empty&gt;","",'Ration form'!D17)</f>
        <v/>
      </c>
      <c r="E41" s="196"/>
      <c r="F41" s="196"/>
      <c r="G41" s="196"/>
      <c r="H41" s="196"/>
      <c r="I41" s="196"/>
      <c r="J41" s="199"/>
      <c r="K41" s="199"/>
      <c r="L41" s="199"/>
      <c r="M41" s="199"/>
      <c r="N41" s="199"/>
      <c r="O41" s="199"/>
      <c r="P41" s="199"/>
      <c r="Q41" s="199"/>
      <c r="R41" s="199"/>
      <c r="S41" s="199"/>
      <c r="T41" s="199"/>
      <c r="U41" s="199"/>
      <c r="V41" s="199"/>
      <c r="W41" s="199"/>
      <c r="X41" s="199"/>
      <c r="Y41" s="199"/>
      <c r="Z41" s="199"/>
    </row>
    <row r="42" spans="1:28">
      <c r="A42" s="178">
        <v>15</v>
      </c>
      <c r="B42" s="229" t="str">
        <f>IF('Ration form'!B18="&lt;Empty&gt;","",'Ration form'!B18)</f>
        <v>Wheat bran</v>
      </c>
      <c r="C42" s="229"/>
      <c r="D42" s="182">
        <f>IF('Ration form'!B18="&lt;Empty&gt;","",'Ration form'!D18)</f>
        <v>2.8</v>
      </c>
      <c r="E42" s="196"/>
      <c r="F42" s="196"/>
      <c r="G42" s="196"/>
      <c r="H42" s="196"/>
      <c r="I42" s="196"/>
      <c r="J42" s="199"/>
      <c r="K42" s="199"/>
      <c r="L42" s="199"/>
      <c r="M42" s="199"/>
      <c r="N42" s="199"/>
      <c r="O42" s="199"/>
      <c r="P42" s="199"/>
      <c r="Q42" s="199"/>
      <c r="R42" s="199"/>
      <c r="S42" s="199"/>
      <c r="T42" s="199"/>
      <c r="U42" s="199"/>
      <c r="V42" s="199"/>
      <c r="W42" s="199"/>
      <c r="X42" s="199"/>
      <c r="Y42" s="199"/>
      <c r="Z42" s="199"/>
    </row>
    <row r="43" spans="1:28">
      <c r="A43" s="178">
        <v>16</v>
      </c>
      <c r="B43" s="229" t="str">
        <f>IF('Ration form'!B19="&lt;Empty&gt;","",'Ration form'!B19)</f>
        <v>Wheat straw</v>
      </c>
      <c r="C43" s="229"/>
      <c r="D43" s="182">
        <f>IF('Ration form'!B19="&lt;Empty&gt;","",'Ration form'!D19)</f>
        <v>4</v>
      </c>
      <c r="E43" s="196"/>
      <c r="F43" s="196"/>
      <c r="G43" s="196"/>
      <c r="H43" s="196"/>
      <c r="I43" s="196"/>
      <c r="J43" s="199"/>
      <c r="K43" s="199"/>
      <c r="L43" s="199"/>
      <c r="M43" s="199"/>
      <c r="N43" s="199"/>
      <c r="O43" s="199"/>
      <c r="P43" s="199"/>
      <c r="Q43" s="199"/>
      <c r="R43" s="199"/>
      <c r="S43" s="199"/>
      <c r="T43" s="199"/>
      <c r="U43" s="199"/>
      <c r="V43" s="199"/>
      <c r="W43" s="199"/>
      <c r="X43" s="199"/>
      <c r="Y43" s="199"/>
      <c r="Z43" s="199"/>
    </row>
    <row r="44" spans="1:28">
      <c r="A44" s="178">
        <v>17</v>
      </c>
      <c r="B44" s="229" t="str">
        <f>IF('Ration form'!B20="&lt;Empty&gt;","",'Ration form'!B20)</f>
        <v>Molasses</v>
      </c>
      <c r="C44" s="229"/>
      <c r="D44" s="182">
        <f>IF('Ration form'!B20="&lt;Empty&gt;","",'Ration form'!D20)</f>
        <v/>
      </c>
      <c r="E44" s="196"/>
      <c r="F44" s="196"/>
      <c r="G44" s="196"/>
      <c r="H44" s="196"/>
      <c r="I44" s="196"/>
      <c r="J44" s="199"/>
      <c r="K44" s="199"/>
      <c r="L44" s="199"/>
      <c r="M44" s="199"/>
      <c r="N44" s="199"/>
      <c r="O44" s="199"/>
      <c r="P44" s="199"/>
      <c r="Q44" s="199"/>
      <c r="R44" s="199"/>
      <c r="S44" s="199"/>
      <c r="T44" s="199"/>
      <c r="U44" s="199"/>
      <c r="V44" s="199"/>
      <c r="W44" s="199"/>
      <c r="X44" s="199"/>
      <c r="Y44" s="199"/>
      <c r="Z44" s="199"/>
    </row>
    <row r="45" spans="1:28">
      <c r="A45" s="178">
        <v>18</v>
      </c>
      <c r="B45" s="229" t="str">
        <f>IF('Ration form'!B22="&lt;Empty&gt;","",'Ration form'!B22)</f>
        <v>Cattle feed -Type I</v>
      </c>
      <c r="C45" s="229"/>
      <c r="D45" s="182">
        <f>IF('Ration form'!B22="&lt;Empty&gt;","",'Ration form'!D22)</f>
        <v>0.1</v>
      </c>
      <c r="E45" s="196"/>
      <c r="F45" s="196"/>
      <c r="G45" s="196"/>
      <c r="H45" s="196"/>
      <c r="I45" s="196"/>
      <c r="J45" s="199"/>
      <c r="K45" s="199"/>
      <c r="L45" s="199"/>
      <c r="M45" s="199"/>
      <c r="N45" s="199"/>
      <c r="O45" s="199"/>
      <c r="P45" s="199"/>
      <c r="Q45" s="199"/>
      <c r="R45" s="199"/>
      <c r="S45" s="199"/>
      <c r="T45" s="199"/>
      <c r="U45" s="199"/>
      <c r="V45" s="199"/>
      <c r="W45" s="199"/>
      <c r="X45" s="199"/>
      <c r="Y45" s="199"/>
      <c r="Z45" s="199"/>
    </row>
    <row r="46" spans="1:28">
      <c r="A46" s="178">
        <v>19</v>
      </c>
      <c r="B46" s="229" t="str">
        <f>IF('Ration form'!B23="&lt;Empty&gt;","",'Ration form'!B23)</f>
        <v>green fodder(barseem)</v>
      </c>
      <c r="C46" s="229"/>
      <c r="D46" s="182">
        <f>IF('Ration form'!B23="&lt;Empty&gt;","",'Ration form'!D23)</f>
        <v/>
      </c>
      <c r="E46" s="196"/>
      <c r="F46" s="196"/>
      <c r="G46" s="196"/>
      <c r="H46" s="196"/>
      <c r="I46" s="196"/>
      <c r="J46" s="199"/>
      <c r="K46" s="199"/>
      <c r="L46" s="199"/>
      <c r="M46" s="199"/>
      <c r="N46" s="199"/>
      <c r="O46" s="199"/>
      <c r="P46" s="199"/>
      <c r="Q46" s="199"/>
      <c r="R46" s="199"/>
      <c r="S46" s="199"/>
      <c r="T46" s="199"/>
      <c r="U46" s="199"/>
      <c r="V46" s="199"/>
      <c r="W46" s="199"/>
      <c r="X46" s="199"/>
      <c r="Y46" s="199"/>
      <c r="Z46" s="199"/>
    </row>
    <row r="47" spans="1:28">
      <c r="A47" s="178">
        <v>20</v>
      </c>
      <c r="B47" s="229" t="str">
        <f>IF('Ration form'!B24="&lt;Empty&gt;","",'Ration form'!B24)</f>
        <v>ground nut cake</v>
      </c>
      <c r="C47" s="229"/>
      <c r="D47" s="182">
        <f>IF('Ration form'!B24="&lt;Empty&gt;","",'Ration form'!D24)</f>
        <v>1.42</v>
      </c>
      <c r="E47" s="196"/>
      <c r="F47" s="196"/>
      <c r="G47" s="196"/>
      <c r="H47" s="196"/>
      <c r="I47" s="196"/>
      <c r="J47" s="199"/>
      <c r="K47" s="199"/>
      <c r="L47" s="199"/>
      <c r="M47" s="199"/>
      <c r="N47" s="199"/>
      <c r="O47" s="199"/>
      <c r="P47" s="199"/>
      <c r="Q47" s="199"/>
      <c r="R47" s="199"/>
      <c r="S47" s="199"/>
      <c r="T47" s="199"/>
      <c r="U47" s="199"/>
      <c r="V47" s="199"/>
      <c r="W47" s="199"/>
      <c r="X47" s="199"/>
      <c r="Y47" s="199"/>
      <c r="Z47" s="199"/>
    </row>
    <row r="48" spans="1:28">
      <c r="A48" s="178">
        <v>21</v>
      </c>
      <c r="B48" s="229" t="str">
        <f>IF('Ration form'!B25="&lt;Empty&gt;","",'Ration form'!B25)</f>
        <v>Barley</v>
      </c>
      <c r="C48" s="229"/>
      <c r="D48" s="182">
        <f>IF('Ration form'!B25="&lt;Empty&gt;","",'Ration form'!D25)</f>
        <v/>
      </c>
      <c r="E48" s="196"/>
      <c r="F48" s="196"/>
      <c r="G48" s="196"/>
      <c r="H48" s="196"/>
      <c r="I48" s="196"/>
      <c r="J48" s="199"/>
      <c r="K48" s="199"/>
      <c r="L48" s="199"/>
      <c r="M48" s="199"/>
      <c r="N48" s="199"/>
      <c r="O48" s="199"/>
      <c r="P48" s="199"/>
      <c r="Q48" s="199"/>
      <c r="R48" s="199"/>
      <c r="S48" s="199"/>
      <c r="T48" s="199"/>
      <c r="U48" s="199"/>
      <c r="V48" s="199"/>
      <c r="W48" s="199"/>
      <c r="X48" s="199"/>
      <c r="Y48" s="199"/>
      <c r="Z48" s="199"/>
    </row>
    <row r="49" spans="1:28">
      <c r="A49" s="178">
        <v>22</v>
      </c>
      <c r="B49" s="229" t="str">
        <f>IF('Ration form'!B26="&lt;Empty&gt;","",'Ration form'!B26)</f>
        <v>Rice broken</v>
      </c>
      <c r="C49" s="229"/>
      <c r="D49" s="182">
        <f>IF('Ration form'!B26="&lt;Empty&gt;","",'Ration form'!D26)</f>
        <v/>
      </c>
      <c r="E49" s="196"/>
      <c r="F49" s="196"/>
      <c r="G49" s="196"/>
      <c r="H49" s="196"/>
      <c r="I49" s="196"/>
      <c r="J49" s="199"/>
      <c r="K49" s="199"/>
      <c r="L49" s="199"/>
      <c r="M49" s="199"/>
      <c r="N49" s="199"/>
      <c r="O49" s="199"/>
      <c r="P49" s="199"/>
      <c r="Q49" s="199"/>
      <c r="R49" s="199"/>
      <c r="S49" s="199"/>
      <c r="T49" s="199"/>
      <c r="U49" s="199"/>
      <c r="V49" s="199"/>
      <c r="W49" s="199"/>
      <c r="X49" s="199"/>
      <c r="Y49" s="199"/>
      <c r="Z49" s="199"/>
    </row>
    <row r="50" spans="1:28">
      <c r="A50" s="178">
        <v>23</v>
      </c>
      <c r="B50" s="229" t="str">
        <f>IF('Ration form'!B27="&lt;Empty&gt;","",'Ration form'!B27)</f>
        <v>Urea</v>
      </c>
      <c r="C50" s="229"/>
      <c r="D50" s="182">
        <f>IF('Ration form'!B27="&lt;Empty&gt;","",'Ration form'!D27)</f>
        <v/>
      </c>
      <c r="E50" s="196"/>
      <c r="F50" s="196"/>
      <c r="G50" s="196"/>
      <c r="H50" s="196"/>
      <c r="I50" s="196"/>
      <c r="J50" s="199"/>
      <c r="K50" s="199"/>
      <c r="L50" s="199"/>
      <c r="M50" s="199"/>
      <c r="N50" s="199"/>
      <c r="O50" s="199"/>
      <c r="P50" s="199"/>
      <c r="Q50" s="199"/>
      <c r="R50" s="199"/>
      <c r="S50" s="199"/>
      <c r="T50" s="199"/>
      <c r="U50" s="199"/>
      <c r="V50" s="199"/>
      <c r="W50" s="199"/>
      <c r="X50" s="199"/>
      <c r="Y50" s="199"/>
      <c r="Z50" s="199"/>
    </row>
    <row r="51" spans="1:28">
      <c r="A51" s="178">
        <v>24</v>
      </c>
      <c r="B51" s="229" t="str">
        <f>IF('Ration form'!B28="&lt;Empty&gt;","",'Ration form'!B28)</f>
        <v>Mineral mixture</v>
      </c>
      <c r="C51" s="229"/>
      <c r="D51" s="182">
        <f>IF('Ration form'!B28="&lt;Empty&gt;","",'Ration form'!D28)</f>
        <v>0.1</v>
      </c>
      <c r="E51" s="196"/>
      <c r="F51" s="196"/>
      <c r="G51" s="196"/>
      <c r="H51" s="196"/>
      <c r="I51" s="196"/>
      <c r="J51" s="199"/>
      <c r="K51" s="199"/>
      <c r="L51" s="199"/>
      <c r="M51" s="199"/>
      <c r="N51" s="199"/>
      <c r="O51" s="199"/>
      <c r="P51" s="199"/>
      <c r="Q51" s="199"/>
      <c r="R51" s="199"/>
      <c r="S51" s="199"/>
      <c r="T51" s="199"/>
      <c r="U51" s="199"/>
      <c r="V51" s="199"/>
      <c r="W51" s="199"/>
      <c r="X51" s="199"/>
      <c r="Y51" s="199"/>
      <c r="Z51" s="199"/>
    </row>
    <row r="52" spans="1:28">
      <c r="A52" s="178">
        <v>25</v>
      </c>
      <c r="B52" s="229" t="str">
        <f>IF('Ration form'!B29="&lt;Empty&gt;","",'Ration form'!B29)</f>
        <v>Bypass fat</v>
      </c>
      <c r="C52" s="229"/>
      <c r="D52" s="182">
        <f>IF('Ration form'!B29="&lt;Empty&gt;","",'Ration form'!D29)</f>
        <v/>
      </c>
      <c r="E52" s="196"/>
      <c r="F52" s="196"/>
      <c r="G52" s="196"/>
      <c r="H52" s="196"/>
      <c r="I52" s="196"/>
      <c r="J52" s="199"/>
      <c r="K52" s="199"/>
      <c r="L52" s="199"/>
      <c r="M52" s="199"/>
      <c r="N52" s="199"/>
      <c r="O52" s="199"/>
      <c r="P52" s="199"/>
      <c r="Q52" s="199"/>
      <c r="R52" s="199"/>
      <c r="S52" s="199"/>
      <c r="T52" s="199"/>
      <c r="U52" s="199"/>
      <c r="V52" s="199"/>
      <c r="W52" s="199"/>
      <c r="X52" s="199"/>
      <c r="Y52" s="199"/>
      <c r="Z52" s="199"/>
    </row>
    <row r="53" spans="1:28">
      <c r="A53" s="178">
        <v>26</v>
      </c>
      <c r="B53" s="229"/>
      <c r="C53" s="229"/>
      <c r="D53" s="182"/>
      <c r="E53" s="196"/>
      <c r="F53" s="196"/>
      <c r="G53" s="196"/>
      <c r="H53" s="196"/>
      <c r="I53" s="196"/>
      <c r="J53" s="199"/>
      <c r="K53" s="199"/>
      <c r="L53" s="199"/>
      <c r="M53" s="199"/>
      <c r="N53" s="199"/>
      <c r="O53" s="199"/>
      <c r="P53" s="199"/>
      <c r="Q53" s="199"/>
      <c r="R53" s="199"/>
      <c r="S53" s="199"/>
      <c r="T53" s="199"/>
      <c r="U53" s="199"/>
      <c r="V53" s="199"/>
      <c r="W53" s="199"/>
      <c r="X53" s="199"/>
      <c r="Y53" s="199"/>
      <c r="Z53" s="199"/>
    </row>
    <row r="54" spans="1:28">
      <c r="A54" s="178">
        <v>27</v>
      </c>
      <c r="B54" s="229"/>
      <c r="C54" s="229"/>
      <c r="D54" s="182"/>
      <c r="E54" s="196"/>
      <c r="F54" s="196"/>
      <c r="G54" s="196"/>
      <c r="H54" s="196"/>
      <c r="I54" s="196"/>
      <c r="J54" s="199"/>
      <c r="K54" s="199"/>
      <c r="L54" s="199"/>
      <c r="M54" s="199"/>
      <c r="N54" s="199"/>
      <c r="O54" s="199"/>
      <c r="P54" s="199"/>
      <c r="Q54" s="199"/>
      <c r="R54" s="199"/>
      <c r="S54" s="199"/>
      <c r="T54" s="199"/>
      <c r="U54" s="199"/>
      <c r="V54" s="199"/>
      <c r="W54" s="199"/>
      <c r="X54" s="199"/>
      <c r="Y54" s="199"/>
      <c r="Z54" s="199"/>
    </row>
    <row r="55" spans="1:28">
      <c r="A55" s="178">
        <v>28</v>
      </c>
      <c r="B55" s="229"/>
      <c r="C55" s="229"/>
      <c r="D55" s="182"/>
      <c r="E55" s="196"/>
      <c r="F55" s="196"/>
      <c r="G55" s="196"/>
      <c r="H55" s="196"/>
      <c r="I55" s="196"/>
      <c r="J55" s="199"/>
      <c r="K55" s="199"/>
      <c r="L55" s="199"/>
      <c r="M55" s="199"/>
      <c r="N55" s="199"/>
      <c r="O55" s="199"/>
      <c r="P55" s="199"/>
      <c r="Q55" s="199"/>
      <c r="R55" s="199"/>
      <c r="S55" s="199"/>
      <c r="T55" s="199"/>
      <c r="U55" s="199"/>
      <c r="V55" s="199"/>
      <c r="W55" s="199"/>
      <c r="X55" s="199"/>
      <c r="Y55" s="199"/>
      <c r="Z55" s="199"/>
    </row>
    <row r="56" spans="1:28">
      <c r="A56" s="178"/>
      <c r="B56" s="229"/>
      <c r="C56" s="229"/>
      <c r="D56" s="197"/>
      <c r="E56" s="196"/>
      <c r="F56" s="196"/>
      <c r="G56" s="196"/>
      <c r="H56" s="196"/>
      <c r="I56" s="196"/>
      <c r="J56" s="199"/>
      <c r="K56" s="199"/>
      <c r="L56" s="199"/>
      <c r="M56" s="199"/>
      <c r="N56" s="199"/>
      <c r="O56" s="199"/>
      <c r="P56" s="199"/>
      <c r="Q56" s="199"/>
      <c r="R56" s="199"/>
      <c r="S56" s="199"/>
      <c r="T56" s="199"/>
      <c r="U56" s="199"/>
      <c r="V56" s="199"/>
      <c r="W56" s="199"/>
      <c r="X56" s="199"/>
      <c r="Y56" s="199"/>
      <c r="Z56" s="199"/>
    </row>
    <row r="57" spans="1:28">
      <c r="A57" s="196"/>
      <c r="B57" s="230" t="str">
        <f>IF('Ration form'!B33="&lt;Empty&gt;","",'Ration form'!B33)</f>
        <v>Total intake per head:  </v>
      </c>
      <c r="C57" s="231"/>
      <c r="D57" s="182">
        <f>IF('Ration form'!B33="&lt;Empty&gt;","",'Ration form'!D33)</f>
        <v>40.08</v>
      </c>
      <c r="E57" s="196"/>
      <c r="F57" s="196"/>
      <c r="G57" s="196"/>
      <c r="H57" s="196"/>
      <c r="I57" s="196"/>
      <c r="J57" s="199"/>
      <c r="K57" s="199"/>
      <c r="L57" s="199"/>
      <c r="M57" s="199"/>
      <c r="N57" s="199"/>
      <c r="O57" s="199"/>
      <c r="P57" s="199"/>
      <c r="Q57" s="199"/>
      <c r="R57" s="199"/>
      <c r="S57" s="199"/>
      <c r="T57" s="199"/>
      <c r="U57" s="199"/>
      <c r="V57" s="199"/>
      <c r="W57" s="199"/>
      <c r="X57" s="199"/>
      <c r="Y57" s="199"/>
      <c r="Z57" s="199"/>
    </row>
    <row r="58" spans="1:28">
      <c r="A58" s="196"/>
      <c r="B58" s="196"/>
      <c r="C58" s="196"/>
      <c r="D58" s="196"/>
      <c r="E58" s="196"/>
      <c r="F58" s="196"/>
      <c r="G58" s="196"/>
      <c r="H58" s="196"/>
      <c r="I58" s="196"/>
      <c r="J58" s="199"/>
      <c r="K58" s="199"/>
      <c r="L58" s="199"/>
      <c r="M58" s="199"/>
      <c r="N58" s="199"/>
      <c r="O58" s="199"/>
      <c r="P58" s="199"/>
      <c r="Q58" s="199"/>
      <c r="R58" s="199"/>
      <c r="S58" s="199"/>
      <c r="T58" s="199"/>
      <c r="U58" s="199"/>
      <c r="V58" s="199"/>
      <c r="W58" s="199"/>
      <c r="X58" s="199"/>
      <c r="Y58" s="199"/>
      <c r="Z58" s="199"/>
    </row>
    <row r="59" spans="1:28">
      <c r="A59" s="196"/>
      <c r="B59" s="196"/>
      <c r="C59" s="196"/>
      <c r="D59" s="196"/>
      <c r="E59" s="196"/>
      <c r="F59" s="196"/>
      <c r="G59" s="196"/>
      <c r="H59" s="196"/>
      <c r="I59" s="196"/>
      <c r="J59" s="199"/>
      <c r="K59" s="199"/>
      <c r="L59" s="199"/>
      <c r="M59" s="199"/>
      <c r="N59" s="199"/>
      <c r="O59" s="199"/>
      <c r="P59" s="199"/>
      <c r="Q59" s="199"/>
      <c r="R59" s="199"/>
      <c r="S59" s="199"/>
      <c r="T59" s="199"/>
      <c r="U59" s="199"/>
      <c r="V59" s="199"/>
      <c r="W59" s="199"/>
      <c r="X59" s="199"/>
      <c r="Y59" s="199"/>
      <c r="Z59" s="199"/>
    </row>
    <row r="60" spans="1:28">
      <c r="A60" s="199"/>
      <c r="B60" s="199"/>
      <c r="C60" s="199"/>
      <c r="D60" s="199"/>
      <c r="E60" s="199"/>
      <c r="F60" s="199"/>
      <c r="G60" s="199"/>
      <c r="H60" s="199"/>
      <c r="I60" s="199"/>
      <c r="J60" s="199"/>
      <c r="K60" s="199"/>
      <c r="L60" s="199"/>
      <c r="M60" s="199"/>
      <c r="N60" s="199"/>
      <c r="O60" s="199"/>
      <c r="P60" s="199"/>
      <c r="Q60" s="199"/>
      <c r="R60" s="199"/>
      <c r="S60" s="199"/>
      <c r="T60" s="199"/>
      <c r="U60" s="199"/>
      <c r="V60" s="199"/>
      <c r="W60" s="199"/>
      <c r="X60" s="199"/>
      <c r="Y60" s="199"/>
      <c r="Z60" s="199"/>
    </row>
    <row r="61" spans="1:28">
      <c r="A61" s="199"/>
      <c r="B61" s="199"/>
      <c r="C61" s="199"/>
      <c r="D61" s="199"/>
      <c r="E61" s="199"/>
      <c r="F61" s="199"/>
      <c r="G61" s="199"/>
      <c r="H61" s="199"/>
      <c r="I61" s="199"/>
      <c r="J61" s="199"/>
      <c r="K61" s="199"/>
      <c r="L61" s="199"/>
      <c r="M61" s="199"/>
      <c r="N61" s="199"/>
      <c r="O61" s="199"/>
      <c r="P61" s="199"/>
      <c r="Q61" s="199"/>
      <c r="R61" s="199"/>
      <c r="S61" s="199"/>
      <c r="T61" s="199"/>
      <c r="U61" s="199"/>
      <c r="V61" s="199"/>
      <c r="W61" s="199"/>
      <c r="X61" s="199"/>
      <c r="Y61" s="199"/>
      <c r="Z61" s="199"/>
    </row>
    <row r="62" spans="1:28">
      <c r="A62" s="199"/>
      <c r="B62" s="199"/>
      <c r="C62" s="199"/>
      <c r="D62" s="199"/>
      <c r="E62" s="199"/>
      <c r="F62" s="199"/>
      <c r="G62" s="199"/>
      <c r="H62" s="199"/>
      <c r="I62" s="199"/>
      <c r="J62" s="199"/>
      <c r="K62" s="199"/>
      <c r="L62" s="199"/>
      <c r="M62" s="199"/>
      <c r="N62" s="199"/>
      <c r="O62" s="199"/>
      <c r="P62" s="199"/>
      <c r="Q62" s="199"/>
      <c r="R62" s="199"/>
      <c r="S62" s="199"/>
      <c r="T62" s="199"/>
    </row>
    <row r="63" spans="1:28">
      <c r="A63" s="199"/>
      <c r="B63" s="199"/>
      <c r="C63" s="199"/>
      <c r="D63" s="199"/>
      <c r="E63" s="199"/>
      <c r="F63" s="199"/>
      <c r="G63" s="199"/>
      <c r="H63" s="199"/>
      <c r="I63" s="199"/>
      <c r="J63" s="199"/>
      <c r="K63" s="199"/>
      <c r="L63" s="199"/>
      <c r="M63" s="199"/>
      <c r="N63" s="199"/>
      <c r="O63" s="199"/>
      <c r="P63" s="199"/>
      <c r="Q63" s="199"/>
      <c r="R63" s="199"/>
      <c r="S63" s="199"/>
      <c r="T63" s="199"/>
    </row>
    <row r="64" spans="1:28">
      <c r="A64" s="199"/>
      <c r="B64" s="199"/>
      <c r="C64" s="199"/>
      <c r="D64" s="199"/>
      <c r="E64" s="199"/>
      <c r="F64" s="199"/>
      <c r="G64" s="199"/>
      <c r="H64" s="199"/>
      <c r="I64" s="199"/>
      <c r="J64" s="199"/>
      <c r="K64" s="199"/>
      <c r="L64" s="199"/>
      <c r="M64" s="199"/>
      <c r="N64" s="199"/>
      <c r="O64" s="199"/>
      <c r="P64" s="199"/>
      <c r="Q64" s="199"/>
      <c r="R64" s="199"/>
      <c r="S64" s="199"/>
      <c r="T64" s="199"/>
    </row>
    <row r="65" spans="1:28">
      <c r="A65" s="199"/>
      <c r="B65" s="199"/>
      <c r="C65" s="199"/>
      <c r="D65" s="199"/>
      <c r="E65" s="199"/>
      <c r="F65" s="199"/>
      <c r="G65" s="199"/>
      <c r="H65" s="199"/>
      <c r="I65" s="199"/>
      <c r="J65" s="199"/>
      <c r="K65" s="199"/>
      <c r="L65" s="199"/>
      <c r="M65" s="199"/>
      <c r="N65" s="199"/>
      <c r="O65" s="199"/>
      <c r="P65" s="199"/>
      <c r="Q65" s="199"/>
      <c r="R65" s="199"/>
      <c r="S65" s="199"/>
      <c r="T65" s="199"/>
    </row>
    <row r="66" spans="1:28">
      <c r="A66" s="199"/>
      <c r="B66" s="199"/>
      <c r="C66" s="199"/>
      <c r="D66" s="199"/>
      <c r="E66" s="199"/>
      <c r="F66" s="199"/>
      <c r="G66" s="199"/>
      <c r="H66" s="199"/>
      <c r="I66" s="199"/>
      <c r="J66" s="199"/>
      <c r="K66" s="199"/>
      <c r="L66" s="199"/>
      <c r="M66" s="199"/>
      <c r="N66" s="199"/>
      <c r="O66" s="199"/>
      <c r="P66" s="199"/>
      <c r="Q66" s="199"/>
      <c r="R66" s="199"/>
      <c r="S66" s="199"/>
      <c r="T66" s="199"/>
    </row>
    <row r="67" spans="1:28">
      <c r="A67" s="199"/>
      <c r="B67" s="199"/>
      <c r="C67" s="199"/>
      <c r="D67" s="199"/>
      <c r="E67" s="199"/>
      <c r="F67" s="199"/>
      <c r="G67" s="199"/>
      <c r="H67" s="199"/>
      <c r="I67" s="199"/>
      <c r="J67" s="199"/>
      <c r="K67" s="199"/>
      <c r="L67" s="199"/>
      <c r="M67" s="199"/>
      <c r="N67" s="199"/>
      <c r="O67" s="199"/>
      <c r="P67" s="199"/>
      <c r="Q67" s="199"/>
      <c r="R67" s="199"/>
      <c r="S67" s="199"/>
      <c r="T67" s="199"/>
    </row>
    <row r="68" spans="1:28">
      <c r="A68" s="199"/>
      <c r="B68" s="199"/>
      <c r="C68" s="199"/>
      <c r="D68" s="199"/>
      <c r="E68" s="199"/>
      <c r="F68" s="199"/>
      <c r="G68" s="199"/>
      <c r="H68" s="199"/>
      <c r="I68" s="199"/>
      <c r="J68" s="199"/>
      <c r="K68" s="199"/>
      <c r="L68" s="199"/>
      <c r="M68" s="199"/>
      <c r="N68" s="199"/>
      <c r="O68" s="199"/>
      <c r="P68" s="199"/>
      <c r="Q68" s="199"/>
      <c r="R68" s="199"/>
      <c r="S68" s="199"/>
      <c r="T68" s="199"/>
    </row>
    <row r="69" spans="1:28">
      <c r="A69" s="199"/>
      <c r="B69" s="199"/>
      <c r="C69" s="199"/>
      <c r="D69" s="199"/>
      <c r="E69" s="199"/>
      <c r="F69" s="199"/>
      <c r="G69" s="199"/>
      <c r="H69" s="199"/>
      <c r="I69" s="199"/>
      <c r="J69" s="199"/>
      <c r="K69" s="199"/>
      <c r="L69" s="199"/>
      <c r="M69" s="199"/>
      <c r="N69" s="199"/>
      <c r="O69" s="199"/>
      <c r="P69" s="199"/>
      <c r="Q69" s="199"/>
      <c r="R69" s="199"/>
      <c r="S69" s="199"/>
      <c r="T69" s="199"/>
    </row>
    <row r="70" spans="1:28">
      <c r="A70" s="199"/>
      <c r="B70" s="199"/>
      <c r="C70" s="199"/>
      <c r="D70" s="199"/>
      <c r="E70" s="199"/>
      <c r="F70" s="199"/>
      <c r="G70" s="199"/>
      <c r="H70" s="199"/>
      <c r="I70" s="199"/>
      <c r="J70" s="199"/>
      <c r="K70" s="199"/>
      <c r="L70" s="199"/>
      <c r="M70" s="199"/>
      <c r="N70" s="199"/>
      <c r="O70" s="199"/>
      <c r="P70" s="199"/>
      <c r="Q70" s="199"/>
      <c r="R70" s="199"/>
      <c r="S70" s="199"/>
      <c r="T70" s="199"/>
    </row>
    <row r="71" spans="1:28">
      <c r="A71" s="199"/>
      <c r="B71" s="199"/>
      <c r="C71" s="199"/>
      <c r="D71" s="199"/>
      <c r="E71" s="199"/>
      <c r="F71" s="199"/>
      <c r="G71" s="199"/>
      <c r="H71" s="199"/>
      <c r="I71" s="199"/>
      <c r="J71" s="199"/>
      <c r="K71" s="199"/>
      <c r="L71" s="199"/>
      <c r="M71" s="199"/>
      <c r="N71" s="199"/>
      <c r="O71" s="199"/>
      <c r="P71" s="199"/>
      <c r="Q71" s="199"/>
      <c r="R71" s="199"/>
      <c r="S71" s="199"/>
      <c r="T71" s="199"/>
    </row>
  </sheetData>
  <mergeCells>
    <mergeCell ref="B3:H5"/>
    <mergeCell ref="F29:G29"/>
    <mergeCell ref="F30:G30"/>
    <mergeCell ref="B33:C33"/>
    <mergeCell ref="F34:H35"/>
    <mergeCell ref="F31:G31"/>
    <mergeCell ref="F32:G32"/>
    <mergeCell ref="B27:C27"/>
    <mergeCell ref="B28:C28"/>
    <mergeCell ref="B29:C29"/>
    <mergeCell ref="B30:C30"/>
    <mergeCell ref="B31:C31"/>
    <mergeCell ref="B32:C32"/>
    <mergeCell ref="B34:C34"/>
    <mergeCell ref="B35:C35"/>
    <mergeCell ref="F13:G13"/>
    <mergeCell ref="B57:C57"/>
    <mergeCell ref="B56:C56"/>
    <mergeCell ref="B43:C43"/>
    <mergeCell ref="B44:C44"/>
    <mergeCell ref="B45:C45"/>
    <mergeCell ref="B46:C46"/>
    <mergeCell ref="B47:C47"/>
    <mergeCell ref="B48:C48"/>
    <mergeCell ref="B49:C49"/>
    <mergeCell ref="B50:C50"/>
    <mergeCell ref="B51:C51"/>
    <mergeCell ref="B53:C53"/>
    <mergeCell ref="B54:C54"/>
    <mergeCell ref="B55:C55"/>
    <mergeCell ref="F27:H27"/>
    <mergeCell ref="B38:C38"/>
    <mergeCell ref="B39:C39"/>
    <mergeCell ref="B40:C40"/>
    <mergeCell ref="B52:C52"/>
    <mergeCell ref="B36:C36"/>
    <mergeCell ref="B37:C37"/>
    <mergeCell ref="B41:C41"/>
    <mergeCell ref="B42:C42"/>
  </mergeCells>
  <printOptions gridLines="false" gridLinesSet="true"/>
  <pageMargins left="0.7" right="0.7" top="0.75" bottom="0.75" header="0.3" footer="0.3"/>
  <pageSetup paperSize="1" orientation="portrait" scale="75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 codeName="Sheet4">
    <outlinePr summaryBelow="1" summaryRight="1"/>
  </sheetPr>
  <dimension ref="A1:A3"/>
  <sheetViews>
    <sheetView tabSelected="0" workbookViewId="0" showGridLines="true" showRowColHeaders="1">
      <selection activeCell="A3" sqref="A3"/>
    </sheetView>
  </sheetViews>
  <sheetFormatPr defaultRowHeight="14.4" outlineLevelRow="0" outlineLevelCol="0"/>
  <sheetData>
    <row r="1" spans="1:1">
      <c r="A1" t="s">
        <v>202</v>
      </c>
    </row>
    <row r="3" spans="1:1">
      <c r="A3" t="s">
        <v>203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Title</vt:lpstr>
      <vt:lpstr>Cow req</vt:lpstr>
      <vt:lpstr>Ration form</vt:lpstr>
      <vt:lpstr>MIFC</vt:lpstr>
      <vt:lpstr>Feed database</vt:lpstr>
      <vt:lpstr>Energy for milk prod</vt:lpstr>
      <vt:lpstr>Print form</vt:lpstr>
      <vt:lpstr>Sheet1</vt:lpstr>
    </vt:vector>
  </TitlesOfParts>
  <Company>University of Melbourne</Company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Tyndall</dc:creator>
  <cp:lastModifiedBy>DESKTOP</cp:lastModifiedBy>
  <dcterms:created xsi:type="dcterms:W3CDTF">1999-11-08T10:39:11+00:00</dcterms:created>
  <dcterms:modified xsi:type="dcterms:W3CDTF">2023-11-08T12:55:58+00:00</dcterms:modified>
  <dc:title/>
  <dc:description/>
  <dc:subject/>
  <cp:keywords/>
  <cp:category/>
</cp:coreProperties>
</file>