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 model (copy for trying)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</authors>
  <commentList>
    <comment ref="C22" authorId="0">
      <text>
        <r>
          <t xml:space="preserve">hp:
most important  single factor factor in the project to low cost of production</t>
        </r>
      </text>
    </comment>
    <comment ref="B121" authorId="0">
      <text>
        <r>
          <t xml:space="preserve">hp:
try to reduce it, or produce at farm where its production cost can be Rs0.6/kg</t>
        </r>
      </text>
    </comment>
    <comment ref="E226" authorId="0">
      <text>
        <r>
          <t xml:space="preserve">hp:
Actual cost to be worked out after selecting machinaries</t>
        </r>
      </text>
    </comment>
  </commentList>
</comments>
</file>

<file path=xl/sharedStrings.xml><?xml version="1.0" encoding="utf-8"?>
<sst xmlns="http://schemas.openxmlformats.org/spreadsheetml/2006/main" uniqueCount="202">
  <si>
    <t>NAME:</t>
  </si>
  <si>
    <t>ADDRESS OF ENTERPRENIOUR</t>
  </si>
  <si>
    <t>PROPOSED LOCATION OF PROJECT: ( Haryana)</t>
  </si>
  <si>
    <t xml:space="preserve">TECHNO-ECONOMIC FEASIBILITY REPORT OF DAIRY FARMING UNIT </t>
  </si>
  <si>
    <t>USING COMPUTER SIMULATED MODEL</t>
  </si>
  <si>
    <t>(CROS-BRED COWS DAIRY UNIT MODEL)</t>
  </si>
  <si>
    <t>Size of the Dairy Unit (Cows)</t>
  </si>
  <si>
    <t>RESULTS AT GLANCE:</t>
  </si>
  <si>
    <t>Year-1</t>
  </si>
  <si>
    <t>Year-2</t>
  </si>
  <si>
    <t>Year-3</t>
  </si>
  <si>
    <t>Year-4</t>
  </si>
  <si>
    <t>Year-5</t>
  </si>
  <si>
    <t>AV.</t>
  </si>
  <si>
    <t>1)ESTIMATED CAPITAL REQUIRED (Rs)</t>
  </si>
  <si>
    <t>a) Owners Capital (Rs)</t>
  </si>
  <si>
    <t>b) Loan Amount (Rs)</t>
  </si>
  <si>
    <t>2a) RETURN ON CAPITAL INVEST. (%) (Excluding gain in animals)</t>
  </si>
  <si>
    <t>2b) RETURN ON CAPITAL INVEST. (%) (considering animal gain)</t>
  </si>
  <si>
    <t>3) BC RATIO</t>
  </si>
  <si>
    <t>9) COST OF MILK PRODUCTION (Rs)with gained animal Nos</t>
  </si>
  <si>
    <t xml:space="preserve">10) COST OF MILK PRODUCTION (Rs) </t>
  </si>
  <si>
    <t>A) PRODUCTION PARAMETERS CONSIDERED AND LIVESTOCK STRENGTH</t>
  </si>
  <si>
    <t>Average daily milk yield of cow purchased</t>
  </si>
  <si>
    <t>Increase in Milk Production Over Previous Year in %</t>
  </si>
  <si>
    <t xml:space="preserve"> </t>
  </si>
  <si>
    <t>Conception rate%</t>
  </si>
  <si>
    <t>inter calving period months</t>
  </si>
  <si>
    <t>mortality adult</t>
  </si>
  <si>
    <t>Mortality heifer%</t>
  </si>
  <si>
    <t>Mortality growing calf%(above 1 year)</t>
  </si>
  <si>
    <t>Mortalityyoung calf%</t>
  </si>
  <si>
    <t>Culling rate adult cow</t>
  </si>
  <si>
    <t>culling rate heifer</t>
  </si>
  <si>
    <t>culling rate growing calf (above 1 year)</t>
  </si>
  <si>
    <t>culling rate calf</t>
  </si>
  <si>
    <t>one young calf equal to adult</t>
  </si>
  <si>
    <t>one growing calf(above 12 month)</t>
  </si>
  <si>
    <t>One heifer/cow</t>
  </si>
  <si>
    <t>Initial live stock</t>
  </si>
  <si>
    <t>Total lactating cows unitsat the start</t>
  </si>
  <si>
    <t>Total heifer at the start of year</t>
  </si>
  <si>
    <t>Total Growing calf(above 1Year)</t>
  </si>
  <si>
    <t>Total female  young calf brought/born of year</t>
  </si>
  <si>
    <t>initial  Total animal units at start (including calf born)</t>
  </si>
  <si>
    <t>mortality detail</t>
  </si>
  <si>
    <t>Total lactating cows  mortality(No)</t>
  </si>
  <si>
    <t>Total heifer mortality(No)</t>
  </si>
  <si>
    <t>Total Growing calfmortality(No}</t>
  </si>
  <si>
    <t>Total young calf mortality(No)</t>
  </si>
  <si>
    <t>Total mortality(adult unit)</t>
  </si>
  <si>
    <t>stock after mortality</t>
  </si>
  <si>
    <t xml:space="preserve">Total lactating cows less mortality </t>
  </si>
  <si>
    <t xml:space="preserve">Total lactating heifers less mortality </t>
  </si>
  <si>
    <t>Total  growing calves(above 1 year) mortality</t>
  </si>
  <si>
    <t xml:space="preserve">Totalcalves less mortality </t>
  </si>
  <si>
    <t>total stock less  mortality</t>
  </si>
  <si>
    <t>stock culled&amp;Sold</t>
  </si>
  <si>
    <t>lactating cow</t>
  </si>
  <si>
    <t>heifer</t>
  </si>
  <si>
    <t>Growing calves(above1 year)</t>
  </si>
  <si>
    <t>calf</t>
  </si>
  <si>
    <t>Total unit culled</t>
  </si>
  <si>
    <t>final stock at the end of year</t>
  </si>
  <si>
    <t>Growing calf (above1 year)</t>
  </si>
  <si>
    <t>Toal animal units at the end of year</t>
  </si>
  <si>
    <t>Gain in animal unit</t>
  </si>
  <si>
    <t>animal unit at the end of year</t>
  </si>
  <si>
    <t>value of gain animal unit</t>
  </si>
  <si>
    <t>B) MILK PRODUCTION PROJECTIONS</t>
  </si>
  <si>
    <t>Total number of expected lactations/year*</t>
  </si>
  <si>
    <t>Expected Milk yield/Lactation</t>
  </si>
  <si>
    <t>Total milk production (lit)</t>
  </si>
  <si>
    <t>Minus milk for feeding calves (lit)(300Lt/calf)</t>
  </si>
  <si>
    <t>Milk available for sale (lit)</t>
  </si>
  <si>
    <t>Daily availability of milk for sale</t>
  </si>
  <si>
    <t>C) TECHNICAL PARAMETERS AND COST OF PURCHASED MATERIAL&amp;SALE PRICES CONSIDERED:</t>
  </si>
  <si>
    <t>Market price of cow considered on per liter average daily yield (Rs)</t>
  </si>
  <si>
    <t>Estimated cost/cow (Rs)</t>
  </si>
  <si>
    <t>Estimated Housing +Equipments cost  (Rs),Detail below at "L"</t>
  </si>
  <si>
    <t>Estimated capital Investment /cow unit (Rs)</t>
  </si>
  <si>
    <t>Estimated total capital (Rs)Detai given belowAt L</t>
  </si>
  <si>
    <t>Rate Of Interest</t>
  </si>
  <si>
    <t>Margin money (%)</t>
  </si>
  <si>
    <t>Owners Capital</t>
  </si>
  <si>
    <t>Loan (Rs) =</t>
  </si>
  <si>
    <t>Annual Increase in Feed Cost, Milk Selling prices &amp; wages %</t>
  </si>
  <si>
    <t>Milk Selling Price (Rs)/Lit. (av) :</t>
  </si>
  <si>
    <t>Purchase price of Green Fodder (Rs)/KG:</t>
  </si>
  <si>
    <t>Purchase price of Straw (Rs)/KG:</t>
  </si>
  <si>
    <t>Purchase price of Concentrate (Rs)/KG:</t>
  </si>
  <si>
    <t>Contractual labor Wages /cow unit/year</t>
  </si>
  <si>
    <t>Number of manager/supervisor hired@1 per/100A.unit</t>
  </si>
  <si>
    <t xml:space="preserve">Supervisors   salary / annum (10% annual increase) </t>
  </si>
  <si>
    <t xml:space="preserve">Total Supervisors   salary / annum  </t>
  </si>
  <si>
    <t>D) EXECTED SALE PROCEEDS</t>
  </si>
  <si>
    <t>Unit Cost (Rs.)</t>
  </si>
  <si>
    <t>I) Milk sale(rs)</t>
  </si>
  <si>
    <t>ii) Misc. Sales</t>
  </si>
  <si>
    <t xml:space="preserve">Animal unit sold (culled)  </t>
  </si>
  <si>
    <t>Male calf (disposed of within 1-2 months)</t>
  </si>
  <si>
    <t xml:space="preserve">Insurance Claim of mortality </t>
  </si>
  <si>
    <t>Cow dung/animal unit</t>
  </si>
  <si>
    <t>iii) Total Sales</t>
  </si>
  <si>
    <t>E) EXPECTED OPERATIONAL EXPENDITURE</t>
  </si>
  <si>
    <t>Ist year Unit Cost (Rs.)</t>
  </si>
  <si>
    <t>G. Fodder cost @ 40kg/animal unit</t>
  </si>
  <si>
    <t>Straw @ 3Kg/animal unit</t>
  </si>
  <si>
    <t>Concentrate for milk production @ 2.5Kg/Lit</t>
  </si>
  <si>
    <t>Concentrate maintenance @1.5Kg/ani. unit</t>
  </si>
  <si>
    <t>Medicines &amp; AI etc.</t>
  </si>
  <si>
    <t>Rent/leasing cost for land for Shed etc /A.unit.</t>
  </si>
  <si>
    <t xml:space="preserve">Salary of supervisor/annum </t>
  </si>
  <si>
    <t>Insurance premium cows only</t>
  </si>
  <si>
    <t>Electricity charges@ 1200 /animal unit/year</t>
  </si>
  <si>
    <t>Other misc. charges@1200/animal unit</t>
  </si>
  <si>
    <t xml:space="preserve">(a) Total operating cost </t>
  </si>
  <si>
    <t>Operating surplus (Total sale - Operational cost)</t>
  </si>
  <si>
    <t xml:space="preserve">(b) Dep. On shed machinery &amp; Equipments </t>
  </si>
  <si>
    <t>Total Exp. (a+b)</t>
  </si>
  <si>
    <t xml:space="preserve">F) NET PROFIT </t>
  </si>
  <si>
    <t>G) A)RETURN ON CAPITAL INVEST.( %)</t>
  </si>
  <si>
    <t>G) B)RETURN ON CAPITAL INVEST.( %)INCL ANI&gt;</t>
  </si>
  <si>
    <t>H) BC RATIO</t>
  </si>
  <si>
    <t>Ia) COST OF MILK PRODUCTION (Rs)with animal gain</t>
  </si>
  <si>
    <t>Ib) COST OF MILK PRODUCTION (Rs)</t>
  </si>
  <si>
    <t>J) LOAN DISBURSEMENT AND PAYMENT SCHEDULE</t>
  </si>
  <si>
    <t>YEAR</t>
  </si>
  <si>
    <t>Loan</t>
  </si>
  <si>
    <t>Interest</t>
  </si>
  <si>
    <t>Installment</t>
  </si>
  <si>
    <t>Total</t>
  </si>
  <si>
    <t>K) CASH BALANCE AFTER DEBT SERVICE</t>
  </si>
  <si>
    <t>Open.Surplus</t>
  </si>
  <si>
    <t>Payments</t>
  </si>
  <si>
    <t>Cash balance</t>
  </si>
  <si>
    <t>*Average no of full lactation = no of calving (No.cows X 12 months / inter-calving period in months )</t>
  </si>
  <si>
    <t>K)REQUIREMENTS OF FEED FODDER AND LAND REQUIREMENTS FOR FODDER CULTIVATION</t>
  </si>
  <si>
    <t>concentrate required annualy(ton)*</t>
  </si>
  <si>
    <t>green fodder required annualy(ton)</t>
  </si>
  <si>
    <t>wheat straw required annualy(tons)</t>
  </si>
  <si>
    <t>average concentrate(kg) /animal unit</t>
  </si>
  <si>
    <t>average green fodder(kg)/animal/unit</t>
  </si>
  <si>
    <t>average straw(Kg) /animal unit</t>
  </si>
  <si>
    <t>*Normally concentrateformulae  has 1/3 grains,1/3 oilcakes and 1/3 industrial by products</t>
  </si>
  <si>
    <t>all oil cakes(tons)</t>
  </si>
  <si>
    <t>mustard cake(3/4 of all cakes)tons</t>
  </si>
  <si>
    <t>mustard cake  for 3 months(Tons)</t>
  </si>
  <si>
    <t>FINANCE REQUIRED FOR FEEDING</t>
  </si>
  <si>
    <t>Finance for concentrate required annualy(Rs)</t>
  </si>
  <si>
    <t>Finance for green fodder required annualy(Rs)</t>
  </si>
  <si>
    <t>Finance for wheat straw required annualy(Rs)</t>
  </si>
  <si>
    <t>% of total operational cost</t>
  </si>
  <si>
    <t>land required for fodder growing(acre)</t>
  </si>
  <si>
    <t>Land productivity/annum(qt) considered</t>
  </si>
  <si>
    <t>Accordingly calculated land required for fodder(acres)</t>
  </si>
  <si>
    <t>%of required fodder grown</t>
  </si>
  <si>
    <t>Accordingly land required for fodder growing(acre)</t>
  </si>
  <si>
    <t>Total fodder to be purcased(ton)/year</t>
  </si>
  <si>
    <t xml:space="preserve"> silage feeding  of purchased fodder</t>
  </si>
  <si>
    <t>Green fodder replaced for silage (tons)</t>
  </si>
  <si>
    <t>Additional fodder for silage making loses (15%)</t>
  </si>
  <si>
    <t>Total fodder to be purcased for silage(ton)/year</t>
  </si>
  <si>
    <t>Total fodder for feeding (purchased)(ton)</t>
  </si>
  <si>
    <t xml:space="preserve">L)PROJECT COST CALCULATION </t>
  </si>
  <si>
    <t>a)Sheds area calculations:</t>
  </si>
  <si>
    <t>Sheds breadth calculation</t>
  </si>
  <si>
    <t>Feeding manger(ft)</t>
  </si>
  <si>
    <t>Standing place(ft)</t>
  </si>
  <si>
    <t>Feeding tractor trolley space(ft)</t>
  </si>
  <si>
    <t>backyard breadth(ft)</t>
  </si>
  <si>
    <t>height(ft)</t>
  </si>
  <si>
    <t>height at eves(ft)</t>
  </si>
  <si>
    <t>open space/side(ft)</t>
  </si>
  <si>
    <t>Shed breadth Exclding openspace(ft)</t>
  </si>
  <si>
    <t>shed breadth inclding openspace(ft)</t>
  </si>
  <si>
    <t>length calculation</t>
  </si>
  <si>
    <t>number of animals/row</t>
  </si>
  <si>
    <t xml:space="preserve">Space width/animal (ft) </t>
  </si>
  <si>
    <t>No of water troughs/side</t>
  </si>
  <si>
    <t>T. water  trough length (@5ft)</t>
  </si>
  <si>
    <t>total space at entry and end(ft)</t>
  </si>
  <si>
    <t>Total length (ft)</t>
  </si>
  <si>
    <t>Area of one shed and Number of sheds and thire cost calculations:</t>
  </si>
  <si>
    <t>CoveredArea /shed(sq.ft)</t>
  </si>
  <si>
    <t>`</t>
  </si>
  <si>
    <t>Area open(sq.ft)</t>
  </si>
  <si>
    <t>Rate/Sq ft covered area with fittings</t>
  </si>
  <si>
    <t>Rate /sq feed  open paved area</t>
  </si>
  <si>
    <t>Cost covered area(Rs)</t>
  </si>
  <si>
    <t>Cost Open area(Rs)</t>
  </si>
  <si>
    <t>Total cost/shed (crore)</t>
  </si>
  <si>
    <t>Av.Total number of animal unit</t>
  </si>
  <si>
    <t>Number of sheds required</t>
  </si>
  <si>
    <t>Total Cost of sheds and paved open area(Crore Rs)</t>
  </si>
  <si>
    <t>Cost of other structures(stores,offices etc /roads)  @10%(crore)</t>
  </si>
  <si>
    <t>Total Cost of structure and roads</t>
  </si>
  <si>
    <t>Cost of machinary(milking,feeding,cleaning etc)@20%of shed cost</t>
  </si>
  <si>
    <t>Cost of livestock(crore)</t>
  </si>
  <si>
    <t>Other costs(consultancy,one month working capital etc)</t>
  </si>
  <si>
    <t>Total costs(crore)</t>
  </si>
  <si>
    <t>NB:Figures in red can only be changed considering local conditions.PROGRAMMED BY DR. OBEROI</t>
  </si>
</sst>
</file>

<file path=xl/styles.xml><?xml version="1.0" encoding="utf-8"?>
<styleSheet xmlns="http://schemas.openxmlformats.org/spreadsheetml/2006/main" xml:space="preserve">
  <numFmts count="3">
    <numFmt numFmtId="164" formatCode="0.0"/>
    <numFmt numFmtId="165" formatCode="0.0%"/>
    <numFmt numFmtId="166" formatCode="0.000"/>
  </numFmts>
  <fonts count="4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0"/>
      <i val="0"/>
      <strike val="0"/>
      <u val="none"/>
      <sz val="10"/>
      <color rgb="FF003366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1"/>
      <color rgb="FF003366"/>
      <name val="Arial"/>
    </font>
    <font>
      <b val="0"/>
      <i val="0"/>
      <strike val="0"/>
      <u val="none"/>
      <sz val="11"/>
      <color rgb="FFFF0000"/>
      <name val="Arial"/>
    </font>
    <font>
      <b val="0"/>
      <i val="0"/>
      <strike val="0"/>
      <u val="none"/>
      <sz val="11"/>
      <color rgb="FF002060"/>
      <name val="Calibri"/>
    </font>
    <font>
      <b val="1"/>
      <i val="0"/>
      <strike val="0"/>
      <u val="single"/>
      <sz val="10"/>
      <color rgb="FF003366"/>
      <name val="Arial"/>
    </font>
    <font>
      <b val="1"/>
      <i val="1"/>
      <strike val="0"/>
      <u val="none"/>
      <sz val="10"/>
      <color rgb="FF003366"/>
      <name val="Arial"/>
    </font>
    <font>
      <b val="0"/>
      <i val="0"/>
      <strike val="0"/>
      <u val="none"/>
      <sz val="12"/>
      <color rgb="FF003366"/>
      <name val="Arial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B050"/>
      <name val="Arial"/>
    </font>
    <font>
      <b val="1"/>
      <i val="0"/>
      <strike val="0"/>
      <u val="single"/>
      <sz val="10"/>
      <color rgb="FFC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12"/>
      <color rgb="FFC00000"/>
      <name val="Arial"/>
    </font>
    <font>
      <b val="1"/>
      <i val="0"/>
      <strike val="0"/>
      <u val="single"/>
      <sz val="12"/>
      <color rgb="FFFF0000"/>
      <name val="Arial"/>
    </font>
    <font>
      <b val="0"/>
      <i val="0"/>
      <strike val="0"/>
      <u val="none"/>
      <sz val="12"/>
      <color rgb="FFFF0000"/>
      <name val="Arial"/>
    </font>
    <font>
      <b val="1"/>
      <i val="1"/>
      <strike val="0"/>
      <u val="none"/>
      <sz val="10"/>
      <color rgb="FFFF0000"/>
      <name val="Arial"/>
    </font>
    <font>
      <b val="0"/>
      <i val="0"/>
      <strike val="0"/>
      <u val="none"/>
      <sz val="11"/>
      <color rgb="FF002060"/>
      <name val="Arial"/>
    </font>
    <font>
      <b val="0"/>
      <i val="0"/>
      <strike val="0"/>
      <u val="none"/>
      <sz val="12"/>
      <color rgb="FF00B050"/>
      <name val="Arial"/>
    </font>
    <font>
      <b val="1"/>
      <i val="1"/>
      <strike val="0"/>
      <u val="none"/>
      <sz val="11"/>
      <color rgb="FF002060"/>
      <name val="Arial"/>
    </font>
    <font>
      <b val="1"/>
      <i val="0"/>
      <strike val="0"/>
      <u val="none"/>
      <sz val="10"/>
      <color rgb="FF00B050"/>
      <name val="Arial"/>
    </font>
    <font>
      <b val="1"/>
      <i val="0"/>
      <strike val="0"/>
      <u val="single"/>
      <sz val="12"/>
      <color rgb="FF00B050"/>
      <name val="Arial"/>
    </font>
    <font>
      <b val="1"/>
      <i val="0"/>
      <strike val="0"/>
      <u val="none"/>
      <sz val="11"/>
      <color rgb="FF00B050"/>
      <name val="Arial"/>
    </font>
    <font>
      <b val="0"/>
      <i val="0"/>
      <strike val="0"/>
      <u val="none"/>
      <sz val="11"/>
      <color rgb="FF00B050"/>
      <name val="Arial"/>
    </font>
    <font>
      <b val="1"/>
      <i val="0"/>
      <strike val="0"/>
      <u val="none"/>
      <sz val="12"/>
      <color rgb="FFFF0000"/>
      <name val="Arial"/>
    </font>
    <font>
      <b val="0"/>
      <i val="0"/>
      <strike val="0"/>
      <u val="none"/>
      <sz val="12"/>
      <color rgb="FF0070C0"/>
      <name val="Arial"/>
    </font>
    <font>
      <b val="0"/>
      <i val="0"/>
      <strike val="0"/>
      <u val="none"/>
      <sz val="12"/>
      <color rgb="FF002060"/>
      <name val="Arial"/>
    </font>
    <font>
      <b val="0"/>
      <i val="0"/>
      <strike val="0"/>
      <u val="single"/>
      <sz val="11"/>
      <color rgb="FF00B050"/>
      <name val="Arial"/>
    </font>
    <font>
      <b val="1"/>
      <i val="0"/>
      <strike val="0"/>
      <u val="single"/>
      <sz val="11"/>
      <color rgb="FF0070C0"/>
      <name val="Arial"/>
    </font>
    <font>
      <b val="1"/>
      <i val="0"/>
      <strike val="0"/>
      <u val="single"/>
      <sz val="16"/>
      <color rgb="FF00B050"/>
      <name val="Arial"/>
    </font>
    <font>
      <b val="1"/>
      <i val="0"/>
      <strike val="0"/>
      <u val="single"/>
      <sz val="14"/>
      <color rgb="FFFF0000"/>
      <name val="Arial"/>
    </font>
    <font>
      <b val="0"/>
      <i val="0"/>
      <strike val="0"/>
      <u val="none"/>
      <sz val="14"/>
      <color rgb="FFFF0000"/>
      <name val="Arial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6"/>
      <color rgb="FFFF0000"/>
      <name val="Calibri"/>
    </font>
    <font>
      <b val="0"/>
      <i val="0"/>
      <strike val="0"/>
      <u val="single"/>
      <sz val="10"/>
      <color rgb="FFFF0000"/>
      <name val="Arial"/>
    </font>
    <font>
      <b val="0"/>
      <i val="1"/>
      <strike val="0"/>
      <u val="none"/>
      <sz val="10"/>
      <color rgb="FF003366"/>
      <name val="Arial"/>
    </font>
    <font>
      <b val="0"/>
      <i val="0"/>
      <strike val="0"/>
      <u val="none"/>
      <sz val="12"/>
      <color rgb="FFFF0000"/>
      <name val="Calibri"/>
    </font>
    <font>
      <b val="1"/>
      <i val="0"/>
      <strike val="0"/>
      <u val="single"/>
      <sz val="11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2"/>
      <color rgb="FF003366"/>
      <name val="Calibri"/>
    </font>
    <font>
      <b val="1"/>
      <i val="0"/>
      <strike val="0"/>
      <u val="single"/>
      <sz val="12"/>
      <color rgb="FF00206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0C0C0"/>
        <bgColor rgb="FF000000"/>
      </patternFill>
    </fill>
  </fills>
  <borders count="9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46">
    <xf xfId="0" fontId="0" numFmtId="0" fillId="0" borderId="0" applyFont="0" applyNumberFormat="0" applyFill="0" applyBorder="0" applyAlignment="0" applyProtection="true">
      <protection hidden="false"/>
    </xf>
    <xf xfId="0" fontId="1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2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164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1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3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5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0" fillId="2" borderId="1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0" fillId="2" borderId="2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6" numFmtId="0" fillId="0" borderId="0" applyFont="1" applyNumberFormat="0" applyFill="0" applyBorder="0" applyAlignment="0" applyProtection="true">
      <protection hidden="false"/>
    </xf>
    <xf xfId="0" fontId="1" numFmtId="0" fillId="3" borderId="3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" numFmtId="0" fillId="3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7" numFmtId="0" fillId="3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7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" numFmtId="0" fillId="3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9" numFmtId="3" fillId="3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1" fillId="3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2" fillId="3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7" numFmtId="2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0" fillId="3" borderId="6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" numFmtId="0" fillId="4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0" fillId="4" borderId="2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8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4" borderId="6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" numFmtId="0" fillId="5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0" fillId="5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2" fillId="5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0" fillId="5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0" numFmtId="0" fillId="5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0" fillId="5" borderId="2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8" numFmtId="0" fillId="5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5" borderId="2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1" numFmtId="9" fillId="5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10" fillId="5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1" numFmtId="2" fillId="5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1" numFmtId="165" fillId="5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" numFmtId="0" fillId="5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2" numFmtId="2" fillId="5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" numFmtId="0" fillId="5" borderId="6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10" fillId="5" borderId="7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0" fillId="6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0" fillId="6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0" fillId="6" borderId="8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" numFmtId="0" fillId="5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0" fillId="5" borderId="6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164" fillId="5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164" fillId="5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9" numFmtId="0" fillId="6" borderId="3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0" fillId="6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" numFmtId="0" fillId="6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3" numFmtId="164" fillId="6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3" numFmtId="164" fillId="6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0" fillId="6" borderId="6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3" numFmtId="164" fillId="6" borderId="8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3" numFmtId="164" fillId="6" borderId="7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0" fillId="6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165" fillId="6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164" fillId="6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4" numFmtId="164" fillId="6" borderId="4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5" numFmtId="164" fillId="6" borderId="4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5" numFmtId="164" fillId="6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5" numFmtId="164" fillId="6" borderId="5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5" numFmtId="164" fillId="6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5" numFmtId="164" fillId="6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5" numFmtId="164" fillId="6" borderId="6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5" numFmtId="164" fillId="6" borderId="8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5" numFmtId="164" fillId="6" borderId="7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164" fillId="6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164" fillId="6" borderId="4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164" fillId="6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164" fillId="6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164" fillId="6" borderId="8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164" fillId="6" borderId="7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6" numFmtId="164" fillId="6" borderId="3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0" fillId="7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164" fillId="7" borderId="4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164" fillId="7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0" fillId="7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" numFmtId="9" fillId="7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" numFmtId="164" fillId="7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" numFmtId="164" fillId="7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0" fillId="7" borderId="6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" numFmtId="9" fillId="7" borderId="8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7" borderId="8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7" borderId="7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9" numFmtId="0" fillId="7" borderId="3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7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8" numFmtId="0" fillId="2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7" numFmtId="0" fillId="5" borderId="3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" numFmtId="1" fillId="5" borderId="4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8" numFmtId="0" fillId="5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" numFmtId="0" fillId="5" borderId="1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1" fillId="5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1" fillId="5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3" numFmtId="0" fillId="5" borderId="8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1" fillId="5" borderId="8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1" fillId="5" borderId="7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2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3" numFmtId="0" fillId="3" borderId="8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1" fillId="3" borderId="8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0" fillId="4" borderId="3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" numFmtId="0" fillId="4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0" numFmtId="1" fillId="4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1" fillId="4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1" numFmtId="0" fillId="4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1" fillId="4" borderId="8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0" fillId="4" borderId="7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8" numFmtId="2" fillId="3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7" numFmtId="2" fillId="3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0" numFmtId="2" fillId="3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7" numFmtId="1" fillId="3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7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1" fillId="3" borderId="7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0" fillId="5" borderId="3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" numFmtId="0" fillId="5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1" fillId="5" borderId="4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1" fillId="5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7" numFmtId="0" fillId="5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9" numFmtId="0" fillId="5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1" fillId="5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1" numFmtId="0" fillId="5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1" numFmtId="1" fillId="5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1" numFmtId="3" fillId="5" borderId="0" applyFont="1" applyNumberFormat="1" applyFill="1" applyBorder="0" applyAlignment="1" applyProtection="true">
      <alignment horizontal="left" vertical="bottom" textRotation="0" wrapText="false" shrinkToFit="false"/>
      <protection locked="false" hidden="false"/>
    </xf>
    <xf xfId="0" fontId="11" numFmtId="0" fillId="5" borderId="8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0" fillId="5" borderId="7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0" fillId="4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0" fillId="4" borderId="1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19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1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1" numFmtId="0" fillId="4" borderId="8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0" fillId="2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7" numFmtId="0" fillId="2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0" numFmtId="0" fillId="2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0" numFmtId="164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0" numFmtId="164" fillId="2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1" numFmtId="0" fillId="2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1" numFmtId="2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0" fillId="2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2" numFmtId="1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2" numFmtId="1" fillId="2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0" numFmtId="1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0" numFmtId="1" fillId="2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3" numFmtId="0" fillId="2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3" numFmtId="3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3" numFmtId="3" fillId="2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3" numFmtId="2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3" numFmtId="2" fillId="2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4" numFmtId="0" fillId="2" borderId="3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0" numFmtId="0" fillId="2" borderId="3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0" numFmtId="0" fillId="2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0" numFmtId="0" fillId="2" borderId="1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0" numFmtId="0" fillId="2" borderId="6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0" numFmtId="164" fillId="2" borderId="8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0" numFmtId="164" fillId="2" borderId="7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4" numFmtId="0" fillId="2" borderId="3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4" numFmtId="0" fillId="2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4" numFmtId="0" fillId="2" borderId="1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5" numFmtId="0" fillId="2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6" numFmtId="0" fillId="2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7" numFmtId="2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7" numFmtId="9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8" numFmtId="1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9" numFmtId="1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30" numFmtId="0" fillId="2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1" numFmtId="1" fillId="2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32" numFmtId="0" fillId="2" borderId="3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2" numFmtId="2" fillId="2" borderId="4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3" numFmtId="2" fillId="2" borderId="4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3" numFmtId="2" fillId="2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9" numFmtId="1" fillId="2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7" numFmtId="9" fillId="2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31" numFmtId="1" fillId="2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8" numFmtId="1" fillId="2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33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4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6" numFmtId="0" fillId="2" borderId="6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8" numFmtId="1" fillId="2" borderId="8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8" numFmtId="1" fillId="2" borderId="7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6" numFmtId="0" fillId="0" borderId="0" applyFont="1" applyNumberFormat="0" applyFill="0" applyBorder="0" applyAlignment="0" applyProtection="true">
      <protection hidden="false"/>
    </xf>
    <xf xfId="0" fontId="6" numFmtId="0" fillId="0" borderId="5" applyFont="1" applyNumberFormat="0" applyFill="0" applyBorder="1" applyAlignment="0" applyProtection="true">
      <protection hidden="false"/>
    </xf>
    <xf xfId="0" fontId="6" numFmtId="2" fillId="0" borderId="2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6" numFmtId="0" fillId="0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0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5" numFmtId="0" fillId="0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36" numFmtId="0" fillId="0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4" numFmtId="164" fillId="2" borderId="2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6" numFmtId="164" fillId="0" borderId="2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2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2" fillId="3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2" fillId="3" borderId="4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2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0" numFmtId="1" fillId="3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1" numFmtId="0" fillId="3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" numFmtId="1" fillId="3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7" numFmtId="1" fillId="3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9" numFmtId="0" fillId="6" borderId="5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0" fillId="6" borderId="2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38" numFmtId="1" fillId="5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19" numFmtId="1" fillId="5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2" numFmtId="0" fillId="5" borderId="4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2" numFmtId="2" fillId="5" borderId="4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2" numFmtId="2" fillId="5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0" fillId="5" borderId="8" applyFont="1" applyNumberFormat="0" applyFill="1" applyBorder="1" applyAlignment="1" applyProtection="true">
      <alignment horizontal="left" vertical="bottom" textRotation="0" wrapText="false" shrinkToFit="false"/>
      <protection hidden="true"/>
    </xf>
    <xf xfId="0" fontId="6" numFmtId="0" fillId="0" borderId="5" applyFont="1" applyNumberFormat="0" applyFill="0" applyBorder="1" applyAlignment="0" applyProtection="true">
      <protection hidden="false"/>
    </xf>
    <xf xfId="0" fontId="6" numFmtId="0" fillId="0" borderId="0" applyFont="1" applyNumberFormat="0" applyFill="0" applyBorder="0" applyAlignment="0" applyProtection="true">
      <protection hidden="false"/>
    </xf>
    <xf xfId="0" fontId="39" numFmtId="0" fillId="0" borderId="3" applyFont="1" applyNumberFormat="0" applyFill="0" applyBorder="1" applyAlignment="0" applyProtection="true">
      <protection hidden="false"/>
    </xf>
    <xf xfId="0" fontId="39" numFmtId="0" fillId="0" borderId="4" applyFont="1" applyNumberFormat="0" applyFill="0" applyBorder="1" applyAlignment="0" applyProtection="true">
      <protection hidden="false"/>
    </xf>
    <xf xfId="0" fontId="17" numFmtId="2" fillId="5" borderId="0" applyFont="1" applyNumberFormat="1" applyFill="1" applyBorder="0" applyAlignment="1" applyProtection="true">
      <alignment horizontal="left" vertical="bottom" textRotation="0" wrapText="false" shrinkToFit="false"/>
      <protection hidden="true"/>
    </xf>
    <xf xfId="0" fontId="40" numFmtId="0" fillId="0" borderId="5" applyFont="1" applyNumberFormat="0" applyFill="0" applyBorder="1" applyAlignment="0" applyProtection="true">
      <protection hidden="false"/>
    </xf>
    <xf xfId="0" fontId="6" numFmtId="0" fillId="0" borderId="7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0" borderId="6" applyFont="1" applyNumberFormat="0" applyFill="0" applyBorder="1" applyAlignment="0" applyProtection="true">
      <protection hidden="false"/>
    </xf>
    <xf xfId="0" fontId="6" numFmtId="0" fillId="0" borderId="8" applyFont="1" applyNumberFormat="0" applyFill="0" applyBorder="1" applyAlignment="0" applyProtection="true">
      <protection hidden="false"/>
    </xf>
    <xf xfId="0" fontId="41" numFmtId="0" fillId="0" borderId="6" applyFont="1" applyNumberFormat="0" applyFill="0" applyBorder="1" applyAlignment="0" applyProtection="true">
      <protection hidden="false"/>
    </xf>
    <xf xfId="0" fontId="42" numFmtId="0" fillId="0" borderId="3" applyFont="1" applyNumberFormat="0" applyFill="0" applyBorder="1" applyAlignment="0" applyProtection="true">
      <protection hidden="false"/>
    </xf>
    <xf xfId="0" fontId="41" numFmtId="0" fillId="0" borderId="5" applyFont="1" applyNumberFormat="0" applyFill="0" applyBorder="1" applyAlignment="0" applyProtection="true">
      <protection hidden="false"/>
    </xf>
    <xf xfId="0" fontId="40" numFmtId="0" fillId="0" borderId="3" applyFont="1" applyNumberFormat="0" applyFill="0" applyBorder="1" applyAlignment="0" applyProtection="true">
      <protection hidden="false"/>
    </xf>
    <xf xfId="0" fontId="41" numFmtId="0" fillId="0" borderId="4" applyFont="1" applyNumberFormat="0" applyFill="0" applyBorder="1" applyAlignment="0" applyProtection="true">
      <protection hidden="false"/>
    </xf>
    <xf xfId="0" fontId="6" numFmtId="2" fillId="0" borderId="7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6" numFmtId="166" fillId="0" borderId="2" applyFont="1" applyNumberFormat="1" applyFill="0" applyBorder="1" applyAlignment="1" applyProtection="true">
      <alignment horizontal="left" vertical="bottom" textRotation="0" wrapText="false" shrinkToFit="false"/>
      <protection hidden="false"/>
    </xf>
    <xf xfId="0" fontId="12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6" numFmtId="0" fillId="0" borderId="5" applyFont="1" applyNumberFormat="0" applyFill="0" applyBorder="1" applyAlignment="0" applyProtection="true">
      <protection hidden="false"/>
    </xf>
    <xf xfId="0" fontId="6" numFmtId="0" fillId="0" borderId="0" applyFont="1" applyNumberFormat="0" applyFill="0" applyBorder="0" applyAlignment="0" applyProtection="true">
      <protection hidden="false"/>
    </xf>
    <xf xfId="0" fontId="39" numFmtId="0" fillId="0" borderId="3" applyFont="1" applyNumberFormat="0" applyFill="0" applyBorder="1" applyAlignment="0" applyProtection="true">
      <protection hidden="false"/>
    </xf>
    <xf xfId="0" fontId="39" numFmtId="0" fillId="0" borderId="4" applyFont="1" applyNumberFormat="0" applyFill="0" applyBorder="1" applyAlignment="0" applyProtection="true">
      <protection hidden="false"/>
    </xf>
    <xf xfId="0" fontId="6" numFmtId="0" fillId="8" borderId="5" applyFont="1" applyNumberFormat="0" applyFill="1" applyBorder="1" applyAlignment="0" applyProtection="true">
      <protection hidden="false"/>
    </xf>
    <xf xfId="0" fontId="6" numFmtId="0" fillId="8" borderId="0" applyFont="1" applyNumberFormat="0" applyFill="1" applyBorder="0" applyAlignment="0" applyProtection="true">
      <protection hidden="false"/>
    </xf>
    <xf xfId="0" fontId="43" numFmtId="0" fillId="0" borderId="5" applyFont="1" applyNumberFormat="0" applyFill="0" applyBorder="1" applyAlignment="0" applyProtection="true">
      <protection hidden="false"/>
    </xf>
    <xf xfId="0" fontId="43" numFmtId="0" fillId="0" borderId="0" applyFont="1" applyNumberFormat="0" applyFill="0" applyBorder="0" applyAlignment="0" applyProtection="true">
      <protection hidden="false"/>
    </xf>
    <xf xfId="0" fontId="41" numFmtId="0" fillId="0" borderId="6" applyFont="1" applyNumberFormat="0" applyFill="0" applyBorder="1" applyAlignment="0" applyProtection="true">
      <protection hidden="false"/>
    </xf>
    <xf xfId="0" fontId="41" numFmtId="0" fillId="0" borderId="8" applyFont="1" applyNumberFormat="0" applyFill="0" applyBorder="1" applyAlignment="0" applyProtection="true"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231"/>
  <sheetViews>
    <sheetView tabSelected="1" workbookViewId="0" view="pageLayout" showGridLines="true" showRowColHeaders="1">
      <selection activeCell="E229" sqref="E229"/>
    </sheetView>
  </sheetViews>
  <sheetFormatPr customHeight="true" defaultRowHeight="12.75" defaultColWidth="17.7109375" outlineLevelRow="0" outlineLevelCol="0"/>
  <cols>
    <col min="1" max="1" width="48.42578125" customWidth="true" style="2"/>
    <col min="2" max="2" width="12.140625" customWidth="true" style="2"/>
    <col min="3" max="3" width="14" customWidth="true" style="2"/>
    <col min="4" max="4" width="13.42578125" customWidth="true" style="2"/>
    <col min="5" max="5" width="13.7109375" customWidth="true" style="2"/>
    <col min="6" max="6" width="13.7109375" customWidth="true" style="2"/>
    <col min="7" max="7" width="10" customWidth="true" style="2"/>
    <col min="8" max="8" width="12.7109375" customWidth="true" style="2"/>
  </cols>
  <sheetData>
    <row r="1" spans="1:10" customHeight="1" ht="12.75">
      <c r="A1" s="1" t="s">
        <v>0</v>
      </c>
    </row>
    <row r="2" spans="1:10" customHeight="1" ht="12.75">
      <c r="A2" s="1" t="s">
        <v>1</v>
      </c>
    </row>
    <row r="3" spans="1:10" customHeight="1" ht="12.75">
      <c r="A3" s="1"/>
    </row>
    <row r="4" spans="1:10" customHeight="1" ht="12.75">
      <c r="A4" s="1" t="s">
        <v>2</v>
      </c>
    </row>
    <row r="6" spans="1:10" customHeight="1" ht="12.75" s="1" customFormat="1">
      <c r="A6" s="1" t="s">
        <v>3</v>
      </c>
    </row>
    <row r="7" spans="1:10" customHeight="1" ht="12.75" s="1" customFormat="1">
      <c r="A7" s="1" t="s">
        <v>4</v>
      </c>
    </row>
    <row r="8" spans="1:10" customHeight="1" ht="12.75" s="1" customFormat="1">
      <c r="A8" s="1" t="s">
        <v>5</v>
      </c>
    </row>
    <row r="9" spans="1:10" customHeight="1" ht="16.5" s="1" customFormat="1">
      <c r="A9" s="97" t="s">
        <v>6</v>
      </c>
      <c r="B9" s="96">
        <v>2</v>
      </c>
    </row>
    <row r="10" spans="1:10" customHeight="1" ht="12.75" s="1" customFormat="1">
      <c r="A10" s="15" t="s">
        <v>7</v>
      </c>
      <c r="B10" s="16"/>
      <c r="C10" s="16"/>
      <c r="D10" s="16"/>
      <c r="E10" s="16"/>
      <c r="F10" s="16"/>
      <c r="G10" s="16"/>
      <c r="H10" s="17"/>
    </row>
    <row r="11" spans="1:10" customHeight="1" ht="12.75">
      <c r="A11" s="18"/>
      <c r="B11" s="19"/>
      <c r="C11" s="20" t="s">
        <v>8</v>
      </c>
      <c r="D11" s="20" t="s">
        <v>9</v>
      </c>
      <c r="E11" s="20" t="s">
        <v>10</v>
      </c>
      <c r="F11" s="20" t="s">
        <v>11</v>
      </c>
      <c r="G11" s="20" t="s">
        <v>12</v>
      </c>
      <c r="H11" s="21" t="s">
        <v>13</v>
      </c>
    </row>
    <row r="12" spans="1:10" customHeight="1" ht="15">
      <c r="A12" s="22" t="s">
        <v>14</v>
      </c>
      <c r="B12" s="19"/>
      <c r="C12" s="23">
        <f>D93</f>
        <v>183071.1143</v>
      </c>
      <c r="D12" s="20"/>
      <c r="E12" s="20"/>
      <c r="F12" s="20"/>
      <c r="G12" s="20"/>
      <c r="H12" s="21"/>
    </row>
    <row r="13" spans="1:10" customHeight="1" ht="12.75">
      <c r="A13" s="22" t="s">
        <v>15</v>
      </c>
      <c r="B13" s="19"/>
      <c r="C13" s="24">
        <f>E96</f>
        <v>137303.335725</v>
      </c>
      <c r="D13" s="20"/>
      <c r="E13" s="20"/>
      <c r="F13" s="20"/>
      <c r="G13" s="20"/>
      <c r="H13" s="21"/>
    </row>
    <row r="14" spans="1:10" customHeight="1" ht="12.75">
      <c r="A14" s="22" t="s">
        <v>16</v>
      </c>
      <c r="B14" s="19"/>
      <c r="C14" s="24">
        <f>E97</f>
        <v>45767.778575</v>
      </c>
      <c r="D14" s="20"/>
      <c r="E14" s="20"/>
      <c r="F14" s="20"/>
      <c r="G14" s="20"/>
      <c r="H14" s="21"/>
    </row>
    <row r="15" spans="1:10" customHeight="1" ht="12.75">
      <c r="A15" s="22" t="s">
        <v>17</v>
      </c>
      <c r="B15" s="19"/>
      <c r="C15" s="25">
        <f>C137</f>
        <v>30.835559146847</v>
      </c>
      <c r="D15" s="25">
        <f>D137</f>
        <v>24.082535712188</v>
      </c>
      <c r="E15" s="25">
        <f>E137</f>
        <v>47.61165798506</v>
      </c>
      <c r="F15" s="25">
        <f>F137</f>
        <v>59.320522962703</v>
      </c>
      <c r="G15" s="25">
        <f>G137</f>
        <v>65.15466080593</v>
      </c>
      <c r="H15" s="26">
        <f>(C15+D15+E15+F15+G15)/5</f>
        <v>45.400987322546</v>
      </c>
    </row>
    <row r="16" spans="1:10" customHeight="1" ht="12.75">
      <c r="A16" s="22" t="s">
        <v>18</v>
      </c>
      <c r="B16" s="201"/>
      <c r="C16" s="25">
        <f>C138</f>
        <v>32.411012495142</v>
      </c>
      <c r="D16" s="25">
        <f>D138</f>
        <v>27.38261838121</v>
      </c>
      <c r="E16" s="25">
        <f>E138</f>
        <v>71.578502883742</v>
      </c>
      <c r="F16" s="25">
        <f>F138</f>
        <v>84.662574917936</v>
      </c>
      <c r="G16" s="25">
        <f>G138</f>
        <v>90.31706923584</v>
      </c>
      <c r="H16" s="202">
        <f>(C16+D16+E16+F16+G16)/5</f>
        <v>61.270355582774</v>
      </c>
    </row>
    <row r="17" spans="1:10" customHeight="1" ht="12.75">
      <c r="A17" s="22" t="s">
        <v>19</v>
      </c>
      <c r="B17" s="19"/>
      <c r="C17" s="25">
        <f>C139</f>
        <v>1.47712114126</v>
      </c>
      <c r="D17" s="25">
        <f>D139</f>
        <v>1.3453456192311</v>
      </c>
      <c r="E17" s="25">
        <f>E139</f>
        <v>1.6525401705723</v>
      </c>
      <c r="F17" s="25">
        <f>F139</f>
        <v>1.7707124354382</v>
      </c>
      <c r="G17" s="25">
        <f>G139</f>
        <v>1.8182931310688</v>
      </c>
      <c r="H17" s="26">
        <f>(C17+D17+E17+F17+G17)/5</f>
        <v>1.6128024995141</v>
      </c>
    </row>
    <row r="18" spans="1:10" customHeight="1" ht="12.75">
      <c r="A18" s="22" t="s">
        <v>20</v>
      </c>
      <c r="B18" s="19"/>
      <c r="C18" s="25">
        <f>C140</f>
        <v>15.258990848214</v>
      </c>
      <c r="D18" s="25">
        <f>D140</f>
        <v>17.62731386472</v>
      </c>
      <c r="E18" s="25">
        <f>E140</f>
        <v>17.774464776362</v>
      </c>
      <c r="F18" s="25">
        <f>F140</f>
        <v>16.799427646242</v>
      </c>
      <c r="G18" s="25">
        <f>G140</f>
        <v>16.590685402555</v>
      </c>
      <c r="H18" s="26">
        <f>(C18+D18+E18+F18+G18)/5</f>
        <v>16.810176507619</v>
      </c>
    </row>
    <row r="19" spans="1:10" customHeight="1" ht="13.5">
      <c r="A19" s="22" t="s">
        <v>21</v>
      </c>
      <c r="B19" s="19"/>
      <c r="C19" s="25">
        <f>C141</f>
        <v>14.887020610119</v>
      </c>
      <c r="D19" s="25">
        <f>D141</f>
        <v>16.793128252306</v>
      </c>
      <c r="E19" s="25">
        <f>E141</f>
        <v>11.935963971385</v>
      </c>
      <c r="F19" s="25">
        <f>F141</f>
        <v>11.268172935555</v>
      </c>
      <c r="G19" s="25">
        <f>G141</f>
        <v>11.347684251674</v>
      </c>
      <c r="H19" s="26">
        <f>(C19+D19+E19+F19+G19)/5</f>
        <v>13.246394004208</v>
      </c>
    </row>
    <row r="20" spans="1:10" customHeight="1" ht="12.75">
      <c r="A20" s="126" t="s">
        <v>22</v>
      </c>
      <c r="B20" s="215"/>
      <c r="C20" s="216"/>
      <c r="D20" s="216"/>
      <c r="E20" s="216"/>
      <c r="F20" s="216"/>
      <c r="G20" s="216"/>
      <c r="H20" s="217"/>
    </row>
    <row r="21" spans="1:10" customHeight="1" ht="12.75">
      <c r="A21" s="34"/>
      <c r="B21" s="35"/>
      <c r="C21" s="40" t="s">
        <v>8</v>
      </c>
      <c r="D21" s="40" t="s">
        <v>9</v>
      </c>
      <c r="E21" s="40" t="s">
        <v>10</v>
      </c>
      <c r="F21" s="40" t="s">
        <v>11</v>
      </c>
      <c r="G21" s="40" t="s">
        <v>12</v>
      </c>
      <c r="H21" s="41" t="s">
        <v>13</v>
      </c>
    </row>
    <row r="22" spans="1:10" customHeight="1" ht="12.75">
      <c r="A22" s="37" t="s">
        <v>23</v>
      </c>
      <c r="B22" s="35"/>
      <c r="C22" s="223">
        <v>15</v>
      </c>
      <c r="D22" s="213"/>
      <c r="E22" s="213"/>
      <c r="F22" s="213"/>
      <c r="G22" s="213"/>
      <c r="H22" s="39"/>
    </row>
    <row r="23" spans="1:10" customHeight="1" ht="12.75">
      <c r="A23" s="37" t="s">
        <v>24</v>
      </c>
      <c r="B23" s="53"/>
      <c r="C23" s="213" t="s">
        <v>25</v>
      </c>
      <c r="D23" s="214">
        <v>5</v>
      </c>
      <c r="E23" s="214">
        <v>5</v>
      </c>
      <c r="F23" s="214">
        <v>5</v>
      </c>
      <c r="G23" s="214">
        <v>5</v>
      </c>
      <c r="H23" s="36">
        <f>( D23+E23+F23+G23)/4</f>
        <v>5</v>
      </c>
    </row>
    <row r="24" spans="1:10" customHeight="1" ht="12.75">
      <c r="A24" s="34" t="s">
        <v>26</v>
      </c>
      <c r="B24" s="35"/>
      <c r="C24" s="42">
        <v>0.9</v>
      </c>
      <c r="D24" s="42">
        <v>0.9</v>
      </c>
      <c r="E24" s="42">
        <v>0.9</v>
      </c>
      <c r="F24" s="42">
        <v>0.9</v>
      </c>
      <c r="G24" s="42">
        <v>0.9</v>
      </c>
      <c r="H24" s="43">
        <f>(C24+D24+E24+F24+G24)/5</f>
        <v>0.9</v>
      </c>
    </row>
    <row r="25" spans="1:10" customHeight="1" ht="12.75">
      <c r="A25" s="34" t="s">
        <v>27</v>
      </c>
      <c r="B25" s="35"/>
      <c r="C25" s="44">
        <v>13</v>
      </c>
      <c r="D25" s="44">
        <v>13</v>
      </c>
      <c r="E25" s="44">
        <v>13</v>
      </c>
      <c r="F25" s="44">
        <v>13</v>
      </c>
      <c r="G25" s="44">
        <v>13</v>
      </c>
      <c r="H25" s="36">
        <f>(C25+D25+E25+F25+G25)/5</f>
        <v>13</v>
      </c>
    </row>
    <row r="26" spans="1:10" customHeight="1" ht="12.75">
      <c r="A26" s="34"/>
      <c r="B26" s="35"/>
      <c r="C26" s="44"/>
      <c r="D26" s="44"/>
      <c r="E26" s="44"/>
      <c r="F26" s="44"/>
      <c r="G26" s="44"/>
      <c r="H26" s="36"/>
    </row>
    <row r="27" spans="1:10" customHeight="1" ht="12.75">
      <c r="A27" s="34" t="s">
        <v>28</v>
      </c>
      <c r="B27" s="35"/>
      <c r="C27" s="45">
        <v>0.005</v>
      </c>
      <c r="D27" s="45">
        <v>0.005</v>
      </c>
      <c r="E27" s="45">
        <v>0.005</v>
      </c>
      <c r="F27" s="45">
        <v>0.005</v>
      </c>
      <c r="G27" s="45">
        <v>0.005</v>
      </c>
      <c r="H27" s="43">
        <f>(C27+D27+E27+F27+G27)/5</f>
        <v>0.005</v>
      </c>
    </row>
    <row r="28" spans="1:10" customHeight="1" ht="12.75">
      <c r="A28" s="34" t="s">
        <v>29</v>
      </c>
      <c r="B28" s="35"/>
      <c r="C28" s="45">
        <v>0.005</v>
      </c>
      <c r="D28" s="45">
        <v>0.005</v>
      </c>
      <c r="E28" s="45">
        <v>0.005</v>
      </c>
      <c r="F28" s="45">
        <v>0.005</v>
      </c>
      <c r="G28" s="45">
        <v>0.005</v>
      </c>
      <c r="H28" s="43">
        <f>(C28+D28+E28+F28+G28)/5</f>
        <v>0.005</v>
      </c>
    </row>
    <row r="29" spans="1:10" customHeight="1" ht="12.75">
      <c r="A29" s="34" t="s">
        <v>30</v>
      </c>
      <c r="B29" s="35"/>
      <c r="C29" s="45">
        <v>0.005</v>
      </c>
      <c r="D29" s="45">
        <v>0.005</v>
      </c>
      <c r="E29" s="45">
        <v>0.005</v>
      </c>
      <c r="F29" s="45">
        <v>0.005</v>
      </c>
      <c r="G29" s="45">
        <v>0.005</v>
      </c>
      <c r="H29" s="43">
        <f>(C29+D29+E29+F29+G29)/5</f>
        <v>0.005</v>
      </c>
    </row>
    <row r="30" spans="1:10" customHeight="1" ht="12.75">
      <c r="A30" s="34" t="s">
        <v>31</v>
      </c>
      <c r="B30" s="35"/>
      <c r="C30" s="45">
        <v>0.05</v>
      </c>
      <c r="D30" s="45">
        <v>0.05</v>
      </c>
      <c r="E30" s="45">
        <v>0.05</v>
      </c>
      <c r="F30" s="45">
        <v>0.05</v>
      </c>
      <c r="G30" s="45">
        <v>0.05</v>
      </c>
      <c r="H30" s="43">
        <f>(C30+D30+E30+F30+G30)/5</f>
        <v>0.05</v>
      </c>
    </row>
    <row r="31" spans="1:10" customHeight="1" ht="12.75">
      <c r="A31" s="34"/>
      <c r="B31" s="35"/>
      <c r="C31" s="45"/>
      <c r="D31" s="45"/>
      <c r="E31" s="45"/>
      <c r="F31" s="45"/>
      <c r="G31" s="45"/>
      <c r="H31" s="43"/>
    </row>
    <row r="32" spans="1:10" customHeight="1" ht="12.75">
      <c r="A32" s="34" t="s">
        <v>32</v>
      </c>
      <c r="B32" s="35"/>
      <c r="C32" s="45">
        <v>0.01</v>
      </c>
      <c r="D32" s="45">
        <v>0.01</v>
      </c>
      <c r="E32" s="45">
        <v>0.25</v>
      </c>
      <c r="F32" s="45">
        <v>0.25</v>
      </c>
      <c r="G32" s="45">
        <v>0.25</v>
      </c>
      <c r="H32" s="43">
        <f>(C32+D32+E32+F32+G32)/5</f>
        <v>0.154</v>
      </c>
    </row>
    <row r="33" spans="1:10" customHeight="1" ht="12.75">
      <c r="A33" s="34" t="s">
        <v>33</v>
      </c>
      <c r="B33" s="35"/>
      <c r="C33" s="45">
        <v>0</v>
      </c>
      <c r="D33" s="45">
        <v>0.025</v>
      </c>
      <c r="E33" s="45">
        <v>0.25</v>
      </c>
      <c r="F33" s="45">
        <v>0.3</v>
      </c>
      <c r="G33" s="45">
        <v>0.3</v>
      </c>
      <c r="H33" s="43">
        <f>(C33+D33+E33+F33+G33)/5</f>
        <v>0.175</v>
      </c>
    </row>
    <row r="34" spans="1:10" customHeight="1" ht="12.75">
      <c r="A34" s="34" t="s">
        <v>34</v>
      </c>
      <c r="B34" s="35"/>
      <c r="C34" s="45">
        <v>0.12</v>
      </c>
      <c r="D34" s="45">
        <v>0.12</v>
      </c>
      <c r="E34" s="45">
        <v>0.12</v>
      </c>
      <c r="F34" s="45">
        <v>0.12</v>
      </c>
      <c r="G34" s="45">
        <v>0.12</v>
      </c>
      <c r="H34" s="43">
        <f>(C34+D34+E34+F34+G34)/5</f>
        <v>0.12</v>
      </c>
    </row>
    <row r="35" spans="1:10" customHeight="1" ht="12.75">
      <c r="A35" s="34" t="s">
        <v>35</v>
      </c>
      <c r="B35" s="35"/>
      <c r="C35" s="45">
        <v>0.02</v>
      </c>
      <c r="D35" s="45">
        <v>0.02</v>
      </c>
      <c r="E35" s="45">
        <v>0.02</v>
      </c>
      <c r="F35" s="45">
        <v>0.02</v>
      </c>
      <c r="G35" s="45">
        <v>0.02</v>
      </c>
      <c r="H35" s="43">
        <f>(C35+D35+E35+F35+G35)/5</f>
        <v>0.02</v>
      </c>
    </row>
    <row r="36" spans="1:10" customHeight="1" ht="12.75">
      <c r="A36" s="37"/>
      <c r="B36" s="35"/>
      <c r="C36" s="46"/>
      <c r="D36" s="46"/>
      <c r="E36" s="46"/>
      <c r="F36" s="46"/>
      <c r="G36" s="46"/>
      <c r="H36" s="39"/>
    </row>
    <row r="37" spans="1:10" customHeight="1" ht="12.75">
      <c r="A37" s="34" t="s">
        <v>36</v>
      </c>
      <c r="B37" s="35"/>
      <c r="C37" s="44">
        <v>0.3</v>
      </c>
      <c r="D37" s="47">
        <v>0.3</v>
      </c>
      <c r="E37" s="47">
        <v>0.3</v>
      </c>
      <c r="F37" s="47">
        <v>0.3</v>
      </c>
      <c r="G37" s="47">
        <v>0.3</v>
      </c>
      <c r="H37" s="43"/>
    </row>
    <row r="38" spans="1:10" customHeight="1" ht="12.75">
      <c r="A38" s="34" t="s">
        <v>37</v>
      </c>
      <c r="B38" s="35"/>
      <c r="C38" s="44">
        <v>0.5</v>
      </c>
      <c r="D38" s="47">
        <v>0.5</v>
      </c>
      <c r="E38" s="47">
        <v>0.5</v>
      </c>
      <c r="F38" s="47">
        <v>0.5</v>
      </c>
      <c r="G38" s="47">
        <v>0.5</v>
      </c>
      <c r="H38" s="43"/>
    </row>
    <row r="39" spans="1:10" customHeight="1" ht="13.5">
      <c r="A39" s="48" t="s">
        <v>38</v>
      </c>
      <c r="B39" s="218"/>
      <c r="C39" s="218">
        <v>1</v>
      </c>
      <c r="D39" s="218">
        <v>1</v>
      </c>
      <c r="E39" s="218">
        <v>1</v>
      </c>
      <c r="F39" s="218">
        <v>1</v>
      </c>
      <c r="G39" s="218">
        <v>1</v>
      </c>
      <c r="H39" s="49"/>
    </row>
    <row r="40" spans="1:10" customHeight="1" ht="15">
      <c r="A40" s="211" t="s">
        <v>39</v>
      </c>
      <c r="B40" s="50"/>
      <c r="C40" s="50"/>
      <c r="D40" s="50"/>
      <c r="E40" s="50"/>
      <c r="F40" s="50"/>
      <c r="G40" s="50"/>
      <c r="H40" s="212"/>
    </row>
    <row r="41" spans="1:10" customHeight="1" ht="12.75">
      <c r="A41" s="51" t="s">
        <v>40</v>
      </c>
      <c r="B41" s="59"/>
      <c r="C41" s="60">
        <f>B9</f>
        <v>2</v>
      </c>
      <c r="D41" s="60">
        <f>C69+C70</f>
        <v>1.9701</v>
      </c>
      <c r="E41" s="60">
        <f>D69+D70</f>
        <v>1.940647005</v>
      </c>
      <c r="F41" s="60">
        <f>E69+E70</f>
        <v>2.0565385889813</v>
      </c>
      <c r="G41" s="60">
        <f>F69+F70</f>
        <v>2.0456897616873</v>
      </c>
      <c r="H41" s="61">
        <f>(C41+D41+E41+F41+G41)/5</f>
        <v>2.0025950711337</v>
      </c>
    </row>
    <row r="42" spans="1:10" customHeight="1" ht="12.75">
      <c r="A42" s="51" t="s">
        <v>41</v>
      </c>
      <c r="B42" s="50"/>
      <c r="C42" s="60">
        <v>0</v>
      </c>
      <c r="D42" s="60">
        <f>C71</f>
        <v>0</v>
      </c>
      <c r="E42" s="60">
        <f>D71</f>
        <v>0.8151836</v>
      </c>
      <c r="F42" s="60">
        <f>E71</f>
        <v>0.73366524</v>
      </c>
      <c r="G42" s="60">
        <f>F71</f>
        <v>0.722696944662</v>
      </c>
      <c r="H42" s="61">
        <f>(C42+D42+E42+F42+G42)/5</f>
        <v>0.4543091569324</v>
      </c>
    </row>
    <row r="43" spans="1:10" customHeight="1" ht="12.75">
      <c r="A43" s="51" t="s">
        <v>42</v>
      </c>
      <c r="B43" s="50"/>
      <c r="C43" s="60">
        <v>0</v>
      </c>
      <c r="D43" s="60">
        <f> C72</f>
        <v>0.931</v>
      </c>
      <c r="E43" s="60">
        <f> D72</f>
        <v>0.8379</v>
      </c>
      <c r="F43" s="60">
        <f> E72</f>
        <v>0.825373395</v>
      </c>
      <c r="G43" s="60">
        <f> F72</f>
        <v>0.81303406274475</v>
      </c>
      <c r="H43" s="61">
        <f>(C43+D43+E43+F43+G43)/5</f>
        <v>0.68146149154895</v>
      </c>
    </row>
    <row r="44" spans="1:10" customHeight="1" ht="12.75">
      <c r="A44" s="51" t="s">
        <v>43</v>
      </c>
      <c r="B44" s="59"/>
      <c r="C44" s="60">
        <f>C41/2</f>
        <v>1</v>
      </c>
      <c r="D44" s="60">
        <f>(C41*C24)/2</f>
        <v>0.9</v>
      </c>
      <c r="E44" s="60">
        <f>(D41*D24)/2</f>
        <v>0.886545</v>
      </c>
      <c r="F44" s="60">
        <f>(E41*E24)/2</f>
        <v>0.87329115225</v>
      </c>
      <c r="G44" s="60">
        <f>(F41*F24)/2</f>
        <v>0.92544236504156</v>
      </c>
      <c r="H44" s="61">
        <f>(C44+D44+E44+F44+G44)/5</f>
        <v>0.91705570345831</v>
      </c>
    </row>
    <row r="45" spans="1:10" customHeight="1" ht="13.5">
      <c r="A45" s="62" t="s">
        <v>44</v>
      </c>
      <c r="B45" s="52"/>
      <c r="C45" s="63">
        <f> C41+(C44*C37)</f>
        <v>2.3</v>
      </c>
      <c r="D45" s="63">
        <f>D41+D42+(D43*D38)+(D44*D37)</f>
        <v>2.7056</v>
      </c>
      <c r="E45" s="63">
        <f>E41+E42+(E43*E38)+(E44*E37)</f>
        <v>3.440744105</v>
      </c>
      <c r="F45" s="63">
        <f>F41+F42+(F43*F38)+(F44*F37)</f>
        <v>3.4648778721563</v>
      </c>
      <c r="G45" s="63">
        <f>G41+G42+(G43*G38)+(G44*G37)</f>
        <v>3.4525364472341</v>
      </c>
      <c r="H45" s="64">
        <f>(C45+D45+E45+F45+G45)/5</f>
        <v>3.0727516848781</v>
      </c>
    </row>
    <row r="46" spans="1:10" customHeight="1" ht="12.75">
      <c r="A46" s="65"/>
      <c r="B46" s="66"/>
      <c r="C46" s="67"/>
      <c r="D46" s="67"/>
      <c r="E46" s="67"/>
      <c r="F46" s="67"/>
      <c r="G46" s="67"/>
      <c r="H46" s="67"/>
    </row>
    <row r="47" spans="1:10" customHeight="1" ht="12.75">
      <c r="A47" s="83" t="s">
        <v>45</v>
      </c>
      <c r="B47" s="68"/>
      <c r="C47" s="69"/>
      <c r="D47" s="69"/>
      <c r="E47" s="69"/>
      <c r="F47" s="69"/>
      <c r="G47" s="69"/>
      <c r="H47" s="70"/>
    </row>
    <row r="48" spans="1:10" customHeight="1" ht="12.75">
      <c r="A48" s="71" t="s">
        <v>46</v>
      </c>
      <c r="B48" s="72"/>
      <c r="C48" s="72">
        <f>C41*C27</f>
        <v>0.01</v>
      </c>
      <c r="D48" s="72">
        <f>D41*D27</f>
        <v>0.0098505</v>
      </c>
      <c r="E48" s="72">
        <f>E41*E27</f>
        <v>0.009703235025</v>
      </c>
      <c r="F48" s="72">
        <f>F41*F27</f>
        <v>0.010282692944906</v>
      </c>
      <c r="G48" s="72">
        <f>G41*G27</f>
        <v>0.010228448808436</v>
      </c>
      <c r="H48" s="73">
        <f>(C48+D48+E48+F48+G48)/5</f>
        <v>0.010012975355669</v>
      </c>
    </row>
    <row r="49" spans="1:10" customHeight="1" ht="12.75">
      <c r="A49" s="71" t="s">
        <v>47</v>
      </c>
      <c r="B49" s="72"/>
      <c r="C49" s="72">
        <f>C42*C28</f>
        <v>0</v>
      </c>
      <c r="D49" s="72">
        <f>D42*D28</f>
        <v>0</v>
      </c>
      <c r="E49" s="72">
        <f>E42*E28</f>
        <v>0.004075918</v>
      </c>
      <c r="F49" s="72">
        <f>F42*F28</f>
        <v>0.0036683262</v>
      </c>
      <c r="G49" s="72">
        <f>G42*G28</f>
        <v>0.00361348472331</v>
      </c>
      <c r="H49" s="73">
        <f>(C49+D49+E49+F49+G49)/5</f>
        <v>0.002271545784662</v>
      </c>
    </row>
    <row r="50" spans="1:10" customHeight="1" ht="12.75">
      <c r="A50" s="71" t="s">
        <v>48</v>
      </c>
      <c r="B50" s="72"/>
      <c r="C50" s="72">
        <f>C43*C29</f>
        <v>0</v>
      </c>
      <c r="D50" s="72">
        <f>D43*D29</f>
        <v>0.004655</v>
      </c>
      <c r="E50" s="72">
        <f>E43*E29</f>
        <v>0.0041895</v>
      </c>
      <c r="F50" s="72">
        <f>F43*F29</f>
        <v>0.004126866975</v>
      </c>
      <c r="G50" s="72">
        <f>G43*G29</f>
        <v>0.0040651703137237</v>
      </c>
      <c r="H50" s="73">
        <f>(C50+D50+E50+F50+G50)/5</f>
        <v>0.0034073074577448</v>
      </c>
    </row>
    <row r="51" spans="1:10" customHeight="1" ht="12.75">
      <c r="A51" s="71" t="s">
        <v>49</v>
      </c>
      <c r="B51" s="72"/>
      <c r="C51" s="72">
        <f>C44*C30</f>
        <v>0.05</v>
      </c>
      <c r="D51" s="72">
        <f>D44*D30</f>
        <v>0.045</v>
      </c>
      <c r="E51" s="72">
        <f>E44*E30</f>
        <v>0.04432725</v>
      </c>
      <c r="F51" s="72">
        <f>F44*F30</f>
        <v>0.0436645576125</v>
      </c>
      <c r="G51" s="72">
        <f>G44*G30</f>
        <v>0.046272118252078</v>
      </c>
      <c r="H51" s="73">
        <f>(C51+D51+E51+F51+G51)/5</f>
        <v>0.045852785172916</v>
      </c>
    </row>
    <row r="52" spans="1:10" customHeight="1" ht="13.5">
      <c r="A52" s="74" t="s">
        <v>50</v>
      </c>
      <c r="B52" s="75"/>
      <c r="C52" s="75">
        <f>C48+ C49+(C50 *C38)+(C51*C37)</f>
        <v>0.025</v>
      </c>
      <c r="D52" s="75">
        <f>D48+ D49+(D50 *D38)+(D51*D37)</f>
        <v>0.025678</v>
      </c>
      <c r="E52" s="75">
        <f>E48+ E49+(E50 *E38)+(E51*E37)</f>
        <v>0.029172078025</v>
      </c>
      <c r="F52" s="75">
        <f>F48+ F49+(F50 *F38)+(F51*F37)</f>
        <v>0.029113819916156</v>
      </c>
      <c r="G52" s="75">
        <f>G48+ G49+(G50 *G38)+(G51*G37)</f>
        <v>0.029756154164232</v>
      </c>
      <c r="H52" s="76">
        <f>(C52+D52+E52+F52+G52)/5</f>
        <v>0.027744010421078</v>
      </c>
    </row>
    <row r="53" spans="1:10" customHeight="1" ht="12.75">
      <c r="A53" s="50"/>
      <c r="B53" s="50"/>
      <c r="C53" s="77"/>
      <c r="D53" s="77"/>
      <c r="E53" s="77"/>
      <c r="F53" s="77"/>
      <c r="G53" s="77"/>
      <c r="H53" s="77"/>
    </row>
    <row r="54" spans="1:10" customHeight="1" ht="12.75">
      <c r="A54" s="57" t="s">
        <v>51</v>
      </c>
      <c r="B54" s="58"/>
      <c r="C54" s="78"/>
      <c r="D54" s="78"/>
      <c r="E54" s="78"/>
      <c r="F54" s="78"/>
      <c r="G54" s="78"/>
      <c r="H54" s="79"/>
    </row>
    <row r="55" spans="1:10" customHeight="1" ht="12.75">
      <c r="A55" s="51" t="s">
        <v>52</v>
      </c>
      <c r="B55" s="50"/>
      <c r="C55" s="67">
        <f>C41-C48</f>
        <v>1.99</v>
      </c>
      <c r="D55" s="67">
        <f>D41-D48</f>
        <v>1.9602495</v>
      </c>
      <c r="E55" s="67">
        <f>E41-E48</f>
        <v>1.930943769975</v>
      </c>
      <c r="F55" s="67">
        <f>F41-F48</f>
        <v>2.0462558960363</v>
      </c>
      <c r="G55" s="67">
        <f>G41-G48</f>
        <v>2.0354613128788</v>
      </c>
      <c r="H55" s="80">
        <f>(C55+D55+E55+F55+G55)/5</f>
        <v>1.992582095778</v>
      </c>
    </row>
    <row r="56" spans="1:10" customHeight="1" ht="12.75">
      <c r="A56" s="51" t="s">
        <v>53</v>
      </c>
      <c r="B56" s="50"/>
      <c r="C56" s="67">
        <f>C42-C49</f>
        <v>0</v>
      </c>
      <c r="D56" s="67">
        <f>D42-D49</f>
        <v>0</v>
      </c>
      <c r="E56" s="67">
        <f>E42-E49</f>
        <v>0.811107682</v>
      </c>
      <c r="F56" s="67">
        <f>F42-F49</f>
        <v>0.7299969138</v>
      </c>
      <c r="G56" s="67">
        <f>G42-G49</f>
        <v>0.71908345993869</v>
      </c>
      <c r="H56" s="80">
        <f>(C56+D56+E56+F56+G56)/5</f>
        <v>0.45203761114774</v>
      </c>
    </row>
    <row r="57" spans="1:10" customHeight="1" ht="12.75">
      <c r="A57" s="51" t="s">
        <v>54</v>
      </c>
      <c r="B57" s="50"/>
      <c r="C57" s="67">
        <f>C43-C50</f>
        <v>0</v>
      </c>
      <c r="D57" s="67">
        <f>D43-D50</f>
        <v>0.926345</v>
      </c>
      <c r="E57" s="67">
        <f>E43-E50</f>
        <v>0.8337105</v>
      </c>
      <c r="F57" s="67">
        <f>F43-F50</f>
        <v>0.821246528025</v>
      </c>
      <c r="G57" s="67">
        <f>G43-G50</f>
        <v>0.80896889243103</v>
      </c>
      <c r="H57" s="80">
        <f>(C57+D57+E57+F57+G57)/5</f>
        <v>0.67805418409121</v>
      </c>
    </row>
    <row r="58" spans="1:10" customHeight="1" ht="12.75">
      <c r="A58" s="51" t="s">
        <v>55</v>
      </c>
      <c r="B58" s="50"/>
      <c r="C58" s="67">
        <f>C44-C51</f>
        <v>0.95</v>
      </c>
      <c r="D58" s="67">
        <f>D44-D51</f>
        <v>0.855</v>
      </c>
      <c r="E58" s="67">
        <f>E44-E51</f>
        <v>0.84221775</v>
      </c>
      <c r="F58" s="67">
        <f>F44-F51</f>
        <v>0.8296265946375</v>
      </c>
      <c r="G58" s="67">
        <f>G44-G51</f>
        <v>0.87917024678948</v>
      </c>
      <c r="H58" s="80">
        <f>(C58+D58+E58+F58+G58)/5</f>
        <v>0.8712029182854</v>
      </c>
    </row>
    <row r="59" spans="1:10" customHeight="1" ht="13.5">
      <c r="A59" s="62" t="s">
        <v>56</v>
      </c>
      <c r="B59" s="52"/>
      <c r="C59" s="81">
        <f>C55+ C56+(C57*C38)+(C58*C37)</f>
        <v>2.275</v>
      </c>
      <c r="D59" s="81">
        <f>D55+ D56+(D57*D38)+(D58*D37)</f>
        <v>2.679922</v>
      </c>
      <c r="E59" s="81">
        <f>E55+ E56+(E57*E38)+(E58*E37)</f>
        <v>3.411572026975</v>
      </c>
      <c r="F59" s="81">
        <f>F55+ F56+(F57*F38)+(F58*F37)</f>
        <v>3.4357640522401</v>
      </c>
      <c r="G59" s="81">
        <f>G55+ G56+(G57*G38)+(G58*G37)</f>
        <v>3.4227802930699</v>
      </c>
      <c r="H59" s="82">
        <f>(C59+D59+E59+F59+G59)/5</f>
        <v>3.045007674457</v>
      </c>
    </row>
    <row r="60" spans="1:10" customHeight="1" ht="12.75" s="6" customFormat="1">
      <c r="A60" s="50"/>
      <c r="B60" s="50"/>
      <c r="C60" s="77"/>
      <c r="D60" s="77"/>
      <c r="E60" s="77"/>
      <c r="F60" s="77"/>
      <c r="G60" s="77"/>
      <c r="H60" s="77"/>
    </row>
    <row r="61" spans="1:10" customHeight="1" ht="12.75">
      <c r="A61" s="57" t="s">
        <v>57</v>
      </c>
      <c r="B61" s="58"/>
      <c r="C61" s="78"/>
      <c r="D61" s="78"/>
      <c r="E61" s="78"/>
      <c r="F61" s="78"/>
      <c r="G61" s="78"/>
      <c r="H61" s="79"/>
    </row>
    <row r="62" spans="1:10" customHeight="1" ht="12.75">
      <c r="A62" s="51" t="s">
        <v>58</v>
      </c>
      <c r="B62" s="50"/>
      <c r="C62" s="72">
        <f>C55*C32</f>
        <v>0.0199</v>
      </c>
      <c r="D62" s="72">
        <f>D55*D32</f>
        <v>0.019602495</v>
      </c>
      <c r="E62" s="72">
        <f>E55*E32</f>
        <v>0.48273594249375</v>
      </c>
      <c r="F62" s="72">
        <f>F55*F32</f>
        <v>0.51156397400909</v>
      </c>
      <c r="G62" s="72">
        <f>G55*G32</f>
        <v>0.50886532821971</v>
      </c>
      <c r="H62" s="73">
        <f>(C62+D62+E62+F62+G62)/5</f>
        <v>0.30853354794451</v>
      </c>
    </row>
    <row r="63" spans="1:10" customHeight="1" ht="12.75">
      <c r="A63" s="51" t="s">
        <v>59</v>
      </c>
      <c r="B63" s="50"/>
      <c r="C63" s="72">
        <f>C56*C33</f>
        <v>0</v>
      </c>
      <c r="D63" s="72">
        <f>D56*D33</f>
        <v>0</v>
      </c>
      <c r="E63" s="72">
        <f>E56*E33</f>
        <v>0.2027769205</v>
      </c>
      <c r="F63" s="72">
        <f>F56*F33</f>
        <v>0.21899907414</v>
      </c>
      <c r="G63" s="72">
        <f>G56*G33</f>
        <v>0.21572503798161</v>
      </c>
      <c r="H63" s="73">
        <f>(C63+D63+E63+F63+G63)/5</f>
        <v>0.12750020652432</v>
      </c>
    </row>
    <row r="64" spans="1:10" customHeight="1" ht="12.75">
      <c r="A64" s="51" t="s">
        <v>60</v>
      </c>
      <c r="B64" s="50"/>
      <c r="C64" s="72">
        <f>C57*C34</f>
        <v>0</v>
      </c>
      <c r="D64" s="72">
        <f>D57*D34</f>
        <v>0.1111614</v>
      </c>
      <c r="E64" s="72">
        <f>E57*E34</f>
        <v>0.10004526</v>
      </c>
      <c r="F64" s="72">
        <f>F57*F34</f>
        <v>0.098549583363</v>
      </c>
      <c r="G64" s="72">
        <f>G57*G34</f>
        <v>0.097076267091723</v>
      </c>
      <c r="H64" s="73">
        <f>(C64+D64+E64+F64+G64)/5</f>
        <v>0.081366502090945</v>
      </c>
    </row>
    <row r="65" spans="1:10" customHeight="1" ht="12.75">
      <c r="A65" s="51" t="s">
        <v>61</v>
      </c>
      <c r="B65" s="50"/>
      <c r="C65" s="72">
        <f>C58*C35</f>
        <v>0.019</v>
      </c>
      <c r="D65" s="72">
        <f>D58*D35</f>
        <v>0.0171</v>
      </c>
      <c r="E65" s="72">
        <f>E58*E35</f>
        <v>0.016844355</v>
      </c>
      <c r="F65" s="72">
        <f>F58*F35</f>
        <v>0.01659253189275</v>
      </c>
      <c r="G65" s="72">
        <f>G58*G35</f>
        <v>0.01758340493579</v>
      </c>
      <c r="H65" s="73">
        <f>(C65+D65+E65+F65+G65)/5</f>
        <v>0.017424058365708</v>
      </c>
    </row>
    <row r="66" spans="1:10" customHeight="1" ht="12.75">
      <c r="A66" s="62" t="s">
        <v>62</v>
      </c>
      <c r="B66" s="52"/>
      <c r="C66" s="75">
        <f>C62+C63+(C64*C38)+(C65*C37)</f>
        <v>0.0256</v>
      </c>
      <c r="D66" s="75">
        <f>D62+D63+(D64*D38)+(D65*D37)</f>
        <v>0.080313195</v>
      </c>
      <c r="E66" s="75">
        <f>E62+E63+(E64*E38)+(E65*E37)</f>
        <v>0.74058879949375</v>
      </c>
      <c r="F66" s="75">
        <f>F62+F63+(F64*F38)+(F65*F37)</f>
        <v>0.78481559939841</v>
      </c>
      <c r="G66" s="75">
        <f>G62+G63+(G64*G38)+(G65*G37)</f>
        <v>0.77840352122791</v>
      </c>
      <c r="H66" s="76">
        <f>(C66+D66+E66+F66+G66)/5</f>
        <v>0.48194422302401</v>
      </c>
    </row>
    <row r="67" spans="1:10" customHeight="1" ht="12.75">
      <c r="A67" s="50"/>
      <c r="B67" s="50"/>
      <c r="C67" s="77"/>
      <c r="D67" s="77"/>
      <c r="E67" s="77"/>
      <c r="F67" s="77"/>
      <c r="G67" s="77"/>
      <c r="H67" s="77"/>
    </row>
    <row r="68" spans="1:10" customHeight="1" ht="12.75">
      <c r="A68" s="57" t="s">
        <v>63</v>
      </c>
      <c r="B68" s="58"/>
      <c r="C68" s="78"/>
      <c r="D68" s="78"/>
      <c r="E68" s="78"/>
      <c r="F68" s="78"/>
      <c r="G68" s="78"/>
      <c r="H68" s="79"/>
    </row>
    <row r="69" spans="1:10" customHeight="1" ht="12.75">
      <c r="A69" s="51" t="s">
        <v>58</v>
      </c>
      <c r="B69" s="50"/>
      <c r="C69" s="67">
        <f>C55-C62</f>
        <v>1.9701</v>
      </c>
      <c r="D69" s="67">
        <f>D55-D62</f>
        <v>1.940647005</v>
      </c>
      <c r="E69" s="67">
        <f>E55-E62</f>
        <v>1.4482078274812</v>
      </c>
      <c r="F69" s="67">
        <f>F55-F62</f>
        <v>1.5346919220273</v>
      </c>
      <c r="G69" s="67">
        <f>G55-G62</f>
        <v>1.5265959846591</v>
      </c>
      <c r="H69" s="80">
        <f>(C69+D69+E69+F69+G69)/5</f>
        <v>1.6840485478335</v>
      </c>
    </row>
    <row r="70" spans="1:10" customHeight="1" ht="12.75">
      <c r="A70" s="51" t="s">
        <v>59</v>
      </c>
      <c r="B70" s="50"/>
      <c r="C70" s="67">
        <f>C56-C63</f>
        <v>0</v>
      </c>
      <c r="D70" s="67">
        <f>D56-D63</f>
        <v>0</v>
      </c>
      <c r="E70" s="67">
        <f>E56-E63</f>
        <v>0.6083307615</v>
      </c>
      <c r="F70" s="67">
        <f>F56-F63</f>
        <v>0.51099783966</v>
      </c>
      <c r="G70" s="67">
        <f>G56-G63</f>
        <v>0.50335842195708</v>
      </c>
      <c r="H70" s="80">
        <f>(C70+D70+E70+F70+G70)/5</f>
        <v>0.32453740462342</v>
      </c>
    </row>
    <row r="71" spans="1:10" customHeight="1" ht="12.75">
      <c r="A71" s="51" t="s">
        <v>64</v>
      </c>
      <c r="B71" s="50"/>
      <c r="C71" s="67">
        <f>C57-C64</f>
        <v>0</v>
      </c>
      <c r="D71" s="67">
        <f>D57-D64</f>
        <v>0.8151836</v>
      </c>
      <c r="E71" s="67">
        <f>E57-E64</f>
        <v>0.73366524</v>
      </c>
      <c r="F71" s="67">
        <f>F57-F64</f>
        <v>0.722696944662</v>
      </c>
      <c r="G71" s="67">
        <f>G57-G64</f>
        <v>0.7118926253393</v>
      </c>
      <c r="H71" s="80">
        <f>(C71+D71+E71+F71+G71)/5</f>
        <v>0.59668768200026</v>
      </c>
    </row>
    <row r="72" spans="1:10" customHeight="1" ht="12.75">
      <c r="A72" s="51" t="s">
        <v>61</v>
      </c>
      <c r="B72" s="50"/>
      <c r="C72" s="67">
        <f>C58-C65</f>
        <v>0.931</v>
      </c>
      <c r="D72" s="67">
        <f>D58-D65</f>
        <v>0.8379</v>
      </c>
      <c r="E72" s="67">
        <f>E58-E65</f>
        <v>0.825373395</v>
      </c>
      <c r="F72" s="67">
        <f>F58-F65</f>
        <v>0.81303406274475</v>
      </c>
      <c r="G72" s="67">
        <f>G58-G65</f>
        <v>0.86158684185369</v>
      </c>
      <c r="H72" s="80">
        <f>(C72+D72+E72+F72+G72)/5</f>
        <v>0.85377885991969</v>
      </c>
    </row>
    <row r="73" spans="1:10" customHeight="1" ht="12.75">
      <c r="A73" s="62" t="s">
        <v>65</v>
      </c>
      <c r="B73" s="52"/>
      <c r="C73" s="81">
        <f>C69+C70+(C71*C38)+(C72*C37)</f>
        <v>2.2494</v>
      </c>
      <c r="D73" s="81">
        <f>D69+D70+(D71*D38)+(D72*D37)</f>
        <v>2.599608805</v>
      </c>
      <c r="E73" s="81">
        <f>E69+E70+(E71*E38)+(E72*E37)</f>
        <v>2.6709832274812</v>
      </c>
      <c r="F73" s="81">
        <f>F69+F70+(F71*F38)+(F72*F37)</f>
        <v>2.6509484528417</v>
      </c>
      <c r="G73" s="81">
        <f>G69+G70+(G71*G38)+(G72*G37)</f>
        <v>2.644376771842</v>
      </c>
      <c r="H73" s="82">
        <f>(C73+D73+E73+F73+G73)/5</f>
        <v>2.563063451433</v>
      </c>
    </row>
    <row r="74" spans="1:10" customHeight="1" ht="12.75">
      <c r="A74" s="50"/>
      <c r="B74" s="50"/>
      <c r="C74" s="77"/>
      <c r="D74" s="77"/>
      <c r="E74" s="77"/>
      <c r="F74" s="77"/>
      <c r="G74" s="77"/>
      <c r="H74" s="77"/>
    </row>
    <row r="75" spans="1:10" customHeight="1" ht="12.75">
      <c r="A75" s="95" t="s">
        <v>66</v>
      </c>
      <c r="B75" s="84"/>
      <c r="C75" s="85"/>
      <c r="D75" s="85"/>
      <c r="E75" s="85"/>
      <c r="F75" s="85"/>
      <c r="G75" s="85"/>
      <c r="H75" s="86"/>
    </row>
    <row r="76" spans="1:10" customHeight="1" ht="12.75">
      <c r="A76" s="87" t="s">
        <v>67</v>
      </c>
      <c r="B76" s="88"/>
      <c r="C76" s="89">
        <f>C73</f>
        <v>2.2494</v>
      </c>
      <c r="D76" s="89">
        <f>D73</f>
        <v>2.599608805</v>
      </c>
      <c r="E76" s="89">
        <f>E73</f>
        <v>2.6709832274812</v>
      </c>
      <c r="F76" s="89">
        <f>F73</f>
        <v>2.6509484528417</v>
      </c>
      <c r="G76" s="89">
        <f>G73</f>
        <v>2.644376771842</v>
      </c>
      <c r="H76" s="90">
        <f>(C76+D76+E76+F76+G76)/5</f>
        <v>2.563063451433</v>
      </c>
    </row>
    <row r="77" spans="1:10" customHeight="1" ht="12.75">
      <c r="A77" s="87" t="s">
        <v>66</v>
      </c>
      <c r="B77" s="88"/>
      <c r="C77" s="89">
        <f>C45-C76</f>
        <v>0.0506</v>
      </c>
      <c r="D77" s="89">
        <f>D45-D76</f>
        <v>0.105991195</v>
      </c>
      <c r="E77" s="89">
        <f>E45-E76</f>
        <v>0.76976087751875</v>
      </c>
      <c r="F77" s="89">
        <f>F45-F76</f>
        <v>0.81392941931457</v>
      </c>
      <c r="G77" s="89">
        <f>G45-G76</f>
        <v>0.80815967539214</v>
      </c>
      <c r="H77" s="90">
        <f>(C77+D77+E77+F77+G77)/5</f>
        <v>0.50968823344509</v>
      </c>
    </row>
    <row r="78" spans="1:10" customHeight="1" ht="12.75">
      <c r="A78" s="91" t="s">
        <v>68</v>
      </c>
      <c r="B78" s="92"/>
      <c r="C78" s="93">
        <f>C77*D90</f>
        <v>2884.2</v>
      </c>
      <c r="D78" s="93">
        <f>D77*D90</f>
        <v>6041.498115</v>
      </c>
      <c r="E78" s="93">
        <f>E77*D90</f>
        <v>43876.370018569</v>
      </c>
      <c r="F78" s="93">
        <f>F77*D90</f>
        <v>46393.97690093</v>
      </c>
      <c r="G78" s="93">
        <f>G77*D90</f>
        <v>46065.101497352</v>
      </c>
      <c r="H78" s="94">
        <f>(C78+D78+E78+F78+G78)/5</f>
        <v>29052.22930637</v>
      </c>
    </row>
    <row r="79" spans="1:10" customHeight="1" ht="13.5"/>
    <row r="80" spans="1:10" customHeight="1" ht="12.75">
      <c r="A80" s="98" t="s">
        <v>69</v>
      </c>
      <c r="B80" s="99"/>
      <c r="C80" s="100" t="s">
        <v>8</v>
      </c>
      <c r="D80" s="100" t="s">
        <v>9</v>
      </c>
      <c r="E80" s="100" t="s">
        <v>10</v>
      </c>
      <c r="F80" s="100" t="s">
        <v>11</v>
      </c>
      <c r="G80" s="100" t="s">
        <v>12</v>
      </c>
      <c r="H80" s="101" t="s">
        <v>13</v>
      </c>
      <c r="I80" s="4"/>
      <c r="J80" s="4"/>
    </row>
    <row r="81" spans="1:10" customHeight="1" ht="12.75">
      <c r="A81" s="37" t="s">
        <v>70</v>
      </c>
      <c r="B81" s="53"/>
      <c r="C81" s="55">
        <f>(C41*(12/C25))</f>
        <v>1.8461538461538</v>
      </c>
      <c r="D81" s="55">
        <f>(D41*(12/D25))*C24</f>
        <v>1.6366984615385</v>
      </c>
      <c r="E81" s="55">
        <f>(E41*(12/E25))*D24</f>
        <v>1.6122298195385</v>
      </c>
      <c r="F81" s="55">
        <f>(F41*(12/F25))*E24</f>
        <v>1.7085089816152</v>
      </c>
      <c r="G81" s="55">
        <f>(G41*(12/G25))*F24</f>
        <v>1.6994961097094</v>
      </c>
      <c r="H81" s="56">
        <f>H41*(12/H25)</f>
        <v>1.8485492964311</v>
      </c>
    </row>
    <row r="82" spans="1:10" customHeight="1" ht="12.75">
      <c r="A82" s="37" t="s">
        <v>71</v>
      </c>
      <c r="B82" s="53"/>
      <c r="C82" s="102">
        <f>C22*300</f>
        <v>4500</v>
      </c>
      <c r="D82" s="102">
        <f>C82+(C82*D23/100)</f>
        <v>4725</v>
      </c>
      <c r="E82" s="102">
        <f>D82+(D82*E23/100)</f>
        <v>4961.25</v>
      </c>
      <c r="F82" s="102">
        <f>E82+(E82*F23/100)</f>
        <v>5209.3125</v>
      </c>
      <c r="G82" s="102">
        <f>F82+(F82*G23/100)</f>
        <v>5469.778125</v>
      </c>
      <c r="H82" s="103">
        <f>(C82+D82+E82+F82+G82)/5</f>
        <v>4973.068125</v>
      </c>
      <c r="I82" s="4"/>
    </row>
    <row r="83" spans="1:10" customHeight="1" ht="12.75">
      <c r="A83" s="37" t="s">
        <v>72</v>
      </c>
      <c r="B83" s="53"/>
      <c r="C83" s="102">
        <f>C81*C82</f>
        <v>8307.6923076923</v>
      </c>
      <c r="D83" s="102">
        <f>D81*D82</f>
        <v>7733.4002307692</v>
      </c>
      <c r="E83" s="102">
        <f>E81*E82</f>
        <v>7998.6751921852</v>
      </c>
      <c r="F83" s="102">
        <f>F81*F82</f>
        <v>8900.1571942903</v>
      </c>
      <c r="G83" s="102">
        <f>G81*G82</f>
        <v>9295.8666444112</v>
      </c>
      <c r="H83" s="103">
        <f>(C83+D83+E83+F83+G83)/5</f>
        <v>8447.1583138696</v>
      </c>
    </row>
    <row r="84" spans="1:10" customHeight="1" ht="12.75">
      <c r="A84" s="37" t="s">
        <v>73</v>
      </c>
      <c r="B84" s="53"/>
      <c r="C84" s="102">
        <f>300*C81</f>
        <v>553.84615384615</v>
      </c>
      <c r="D84" s="102">
        <f>300*D81</f>
        <v>491.00953846154</v>
      </c>
      <c r="E84" s="102">
        <f>300*E81</f>
        <v>483.66894586154</v>
      </c>
      <c r="F84" s="102">
        <f>300*F81</f>
        <v>512.55269448456</v>
      </c>
      <c r="G84" s="102">
        <f>300*G81</f>
        <v>509.84883291282</v>
      </c>
      <c r="H84" s="103">
        <f>(C84+D84+E84+F84+G84)/5</f>
        <v>510.18523311332</v>
      </c>
    </row>
    <row r="85" spans="1:10" customHeight="1" ht="12.75">
      <c r="A85" s="37" t="s">
        <v>74</v>
      </c>
      <c r="B85" s="53"/>
      <c r="C85" s="102">
        <f>C83-C84</f>
        <v>7753.8461538462</v>
      </c>
      <c r="D85" s="102">
        <f>D83-D84</f>
        <v>7242.3906923077</v>
      </c>
      <c r="E85" s="102">
        <f>E83-E84</f>
        <v>7515.0062463237</v>
      </c>
      <c r="F85" s="102">
        <f>F83-F84</f>
        <v>8387.6044998057</v>
      </c>
      <c r="G85" s="102">
        <f>G83-G84</f>
        <v>8786.0178114983</v>
      </c>
      <c r="H85" s="103">
        <f>(C85+D85+E85+F85+G85)/5</f>
        <v>7936.9730807563</v>
      </c>
    </row>
    <row r="86" spans="1:10" customHeight="1" ht="12.75">
      <c r="A86" s="54" t="s">
        <v>75</v>
      </c>
      <c r="B86" s="104"/>
      <c r="C86" s="105">
        <f>C85/365</f>
        <v>21.243414120126</v>
      </c>
      <c r="D86" s="105">
        <f>D85/365</f>
        <v>19.842166280295</v>
      </c>
      <c r="E86" s="105">
        <f>E85/365</f>
        <v>20.589058209106</v>
      </c>
      <c r="F86" s="105">
        <f>F85/365</f>
        <v>22.979738355632</v>
      </c>
      <c r="G86" s="105">
        <f>G85/365</f>
        <v>24.071281675338</v>
      </c>
      <c r="H86" s="106">
        <f>(C86+D86+E86+F86+G86)/5</f>
        <v>21.745131728099</v>
      </c>
    </row>
    <row r="87" spans="1:10" customHeight="1" ht="12.75">
      <c r="A87" s="35"/>
      <c r="B87" s="53"/>
      <c r="C87" s="102"/>
      <c r="D87" s="102"/>
      <c r="E87" s="102"/>
      <c r="F87" s="102"/>
      <c r="G87" s="102"/>
      <c r="H87" s="102"/>
    </row>
    <row r="88" spans="1:10" customHeight="1" ht="12.75">
      <c r="A88" s="15" t="s">
        <v>76</v>
      </c>
      <c r="B88" s="203"/>
      <c r="C88" s="204"/>
      <c r="D88" s="204"/>
      <c r="E88" s="204"/>
      <c r="F88" s="204"/>
      <c r="G88" s="204"/>
      <c r="H88" s="205"/>
    </row>
    <row r="89" spans="1:10" customHeight="1" ht="12.75">
      <c r="A89" s="22" t="s">
        <v>77</v>
      </c>
      <c r="B89" s="107"/>
      <c r="C89" s="25"/>
      <c r="D89" s="206">
        <v>3800</v>
      </c>
      <c r="E89" s="19"/>
      <c r="F89" s="25"/>
      <c r="G89" s="25"/>
      <c r="H89" s="108"/>
    </row>
    <row r="90" spans="1:10" customHeight="1" ht="12.75">
      <c r="A90" s="22" t="s">
        <v>78</v>
      </c>
      <c r="B90" s="107"/>
      <c r="C90" s="19"/>
      <c r="D90" s="24">
        <f>C22*D89</f>
        <v>57000</v>
      </c>
      <c r="E90" s="19"/>
      <c r="F90" s="25"/>
      <c r="G90" s="25"/>
      <c r="H90" s="108"/>
    </row>
    <row r="91" spans="1:10" customHeight="1" ht="12.75">
      <c r="A91" s="207" t="s">
        <v>79</v>
      </c>
      <c r="B91" s="107"/>
      <c r="C91" s="19"/>
      <c r="D91" s="208">
        <f>(E226+E225)*10000000</f>
        <v>58575</v>
      </c>
      <c r="E91" s="19"/>
      <c r="F91" s="25"/>
      <c r="G91" s="25"/>
      <c r="H91" s="209"/>
    </row>
    <row r="92" spans="1:10" customHeight="1" ht="12.75">
      <c r="A92" s="22" t="s">
        <v>80</v>
      </c>
      <c r="B92" s="107"/>
      <c r="C92" s="19"/>
      <c r="D92" s="24">
        <f>D93/B9</f>
        <v>91535.55715</v>
      </c>
      <c r="E92" s="19"/>
      <c r="F92" s="19"/>
      <c r="G92" s="19"/>
      <c r="H92" s="209"/>
    </row>
    <row r="93" spans="1:10" customHeight="1" ht="12.75">
      <c r="A93" s="207" t="s">
        <v>81</v>
      </c>
      <c r="B93" s="107"/>
      <c r="C93" s="19"/>
      <c r="D93" s="24">
        <f>E229*10000000</f>
        <v>183071.1143</v>
      </c>
      <c r="E93" s="19"/>
      <c r="F93" s="19"/>
      <c r="G93" s="19"/>
      <c r="H93" s="209"/>
    </row>
    <row r="94" spans="1:10" customHeight="1" ht="12.75">
      <c r="A94" s="22" t="s">
        <v>82</v>
      </c>
      <c r="B94" s="210">
        <v>12</v>
      </c>
      <c r="C94" s="19"/>
      <c r="D94" s="19"/>
      <c r="E94" s="19"/>
      <c r="F94" s="19"/>
      <c r="G94" s="19"/>
      <c r="H94" s="209"/>
    </row>
    <row r="95" spans="1:10" customHeight="1" ht="12.75">
      <c r="A95" s="22" t="s">
        <v>83</v>
      </c>
      <c r="B95" s="210">
        <v>75</v>
      </c>
      <c r="C95" s="19"/>
      <c r="D95" s="19"/>
      <c r="E95" s="19"/>
      <c r="F95" s="19"/>
      <c r="G95" s="19"/>
      <c r="H95" s="209"/>
      <c r="I95" s="4"/>
    </row>
    <row r="96" spans="1:10" customHeight="1" ht="12.75">
      <c r="A96" s="22" t="s">
        <v>84</v>
      </c>
      <c r="B96" s="107"/>
      <c r="C96" s="19"/>
      <c r="D96" s="19"/>
      <c r="E96" s="24">
        <f>D93-E97</f>
        <v>137303.335725</v>
      </c>
      <c r="F96" s="19"/>
      <c r="G96" s="19"/>
      <c r="H96" s="209"/>
    </row>
    <row r="97" spans="1:10" customHeight="1" ht="12.75">
      <c r="A97" s="22" t="s">
        <v>85</v>
      </c>
      <c r="B97" s="107"/>
      <c r="C97" s="19"/>
      <c r="D97" s="19"/>
      <c r="E97" s="24">
        <f>B144</f>
        <v>45767.778575</v>
      </c>
      <c r="F97" s="19"/>
      <c r="G97" s="19"/>
      <c r="H97" s="209"/>
    </row>
    <row r="98" spans="1:10" customHeight="1" ht="12.75">
      <c r="A98" s="22"/>
      <c r="B98" s="107"/>
      <c r="C98" s="20" t="s">
        <v>8</v>
      </c>
      <c r="D98" s="20" t="s">
        <v>9</v>
      </c>
      <c r="E98" s="20" t="s">
        <v>10</v>
      </c>
      <c r="F98" s="20" t="s">
        <v>11</v>
      </c>
      <c r="G98" s="20" t="s">
        <v>12</v>
      </c>
      <c r="H98" s="122" t="s">
        <v>13</v>
      </c>
    </row>
    <row r="99" spans="1:10" customHeight="1" ht="12.75">
      <c r="A99" s="22" t="s">
        <v>86</v>
      </c>
      <c r="B99" s="107"/>
      <c r="C99" s="118"/>
      <c r="D99" s="119">
        <v>3</v>
      </c>
      <c r="E99" s="119">
        <v>3</v>
      </c>
      <c r="F99" s="119">
        <v>3</v>
      </c>
      <c r="G99" s="119">
        <v>3</v>
      </c>
      <c r="H99" s="108">
        <f>( D99+E99+F99+G99)/4</f>
        <v>3</v>
      </c>
      <c r="I99" s="4"/>
    </row>
    <row r="100" spans="1:10" customHeight="1" ht="12.75">
      <c r="A100" s="22" t="s">
        <v>87</v>
      </c>
      <c r="B100" s="120">
        <v>22</v>
      </c>
      <c r="C100" s="25">
        <f>B100</f>
        <v>22</v>
      </c>
      <c r="D100" s="25">
        <f>C100+C100*D99/100</f>
        <v>22.66</v>
      </c>
      <c r="E100" s="25">
        <f>D100+D100*E99/100</f>
        <v>23.3398</v>
      </c>
      <c r="F100" s="25">
        <f>E100+E100*F99/100</f>
        <v>24.039994</v>
      </c>
      <c r="G100" s="25">
        <f>F100+F100*G99/100</f>
        <v>24.76119382</v>
      </c>
      <c r="H100" s="108">
        <f>(C100+D100+E100+F100+G100)/5</f>
        <v>23.360197564</v>
      </c>
      <c r="I100" s="4"/>
      <c r="J100" s="4"/>
    </row>
    <row r="101" spans="1:10" customHeight="1" ht="12.75">
      <c r="A101" s="22" t="s">
        <v>88</v>
      </c>
      <c r="B101" s="107"/>
      <c r="C101" s="25">
        <f>B121</f>
        <v>0.6</v>
      </c>
      <c r="D101" s="25">
        <f>C101+C101*D99/100</f>
        <v>0.618</v>
      </c>
      <c r="E101" s="25">
        <f>D101+D101*E99/100</f>
        <v>0.63654</v>
      </c>
      <c r="F101" s="25">
        <f>E101+E101*F99/100</f>
        <v>0.6556362</v>
      </c>
      <c r="G101" s="25">
        <f>F101+F101*G99/100</f>
        <v>0.675305286</v>
      </c>
      <c r="H101" s="108">
        <f>(C101+D101+E101+F101+G101)/5</f>
        <v>0.6370962972</v>
      </c>
      <c r="I101" s="4"/>
      <c r="J101" s="4"/>
    </row>
    <row r="102" spans="1:10" customHeight="1" ht="12.75">
      <c r="A102" s="22" t="s">
        <v>89</v>
      </c>
      <c r="B102" s="107"/>
      <c r="C102" s="25">
        <f>B122</f>
        <v>3</v>
      </c>
      <c r="D102" s="25">
        <f>C102+C102*D99/100</f>
        <v>3.09</v>
      </c>
      <c r="E102" s="25">
        <f>D102+D102*E99/100</f>
        <v>3.1827</v>
      </c>
      <c r="F102" s="25">
        <f>E102+E102*F99/100</f>
        <v>3.278181</v>
      </c>
      <c r="G102" s="25">
        <f>F102+F102*G99/100</f>
        <v>3.37652643</v>
      </c>
      <c r="H102" s="108">
        <f>(C102+D102+E102+F102+G102)/5</f>
        <v>3.185481486</v>
      </c>
      <c r="I102" s="4"/>
      <c r="J102" s="4"/>
    </row>
    <row r="103" spans="1:10" customHeight="1" ht="12.75">
      <c r="A103" s="22" t="s">
        <v>90</v>
      </c>
      <c r="B103" s="107"/>
      <c r="C103" s="25">
        <f>B123</f>
        <v>13</v>
      </c>
      <c r="D103" s="25">
        <f>C103+C103*D99/100</f>
        <v>13.39</v>
      </c>
      <c r="E103" s="25">
        <f>D103+D103*E99/100</f>
        <v>13.7917</v>
      </c>
      <c r="F103" s="25">
        <f>E103+E103*F99/100</f>
        <v>14.205451</v>
      </c>
      <c r="G103" s="25">
        <f>F103+F103*G99/100</f>
        <v>14.63161453</v>
      </c>
      <c r="H103" s="108">
        <f>(C103+D103+E103+F103+G103)/5</f>
        <v>13.803753106</v>
      </c>
      <c r="I103" s="4"/>
      <c r="J103" s="4"/>
    </row>
    <row r="104" spans="1:10" customHeight="1" ht="12.75">
      <c r="A104" s="22" t="s">
        <v>91</v>
      </c>
      <c r="B104" s="107"/>
      <c r="C104" s="24">
        <v>4000</v>
      </c>
      <c r="D104" s="24">
        <f>C104+C104*D99/100</f>
        <v>4120</v>
      </c>
      <c r="E104" s="24">
        <f>D104+D104*D99/100</f>
        <v>4243.6</v>
      </c>
      <c r="F104" s="24">
        <f>E104+E104*D99/100</f>
        <v>4370.908</v>
      </c>
      <c r="G104" s="24">
        <f>F104+F104*D99/100</f>
        <v>4502.03524</v>
      </c>
      <c r="H104" s="123">
        <f>G104+G104*D99/100</f>
        <v>4637.0962972</v>
      </c>
      <c r="I104" s="4"/>
      <c r="J104" s="4"/>
    </row>
    <row r="105" spans="1:10" customHeight="1" ht="12.75">
      <c r="A105" s="22" t="s">
        <v>92</v>
      </c>
      <c r="B105" s="107"/>
      <c r="C105" s="121">
        <f>IF(C73/100 &lt;1,0,C73/100)</f>
        <v>0</v>
      </c>
      <c r="D105" s="121">
        <f>IF(D73/100 &lt;1,0,D73/100)</f>
        <v>0</v>
      </c>
      <c r="E105" s="121">
        <f>IF(E73/100 &lt;1,0,E73/100)</f>
        <v>0</v>
      </c>
      <c r="F105" s="121">
        <f>IF(F73/100 &lt;1,0,F73/100)</f>
        <v>0</v>
      </c>
      <c r="G105" s="121">
        <f>IF(G73/100 &lt;1,0,G73/100)</f>
        <v>0</v>
      </c>
      <c r="H105" s="124">
        <f>IF(H73/100 &lt;1,0,H73/100)</f>
        <v>0</v>
      </c>
      <c r="I105" s="4"/>
      <c r="J105" s="4"/>
    </row>
    <row r="106" spans="1:10" customHeight="1" ht="12.75">
      <c r="A106" s="22" t="s">
        <v>93</v>
      </c>
      <c r="B106" s="107">
        <v>120000</v>
      </c>
      <c r="C106" s="121">
        <f>B106</f>
        <v>120000</v>
      </c>
      <c r="D106" s="24">
        <f>C106+C106/10</f>
        <v>132000</v>
      </c>
      <c r="E106" s="24">
        <f>D106+D106/10</f>
        <v>145200</v>
      </c>
      <c r="F106" s="24">
        <f>E106+E106/10</f>
        <v>159720</v>
      </c>
      <c r="G106" s="24">
        <f>F106+F106/10</f>
        <v>175692</v>
      </c>
      <c r="H106" s="123"/>
      <c r="I106" s="4"/>
      <c r="J106" s="4"/>
    </row>
    <row r="107" spans="1:10" customHeight="1" ht="13.5">
      <c r="A107" s="27" t="s">
        <v>94</v>
      </c>
      <c r="B107" s="109"/>
      <c r="C107" s="110">
        <f>C105*C106</f>
        <v>0</v>
      </c>
      <c r="D107" s="110">
        <f>D105*D106</f>
        <v>0</v>
      </c>
      <c r="E107" s="110">
        <f>E105*E106</f>
        <v>0</v>
      </c>
      <c r="F107" s="110">
        <f>F105*F106</f>
        <v>0</v>
      </c>
      <c r="G107" s="110">
        <f>G105*G106</f>
        <v>0</v>
      </c>
      <c r="H107" s="125">
        <f>G107+G107*D99/100</f>
        <v>0</v>
      </c>
      <c r="I107" s="4"/>
      <c r="J107" s="4"/>
    </row>
    <row r="108" spans="1:10" customHeight="1" ht="13.5"/>
    <row r="109" spans="1:10" customHeight="1" ht="12.75">
      <c r="A109" s="126"/>
      <c r="B109" s="127"/>
      <c r="C109" s="128"/>
      <c r="D109" s="128"/>
      <c r="E109" s="128"/>
      <c r="F109" s="128"/>
      <c r="G109" s="128"/>
      <c r="H109" s="129"/>
      <c r="I109" s="4"/>
      <c r="J109" s="4"/>
    </row>
    <row r="110" spans="1:10" customHeight="1" ht="12.75">
      <c r="A110" s="130" t="s">
        <v>95</v>
      </c>
      <c r="B110" s="131" t="s">
        <v>96</v>
      </c>
      <c r="C110" s="132" t="s">
        <v>8</v>
      </c>
      <c r="D110" s="132" t="s">
        <v>9</v>
      </c>
      <c r="E110" s="132" t="s">
        <v>10</v>
      </c>
      <c r="F110" s="132" t="s">
        <v>11</v>
      </c>
      <c r="G110" s="132" t="s">
        <v>12</v>
      </c>
      <c r="H110" s="39"/>
    </row>
    <row r="111" spans="1:10" customHeight="1" ht="12.75">
      <c r="A111" s="34" t="s">
        <v>97</v>
      </c>
      <c r="B111" s="35"/>
      <c r="C111" s="102">
        <f>C100*C85</f>
        <v>170584.61538462</v>
      </c>
      <c r="D111" s="102">
        <f>D100*D85</f>
        <v>164112.57308769</v>
      </c>
      <c r="E111" s="102">
        <f>E100*E85</f>
        <v>175398.74278794</v>
      </c>
      <c r="F111" s="102">
        <f>F100*F85</f>
        <v>201637.9618497</v>
      </c>
      <c r="G111" s="102">
        <f>G100*G85</f>
        <v>217552.28993648</v>
      </c>
      <c r="H111" s="39"/>
    </row>
    <row r="112" spans="1:10" customHeight="1" ht="12.75">
      <c r="A112" s="34" t="s">
        <v>98</v>
      </c>
      <c r="B112" s="133"/>
      <c r="C112" s="102"/>
      <c r="D112" s="102"/>
      <c r="E112" s="102"/>
      <c r="F112" s="102"/>
      <c r="G112" s="102"/>
      <c r="H112" s="39"/>
    </row>
    <row r="113" spans="1:10" customHeight="1" ht="12.75">
      <c r="A113" s="34" t="s">
        <v>99</v>
      </c>
      <c r="B113" s="134">
        <f>D90</f>
        <v>57000</v>
      </c>
      <c r="C113" s="102">
        <f>C66*B113</f>
        <v>1459.2</v>
      </c>
      <c r="D113" s="102">
        <f>D66*B113</f>
        <v>4577.852115</v>
      </c>
      <c r="E113" s="102">
        <f>E66*B113</f>
        <v>42213.561571144</v>
      </c>
      <c r="F113" s="102">
        <f>F66*B113</f>
        <v>44734.489165709</v>
      </c>
      <c r="G113" s="102">
        <f>G66*B113</f>
        <v>44369.000709991</v>
      </c>
      <c r="H113" s="39"/>
    </row>
    <row r="114" spans="1:10" customHeight="1" ht="12.75">
      <c r="A114" s="34" t="s">
        <v>100</v>
      </c>
      <c r="B114" s="38">
        <v>50</v>
      </c>
      <c r="C114" s="102">
        <f>(C81/2)*B114</f>
        <v>46.153846153846</v>
      </c>
      <c r="D114" s="102">
        <f>(D81/2)*B114</f>
        <v>40.917461538462</v>
      </c>
      <c r="E114" s="102">
        <f>(E81/2)*B114</f>
        <v>40.305745488462</v>
      </c>
      <c r="F114" s="102">
        <f>(F81/2)*B114</f>
        <v>42.71272454038</v>
      </c>
      <c r="G114" s="102">
        <f>(G81/2)*B114</f>
        <v>42.487402742735</v>
      </c>
      <c r="H114" s="39"/>
    </row>
    <row r="115" spans="1:10" customHeight="1" ht="12.75">
      <c r="A115" s="34" t="s">
        <v>101</v>
      </c>
      <c r="B115" s="135">
        <f>0.75*D90</f>
        <v>42750</v>
      </c>
      <c r="C115" s="102">
        <f>B115*((C48 ))</f>
        <v>427.5</v>
      </c>
      <c r="D115" s="102">
        <f>B115*((D48 ))</f>
        <v>421.108875</v>
      </c>
      <c r="E115" s="102">
        <f>B115*((E48 ))</f>
        <v>414.81329731875</v>
      </c>
      <c r="F115" s="102">
        <f>B115*((F48 ))</f>
        <v>439.58512339474</v>
      </c>
      <c r="G115" s="102">
        <f>B115*((G48 ))</f>
        <v>437.26618656065</v>
      </c>
      <c r="H115" s="39"/>
    </row>
    <row r="116" spans="1:10" customHeight="1" ht="12.75">
      <c r="A116" s="34" t="s">
        <v>102</v>
      </c>
      <c r="B116" s="38">
        <v>1000</v>
      </c>
      <c r="C116" s="102">
        <f>B116*C73</f>
        <v>2249.4</v>
      </c>
      <c r="D116" s="102">
        <f>B116*D73</f>
        <v>2599.608805</v>
      </c>
      <c r="E116" s="102">
        <f>B116*E73</f>
        <v>2670.9832274812</v>
      </c>
      <c r="F116" s="102">
        <f>B116*F73</f>
        <v>2650.9484528417</v>
      </c>
      <c r="G116" s="102">
        <f>B116*G73</f>
        <v>2644.376771842</v>
      </c>
      <c r="H116" s="39"/>
    </row>
    <row r="117" spans="1:10" customHeight="1" ht="12.75">
      <c r="A117" s="48" t="s">
        <v>103</v>
      </c>
      <c r="B117" s="136"/>
      <c r="C117" s="105">
        <f>SUM(C111:C116)</f>
        <v>174766.86923077</v>
      </c>
      <c r="D117" s="105">
        <f>SUM(D111:D116)</f>
        <v>171752.06034423</v>
      </c>
      <c r="E117" s="105">
        <f>SUM(E111:E116)</f>
        <v>220738.40662938</v>
      </c>
      <c r="F117" s="105">
        <f>SUM(F111:F116)</f>
        <v>249505.69731619</v>
      </c>
      <c r="G117" s="105">
        <f>SUM(G111:G116)</f>
        <v>265045.42100762</v>
      </c>
      <c r="H117" s="137"/>
    </row>
    <row r="118" spans="1:10" customHeight="1" ht="12.75">
      <c r="A118" s="111" t="s">
        <v>104</v>
      </c>
      <c r="B118" s="112"/>
      <c r="C118" s="138"/>
      <c r="D118" s="138"/>
      <c r="E118" s="138"/>
      <c r="F118" s="138"/>
      <c r="G118" s="138"/>
      <c r="H118" s="139"/>
    </row>
    <row r="119" spans="1:10" customHeight="1" ht="12.75">
      <c r="A119" s="28"/>
      <c r="B119" s="140" t="s">
        <v>105</v>
      </c>
      <c r="C119" s="29"/>
      <c r="D119" s="29"/>
      <c r="E119" s="29"/>
      <c r="F119" s="29"/>
      <c r="G119" s="29"/>
      <c r="H119" s="31"/>
    </row>
    <row r="120" spans="1:10" customHeight="1" ht="12.75">
      <c r="A120" s="28"/>
      <c r="B120" s="141"/>
      <c r="C120" s="32" t="s">
        <v>8</v>
      </c>
      <c r="D120" s="32" t="s">
        <v>9</v>
      </c>
      <c r="E120" s="32" t="s">
        <v>10</v>
      </c>
      <c r="F120" s="32" t="s">
        <v>11</v>
      </c>
      <c r="G120" s="32" t="s">
        <v>12</v>
      </c>
      <c r="H120" s="31"/>
    </row>
    <row r="121" spans="1:10" customHeight="1" ht="12.75">
      <c r="A121" s="28" t="s">
        <v>106</v>
      </c>
      <c r="B121" s="30">
        <v>0.6</v>
      </c>
      <c r="C121" s="114">
        <f>C73*40*365*B121</f>
        <v>19704.744</v>
      </c>
      <c r="D121" s="114">
        <f>D73*40*365*B121</f>
        <v>22772.5731318</v>
      </c>
      <c r="E121" s="114">
        <f>E73*40*365*B121</f>
        <v>23397.813072736</v>
      </c>
      <c r="F121" s="114">
        <f>F73*40*365*B121</f>
        <v>23222.308446893</v>
      </c>
      <c r="G121" s="114">
        <f>G73*40*365*B121</f>
        <v>23164.740521336</v>
      </c>
      <c r="H121" s="31"/>
    </row>
    <row r="122" spans="1:10" customHeight="1" ht="12.75">
      <c r="A122" s="28" t="s">
        <v>107</v>
      </c>
      <c r="B122" s="30">
        <v>3</v>
      </c>
      <c r="C122" s="114">
        <f>C102*(C73*3*365)</f>
        <v>7389.279</v>
      </c>
      <c r="D122" s="114">
        <f>D102*(D73*3*365)</f>
        <v>8795.9063721577</v>
      </c>
      <c r="E122" s="114">
        <f>E102*(E73*3*365)</f>
        <v>9308.5274583245</v>
      </c>
      <c r="F122" s="114">
        <f>F102*(F73*3*365)</f>
        <v>9515.8662908431</v>
      </c>
      <c r="G122" s="114">
        <f>G102*(G73*3*365)</f>
        <v>9777.0448267977</v>
      </c>
      <c r="H122" s="31"/>
    </row>
    <row r="123" spans="1:10" customHeight="1" ht="12.75">
      <c r="A123" s="28" t="s">
        <v>108</v>
      </c>
      <c r="B123" s="30">
        <v>13</v>
      </c>
      <c r="C123" s="114">
        <f>(C83/2.5)*C103</f>
        <v>43200</v>
      </c>
      <c r="D123" s="114">
        <f>(D83/2.5)*D103</f>
        <v>41420.091636</v>
      </c>
      <c r="E123" s="114">
        <f>(E83/2.5)*E103</f>
        <v>44126.131459224</v>
      </c>
      <c r="F123" s="114">
        <f>(F83/2.5)*F103</f>
        <v>50572.298766315</v>
      </c>
      <c r="G123" s="114">
        <f>(G83/2.5)*G103</f>
        <v>54405.414985323</v>
      </c>
      <c r="H123" s="31"/>
    </row>
    <row r="124" spans="1:10" customHeight="1" ht="12.75">
      <c r="A124" s="28" t="s">
        <v>109</v>
      </c>
      <c r="B124" s="235">
        <f>B123</f>
        <v>13</v>
      </c>
      <c r="C124" s="114">
        <f>1.5*365*C73*C103</f>
        <v>16010.1045</v>
      </c>
      <c r="D124" s="114">
        <f>1.5*365*D73*D103</f>
        <v>19057.797139675</v>
      </c>
      <c r="E124" s="114">
        <f>1.5*365*E73*E103</f>
        <v>20168.476159703</v>
      </c>
      <c r="F124" s="114">
        <f>1.5*365*F73*F103</f>
        <v>20617.710296827</v>
      </c>
      <c r="G124" s="114">
        <f>1.5*365*G73*G103</f>
        <v>21183.597124728</v>
      </c>
      <c r="H124" s="31"/>
    </row>
    <row r="125" spans="1:10" customHeight="1" ht="12.75">
      <c r="A125" s="28" t="s">
        <v>110</v>
      </c>
      <c r="B125" s="30">
        <v>2000</v>
      </c>
      <c r="C125" s="114">
        <f>B125*C73</f>
        <v>4498.8</v>
      </c>
      <c r="D125" s="114">
        <f>B125*D73</f>
        <v>5199.21761</v>
      </c>
      <c r="E125" s="114">
        <f>B125*E73</f>
        <v>5341.9664549625</v>
      </c>
      <c r="F125" s="114">
        <f>B125*F73</f>
        <v>5301.8969056834</v>
      </c>
      <c r="G125" s="114">
        <f>B125*G73</f>
        <v>5288.7535436839</v>
      </c>
      <c r="H125" s="31"/>
    </row>
    <row r="126" spans="1:10" customHeight="1" ht="12.75">
      <c r="A126" s="28" t="s">
        <v>111</v>
      </c>
      <c r="B126" s="30">
        <v>0</v>
      </c>
      <c r="C126" s="114">
        <f>C73*B126</f>
        <v>0</v>
      </c>
      <c r="D126" s="114">
        <f>D73*B126</f>
        <v>0</v>
      </c>
      <c r="E126" s="114">
        <f>E73*B126</f>
        <v>0</v>
      </c>
      <c r="F126" s="114">
        <f>F73*B126</f>
        <v>0</v>
      </c>
      <c r="G126" s="114">
        <f>G73*B126</f>
        <v>0</v>
      </c>
      <c r="H126" s="31"/>
    </row>
    <row r="127" spans="1:10" customHeight="1" ht="12.75">
      <c r="A127" s="28" t="s">
        <v>91</v>
      </c>
      <c r="B127" s="30">
        <v>3000</v>
      </c>
      <c r="C127" s="114">
        <f>C104*C73</f>
        <v>8997.6</v>
      </c>
      <c r="D127" s="114">
        <f>D104*D73</f>
        <v>10710.3882766</v>
      </c>
      <c r="E127" s="114">
        <f>E104*E73</f>
        <v>11334.584424139</v>
      </c>
      <c r="F127" s="114">
        <f>F104*F73</f>
        <v>11587.051800113</v>
      </c>
      <c r="G127" s="114">
        <f>G104*G73</f>
        <v>11905.07741467</v>
      </c>
      <c r="H127" s="31"/>
    </row>
    <row r="128" spans="1:10" customHeight="1" ht="12.75">
      <c r="A128" s="28" t="s">
        <v>112</v>
      </c>
      <c r="B128" s="113"/>
      <c r="C128" s="114">
        <f>C107</f>
        <v>0</v>
      </c>
      <c r="D128" s="114">
        <f>D107</f>
        <v>0</v>
      </c>
      <c r="E128" s="114">
        <f>E107</f>
        <v>0</v>
      </c>
      <c r="F128" s="114">
        <f>F107</f>
        <v>0</v>
      </c>
      <c r="G128" s="114">
        <f>G107</f>
        <v>0</v>
      </c>
      <c r="H128" s="31"/>
    </row>
    <row r="129" spans="1:10" customHeight="1" ht="12.75">
      <c r="A129" s="28" t="s">
        <v>113</v>
      </c>
      <c r="B129" s="142">
        <v>4</v>
      </c>
      <c r="C129" s="114">
        <f>(D90*C41*B129/100)</f>
        <v>4560</v>
      </c>
      <c r="D129" s="114">
        <f>(D90*D41*B129/100)</f>
        <v>4491.828</v>
      </c>
      <c r="E129" s="114">
        <f>(D90*E41*B129/100)</f>
        <v>4424.6751714</v>
      </c>
      <c r="F129" s="114">
        <f>(D90*F41*B129/100)</f>
        <v>4688.9079828773</v>
      </c>
      <c r="G129" s="114">
        <f>(D90*G41*B129/100)</f>
        <v>4664.1726566469</v>
      </c>
      <c r="H129" s="31"/>
    </row>
    <row r="130" spans="1:10" customHeight="1" ht="12.75">
      <c r="A130" s="28" t="s">
        <v>114</v>
      </c>
      <c r="B130" s="30">
        <v>2400</v>
      </c>
      <c r="C130" s="114">
        <f>C73*B130</f>
        <v>5398.56</v>
      </c>
      <c r="D130" s="114">
        <f>D73*B130</f>
        <v>6239.061132</v>
      </c>
      <c r="E130" s="114">
        <f>E73*B130</f>
        <v>6410.359745955</v>
      </c>
      <c r="F130" s="114">
        <f>F73*B130</f>
        <v>6362.27628682</v>
      </c>
      <c r="G130" s="114">
        <f>G73*B130</f>
        <v>6346.5042524207</v>
      </c>
      <c r="H130" s="31"/>
    </row>
    <row r="131" spans="1:10" customHeight="1" ht="12.75">
      <c r="A131" s="28" t="s">
        <v>115</v>
      </c>
      <c r="B131" s="30">
        <v>1200</v>
      </c>
      <c r="C131" s="114">
        <f>C73*B131</f>
        <v>2699.28</v>
      </c>
      <c r="D131" s="114">
        <f>D73*B131</f>
        <v>3119.530566</v>
      </c>
      <c r="E131" s="114">
        <f>E73*B131</f>
        <v>3205.1798729775</v>
      </c>
      <c r="F131" s="114">
        <f>F73*B131</f>
        <v>3181.13814341</v>
      </c>
      <c r="G131" s="114">
        <f>G73*B131</f>
        <v>3173.2521262104</v>
      </c>
      <c r="H131" s="31"/>
    </row>
    <row r="132" spans="1:10" customHeight="1" ht="12.75">
      <c r="A132" s="115" t="s">
        <v>116</v>
      </c>
      <c r="B132" s="141"/>
      <c r="C132" s="114">
        <f>SUM(C121:C131)</f>
        <v>112458.3675</v>
      </c>
      <c r="D132" s="114">
        <f>SUM(D121:D131)</f>
        <v>121806.39386423</v>
      </c>
      <c r="E132" s="114">
        <f>SUM(E121:E131)</f>
        <v>127717.71381942</v>
      </c>
      <c r="F132" s="114">
        <f>SUM(F121:F131)</f>
        <v>135049.45491978</v>
      </c>
      <c r="G132" s="114">
        <f>SUM(G121:G131)</f>
        <v>139908.55745182</v>
      </c>
      <c r="H132" s="31"/>
    </row>
    <row r="133" spans="1:10" customHeight="1" ht="12.75">
      <c r="A133" s="28" t="s">
        <v>117</v>
      </c>
      <c r="B133" s="141"/>
      <c r="C133" s="114">
        <f>C117-C132</f>
        <v>62308.501730769</v>
      </c>
      <c r="D133" s="114">
        <f>D117-D132</f>
        <v>49945.666479998</v>
      </c>
      <c r="E133" s="114">
        <f>E117-E132</f>
        <v>93020.692809955</v>
      </c>
      <c r="F133" s="114">
        <f>F117-F132</f>
        <v>114456.24239641</v>
      </c>
      <c r="G133" s="114">
        <f>G117-G132</f>
        <v>125136.8635558</v>
      </c>
      <c r="H133" s="31"/>
    </row>
    <row r="134" spans="1:10" customHeight="1" ht="12.75">
      <c r="A134" s="28" t="s">
        <v>118</v>
      </c>
      <c r="B134" s="142">
        <v>10</v>
      </c>
      <c r="C134" s="114">
        <f>D91/10</f>
        <v>5857.5</v>
      </c>
      <c r="D134" s="114">
        <f>C134</f>
        <v>5857.5</v>
      </c>
      <c r="E134" s="114">
        <f>D134</f>
        <v>5857.5</v>
      </c>
      <c r="F134" s="114">
        <f>E134</f>
        <v>5857.5</v>
      </c>
      <c r="G134" s="114">
        <f>F134</f>
        <v>5857.5</v>
      </c>
      <c r="H134" s="31"/>
    </row>
    <row r="135" spans="1:10" customHeight="1" ht="12.75">
      <c r="A135" s="33" t="s">
        <v>119</v>
      </c>
      <c r="B135" s="143"/>
      <c r="C135" s="116">
        <f>C132+C134</f>
        <v>118315.8675</v>
      </c>
      <c r="D135" s="116">
        <f>D132+D134</f>
        <v>127663.89386423</v>
      </c>
      <c r="E135" s="116">
        <f>E132+E134</f>
        <v>133575.21381942</v>
      </c>
      <c r="F135" s="116">
        <f>F132+F134</f>
        <v>140906.95491978</v>
      </c>
      <c r="G135" s="116">
        <f>G132+G134</f>
        <v>145766.05745182</v>
      </c>
      <c r="H135" s="117"/>
    </row>
    <row r="136" spans="1:10" customHeight="1" ht="12.75">
      <c r="A136" s="1" t="s">
        <v>120</v>
      </c>
      <c r="B136" s="8"/>
      <c r="C136" s="3">
        <f>C117-C135</f>
        <v>56451.001730769</v>
      </c>
      <c r="D136" s="3">
        <f>D117-D135</f>
        <v>44088.166479998</v>
      </c>
      <c r="E136" s="3">
        <f>E117-E135</f>
        <v>87163.192809955</v>
      </c>
      <c r="F136" s="3">
        <f>F117-F135</f>
        <v>108598.74239641</v>
      </c>
      <c r="G136" s="3">
        <f>G117-G135</f>
        <v>119279.3635558</v>
      </c>
    </row>
    <row r="137" spans="1:10" customHeight="1" ht="12.75">
      <c r="A137" s="1" t="s">
        <v>121</v>
      </c>
      <c r="B137" s="8"/>
      <c r="C137" s="4">
        <f>100*C136/(D93)</f>
        <v>30.835559146847</v>
      </c>
      <c r="D137" s="4">
        <f>100*D136/(D93)</f>
        <v>24.082535712188</v>
      </c>
      <c r="E137" s="4">
        <f>100*E136/(D93)</f>
        <v>47.61165798506</v>
      </c>
      <c r="F137" s="4">
        <f>100*F136/(D93)</f>
        <v>59.320522962703</v>
      </c>
      <c r="G137" s="4">
        <f>100*G136/(D93)</f>
        <v>65.15466080593</v>
      </c>
    </row>
    <row r="138" spans="1:10" customHeight="1" ht="12.75">
      <c r="A138" s="1" t="s">
        <v>122</v>
      </c>
      <c r="B138" s="8"/>
      <c r="C138" s="4">
        <f>100*(C136+C78)/D93</f>
        <v>32.411012495142</v>
      </c>
      <c r="D138" s="4">
        <f>100*(D136+D78)/D93</f>
        <v>27.38261838121</v>
      </c>
      <c r="E138" s="4">
        <f>100*(E136+E78)/D93</f>
        <v>71.578502883742</v>
      </c>
      <c r="F138" s="4">
        <f>100*(F136+F78)/D93</f>
        <v>84.662574917936</v>
      </c>
      <c r="G138" s="4">
        <f>100*(G136+G78)/D93</f>
        <v>90.31706923584</v>
      </c>
    </row>
    <row r="139" spans="1:10" customHeight="1" ht="12.75">
      <c r="A139" s="1" t="s">
        <v>123</v>
      </c>
      <c r="B139" s="8"/>
      <c r="C139" s="4">
        <f>C117/C135</f>
        <v>1.47712114126</v>
      </c>
      <c r="D139" s="4">
        <f>D117/D135</f>
        <v>1.3453456192311</v>
      </c>
      <c r="E139" s="4">
        <f>E117/E135</f>
        <v>1.6525401705723</v>
      </c>
      <c r="F139" s="4">
        <f>F117/F135</f>
        <v>1.7707124354382</v>
      </c>
      <c r="G139" s="4">
        <f>G117/G135</f>
        <v>1.8182931310688</v>
      </c>
    </row>
    <row r="140" spans="1:10" customHeight="1" ht="12.75">
      <c r="A140" s="1" t="s">
        <v>124</v>
      </c>
      <c r="B140" s="8"/>
      <c r="C140" s="5">
        <f>C135/C85</f>
        <v>15.258990848214</v>
      </c>
      <c r="D140" s="5">
        <f>D135/D85</f>
        <v>17.62731386472</v>
      </c>
      <c r="E140" s="5">
        <f>E135/E85</f>
        <v>17.774464776362</v>
      </c>
      <c r="F140" s="5">
        <f>F135/F85</f>
        <v>16.799427646242</v>
      </c>
      <c r="G140" s="5">
        <f>G135/G85</f>
        <v>16.590685402555</v>
      </c>
    </row>
    <row r="141" spans="1:10" customHeight="1" ht="12.75">
      <c r="A141" s="1" t="s">
        <v>125</v>
      </c>
      <c r="C141" s="4">
        <f>(C135-C78)/C85</f>
        <v>14.887020610119</v>
      </c>
      <c r="D141" s="4">
        <f>(D135-D78)/D85</f>
        <v>16.793128252306</v>
      </c>
      <c r="E141" s="4">
        <f>(E135-E78)/E85</f>
        <v>11.935963971385</v>
      </c>
      <c r="F141" s="4">
        <f>(F135-F78)/F85</f>
        <v>11.268172935555</v>
      </c>
      <c r="G141" s="4">
        <f>(G135-G78)/G85</f>
        <v>11.347684251674</v>
      </c>
    </row>
    <row r="142" spans="1:10" customHeight="1" ht="12.75">
      <c r="A142" s="1" t="s">
        <v>126</v>
      </c>
    </row>
    <row r="143" spans="1:10" customHeight="1" ht="12.75">
      <c r="A143" s="1" t="s">
        <v>127</v>
      </c>
      <c r="B143" s="7" t="s">
        <v>128</v>
      </c>
      <c r="C143" s="7" t="s">
        <v>129</v>
      </c>
      <c r="D143" s="7" t="s">
        <v>130</v>
      </c>
      <c r="E143" s="7" t="s">
        <v>131</v>
      </c>
    </row>
    <row r="144" spans="1:10" customHeight="1" ht="12.75">
      <c r="A144" s="1">
        <v>1</v>
      </c>
      <c r="B144" s="3">
        <f>D93*(100-B95)/100</f>
        <v>45767.778575</v>
      </c>
      <c r="C144" s="3">
        <f>B144*B94/100</f>
        <v>5492.133429</v>
      </c>
      <c r="D144" s="3">
        <f>B144*0.2</f>
        <v>9153.555715</v>
      </c>
      <c r="E144" s="3">
        <f>D144+C144</f>
        <v>14645.689144</v>
      </c>
    </row>
    <row r="145" spans="1:10" customHeight="1" ht="12.75">
      <c r="A145" s="1">
        <v>2</v>
      </c>
      <c r="B145" s="3">
        <f>B144-D144</f>
        <v>36614.22286</v>
      </c>
      <c r="C145" s="3">
        <f>B145*B94/100</f>
        <v>4393.7067432</v>
      </c>
      <c r="D145" s="3">
        <f>B144*0.2</f>
        <v>9153.555715</v>
      </c>
      <c r="E145" s="3">
        <f>D145+C145</f>
        <v>13547.2624582</v>
      </c>
    </row>
    <row r="146" spans="1:10" customHeight="1" ht="12.75">
      <c r="A146" s="1">
        <v>3</v>
      </c>
      <c r="B146" s="3">
        <f>B145-D145</f>
        <v>27460.667145</v>
      </c>
      <c r="C146" s="3">
        <f>B146*B94/100</f>
        <v>3295.2800574</v>
      </c>
      <c r="D146" s="3">
        <f>B144*0.2</f>
        <v>9153.555715</v>
      </c>
      <c r="E146" s="3">
        <f>D146+C146</f>
        <v>12448.8357724</v>
      </c>
    </row>
    <row r="147" spans="1:10" customHeight="1" ht="12.75">
      <c r="A147" s="1">
        <v>4</v>
      </c>
      <c r="B147" s="3">
        <f>B146-D146</f>
        <v>18307.11143</v>
      </c>
      <c r="C147" s="3">
        <f>B147*B94/100</f>
        <v>2196.8533716</v>
      </c>
      <c r="D147" s="3">
        <f>B144*0.2</f>
        <v>9153.555715</v>
      </c>
      <c r="E147" s="3">
        <f>D147+C147</f>
        <v>11350.4090866</v>
      </c>
    </row>
    <row r="148" spans="1:10" customHeight="1" ht="12.75">
      <c r="A148" s="1">
        <v>5</v>
      </c>
      <c r="B148" s="3">
        <f>B147-D147</f>
        <v>9153.555715</v>
      </c>
      <c r="C148" s="3">
        <f>B148*B94/100</f>
        <v>1098.4266858</v>
      </c>
      <c r="D148" s="3">
        <f>B144*0.2</f>
        <v>9153.555715</v>
      </c>
      <c r="E148" s="3">
        <f>D148+C148</f>
        <v>10251.9824008</v>
      </c>
    </row>
    <row r="149" spans="1:10" customHeight="1" ht="12.75">
      <c r="A149" s="1" t="s">
        <v>132</v>
      </c>
    </row>
    <row r="150" spans="1:10" customHeight="1" ht="12.75">
      <c r="A150" s="1" t="s">
        <v>127</v>
      </c>
    </row>
    <row r="151" spans="1:10" customHeight="1" ht="12.75">
      <c r="A151" s="1"/>
      <c r="B151" s="1" t="s">
        <v>133</v>
      </c>
      <c r="C151" s="1" t="s">
        <v>134</v>
      </c>
      <c r="D151" s="1" t="s">
        <v>135</v>
      </c>
      <c r="E151" s="1"/>
    </row>
    <row r="152" spans="1:10" customHeight="1" ht="12.75">
      <c r="A152" s="1">
        <v>1</v>
      </c>
      <c r="B152" s="3">
        <f>C133</f>
        <v>62308.501730769</v>
      </c>
      <c r="C152" s="3">
        <f>E144</f>
        <v>14645.689144</v>
      </c>
      <c r="D152" s="3">
        <f>B152-C152</f>
        <v>47662.812586769</v>
      </c>
    </row>
    <row r="153" spans="1:10" customHeight="1" ht="12.75">
      <c r="A153" s="1">
        <v>2</v>
      </c>
      <c r="B153" s="3">
        <f>D133</f>
        <v>49945.666479998</v>
      </c>
      <c r="C153" s="3">
        <f>E145</f>
        <v>13547.2624582</v>
      </c>
      <c r="D153" s="3">
        <f>B153-C153</f>
        <v>36398.404021798</v>
      </c>
    </row>
    <row r="154" spans="1:10" customHeight="1" ht="12.75">
      <c r="A154" s="1">
        <v>3</v>
      </c>
      <c r="B154" s="3">
        <f>E133</f>
        <v>93020.692809955</v>
      </c>
      <c r="C154" s="3">
        <f>E146</f>
        <v>12448.8357724</v>
      </c>
      <c r="D154" s="3">
        <f>B154-C154</f>
        <v>80571.857037555</v>
      </c>
    </row>
    <row r="155" spans="1:10" customHeight="1" ht="12.75">
      <c r="A155" s="1">
        <v>4</v>
      </c>
      <c r="B155" s="3">
        <f>F133</f>
        <v>114456.24239641</v>
      </c>
      <c r="C155" s="3">
        <f>E147</f>
        <v>11350.4090866</v>
      </c>
      <c r="D155" s="3">
        <f>B155-C155</f>
        <v>103105.83330981</v>
      </c>
    </row>
    <row r="156" spans="1:10" customHeight="1" ht="12.75">
      <c r="A156" s="1">
        <v>5</v>
      </c>
      <c r="B156" s="3">
        <f>G133</f>
        <v>125136.8635558</v>
      </c>
      <c r="C156" s="3">
        <f>E148</f>
        <v>10251.9824008</v>
      </c>
      <c r="D156" s="3">
        <f>B156-C156</f>
        <v>114884.881155</v>
      </c>
    </row>
    <row r="157" spans="1:10" customHeight="1" ht="12.75">
      <c r="A157" s="2" t="s">
        <v>136</v>
      </c>
    </row>
    <row r="158" spans="1:10" customHeight="1" ht="0.75"/>
    <row r="159" spans="1:10" customHeight="1" ht="15.75">
      <c r="A159" s="161" t="s">
        <v>137</v>
      </c>
      <c r="B159" s="144"/>
      <c r="C159" s="144"/>
      <c r="D159" s="144"/>
      <c r="E159" s="144"/>
      <c r="F159" s="12"/>
    </row>
    <row r="160" spans="1:10" customHeight="1" ht="12.75">
      <c r="A160" s="145"/>
      <c r="B160" s="6"/>
      <c r="C160" s="6"/>
      <c r="D160" s="6"/>
      <c r="E160" s="6"/>
      <c r="F160" s="13"/>
    </row>
    <row r="161" spans="1:10" customHeight="1" ht="14.25">
      <c r="A161" s="146" t="s">
        <v>138</v>
      </c>
      <c r="B161" s="147">
        <f>B174/(C103*1000)</f>
        <v>4.5546234230769</v>
      </c>
      <c r="C161" s="147">
        <f>C174/(D103*1000)</f>
        <v>4.5166459130452</v>
      </c>
      <c r="D161" s="147">
        <f>D174/(E103*1000)</f>
        <v>4.6618333939201</v>
      </c>
      <c r="E161" s="147">
        <f>E174/(F103*1000)</f>
        <v>5.0114571556469</v>
      </c>
      <c r="F161" s="147">
        <f>F174/(G103*1000)</f>
        <v>5.1661429403479</v>
      </c>
      <c r="G161" s="10"/>
      <c r="H161" s="10"/>
    </row>
    <row r="162" spans="1:10" customHeight="1" ht="14.25">
      <c r="A162" s="146" t="s">
        <v>139</v>
      </c>
      <c r="B162" s="147">
        <f>B175/( C101*1000)</f>
        <v>32.84124</v>
      </c>
      <c r="C162" s="147">
        <f>C175/( D101*1000)</f>
        <v>36.848823837864</v>
      </c>
      <c r="D162" s="147">
        <f>D175/( E101*1000)</f>
        <v>36.757804808395</v>
      </c>
      <c r="E162" s="147">
        <f>E175/( F101*1000)</f>
        <v>35.419503143501</v>
      </c>
      <c r="F162" s="147">
        <f>F175/( G101*1000)</f>
        <v>34.302619869224</v>
      </c>
      <c r="G162" s="10"/>
      <c r="H162" s="10"/>
    </row>
    <row r="163" spans="1:10" customHeight="1" ht="14.25">
      <c r="A163" s="146" t="s">
        <v>140</v>
      </c>
      <c r="B163" s="147">
        <f>C122/( C102*1000)</f>
        <v>2.463093</v>
      </c>
      <c r="C163" s="147">
        <f>D122/( D102*1000)</f>
        <v>2.846571641475</v>
      </c>
      <c r="D163" s="147">
        <f>E122/( E102*1000)</f>
        <v>2.924726634092</v>
      </c>
      <c r="E163" s="147">
        <f>F122/( F102*1000)</f>
        <v>2.9027885558616</v>
      </c>
      <c r="F163" s="147">
        <f>G122/( G102*1000)</f>
        <v>2.8955925651669</v>
      </c>
      <c r="G163" s="10"/>
      <c r="H163" s="10"/>
      <c r="I163" s="10"/>
    </row>
    <row r="164" spans="1:10" customHeight="1" ht="14.25">
      <c r="A164" s="146"/>
      <c r="B164" s="147"/>
      <c r="C164" s="147"/>
      <c r="D164" s="147"/>
      <c r="E164" s="147"/>
      <c r="F164" s="148"/>
      <c r="G164" s="10"/>
      <c r="H164" s="10"/>
      <c r="I164" s="10"/>
    </row>
    <row r="165" spans="1:10" customHeight="1" ht="15" s="9" customFormat="1">
      <c r="A165" s="149" t="s">
        <v>141</v>
      </c>
      <c r="B165" s="150">
        <f>(B161*1000)/(365*C73)</f>
        <v>5.5474439126865</v>
      </c>
      <c r="C165" s="150">
        <f>(C161*1000)/(365*D73)</f>
        <v>4.7600901876878</v>
      </c>
      <c r="D165" s="150">
        <f>(D161*1000)/(365*E73)</f>
        <v>4.7818144843825</v>
      </c>
      <c r="E165" s="150">
        <f>(E161*1000)/(365*F73)</f>
        <v>5.1792857721523</v>
      </c>
      <c r="F165" s="150">
        <f>(F161*1000)/(365*G73)</f>
        <v>5.3524204363159</v>
      </c>
      <c r="G165" s="11"/>
      <c r="H165" s="11"/>
      <c r="I165" s="11"/>
    </row>
    <row r="166" spans="1:10" customHeight="1" ht="15" s="9" customFormat="1">
      <c r="A166" s="149" t="s">
        <v>142</v>
      </c>
      <c r="B166" s="150">
        <f>B162*1000/(365*C73)</f>
        <v>40</v>
      </c>
      <c r="C166" s="150">
        <f>C162*1000/(365*D73)</f>
        <v>38.834951456311</v>
      </c>
      <c r="D166" s="150">
        <f>D162*1000/(365*E73)</f>
        <v>37.70383636535</v>
      </c>
      <c r="E166" s="150">
        <f>E162*1000/(365*F73)</f>
        <v>36.605666374126</v>
      </c>
      <c r="F166" s="150">
        <f>F162*1000/(365*G73)</f>
        <v>35.539481916628</v>
      </c>
      <c r="G166" s="11"/>
      <c r="H166" s="11"/>
      <c r="I166" s="11"/>
    </row>
    <row r="167" spans="1:10" customHeight="1" ht="15.75" s="9" customFormat="1">
      <c r="A167" s="149" t="s">
        <v>143</v>
      </c>
      <c r="B167" s="150">
        <f>B163*1000/(365*C73)</f>
        <v>3</v>
      </c>
      <c r="C167" s="150">
        <f>C163*1000/(365*D73)</f>
        <v>3</v>
      </c>
      <c r="D167" s="150">
        <f>D163*1000/(365*E73)</f>
        <v>3</v>
      </c>
      <c r="E167" s="150">
        <f>E163*1000/(365*F73)</f>
        <v>3</v>
      </c>
      <c r="F167" s="150">
        <f>F163*1000/(365*G73)</f>
        <v>3</v>
      </c>
      <c r="G167" s="11"/>
      <c r="H167" s="11"/>
      <c r="I167" s="11"/>
    </row>
    <row r="168" spans="1:10" customHeight="1" ht="14.25">
      <c r="A168" s="162" t="s">
        <v>144</v>
      </c>
      <c r="B168" s="163"/>
      <c r="C168" s="163"/>
      <c r="D168" s="163"/>
      <c r="E168" s="163"/>
      <c r="F168" s="164"/>
      <c r="G168" s="10"/>
      <c r="H168" s="10"/>
      <c r="I168" s="10"/>
    </row>
    <row r="169" spans="1:10" customHeight="1" ht="14.25">
      <c r="A169" s="146" t="s">
        <v>145</v>
      </c>
      <c r="B169" s="147">
        <f>B161/3</f>
        <v>1.5182078076923</v>
      </c>
      <c r="C169" s="147">
        <f>C161/3</f>
        <v>1.5055486376817</v>
      </c>
      <c r="D169" s="147">
        <f>D161/3</f>
        <v>1.55394446464</v>
      </c>
      <c r="E169" s="147">
        <f>E161/3</f>
        <v>1.670485718549</v>
      </c>
      <c r="F169" s="148">
        <f>F161/3</f>
        <v>1.7220476467826</v>
      </c>
      <c r="G169" s="10"/>
      <c r="H169" s="10"/>
      <c r="I169" s="10"/>
    </row>
    <row r="170" spans="1:10" customHeight="1" ht="14.25">
      <c r="A170" s="146" t="s">
        <v>146</v>
      </c>
      <c r="B170" s="147">
        <f>B169*3/4</f>
        <v>1.1386558557692</v>
      </c>
      <c r="C170" s="147">
        <f>C169*3/4</f>
        <v>1.1291614782613</v>
      </c>
      <c r="D170" s="147">
        <f>D169*3/4</f>
        <v>1.16545834848</v>
      </c>
      <c r="E170" s="147">
        <f>E169*3/4</f>
        <v>1.2528642889117</v>
      </c>
      <c r="F170" s="148">
        <f>F169*3/4</f>
        <v>1.291535735087</v>
      </c>
      <c r="G170" s="10"/>
      <c r="H170" s="10"/>
      <c r="I170" s="10"/>
    </row>
    <row r="171" spans="1:10" customHeight="1" ht="15" s="9" customFormat="1">
      <c r="A171" s="165" t="s">
        <v>147</v>
      </c>
      <c r="B171" s="166">
        <f>B170/3</f>
        <v>0.37955195192308</v>
      </c>
      <c r="C171" s="166">
        <f>C170/3</f>
        <v>0.37638715942043</v>
      </c>
      <c r="D171" s="166">
        <f>D170/3</f>
        <v>0.38848611616001</v>
      </c>
      <c r="E171" s="166">
        <f>E170/3</f>
        <v>0.41762142963724</v>
      </c>
      <c r="F171" s="167">
        <f>F170/3</f>
        <v>0.43051191169566</v>
      </c>
      <c r="G171" s="11"/>
      <c r="H171" s="11"/>
      <c r="I171" s="11"/>
    </row>
    <row r="172" spans="1:10" customHeight="1" ht="14.25">
      <c r="A172" s="168" t="s">
        <v>148</v>
      </c>
      <c r="B172" s="169"/>
      <c r="C172" s="169"/>
      <c r="D172" s="169"/>
      <c r="E172" s="169"/>
      <c r="F172" s="170"/>
    </row>
    <row r="173" spans="1:10" customHeight="1" ht="14.25">
      <c r="A173" s="146"/>
      <c r="B173" s="152" t="s">
        <v>8</v>
      </c>
      <c r="C173" s="152" t="s">
        <v>9</v>
      </c>
      <c r="D173" s="152" t="s">
        <v>10</v>
      </c>
      <c r="E173" s="152" t="s">
        <v>11</v>
      </c>
      <c r="F173" s="153" t="s">
        <v>12</v>
      </c>
      <c r="G173" s="10"/>
      <c r="H173" s="10"/>
      <c r="I173" s="10"/>
    </row>
    <row r="174" spans="1:10" customHeight="1" ht="14.25">
      <c r="A174" s="146" t="s">
        <v>149</v>
      </c>
      <c r="B174" s="154">
        <f>C123+C124</f>
        <v>59210.1045</v>
      </c>
      <c r="C174" s="154">
        <f>D123+D124</f>
        <v>60477.888775675</v>
      </c>
      <c r="D174" s="154">
        <f>E123+E124</f>
        <v>64294.607618927</v>
      </c>
      <c r="E174" s="154">
        <f>F123+F124</f>
        <v>71190.009063142</v>
      </c>
      <c r="F174" s="155">
        <f>G123+G124</f>
        <v>75589.012110052</v>
      </c>
      <c r="G174" s="10"/>
      <c r="H174" s="10"/>
      <c r="I174" s="10"/>
    </row>
    <row r="175" spans="1:10" customHeight="1" ht="14.25">
      <c r="A175" s="146" t="s">
        <v>150</v>
      </c>
      <c r="B175" s="154">
        <f>C121</f>
        <v>19704.744</v>
      </c>
      <c r="C175" s="154">
        <f>D121</f>
        <v>22772.5731318</v>
      </c>
      <c r="D175" s="154">
        <f>E121</f>
        <v>23397.813072736</v>
      </c>
      <c r="E175" s="154">
        <f>F121</f>
        <v>23222.308446893</v>
      </c>
      <c r="F175" s="155">
        <f>G121</f>
        <v>23164.740521336</v>
      </c>
      <c r="G175" s="10"/>
      <c r="H175" s="10"/>
      <c r="I175" s="10"/>
    </row>
    <row r="176" spans="1:10" customHeight="1" ht="14.25">
      <c r="A176" s="146" t="s">
        <v>151</v>
      </c>
      <c r="B176" s="154">
        <f>C122</f>
        <v>7389.279</v>
      </c>
      <c r="C176" s="154">
        <f>D122</f>
        <v>8795.9063721577</v>
      </c>
      <c r="D176" s="154">
        <f>E122</f>
        <v>9308.5274583245</v>
      </c>
      <c r="E176" s="154">
        <f>F122</f>
        <v>9515.8662908431</v>
      </c>
      <c r="F176" s="155">
        <f>G122</f>
        <v>9777.0448267977</v>
      </c>
      <c r="G176" s="10"/>
      <c r="H176" s="10"/>
      <c r="I176" s="10"/>
    </row>
    <row r="177" spans="1:10" customHeight="1" ht="12.75">
      <c r="A177" s="151"/>
      <c r="B177" s="6"/>
      <c r="C177" s="6"/>
      <c r="D177" s="6"/>
      <c r="E177" s="6"/>
      <c r="F177" s="13"/>
    </row>
    <row r="178" spans="1:10" customHeight="1" ht="12.75">
      <c r="A178" s="156" t="s">
        <v>131</v>
      </c>
      <c r="B178" s="157">
        <f>SUM(B174:B177)</f>
        <v>86304.1275</v>
      </c>
      <c r="C178" s="157">
        <f>SUM(C174:C177)</f>
        <v>92046.368279633</v>
      </c>
      <c r="D178" s="157">
        <f>SUM(D174:D177)</f>
        <v>97000.948149988</v>
      </c>
      <c r="E178" s="157">
        <f>SUM(E174:E177)</f>
        <v>103928.18380088</v>
      </c>
      <c r="F178" s="158">
        <f>SUM(F174:F177)</f>
        <v>108530.79745818</v>
      </c>
    </row>
    <row r="179" spans="1:10" customHeight="1" ht="13.5">
      <c r="A179" s="156" t="s">
        <v>152</v>
      </c>
      <c r="B179" s="159">
        <f>B178*100/C132</f>
        <v>76.743180092846</v>
      </c>
      <c r="C179" s="159">
        <f>C178*100/D132</f>
        <v>75.567764022494</v>
      </c>
      <c r="D179" s="159">
        <f>D178*100/E132</f>
        <v>75.949486761982</v>
      </c>
      <c r="E179" s="159">
        <f>E178*100/F132</f>
        <v>76.955648479004</v>
      </c>
      <c r="F179" s="160">
        <f>F178*100/G132</f>
        <v>77.572665628807</v>
      </c>
    </row>
    <row r="180" spans="1:10" customHeight="1" ht="20.25">
      <c r="A180" s="179" t="s">
        <v>153</v>
      </c>
      <c r="B180" s="180"/>
      <c r="C180" s="180"/>
      <c r="D180" s="181"/>
      <c r="E180" s="181"/>
      <c r="F180" s="182"/>
    </row>
    <row r="181" spans="1:10" customHeight="1" ht="15.75">
      <c r="A181" s="171" t="s">
        <v>154</v>
      </c>
      <c r="B181" s="173">
        <v>750</v>
      </c>
      <c r="C181" s="159"/>
      <c r="D181" s="159"/>
      <c r="E181" s="159"/>
      <c r="F181" s="160"/>
    </row>
    <row r="182" spans="1:10" customHeight="1" ht="15">
      <c r="A182" s="172" t="s">
        <v>155</v>
      </c>
      <c r="B182" s="176">
        <f>(B162*10)/B181</f>
        <v>0.4378832</v>
      </c>
      <c r="C182" s="176">
        <f>(C162*10)/B181</f>
        <v>0.49131765117152</v>
      </c>
      <c r="D182" s="176">
        <f>(D162*10)/B181</f>
        <v>0.49010406411193</v>
      </c>
      <c r="E182" s="176">
        <f>(E162*10)/B181</f>
        <v>0.47226004191335</v>
      </c>
      <c r="F182" s="183">
        <f>(F162*10)/B181</f>
        <v>0.45736826492299</v>
      </c>
    </row>
    <row r="183" spans="1:10" customHeight="1" ht="15.75">
      <c r="A183" s="172" t="s">
        <v>156</v>
      </c>
      <c r="B183" s="174">
        <v>0.25</v>
      </c>
      <c r="C183" s="174">
        <v>0.25</v>
      </c>
      <c r="D183" s="174">
        <v>0.25</v>
      </c>
      <c r="E183" s="174">
        <v>0.25</v>
      </c>
      <c r="F183" s="184">
        <v>0.25</v>
      </c>
    </row>
    <row r="184" spans="1:10" customHeight="1" ht="15">
      <c r="A184" s="177" t="s">
        <v>157</v>
      </c>
      <c r="B184" s="178">
        <f>B182*B183</f>
        <v>0.1094708</v>
      </c>
      <c r="C184" s="178">
        <f>C182*C183</f>
        <v>0.12282941279288</v>
      </c>
      <c r="D184" s="178">
        <f>D182*D183</f>
        <v>0.12252601602798</v>
      </c>
      <c r="E184" s="178">
        <f>E182*E183</f>
        <v>0.11806501047834</v>
      </c>
      <c r="F184" s="185">
        <f>F182*F183</f>
        <v>0.11434206623075</v>
      </c>
    </row>
    <row r="185" spans="1:10" customHeight="1" ht="15">
      <c r="A185" s="172" t="s">
        <v>158</v>
      </c>
      <c r="B185" s="175">
        <f>B162*(100 %-B183)</f>
        <v>24.63093</v>
      </c>
      <c r="C185" s="175">
        <f>C162*(100 %-C183)</f>
        <v>27.636617878398</v>
      </c>
      <c r="D185" s="175">
        <f>D162*(100 %-D183)</f>
        <v>27.568353606296</v>
      </c>
      <c r="E185" s="175">
        <f>E162*(100 %-E183)</f>
        <v>26.564627357626</v>
      </c>
      <c r="F185" s="186">
        <f>F162*(100 %-F183)</f>
        <v>25.726964901918</v>
      </c>
    </row>
    <row r="186" spans="1:10" customHeight="1" ht="15.75">
      <c r="A186" s="172" t="s">
        <v>159</v>
      </c>
      <c r="B186" s="174">
        <v>0.5</v>
      </c>
      <c r="C186" s="174">
        <v>0.5</v>
      </c>
      <c r="D186" s="174">
        <v>0.5</v>
      </c>
      <c r="E186" s="174">
        <v>0.5</v>
      </c>
      <c r="F186" s="184">
        <v>0.5</v>
      </c>
    </row>
    <row r="187" spans="1:10" customHeight="1" ht="15">
      <c r="A187" s="172" t="s">
        <v>160</v>
      </c>
      <c r="B187" s="175">
        <f>B185*B186</f>
        <v>12.315465</v>
      </c>
      <c r="C187" s="175">
        <f>C185*C186</f>
        <v>13.818308939199</v>
      </c>
      <c r="D187" s="175">
        <f>D185*D186</f>
        <v>13.784176803148</v>
      </c>
      <c r="E187" s="175">
        <f>E185*E186</f>
        <v>13.282313678813</v>
      </c>
      <c r="F187" s="186">
        <f>F185*F186</f>
        <v>12.863482450959</v>
      </c>
    </row>
    <row r="188" spans="1:10" customHeight="1" ht="15">
      <c r="A188" s="172" t="s">
        <v>161</v>
      </c>
      <c r="B188" s="175">
        <f> (B187*15%)</f>
        <v>1.84731975</v>
      </c>
      <c r="C188" s="175">
        <f> (C187*15%)</f>
        <v>2.0727463408799</v>
      </c>
      <c r="D188" s="175">
        <f> (D187*15%)</f>
        <v>2.0676265204722</v>
      </c>
      <c r="E188" s="175">
        <f> (E187*15%)</f>
        <v>1.9923470518219</v>
      </c>
      <c r="F188" s="186">
        <f> (F187*15%)</f>
        <v>1.9295223676438</v>
      </c>
    </row>
    <row r="189" spans="1:10" customHeight="1" ht="15">
      <c r="A189" s="172" t="s">
        <v>162</v>
      </c>
      <c r="B189" s="175">
        <f>B187+B188</f>
        <v>14.16278475</v>
      </c>
      <c r="C189" s="175">
        <f>C187+C188</f>
        <v>15.891055280079</v>
      </c>
      <c r="D189" s="175">
        <f>D187+D188</f>
        <v>15.85180332362</v>
      </c>
      <c r="E189" s="175">
        <f>E187+E188</f>
        <v>15.274660730635</v>
      </c>
      <c r="F189" s="186">
        <f>F187+F188</f>
        <v>14.793004818603</v>
      </c>
    </row>
    <row r="190" spans="1:10" customHeight="1" ht="15.75">
      <c r="A190" s="189" t="s">
        <v>163</v>
      </c>
      <c r="B190" s="190">
        <f>B185-B187</f>
        <v>12.315465</v>
      </c>
      <c r="C190" s="190">
        <f>C185-C187</f>
        <v>13.818308939199</v>
      </c>
      <c r="D190" s="190">
        <f>D185-D187</f>
        <v>13.784176803148</v>
      </c>
      <c r="E190" s="190">
        <f>E185-E187</f>
        <v>13.282313678813</v>
      </c>
      <c r="F190" s="191">
        <f>F185-F187</f>
        <v>12.863482450959</v>
      </c>
    </row>
    <row r="193" spans="1:10" customHeight="1" ht="13.5"/>
    <row r="194" spans="1:10" customHeight="1" ht="16.5" s="14" customFormat="1">
      <c r="A194" s="238" t="s">
        <v>164</v>
      </c>
      <c r="B194" s="239"/>
      <c r="C194" s="239"/>
      <c r="D194" s="239"/>
      <c r="E194" s="196"/>
    </row>
    <row r="195" spans="1:10" customHeight="1" ht="16.5" s="14" customFormat="1">
      <c r="A195" s="221" t="s">
        <v>165</v>
      </c>
      <c r="B195" s="222"/>
      <c r="C195" s="222"/>
      <c r="D195" s="222"/>
      <c r="E195" s="196"/>
    </row>
    <row r="196" spans="1:10" customHeight="1" ht="15.75" s="14" customFormat="1">
      <c r="A196" s="229" t="s">
        <v>166</v>
      </c>
      <c r="B196" s="222"/>
      <c r="C196" s="222"/>
      <c r="D196" s="222"/>
      <c r="E196" s="196"/>
    </row>
    <row r="197" spans="1:10" customHeight="1" ht="15" s="14" customFormat="1">
      <c r="A197" s="236" t="s">
        <v>167</v>
      </c>
      <c r="B197" s="237"/>
      <c r="C197" s="237"/>
      <c r="D197" s="237"/>
      <c r="E197" s="197">
        <v>2.5</v>
      </c>
    </row>
    <row r="198" spans="1:10" customHeight="1" ht="15" s="14" customFormat="1">
      <c r="A198" s="236" t="s">
        <v>168</v>
      </c>
      <c r="B198" s="237"/>
      <c r="C198" s="237"/>
      <c r="D198" s="237"/>
      <c r="E198" s="197">
        <v>6</v>
      </c>
    </row>
    <row r="199" spans="1:10" customHeight="1" ht="15" s="14" customFormat="1">
      <c r="A199" s="236" t="s">
        <v>169</v>
      </c>
      <c r="B199" s="237"/>
      <c r="C199" s="237"/>
      <c r="D199" s="237"/>
      <c r="E199" s="197">
        <v>10</v>
      </c>
    </row>
    <row r="200" spans="1:10" customHeight="1" ht="15" s="14" customFormat="1">
      <c r="A200" s="236" t="s">
        <v>170</v>
      </c>
      <c r="B200" s="237"/>
      <c r="C200" s="237"/>
      <c r="D200" s="237"/>
      <c r="E200" s="197">
        <v>12</v>
      </c>
    </row>
    <row r="201" spans="1:10" customHeight="1" ht="15" s="14" customFormat="1">
      <c r="A201" s="236" t="s">
        <v>171</v>
      </c>
      <c r="B201" s="237"/>
      <c r="C201" s="237"/>
      <c r="D201" s="237"/>
      <c r="E201" s="195">
        <v>20</v>
      </c>
    </row>
    <row r="202" spans="1:10" customHeight="1" ht="15" s="14" customFormat="1">
      <c r="A202" s="236" t="s">
        <v>172</v>
      </c>
      <c r="B202" s="237"/>
      <c r="C202" s="237"/>
      <c r="D202" s="237"/>
      <c r="E202" s="195">
        <v>12</v>
      </c>
    </row>
    <row r="203" spans="1:10" customHeight="1" ht="15" s="14" customFormat="1">
      <c r="A203" s="236" t="s">
        <v>173</v>
      </c>
      <c r="B203" s="237"/>
      <c r="C203" s="237"/>
      <c r="D203" s="237"/>
      <c r="E203" s="195">
        <v>40</v>
      </c>
    </row>
    <row r="204" spans="1:10" customHeight="1" ht="15" s="14" customFormat="1">
      <c r="A204" s="224" t="s">
        <v>174</v>
      </c>
      <c r="B204" s="220"/>
      <c r="C204" s="220"/>
      <c r="D204" s="220"/>
      <c r="E204" s="195">
        <v>63</v>
      </c>
    </row>
    <row r="205" spans="1:10" customHeight="1" ht="15.75" s="14" customFormat="1">
      <c r="A205" s="228" t="s">
        <v>175</v>
      </c>
      <c r="B205" s="227"/>
      <c r="C205" s="227"/>
      <c r="D205" s="227"/>
      <c r="E205" s="225">
        <f>2*(E203+E198+E197+E200)+E199</f>
        <v>131</v>
      </c>
    </row>
    <row r="206" spans="1:10" customHeight="1" ht="15.75" s="14" customFormat="1">
      <c r="A206" s="242" t="s">
        <v>176</v>
      </c>
      <c r="B206" s="243"/>
      <c r="C206" s="243"/>
      <c r="D206" s="243"/>
      <c r="E206" s="195"/>
    </row>
    <row r="207" spans="1:10" customHeight="1" ht="21" s="14" customFormat="1">
      <c r="A207" s="236" t="s">
        <v>177</v>
      </c>
      <c r="B207" s="237"/>
      <c r="C207" s="237"/>
      <c r="D207" s="237"/>
      <c r="E207" s="198">
        <v>25</v>
      </c>
    </row>
    <row r="208" spans="1:10" customHeight="1" ht="15" s="14" customFormat="1">
      <c r="A208" s="240" t="s">
        <v>178</v>
      </c>
      <c r="B208" s="241"/>
      <c r="C208" s="241"/>
      <c r="D208" s="241"/>
      <c r="E208" s="197">
        <v>2.5</v>
      </c>
    </row>
    <row r="209" spans="1:10" customHeight="1" ht="15" s="14" customFormat="1">
      <c r="A209" s="236" t="s">
        <v>179</v>
      </c>
      <c r="B209" s="237"/>
      <c r="C209" s="237"/>
      <c r="D209" s="237"/>
      <c r="E209" s="195">
        <v>0</v>
      </c>
    </row>
    <row r="210" spans="1:10" customHeight="1" ht="15" s="14" customFormat="1">
      <c r="A210" s="236" t="s">
        <v>180</v>
      </c>
      <c r="B210" s="237"/>
      <c r="C210" s="237"/>
      <c r="D210" s="237"/>
      <c r="E210" s="195">
        <f>E209*5</f>
        <v>0</v>
      </c>
    </row>
    <row r="211" spans="1:10" customHeight="1" ht="15" s="14" customFormat="1">
      <c r="A211" s="236" t="s">
        <v>181</v>
      </c>
      <c r="B211" s="237"/>
      <c r="C211" s="237"/>
      <c r="D211" s="237"/>
      <c r="E211" s="195">
        <v>0</v>
      </c>
    </row>
    <row r="212" spans="1:10" customHeight="1" ht="15.75" s="14" customFormat="1">
      <c r="A212" s="244" t="s">
        <v>182</v>
      </c>
      <c r="B212" s="245"/>
      <c r="C212" s="245"/>
      <c r="D212" s="245"/>
      <c r="E212" s="225">
        <f>E211+E210+(E208*E207)</f>
        <v>62.5</v>
      </c>
    </row>
    <row r="213" spans="1:10" customHeight="1" ht="15" s="14" customFormat="1">
      <c r="A213" s="231" t="s">
        <v>183</v>
      </c>
      <c r="B213" s="232"/>
      <c r="C213" s="232"/>
      <c r="D213" s="232"/>
      <c r="E213" s="196"/>
    </row>
    <row r="214" spans="1:10" customHeight="1" ht="15" s="14" customFormat="1">
      <c r="A214" s="236" t="s">
        <v>184</v>
      </c>
      <c r="B214" s="237"/>
      <c r="C214" s="237"/>
      <c r="D214" s="237"/>
      <c r="E214" s="195">
        <f>E212*E204</f>
        <v>3937.5</v>
      </c>
      <c r="H214" s="14" t="s">
        <v>185</v>
      </c>
    </row>
    <row r="215" spans="1:10" customHeight="1" ht="15" s="14" customFormat="1">
      <c r="A215" s="236" t="s">
        <v>186</v>
      </c>
      <c r="B215" s="237"/>
      <c r="C215" s="237"/>
      <c r="D215" s="237"/>
      <c r="E215" s="195">
        <f>(E212*E203)*2</f>
        <v>5000</v>
      </c>
    </row>
    <row r="216" spans="1:10" customHeight="1" ht="15" s="14" customFormat="1">
      <c r="A216" s="236" t="s">
        <v>187</v>
      </c>
      <c r="B216" s="237"/>
      <c r="C216" s="237"/>
      <c r="D216" s="237"/>
      <c r="E216" s="197">
        <v>250</v>
      </c>
    </row>
    <row r="217" spans="1:10" customHeight="1" ht="15" s="14" customFormat="1">
      <c r="A217" s="219" t="s">
        <v>188</v>
      </c>
      <c r="B217" s="220"/>
      <c r="C217" s="220"/>
      <c r="D217" s="220"/>
      <c r="E217" s="197">
        <v>25</v>
      </c>
    </row>
    <row r="218" spans="1:10" customHeight="1" ht="15" s="14" customFormat="1">
      <c r="A218" s="219" t="s">
        <v>189</v>
      </c>
      <c r="B218" s="220"/>
      <c r="C218" s="220"/>
      <c r="D218" s="220"/>
      <c r="E218" s="195">
        <f>E214*E216</f>
        <v>984375</v>
      </c>
    </row>
    <row r="219" spans="1:10" customHeight="1" ht="15" s="14" customFormat="1">
      <c r="A219" s="236" t="s">
        <v>190</v>
      </c>
      <c r="B219" s="237"/>
      <c r="C219" s="237"/>
      <c r="D219" s="237"/>
      <c r="E219" s="195">
        <f>E215*E217</f>
        <v>125000</v>
      </c>
    </row>
    <row r="220" spans="1:10" customHeight="1" ht="15" s="14" customFormat="1">
      <c r="A220" s="219" t="s">
        <v>191</v>
      </c>
      <c r="B220" s="220"/>
      <c r="C220" s="220"/>
      <c r="D220" s="220"/>
      <c r="E220" s="195">
        <f>(E218+E219)/10000000</f>
        <v>0.1109375</v>
      </c>
    </row>
    <row r="221" spans="1:10" customHeight="1" ht="15" s="14" customFormat="1">
      <c r="A221" s="219" t="s">
        <v>192</v>
      </c>
      <c r="B221" s="220"/>
      <c r="C221" s="220"/>
      <c r="D221" s="220"/>
      <c r="E221" s="199">
        <f>B9</f>
        <v>2</v>
      </c>
    </row>
    <row r="222" spans="1:10" customHeight="1" ht="15" s="14" customFormat="1">
      <c r="A222" s="230" t="s">
        <v>193</v>
      </c>
      <c r="B222" s="220"/>
      <c r="C222" s="220"/>
      <c r="D222" s="220"/>
      <c r="E222" s="194">
        <f>E221/(E207*2)</f>
        <v>0.04</v>
      </c>
    </row>
    <row r="223" spans="1:10" customHeight="1" ht="15" s="14" customFormat="1">
      <c r="A223" s="219" t="s">
        <v>194</v>
      </c>
      <c r="B223" s="220"/>
      <c r="C223" s="220"/>
      <c r="D223" s="220"/>
      <c r="E223" s="194">
        <f>E220*E222</f>
        <v>0.0044375</v>
      </c>
    </row>
    <row r="224" spans="1:10" customHeight="1" ht="15" s="14" customFormat="1">
      <c r="A224" s="219" t="s">
        <v>195</v>
      </c>
      <c r="B224" s="220"/>
      <c r="C224" s="220"/>
      <c r="D224" s="220"/>
      <c r="E224" s="200">
        <f>( E223*0.1)</f>
        <v>0.00044375</v>
      </c>
    </row>
    <row r="225" spans="1:10" customHeight="1" ht="15.75" s="14" customFormat="1">
      <c r="A225" s="226" t="s">
        <v>196</v>
      </c>
      <c r="B225" s="227"/>
      <c r="C225" s="227"/>
      <c r="D225" s="227"/>
      <c r="E225" s="233">
        <f>E223+E224</f>
        <v>0.00488125</v>
      </c>
    </row>
    <row r="226" spans="1:10" customHeight="1" ht="15" s="14" customFormat="1">
      <c r="A226" s="236" t="s">
        <v>197</v>
      </c>
      <c r="B226" s="237"/>
      <c r="C226" s="237"/>
      <c r="D226" s="237"/>
      <c r="E226" s="200">
        <f>E225/5</f>
        <v>0.00097625</v>
      </c>
    </row>
    <row r="227" spans="1:10" customHeight="1" ht="15" s="14" customFormat="1">
      <c r="A227" s="193" t="s">
        <v>198</v>
      </c>
      <c r="B227" s="192"/>
      <c r="C227" s="192"/>
      <c r="D227" s="192"/>
      <c r="E227" s="195">
        <f>D90*B9/10000000</f>
        <v>0.0114</v>
      </c>
    </row>
    <row r="228" spans="1:10" customHeight="1" ht="15" s="14" customFormat="1">
      <c r="A228" s="219" t="s">
        <v>199</v>
      </c>
      <c r="B228" s="220"/>
      <c r="C228" s="220"/>
      <c r="D228" s="220"/>
      <c r="E228" s="234">
        <f>((C132/12)+(C132/100))/10000000</f>
        <v>0.00104961143</v>
      </c>
    </row>
    <row r="229" spans="1:10" customHeight="1" ht="15" s="14" customFormat="1">
      <c r="A229" s="193" t="s">
        <v>200</v>
      </c>
      <c r="B229" s="192"/>
      <c r="C229" s="192"/>
      <c r="D229" s="192"/>
      <c r="E229" s="194">
        <f>E227+E228+E226+E225</f>
        <v>0.01830711143</v>
      </c>
    </row>
    <row r="230" spans="1:10" customHeight="1" ht="18">
      <c r="A230" s="187" t="s">
        <v>201</v>
      </c>
      <c r="B230" s="187"/>
      <c r="C230" s="187"/>
    </row>
    <row r="231" spans="1:10" customHeight="1" ht="18">
      <c r="A231" s="187"/>
      <c r="B231" s="188"/>
      <c r="C231" s="188"/>
    </row>
  </sheetData>
  <sheetProtection sheet="0" objects="0" scenarios="0" formatCells="1" formatColumns="1" formatRows="1" insertColumns="1" insertRows="1" insertHyperlinks="1" deleteColumns="1" deleteRows="1" sort="1" autoFilter="1" pivotTables="1" selectLockedCells="0" selectUnlockedCells="0"/>
  <mergeCells>
    <mergeCell ref="A201:D201"/>
    <mergeCell ref="A202:D202"/>
    <mergeCell ref="A226:D226"/>
    <mergeCell ref="A219:D219"/>
    <mergeCell ref="A215:D215"/>
    <mergeCell ref="A216:D216"/>
    <mergeCell ref="A206:D206"/>
    <mergeCell ref="A207:D207"/>
    <mergeCell ref="A214:D214"/>
    <mergeCell ref="A212:D212"/>
    <mergeCell ref="A203:D203"/>
    <mergeCell ref="A194:D194"/>
    <mergeCell ref="A208:D208"/>
    <mergeCell ref="A209:D209"/>
    <mergeCell ref="A210:D210"/>
    <mergeCell ref="A211:D211"/>
    <mergeCell ref="A197:D197"/>
    <mergeCell ref="A198:D198"/>
    <mergeCell ref="A199:D199"/>
    <mergeCell ref="A200:D200"/>
  </mergeCells>
  <printOptions gridLines="true" gridLinesSet="true"/>
  <pageMargins left="0.35433070866142" right="0.35433070866142" top="0.59055118110236" bottom="0.78740157480315" header="0.51181102362205" footer="0.51181102362205"/>
  <pageSetup paperSize="9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model (copy for trying)</vt:lpstr>
    </vt:vector>
  </TitlesOfParts>
  <Company>K.V.K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PARVINDER</dc:creator>
  <cp:lastModifiedBy>hp</cp:lastModifiedBy>
  <dcterms:created xsi:type="dcterms:W3CDTF">2004-01-30T06:10:22+00:00</dcterms:created>
  <dcterms:modified xsi:type="dcterms:W3CDTF">2010-05-08T09:41:38+00:00</dcterms:modified>
  <dc:title>Untitled Spreadsheet</dc:title>
  <dc:description/>
  <dc:subject/>
  <cp:keywords/>
  <cp:category/>
</cp:coreProperties>
</file>