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workbookProtection lockStructure="1"/>
  <bookViews>
    <workbookView xWindow="0" yWindow="1728" windowWidth="15480" windowHeight="10236"/>
  </bookViews>
  <sheets>
    <sheet name="Data" sheetId="1" r:id="rId1"/>
    <sheet name="Pie Charts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AdjFromA">Data!$U$72</definedName>
    <definedName name="CalcA">Data!$U$60</definedName>
    <definedName name="CalcC">Data!$V$63</definedName>
    <definedName name="CommaUsed">Data!$T$72</definedName>
    <definedName name="DC">Data!$R$61</definedName>
    <definedName name="Ditonic_Comma">Data!$R$61</definedName>
    <definedName name="FactMaj3">Data!$R$77</definedName>
    <definedName name="FactMin3">Data!$R$81</definedName>
    <definedName name="FactMin7">Data!$R$79</definedName>
    <definedName name="FactPer4">Data!$R$80</definedName>
    <definedName name="FactPer5">Data!$R$76</definedName>
    <definedName name="FactSmm3">Data!$R$78</definedName>
    <definedName name="HTML1_1" hidden="1">"[temper.xls]Sheet1!$BR$1:$CI$15"</definedName>
    <definedName name="HTML1_10" hidden="1">""</definedName>
    <definedName name="HTML1_11" hidden="1">1</definedName>
    <definedName name="HTML1_12" hidden="1">"C:\Current Work\MyHTML9.htm"</definedName>
    <definedName name="HTML1_2" hidden="1">1</definedName>
    <definedName name="HTML1_3" hidden="1">"temper"</definedName>
    <definedName name="HTML1_4" hidden="1">"Sheet1"</definedName>
    <definedName name="HTML1_5" hidden="1">""</definedName>
    <definedName name="HTML1_6" hidden="1">-4146</definedName>
    <definedName name="HTML1_7" hidden="1">-4146</definedName>
    <definedName name="HTML1_8" hidden="1">"4/10/97"</definedName>
    <definedName name="HTML1_9" hidden="1">"Robert Ranck"</definedName>
    <definedName name="HTML2_1" hidden="1">"[temper.xls]Sheet1!$C$3:$N$28"</definedName>
    <definedName name="HTML2_10" hidden="1">""</definedName>
    <definedName name="HTML2_11" hidden="1">1</definedName>
    <definedName name="HTML2_12" hidden="1">"C:\Current Work\MyHTML.htm"</definedName>
    <definedName name="HTML2_2" hidden="1">1</definedName>
    <definedName name="HTML2_3" hidden="1">"temper"</definedName>
    <definedName name="HTML2_4" hidden="1">"Sheet1"</definedName>
    <definedName name="HTML2_5" hidden="1">""</definedName>
    <definedName name="HTML2_6" hidden="1">-4146</definedName>
    <definedName name="HTML2_7" hidden="1">-4146</definedName>
    <definedName name="HTML2_8" hidden="1">"4/11/97"</definedName>
    <definedName name="HTML2_9" hidden="1">"Robert Ranck"</definedName>
    <definedName name="HTML3_1" hidden="1">"[temper12.xls]Sheet1!$BR$3:$CI$15"</definedName>
    <definedName name="HTML3_10" hidden="1">""</definedName>
    <definedName name="HTML3_11" hidden="1">1</definedName>
    <definedName name="HTML3_12" hidden="1">"C:\Current Work\MyHTML3.htm"</definedName>
    <definedName name="HTML3_2" hidden="1">1</definedName>
    <definedName name="HTML3_3" hidden="1">"temper12"</definedName>
    <definedName name="HTML3_4" hidden="1">"Sheet1"</definedName>
    <definedName name="HTML3_5" hidden="1">""</definedName>
    <definedName name="HTML3_6" hidden="1">-4146</definedName>
    <definedName name="HTML3_7" hidden="1">-4146</definedName>
    <definedName name="HTML3_8" hidden="1">"4/11/97"</definedName>
    <definedName name="HTML3_9" hidden="1">"Robert Ranck"</definedName>
    <definedName name="HTML4_1" hidden="1">"[temper12.xls]Sheet1!$AN$4:$BF$15"</definedName>
    <definedName name="HTML4_10" hidden="1">""</definedName>
    <definedName name="HTML4_11" hidden="1">1</definedName>
    <definedName name="HTML4_12" hidden="1">"C:\Current Work\MyHTML4.htm"</definedName>
    <definedName name="HTML4_2" hidden="1">1</definedName>
    <definedName name="HTML4_3" hidden="1">"temper12"</definedName>
    <definedName name="HTML4_4" hidden="1">"Sheet1"</definedName>
    <definedName name="HTML4_5" hidden="1">""</definedName>
    <definedName name="HTML4_6" hidden="1">-4146</definedName>
    <definedName name="HTML4_7" hidden="1">-4146</definedName>
    <definedName name="HTML4_8" hidden="1">"4/11/97"</definedName>
    <definedName name="HTML4_9" hidden="1">"Robert Ranck"</definedName>
    <definedName name="HTML5_1" hidden="1">"[temper12.xls]Sheet1!$AN$17:$BF$28"</definedName>
    <definedName name="HTML5_10" hidden="1">""</definedName>
    <definedName name="HTML5_11" hidden="1">1</definedName>
    <definedName name="HTML5_12" hidden="1">"C:\Current Work\MyHTML5.htm"</definedName>
    <definedName name="HTML5_2" hidden="1">1</definedName>
    <definedName name="HTML5_3" hidden="1">"temper12"</definedName>
    <definedName name="HTML5_4" hidden="1">"Sheet1"</definedName>
    <definedName name="HTML5_5" hidden="1">""</definedName>
    <definedName name="HTML5_6" hidden="1">-4146</definedName>
    <definedName name="HTML5_7" hidden="1">-4146</definedName>
    <definedName name="HTML5_8" hidden="1">"4/11/97"</definedName>
    <definedName name="HTML5_9" hidden="1">"Robert Ranck"</definedName>
    <definedName name="HTML6_1" hidden="1">"[temper12.xls]Sheet1!$C$1:$R$30"</definedName>
    <definedName name="HTML6_10" hidden="1">""</definedName>
    <definedName name="HTML6_11" hidden="1">1</definedName>
    <definedName name="HTML6_12" hidden="1">"C:\Current Work\MyHTML7.htm"</definedName>
    <definedName name="HTML6_2" hidden="1">1</definedName>
    <definedName name="HTML6_3" hidden="1">"temper12"</definedName>
    <definedName name="HTML6_4" hidden="1">"Sheet1"</definedName>
    <definedName name="HTML6_5" hidden="1">""</definedName>
    <definedName name="HTML6_6" hidden="1">-4146</definedName>
    <definedName name="HTML6_7" hidden="1">-4146</definedName>
    <definedName name="HTML6_8" hidden="1">"4/14/97"</definedName>
    <definedName name="HTML6_9" hidden="1">"Robert Ranck"</definedName>
    <definedName name="HTML7_1" hidden="1">"[temper12.xls]Sheet1!$AN$1:$BF$28"</definedName>
    <definedName name="HTML7_10" hidden="1">""</definedName>
    <definedName name="HTML7_11" hidden="1">1</definedName>
    <definedName name="HTML7_12" hidden="1">"C:\Current Work\MyHTML8.htm"</definedName>
    <definedName name="HTML7_2" hidden="1">1</definedName>
    <definedName name="HTML7_3" hidden="1">"temper12"</definedName>
    <definedName name="HTML7_4" hidden="1">"Sheet1"</definedName>
    <definedName name="HTML7_5" hidden="1">""</definedName>
    <definedName name="HTML7_6" hidden="1">-4146</definedName>
    <definedName name="HTML7_7" hidden="1">-4146</definedName>
    <definedName name="HTML7_8" hidden="1">"4/14/97"</definedName>
    <definedName name="HTML7_9" hidden="1">"Robert Ranck"</definedName>
    <definedName name="HTML8_1" hidden="1">"[temper12.xls]Sheet1!$BR$1:$CI$15"</definedName>
    <definedName name="HTML8_10" hidden="1">""</definedName>
    <definedName name="HTML8_11" hidden="1">1</definedName>
    <definedName name="HTML8_12" hidden="1">"C:\Current Work\MyHTML9.htm"</definedName>
    <definedName name="HTML8_2" hidden="1">1</definedName>
    <definedName name="HTML8_3" hidden="1">"temper12"</definedName>
    <definedName name="HTML8_4" hidden="1">"Sheet1"</definedName>
    <definedName name="HTML8_5" hidden="1">""</definedName>
    <definedName name="HTML8_6" hidden="1">-4146</definedName>
    <definedName name="HTML8_7" hidden="1">-4146</definedName>
    <definedName name="HTML8_8" hidden="1">"4/14/97"</definedName>
    <definedName name="HTML8_9" hidden="1">"Robert Ranck"</definedName>
    <definedName name="HTML9_1" hidden="1">"[TEMPER20.XLS]Sheet1!$BI$1:$BR$16"</definedName>
    <definedName name="HTML9_10" hidden="1">""</definedName>
    <definedName name="HTML9_11" hidden="1">1</definedName>
    <definedName name="HTML9_12" hidden="1">"C:\Current Work\MyHTML.htm"</definedName>
    <definedName name="HTML9_2" hidden="1">1</definedName>
    <definedName name="HTML9_3" hidden="1">"TEMPER20"</definedName>
    <definedName name="HTML9_4" hidden="1">"Sheet1"</definedName>
    <definedName name="HTML9_5" hidden="1">""</definedName>
    <definedName name="HTML9_6" hidden="1">-4146</definedName>
    <definedName name="HTML9_7" hidden="1">-4146</definedName>
    <definedName name="HTML9_8" hidden="1">"4/21/97"</definedName>
    <definedName name="HTML9_9" hidden="1">"Robert Ranck"</definedName>
    <definedName name="HTMLCount" hidden="1">9</definedName>
    <definedName name="LucyC">Data!$R$63</definedName>
    <definedName name="_Maj3">Data!$R$66</definedName>
    <definedName name="_Maj6">Data!$R$70</definedName>
    <definedName name="_Maj7">Data!$R$72</definedName>
    <definedName name="_Min3">Data!$R$65</definedName>
    <definedName name="_Min6">Data!$R$69</definedName>
    <definedName name="Min6Alt1">Data!$R$74</definedName>
    <definedName name="_Min7">Data!$R$71</definedName>
    <definedName name="Min7Alt1">Data!$R$73</definedName>
    <definedName name="Min7Alt2">Data!$R$75</definedName>
    <definedName name="_Per4">Data!$R$67</definedName>
    <definedName name="_Per5">Data!$R$68</definedName>
    <definedName name="_xlnm.Print_Area" localSheetId="0">Data!$AN$1:$BF$32</definedName>
    <definedName name="_xlnm.Print_Area" localSheetId="1">'Pie Charts'!$B$4:$P$25</definedName>
    <definedName name="Recipe">Data!$BI$4:$CH$8</definedName>
    <definedName name="RefA">Data!$B$2</definedName>
    <definedName name="RefC">Data!$B$3</definedName>
    <definedName name="SC">Data!$R$60</definedName>
    <definedName name="Schisma">Data!$R$62</definedName>
    <definedName name="_Smm3">Data!$R$64</definedName>
    <definedName name="Syntonic_Comma">Data!$R$60</definedName>
    <definedName name="Temper_Choice">Data!$B$6</definedName>
    <definedName name="Temper_Choice_Name">Data!$T$59</definedName>
    <definedName name="UseA">Data!$B$4</definedName>
  </definedNames>
  <calcPr calcId="145621"/>
</workbook>
</file>

<file path=xl/calcChain.xml><?xml version="1.0" encoding="utf-8"?>
<calcChain xmlns="http://schemas.openxmlformats.org/spreadsheetml/2006/main">
  <c r="G1" i="1" l="1"/>
  <c r="B4" i="1"/>
  <c r="D4" i="1"/>
  <c r="AN5" i="1"/>
  <c r="BF5" i="1" s="1"/>
  <c r="D6" i="1"/>
  <c r="D8" i="1"/>
  <c r="D9" i="1"/>
  <c r="D11" i="1"/>
  <c r="BP12" i="1"/>
  <c r="D13" i="1"/>
  <c r="D15" i="1"/>
  <c r="A17" i="1"/>
  <c r="D18" i="1"/>
  <c r="A19" i="1"/>
  <c r="D20" i="1"/>
  <c r="AN20" i="1"/>
  <c r="D21" i="1"/>
  <c r="A22" i="1"/>
  <c r="U22" i="1"/>
  <c r="AN22" i="1"/>
  <c r="AN7" i="1" s="1"/>
  <c r="BF7" i="1" s="1"/>
  <c r="BF22" i="1"/>
  <c r="D23" i="1"/>
  <c r="U42" i="1" s="1"/>
  <c r="A24" i="1"/>
  <c r="U24" i="1"/>
  <c r="AN24" i="1"/>
  <c r="D25" i="1"/>
  <c r="AN25" i="1"/>
  <c r="A26" i="1"/>
  <c r="D27" i="1"/>
  <c r="U27" i="1"/>
  <c r="AN27" i="1"/>
  <c r="D28" i="1"/>
  <c r="E28" i="1"/>
  <c r="A29" i="1"/>
  <c r="U29" i="1"/>
  <c r="AN29" i="1"/>
  <c r="BF29" i="1"/>
  <c r="U31" i="1"/>
  <c r="D35" i="1"/>
  <c r="Q35" i="1"/>
  <c r="U35" i="1"/>
  <c r="F36" i="1"/>
  <c r="G36" i="1"/>
  <c r="H36" i="1"/>
  <c r="J36" i="1"/>
  <c r="K36" i="1"/>
  <c r="L36" i="1"/>
  <c r="N36" i="1"/>
  <c r="O36" i="1"/>
  <c r="P36" i="1"/>
  <c r="AN36" i="1"/>
  <c r="F37" i="1"/>
  <c r="G37" i="1"/>
  <c r="I37" i="1"/>
  <c r="Q37" i="1" s="1"/>
  <c r="J37" i="1"/>
  <c r="K37" i="1"/>
  <c r="L37" i="1"/>
  <c r="M37" i="1"/>
  <c r="N37" i="1"/>
  <c r="U37" i="1"/>
  <c r="D38" i="1"/>
  <c r="Q38" i="1"/>
  <c r="AN38" i="1"/>
  <c r="Q39" i="1"/>
  <c r="U39" i="1"/>
  <c r="Q40" i="1"/>
  <c r="U40" i="1"/>
  <c r="D41" i="1"/>
  <c r="Q41" i="1"/>
  <c r="AN41" i="1"/>
  <c r="D42" i="1"/>
  <c r="Q42" i="1"/>
  <c r="D43" i="1"/>
  <c r="Q43" i="1"/>
  <c r="Q44" i="1"/>
  <c r="U44" i="1"/>
  <c r="Q45" i="1"/>
  <c r="AN45" i="1"/>
  <c r="Q46" i="1"/>
  <c r="U46" i="1"/>
  <c r="Q47" i="1"/>
  <c r="U47" i="1"/>
  <c r="D48" i="1"/>
  <c r="F48" i="1"/>
  <c r="Q48" i="1" s="1"/>
  <c r="H48" i="1"/>
  <c r="K48" i="1"/>
  <c r="M48" i="1"/>
  <c r="O48" i="1"/>
  <c r="AN48" i="1"/>
  <c r="Q49" i="1"/>
  <c r="Q50" i="1"/>
  <c r="Q51" i="1"/>
  <c r="D52" i="1"/>
  <c r="Q52" i="1"/>
  <c r="D53" i="1"/>
  <c r="Q53" i="1"/>
  <c r="D54" i="1"/>
  <c r="Q54" i="1"/>
  <c r="Q55" i="1"/>
  <c r="Q56" i="1"/>
  <c r="D57" i="1"/>
  <c r="Q57" i="1"/>
  <c r="D58" i="1"/>
  <c r="F58" i="1"/>
  <c r="G58" i="1"/>
  <c r="H58" i="1"/>
  <c r="I58" i="1"/>
  <c r="J58" i="1"/>
  <c r="K58" i="1"/>
  <c r="L58" i="1"/>
  <c r="M58" i="1"/>
  <c r="N58" i="1"/>
  <c r="O58" i="1"/>
  <c r="P58" i="1"/>
  <c r="Q58" i="1"/>
  <c r="D59" i="1"/>
  <c r="F59" i="1"/>
  <c r="G59" i="1"/>
  <c r="H59" i="1"/>
  <c r="I59" i="1"/>
  <c r="J59" i="1"/>
  <c r="K59" i="1"/>
  <c r="L59" i="1"/>
  <c r="M59" i="1"/>
  <c r="N59" i="1"/>
  <c r="O59" i="1"/>
  <c r="P59" i="1"/>
  <c r="T59" i="1"/>
  <c r="F60" i="1"/>
  <c r="G60" i="1"/>
  <c r="H60" i="1"/>
  <c r="I60" i="1"/>
  <c r="Q60" i="1" s="1"/>
  <c r="J60" i="1"/>
  <c r="K60" i="1"/>
  <c r="L60" i="1"/>
  <c r="M60" i="1"/>
  <c r="N60" i="1"/>
  <c r="O60" i="1"/>
  <c r="P60" i="1"/>
  <c r="R60" i="1"/>
  <c r="D49" i="1" s="1"/>
  <c r="T60" i="1"/>
  <c r="U60" i="1"/>
  <c r="Y60" i="1"/>
  <c r="Z60" i="1"/>
  <c r="Z72" i="1" s="1"/>
  <c r="AC60" i="1"/>
  <c r="Q61" i="1"/>
  <c r="R61" i="1"/>
  <c r="D56" i="1" s="1"/>
  <c r="T61" i="1"/>
  <c r="Y61" i="1"/>
  <c r="AC61" i="1" s="1"/>
  <c r="Z61" i="1"/>
  <c r="Z73" i="1" s="1"/>
  <c r="Q62" i="1"/>
  <c r="T62" i="1"/>
  <c r="Y62" i="1"/>
  <c r="AC62" i="1"/>
  <c r="Q63" i="1"/>
  <c r="T63" i="1"/>
  <c r="V63" i="1"/>
  <c r="E16" i="1" s="1"/>
  <c r="W63" i="1"/>
  <c r="Y63" i="1"/>
  <c r="Z63" i="1"/>
  <c r="AC63" i="1"/>
  <c r="Q64" i="1"/>
  <c r="R64" i="1"/>
  <c r="T64" i="1"/>
  <c r="S64" i="1" s="1"/>
  <c r="Y64" i="1"/>
  <c r="Z64" i="1"/>
  <c r="Z76" i="1" s="1"/>
  <c r="Q65" i="1"/>
  <c r="R65" i="1"/>
  <c r="T65" i="1"/>
  <c r="Z62" i="1" s="1"/>
  <c r="Z74" i="1" s="1"/>
  <c r="Y65" i="1"/>
  <c r="Z65" i="1"/>
  <c r="Q66" i="1"/>
  <c r="R66" i="1"/>
  <c r="S66" i="1"/>
  <c r="T66" i="1"/>
  <c r="Z66" i="1"/>
  <c r="R67" i="1"/>
  <c r="T67" i="1"/>
  <c r="Z67" i="1"/>
  <c r="R68" i="1"/>
  <c r="T68" i="1"/>
  <c r="Z68" i="1"/>
  <c r="R69" i="1"/>
  <c r="T69" i="1"/>
  <c r="S69" i="1" s="1"/>
  <c r="Y69" i="1"/>
  <c r="Z69" i="1"/>
  <c r="R70" i="1"/>
  <c r="T70" i="1"/>
  <c r="R71" i="1"/>
  <c r="S71" i="1"/>
  <c r="T71" i="1"/>
  <c r="Y71" i="1"/>
  <c r="Z71" i="1"/>
  <c r="AA71" i="1"/>
  <c r="AB71" i="1" s="1"/>
  <c r="R72" i="1"/>
  <c r="Y72" i="1"/>
  <c r="AC71" i="1" s="1"/>
  <c r="R73" i="1"/>
  <c r="AC73" i="1"/>
  <c r="R74" i="1"/>
  <c r="R75" i="1"/>
  <c r="Z75" i="1"/>
  <c r="AC75" i="1"/>
  <c r="AD84" i="1"/>
  <c r="AL84" i="1"/>
  <c r="AM84" i="1"/>
  <c r="AO84" i="1" s="1"/>
  <c r="AL85" i="1"/>
  <c r="AN85" i="1"/>
  <c r="AP84" i="1" s="1"/>
  <c r="AD86" i="1"/>
  <c r="AH106" i="1" s="1"/>
  <c r="AQ106" i="1" s="1"/>
  <c r="AL86" i="1"/>
  <c r="AL87" i="1"/>
  <c r="AD88" i="1"/>
  <c r="AL88" i="1"/>
  <c r="AD89" i="1"/>
  <c r="AL89" i="1"/>
  <c r="AD91" i="1"/>
  <c r="AH111" i="1" s="1"/>
  <c r="AQ105" i="1" s="1"/>
  <c r="R94" i="1"/>
  <c r="AD95" i="1"/>
  <c r="AL95" i="1"/>
  <c r="R96" i="1"/>
  <c r="AL96" i="1"/>
  <c r="AM96" i="1"/>
  <c r="AO96" i="1"/>
  <c r="R99" i="1"/>
  <c r="R101" i="1"/>
  <c r="R103" i="1"/>
  <c r="R106" i="1"/>
  <c r="AD106" i="1"/>
  <c r="AM106" i="1"/>
  <c r="R108" i="1"/>
  <c r="AD109" i="1"/>
  <c r="AM115" i="1" s="1"/>
  <c r="AH109" i="1"/>
  <c r="AQ115" i="1" s="1"/>
  <c r="R110" i="1"/>
  <c r="R111" i="1"/>
  <c r="AD111" i="1"/>
  <c r="AM105" i="1" s="1"/>
  <c r="R113" i="1"/>
  <c r="R115" i="1"/>
  <c r="AD115" i="1"/>
  <c r="AM109" i="1" s="1"/>
  <c r="AH115" i="1"/>
  <c r="AQ109" i="1" s="1"/>
  <c r="R117" i="1"/>
  <c r="R118" i="1"/>
  <c r="B6" i="2"/>
  <c r="L8" i="2"/>
  <c r="B9" i="2"/>
  <c r="C9" i="2"/>
  <c r="J9" i="2"/>
  <c r="J24" i="2" s="1"/>
  <c r="K9" i="2"/>
  <c r="K24" i="2" s="1"/>
  <c r="B10" i="2"/>
  <c r="B26" i="2" s="1"/>
  <c r="J26" i="2" s="1"/>
  <c r="J10" i="2"/>
  <c r="B12" i="2"/>
  <c r="B28" i="2" s="1"/>
  <c r="J28" i="2" s="1"/>
  <c r="J12" i="2"/>
  <c r="B15" i="2"/>
  <c r="J15" i="2"/>
  <c r="B17" i="2"/>
  <c r="J17" i="2"/>
  <c r="B19" i="2"/>
  <c r="J19" i="2"/>
  <c r="L23" i="2"/>
  <c r="B24" i="2"/>
  <c r="C24" i="2"/>
  <c r="B25" i="2"/>
  <c r="J25" i="2" s="1"/>
  <c r="B27" i="2"/>
  <c r="J27" i="2" s="1"/>
  <c r="B29" i="2"/>
  <c r="J29" i="2" s="1"/>
  <c r="BL14" i="1" l="1"/>
  <c r="AD87" i="1"/>
  <c r="BL8" i="1"/>
  <c r="AL93" i="1"/>
  <c r="AD60" i="1"/>
  <c r="AC72" i="1"/>
  <c r="AA60" i="1"/>
  <c r="AN9" i="1"/>
  <c r="BF9" i="1" s="1"/>
  <c r="U9" i="1"/>
  <c r="BF24" i="1"/>
  <c r="AC74" i="1"/>
  <c r="AA62" i="1"/>
  <c r="AN40" i="1"/>
  <c r="U26" i="1"/>
  <c r="A21" i="1"/>
  <c r="R98" i="1"/>
  <c r="AE71" i="1"/>
  <c r="D12" i="1"/>
  <c r="D24" i="1"/>
  <c r="Y68" i="1"/>
  <c r="AA63" i="1"/>
  <c r="AH108" i="1"/>
  <c r="AQ108" i="1" s="1"/>
  <c r="AD108" i="1"/>
  <c r="AM108" i="1" s="1"/>
  <c r="AD104" i="1"/>
  <c r="AM104" i="1" s="1"/>
  <c r="AH104" i="1"/>
  <c r="AQ104" i="1" s="1"/>
  <c r="Y19" i="1"/>
  <c r="T91" i="1"/>
  <c r="S61" i="1"/>
  <c r="Z70" i="1"/>
  <c r="Q59" i="1"/>
  <c r="AA61" i="1"/>
  <c r="BP6" i="1"/>
  <c r="AD93" i="1"/>
  <c r="Q36" i="1"/>
  <c r="BJ4" i="1"/>
  <c r="BJ16" i="1"/>
  <c r="BJ10" i="1"/>
  <c r="BR6" i="1" s="1"/>
  <c r="AC64" i="1"/>
  <c r="D45" i="1"/>
  <c r="D51" i="1"/>
  <c r="D65" i="1"/>
  <c r="R62" i="1"/>
  <c r="D63" i="1"/>
  <c r="T72" i="1" s="1"/>
  <c r="D44" i="1"/>
  <c r="D64" i="1"/>
  <c r="D37" i="1"/>
  <c r="D47" i="1"/>
  <c r="D50" i="1"/>
  <c r="D46" i="1"/>
  <c r="D60" i="1"/>
  <c r="D62" i="1"/>
  <c r="D36" i="1"/>
  <c r="D40" i="1"/>
  <c r="AN2" i="1"/>
  <c r="A8" i="1"/>
  <c r="U3" i="1"/>
  <c r="BI2" i="1"/>
  <c r="U6" i="1"/>
  <c r="BF27" i="1"/>
  <c r="AN6" i="1"/>
  <c r="BF6" i="1" s="1"/>
  <c r="AN43" i="1"/>
  <c r="U16" i="1"/>
  <c r="BF25" i="1"/>
  <c r="AN16" i="1"/>
  <c r="BF16" i="1" s="1"/>
  <c r="AN31" i="1"/>
  <c r="U33" i="1"/>
  <c r="A28" i="1"/>
  <c r="R105" i="1"/>
  <c r="D10" i="1"/>
  <c r="D22" i="1"/>
  <c r="Y66" i="1"/>
  <c r="D5" i="1"/>
  <c r="D17" i="1"/>
  <c r="Y67" i="1"/>
  <c r="D61" i="1"/>
  <c r="D55" i="1"/>
  <c r="D39" i="1"/>
  <c r="BJ6" i="1"/>
  <c r="BR14" i="1" s="1"/>
  <c r="BJ12" i="1"/>
  <c r="BP8" i="1"/>
  <c r="BP14" i="1"/>
  <c r="D19" i="1"/>
  <c r="D7" i="1"/>
  <c r="BN6" i="1"/>
  <c r="BN12" i="1"/>
  <c r="BL4" i="1"/>
  <c r="BL16" i="1"/>
  <c r="BL6" i="1"/>
  <c r="BL12" i="1"/>
  <c r="U5" i="1"/>
  <c r="BF20" i="1"/>
  <c r="BL10" i="1"/>
  <c r="AN8" i="1"/>
  <c r="BF8" i="1" s="1"/>
  <c r="U8" i="1"/>
  <c r="E4" i="1"/>
  <c r="U7" i="1"/>
  <c r="F4" i="1"/>
  <c r="AD63" i="1" l="1"/>
  <c r="V70" i="1"/>
  <c r="V66" i="1"/>
  <c r="V68" i="1"/>
  <c r="T75" i="1"/>
  <c r="V67" i="1"/>
  <c r="T74" i="1"/>
  <c r="T76" i="1"/>
  <c r="V62" i="1"/>
  <c r="V64" i="1"/>
  <c r="B21" i="2"/>
  <c r="B31" i="2" s="1"/>
  <c r="J31" i="2" s="1"/>
  <c r="J21" i="2"/>
  <c r="V60" i="1"/>
  <c r="BN4" i="1"/>
  <c r="BN16" i="1"/>
  <c r="BN10" i="1"/>
  <c r="AL90" i="1"/>
  <c r="AD90" i="1"/>
  <c r="AC66" i="1"/>
  <c r="AD64" i="1" s="1"/>
  <c r="AN10" i="1"/>
  <c r="BF10" i="1" s="1"/>
  <c r="U10" i="1"/>
  <c r="BF31" i="1"/>
  <c r="AN47" i="1"/>
  <c r="D26" i="1"/>
  <c r="D14" i="1"/>
  <c r="V61" i="1"/>
  <c r="Y70" i="1"/>
  <c r="AA75" i="1"/>
  <c r="AB63" i="1"/>
  <c r="AE63" i="1" s="1"/>
  <c r="AC65" i="1"/>
  <c r="V65" i="1"/>
  <c r="V69" i="1"/>
  <c r="AH113" i="1"/>
  <c r="AQ107" i="1" s="1"/>
  <c r="AD113" i="1"/>
  <c r="AM107" i="1" s="1"/>
  <c r="BQ14" i="1"/>
  <c r="AF89" i="1"/>
  <c r="AI27" i="1" s="1"/>
  <c r="AI40" i="1" s="1"/>
  <c r="U41" i="1"/>
  <c r="R112" i="1"/>
  <c r="B14" i="2"/>
  <c r="B30" i="2" s="1"/>
  <c r="J30" i="2" s="1"/>
  <c r="J14" i="2"/>
  <c r="F16" i="1"/>
  <c r="V22" i="1"/>
  <c r="B17" i="1"/>
  <c r="B29" i="1"/>
  <c r="U25" i="1"/>
  <c r="AN23" i="1"/>
  <c r="R97" i="1"/>
  <c r="A20" i="1"/>
  <c r="A23" i="1"/>
  <c r="AN26" i="1"/>
  <c r="U28" i="1"/>
  <c r="R100" i="1"/>
  <c r="V71" i="1"/>
  <c r="U36" i="1"/>
  <c r="R107" i="1"/>
  <c r="A25" i="1"/>
  <c r="AN28" i="1"/>
  <c r="U30" i="1"/>
  <c r="R102" i="1"/>
  <c r="AF60" i="1"/>
  <c r="AG60" i="1" s="1"/>
  <c r="U23" i="1"/>
  <c r="A18" i="1"/>
  <c r="AN21" i="1"/>
  <c r="R95" i="1"/>
  <c r="U38" i="1"/>
  <c r="R109" i="1"/>
  <c r="AA64" i="1"/>
  <c r="AC76" i="1"/>
  <c r="AD61" i="1"/>
  <c r="BJ8" i="1"/>
  <c r="BJ14" i="1"/>
  <c r="BR10" i="1" s="1"/>
  <c r="AC68" i="1"/>
  <c r="AD92" i="1"/>
  <c r="AL92" i="1"/>
  <c r="AD62" i="1"/>
  <c r="AB60" i="1"/>
  <c r="AE60" i="1" s="1"/>
  <c r="AA72" i="1"/>
  <c r="BP10" i="1"/>
  <c r="BP16" i="1"/>
  <c r="AD85" i="1"/>
  <c r="AL91" i="1"/>
  <c r="BP4" i="1"/>
  <c r="AC67" i="1"/>
  <c r="AA73" i="1"/>
  <c r="AB61" i="1"/>
  <c r="AE61" i="1" s="1"/>
  <c r="U43" i="1"/>
  <c r="R114" i="1"/>
  <c r="AB62" i="1"/>
  <c r="AE62" i="1" s="1"/>
  <c r="AA74" i="1"/>
  <c r="AD71" i="1"/>
  <c r="AH107" i="1"/>
  <c r="AQ113" i="1" s="1"/>
  <c r="AD107" i="1"/>
  <c r="AM113" i="1" s="1"/>
  <c r="AF64" i="1" l="1"/>
  <c r="AG64" i="1" s="1"/>
  <c r="AF71" i="1"/>
  <c r="AG71" i="1" s="1"/>
  <c r="AH71" i="1" s="1"/>
  <c r="AJ71" i="1" s="1"/>
  <c r="U71" i="1"/>
  <c r="W71" i="1"/>
  <c r="AM92" i="1"/>
  <c r="E24" i="1"/>
  <c r="E12" i="1"/>
  <c r="AN13" i="1"/>
  <c r="BF13" i="1" s="1"/>
  <c r="BF28" i="1"/>
  <c r="AN44" i="1"/>
  <c r="U13" i="1"/>
  <c r="F28" i="1"/>
  <c r="V47" i="1" s="1"/>
  <c r="V35" i="1"/>
  <c r="A27" i="1"/>
  <c r="AN30" i="1"/>
  <c r="U32" i="1"/>
  <c r="R104" i="1"/>
  <c r="E15" i="1"/>
  <c r="W62" i="1"/>
  <c r="E27" i="1"/>
  <c r="AM89" i="1"/>
  <c r="AF63" i="1"/>
  <c r="AG63" i="1" s="1"/>
  <c r="AH63" i="1" s="1"/>
  <c r="AJ63" i="1" s="1"/>
  <c r="AN12" i="1"/>
  <c r="BF12" i="1" s="1"/>
  <c r="BF21" i="1"/>
  <c r="AN37" i="1"/>
  <c r="U12" i="1"/>
  <c r="AM90" i="1"/>
  <c r="W69" i="1"/>
  <c r="U69" i="1"/>
  <c r="E10" i="1"/>
  <c r="E22" i="1"/>
  <c r="AF84" i="1"/>
  <c r="AI22" i="1" s="1"/>
  <c r="AI35" i="1" s="1"/>
  <c r="AI47" i="1" s="1"/>
  <c r="BK6" i="1"/>
  <c r="E6" i="1"/>
  <c r="AM86" i="1"/>
  <c r="E18" i="1"/>
  <c r="W65" i="1"/>
  <c r="AF20" i="1"/>
  <c r="AI20" i="1" s="1"/>
  <c r="AI61" i="1"/>
  <c r="AI65" i="1"/>
  <c r="AI62" i="1"/>
  <c r="AI68" i="1"/>
  <c r="AI63" i="1"/>
  <c r="AI60" i="1"/>
  <c r="AI71" i="1"/>
  <c r="AH61" i="1"/>
  <c r="AJ61" i="1" s="1"/>
  <c r="AH60" i="1"/>
  <c r="AJ60" i="1" s="1"/>
  <c r="AH64" i="1"/>
  <c r="AJ64" i="1" s="1"/>
  <c r="BM6" i="1"/>
  <c r="AF91" i="1"/>
  <c r="AI29" i="1" s="1"/>
  <c r="AI42" i="1" s="1"/>
  <c r="AF61" i="1"/>
  <c r="AG61" i="1" s="1"/>
  <c r="U45" i="1"/>
  <c r="R116" i="1"/>
  <c r="BI6" i="1"/>
  <c r="BI5" i="1" s="1"/>
  <c r="BI7" i="1" s="1"/>
  <c r="AD73" i="1"/>
  <c r="AA67" i="1"/>
  <c r="AB67" i="1" s="1"/>
  <c r="AI67" i="1" s="1"/>
  <c r="AF62" i="1"/>
  <c r="AG62" i="1" s="1"/>
  <c r="AH62" i="1" s="1"/>
  <c r="AJ62" i="1" s="1"/>
  <c r="B11" i="2"/>
  <c r="B33" i="2" s="1"/>
  <c r="J33" i="2" s="1"/>
  <c r="J11" i="2"/>
  <c r="AN14" i="1"/>
  <c r="BF14" i="1" s="1"/>
  <c r="BF23" i="1"/>
  <c r="U14" i="1"/>
  <c r="AN39" i="1"/>
  <c r="AA65" i="1"/>
  <c r="AB65" i="1" s="1"/>
  <c r="AD65" i="1"/>
  <c r="AE65" i="1"/>
  <c r="E20" i="1"/>
  <c r="W67" i="1"/>
  <c r="E8" i="1"/>
  <c r="AM88" i="1"/>
  <c r="U67" i="1"/>
  <c r="B13" i="2"/>
  <c r="B35" i="2" s="1"/>
  <c r="J35" i="2" s="1"/>
  <c r="J13" i="2"/>
  <c r="BQ6" i="1"/>
  <c r="AF93" i="1"/>
  <c r="AI31" i="1" s="1"/>
  <c r="AI44" i="1" s="1"/>
  <c r="E13" i="1"/>
  <c r="U72" i="1"/>
  <c r="U63" i="1" s="1"/>
  <c r="E25" i="1"/>
  <c r="W60" i="1"/>
  <c r="AM87" i="1"/>
  <c r="AH112" i="1"/>
  <c r="AQ112" i="1" s="1"/>
  <c r="AD112" i="1"/>
  <c r="AM112" i="1" s="1"/>
  <c r="AA76" i="1"/>
  <c r="AB64" i="1"/>
  <c r="AE64" i="1" s="1"/>
  <c r="W68" i="1"/>
  <c r="AM95" i="1"/>
  <c r="E9" i="1"/>
  <c r="E21" i="1"/>
  <c r="BO6" i="1"/>
  <c r="AF86" i="1"/>
  <c r="AI24" i="1" s="1"/>
  <c r="AI37" i="1" s="1"/>
  <c r="AH105" i="1"/>
  <c r="AQ111" i="1" s="1"/>
  <c r="AD105" i="1"/>
  <c r="AM111" i="1" s="1"/>
  <c r="AE68" i="1"/>
  <c r="AA68" i="1"/>
  <c r="AB68" i="1" s="1"/>
  <c r="B16" i="2"/>
  <c r="B32" i="2" s="1"/>
  <c r="J32" i="2" s="1"/>
  <c r="J16" i="2"/>
  <c r="BN14" i="1"/>
  <c r="BN8" i="1"/>
  <c r="AL94" i="1"/>
  <c r="AC70" i="1"/>
  <c r="AD67" i="1" s="1"/>
  <c r="AD94" i="1"/>
  <c r="AC69" i="1"/>
  <c r="AA66" i="1"/>
  <c r="AB66" i="1" s="1"/>
  <c r="AI66" i="1" s="1"/>
  <c r="AD66" i="1"/>
  <c r="E19" i="1"/>
  <c r="W66" i="1"/>
  <c r="AM93" i="1"/>
  <c r="U66" i="1"/>
  <c r="E7" i="1"/>
  <c r="B18" i="2"/>
  <c r="B34" i="2" s="1"/>
  <c r="J34" i="2" s="1"/>
  <c r="J18" i="2"/>
  <c r="AN11" i="1"/>
  <c r="BF11" i="1" s="1"/>
  <c r="U11" i="1"/>
  <c r="BF26" i="1"/>
  <c r="AN42" i="1"/>
  <c r="U61" i="1"/>
  <c r="W61" i="1"/>
  <c r="AM94" i="1"/>
  <c r="E26" i="1"/>
  <c r="O15" i="1" s="1"/>
  <c r="E14" i="1"/>
  <c r="AH110" i="1"/>
  <c r="AQ110" i="1" s="1"/>
  <c r="AD110" i="1"/>
  <c r="AM110" i="1" s="1"/>
  <c r="E17" i="1"/>
  <c r="U64" i="1"/>
  <c r="W64" i="1"/>
  <c r="AM91" i="1"/>
  <c r="E5" i="1"/>
  <c r="E23" i="1"/>
  <c r="AM85" i="1"/>
  <c r="E11" i="1"/>
  <c r="W70" i="1"/>
  <c r="U70" i="1"/>
  <c r="BN5" i="1" l="1"/>
  <c r="AE86" i="1"/>
  <c r="AF24" i="1" s="1"/>
  <c r="AF37" i="1" s="1"/>
  <c r="BN11" i="1"/>
  <c r="BJ15" i="1"/>
  <c r="AE88" i="1"/>
  <c r="AF26" i="1" s="1"/>
  <c r="AF39" i="1" s="1"/>
  <c r="BJ9" i="1"/>
  <c r="BP5" i="1"/>
  <c r="AE93" i="1"/>
  <c r="AF31" i="1" s="1"/>
  <c r="AF44" i="1" s="1"/>
  <c r="BP11" i="1"/>
  <c r="AD81" i="1"/>
  <c r="BL5" i="1"/>
  <c r="BL11" i="1"/>
  <c r="AE91" i="1"/>
  <c r="AF29" i="1" s="1"/>
  <c r="AF42" i="1" s="1"/>
  <c r="AJ67" i="1"/>
  <c r="AF67" i="1"/>
  <c r="AG67" i="1" s="1"/>
  <c r="AH67" i="1" s="1"/>
  <c r="BP13" i="1"/>
  <c r="BP7" i="1"/>
  <c r="AE89" i="1"/>
  <c r="AF27" i="1" s="1"/>
  <c r="AF40" i="1" s="1"/>
  <c r="N12" i="1"/>
  <c r="O11" i="1"/>
  <c r="M13" i="1"/>
  <c r="L14" i="1"/>
  <c r="S12" i="1"/>
  <c r="K15" i="1"/>
  <c r="P14" i="1"/>
  <c r="Q13" i="1"/>
  <c r="Q25" i="1" s="1"/>
  <c r="R12" i="1"/>
  <c r="N13" i="1"/>
  <c r="O12" i="1"/>
  <c r="R13" i="1"/>
  <c r="Q14" i="1"/>
  <c r="Q26" i="1" s="1"/>
  <c r="S13" i="1"/>
  <c r="L15" i="1"/>
  <c r="M14" i="1"/>
  <c r="P15" i="1"/>
  <c r="B18" i="1"/>
  <c r="O5" i="1"/>
  <c r="O27" i="1"/>
  <c r="AV31" i="1"/>
  <c r="AA105" i="1"/>
  <c r="S8" i="1"/>
  <c r="L10" i="1"/>
  <c r="Q9" i="1"/>
  <c r="Q21" i="1" s="1"/>
  <c r="H15" i="1"/>
  <c r="N8" i="1"/>
  <c r="K11" i="1"/>
  <c r="P10" i="1"/>
  <c r="I14" i="1"/>
  <c r="R8" i="1"/>
  <c r="J13" i="1"/>
  <c r="G15" i="1"/>
  <c r="O7" i="1"/>
  <c r="M9" i="1"/>
  <c r="U15" i="1"/>
  <c r="AN15" i="1"/>
  <c r="BF15" i="1" s="1"/>
  <c r="AN46" i="1"/>
  <c r="BF30" i="1"/>
  <c r="AN92" i="1"/>
  <c r="AP91" i="1" s="1"/>
  <c r="AO91" i="1"/>
  <c r="AO94" i="1"/>
  <c r="AN95" i="1"/>
  <c r="AP94" i="1" s="1"/>
  <c r="AE66" i="1"/>
  <c r="AD74" i="1" s="1"/>
  <c r="N11" i="1"/>
  <c r="O10" i="1"/>
  <c r="R11" i="1"/>
  <c r="Q12" i="1"/>
  <c r="Q24" i="1" s="1"/>
  <c r="P13" i="1"/>
  <c r="L13" i="1"/>
  <c r="M12" i="1"/>
  <c r="K14" i="1"/>
  <c r="S11" i="1"/>
  <c r="AF65" i="1"/>
  <c r="AG65" i="1" s="1"/>
  <c r="AH65" i="1" s="1"/>
  <c r="AJ65" i="1" s="1"/>
  <c r="AO86" i="1"/>
  <c r="AN87" i="1"/>
  <c r="AP86" i="1" s="1"/>
  <c r="X69" i="1"/>
  <c r="F10" i="1"/>
  <c r="AO89" i="1"/>
  <c r="AN90" i="1"/>
  <c r="AP89" i="1" s="1"/>
  <c r="N14" i="1"/>
  <c r="Q15" i="1"/>
  <c r="Q27" i="1" s="1"/>
  <c r="O13" i="1"/>
  <c r="R14" i="1"/>
  <c r="S14" i="1"/>
  <c r="M15" i="1"/>
  <c r="X64" i="1"/>
  <c r="F5" i="1"/>
  <c r="X61" i="1"/>
  <c r="F14" i="1"/>
  <c r="H4" i="1"/>
  <c r="B20" i="1"/>
  <c r="G4" i="1"/>
  <c r="M7" i="1"/>
  <c r="Q7" i="1"/>
  <c r="Q19" i="1" s="1"/>
  <c r="AD69" i="1"/>
  <c r="AA69" i="1"/>
  <c r="AB69" i="1" s="1"/>
  <c r="AI69" i="1" s="1"/>
  <c r="AD68" i="1"/>
  <c r="U68" i="1"/>
  <c r="AO87" i="1"/>
  <c r="AN88" i="1"/>
  <c r="AP87" i="1" s="1"/>
  <c r="U65" i="1"/>
  <c r="AN91" i="1"/>
  <c r="AP90" i="1" s="1"/>
  <c r="AO90" i="1"/>
  <c r="AQ89" i="1" s="1"/>
  <c r="AR89" i="1" s="1"/>
  <c r="U62" i="1"/>
  <c r="AN93" i="1"/>
  <c r="AP92" i="1" s="1"/>
  <c r="AO92" i="1"/>
  <c r="X70" i="1"/>
  <c r="F11" i="1"/>
  <c r="K10" i="1"/>
  <c r="O6" i="1"/>
  <c r="Q8" i="1"/>
  <c r="Q20" i="1" s="1"/>
  <c r="N7" i="1"/>
  <c r="J12" i="1"/>
  <c r="I13" i="1"/>
  <c r="H14" i="1"/>
  <c r="R7" i="1"/>
  <c r="S7" i="1"/>
  <c r="L9" i="1"/>
  <c r="P9" i="1"/>
  <c r="M8" i="1"/>
  <c r="G14" i="1"/>
  <c r="BK10" i="1"/>
  <c r="AF88" i="1"/>
  <c r="AI26" i="1" s="1"/>
  <c r="AI39" i="1" s="1"/>
  <c r="X67" i="1"/>
  <c r="F8" i="1"/>
  <c r="BM10" i="1"/>
  <c r="AF95" i="1"/>
  <c r="AI33" i="1" s="1"/>
  <c r="AI46" i="1" s="1"/>
  <c r="P4" i="1"/>
  <c r="L4" i="1"/>
  <c r="G9" i="1"/>
  <c r="I8" i="1"/>
  <c r="H9" i="1"/>
  <c r="B25" i="1"/>
  <c r="K5" i="1"/>
  <c r="J7" i="1"/>
  <c r="I12" i="1"/>
  <c r="AH114" i="1"/>
  <c r="AQ114" i="1" s="1"/>
  <c r="AD114" i="1"/>
  <c r="AM114" i="1" s="1"/>
  <c r="G6" i="1"/>
  <c r="J4" i="1"/>
  <c r="I5" i="1"/>
  <c r="B22" i="1"/>
  <c r="H6" i="1"/>
  <c r="K9" i="1"/>
  <c r="X60" i="1"/>
  <c r="F13" i="1"/>
  <c r="X63" i="1"/>
  <c r="B19" i="1"/>
  <c r="S6" i="1"/>
  <c r="N6" i="1"/>
  <c r="R6" i="1"/>
  <c r="X71" i="1"/>
  <c r="F12" i="1"/>
  <c r="AD70" i="1"/>
  <c r="AA70" i="1"/>
  <c r="AB70" i="1" s="1"/>
  <c r="AI70" i="1" s="1"/>
  <c r="AE70" i="1"/>
  <c r="BK14" i="1"/>
  <c r="AF92" i="1"/>
  <c r="AI30" i="1" s="1"/>
  <c r="AI43" i="1" s="1"/>
  <c r="AO95" i="1"/>
  <c r="AN96" i="1"/>
  <c r="AP95" i="1" s="1"/>
  <c r="AQ95" i="1" s="1"/>
  <c r="AR95" i="1" s="1"/>
  <c r="O14" i="1"/>
  <c r="R15" i="1"/>
  <c r="N15" i="1"/>
  <c r="S15" i="1"/>
  <c r="AO88" i="1"/>
  <c r="AN89" i="1"/>
  <c r="AP88" i="1" s="1"/>
  <c r="X62" i="1"/>
  <c r="F15" i="1"/>
  <c r="I7" i="1"/>
  <c r="G8" i="1"/>
  <c r="K4" i="1"/>
  <c r="J6" i="1"/>
  <c r="H8" i="1"/>
  <c r="B24" i="1"/>
  <c r="J11" i="1"/>
  <c r="X66" i="1"/>
  <c r="F7" i="1"/>
  <c r="X68" i="1"/>
  <c r="F9" i="1"/>
  <c r="H5" i="1"/>
  <c r="B21" i="1"/>
  <c r="G5" i="1"/>
  <c r="I4" i="1"/>
  <c r="L8" i="1"/>
  <c r="P8" i="1"/>
  <c r="AE67" i="1"/>
  <c r="AI64" i="1"/>
  <c r="K8" i="1"/>
  <c r="H12" i="1"/>
  <c r="R5" i="1"/>
  <c r="P7" i="1"/>
  <c r="I11" i="1"/>
  <c r="N5" i="1"/>
  <c r="S5" i="1"/>
  <c r="Q6" i="1"/>
  <c r="Q18" i="1" s="1"/>
  <c r="L7" i="1"/>
  <c r="O4" i="1"/>
  <c r="B28" i="1"/>
  <c r="J10" i="1"/>
  <c r="G12" i="1"/>
  <c r="M6" i="1"/>
  <c r="AO93" i="1"/>
  <c r="AN94" i="1"/>
  <c r="AP93" i="1" s="1"/>
  <c r="AN86" i="1"/>
  <c r="AP85" i="1" s="1"/>
  <c r="AO85" i="1"/>
  <c r="AQ84" i="1" s="1"/>
  <c r="AR84" i="1" s="1"/>
  <c r="S9" i="1"/>
  <c r="I15" i="1"/>
  <c r="O8" i="1"/>
  <c r="N9" i="1"/>
  <c r="Q10" i="1"/>
  <c r="Q22" i="1" s="1"/>
  <c r="L11" i="1"/>
  <c r="R9" i="1"/>
  <c r="K12" i="1"/>
  <c r="P11" i="1"/>
  <c r="M10" i="1"/>
  <c r="J14" i="1"/>
  <c r="L5" i="1"/>
  <c r="K6" i="1"/>
  <c r="P5" i="1"/>
  <c r="G10" i="1"/>
  <c r="Q4" i="1"/>
  <c r="Q16" i="1" s="1"/>
  <c r="Q28" i="1" s="1"/>
  <c r="I9" i="1"/>
  <c r="J8" i="1"/>
  <c r="B26" i="1"/>
  <c r="H10" i="1"/>
  <c r="M4" i="1"/>
  <c r="H13" i="1"/>
  <c r="G13" i="1"/>
  <c r="M5" i="1"/>
  <c r="K7" i="1"/>
  <c r="N4" i="1"/>
  <c r="L6" i="1"/>
  <c r="G11" i="1"/>
  <c r="R4" i="1"/>
  <c r="P6" i="1"/>
  <c r="H11" i="1"/>
  <c r="J9" i="1"/>
  <c r="S4" i="1"/>
  <c r="I10" i="1"/>
  <c r="B27" i="1"/>
  <c r="Q5" i="1"/>
  <c r="Q17" i="1" s="1"/>
  <c r="AF66" i="1"/>
  <c r="AG66" i="1" s="1"/>
  <c r="AH66" i="1" s="1"/>
  <c r="AJ66" i="1" s="1"/>
  <c r="S10" i="1"/>
  <c r="O9" i="1"/>
  <c r="N10" i="1"/>
  <c r="Q11" i="1"/>
  <c r="Q23" i="1" s="1"/>
  <c r="L12" i="1"/>
  <c r="P12" i="1"/>
  <c r="J15" i="1"/>
  <c r="M11" i="1"/>
  <c r="R10" i="1"/>
  <c r="K13" i="1"/>
  <c r="BJ5" i="1"/>
  <c r="BJ11" i="1"/>
  <c r="AE84" i="1"/>
  <c r="AF22" i="1" s="1"/>
  <c r="AF35" i="1" s="1"/>
  <c r="AF47" i="1" s="1"/>
  <c r="F6" i="1"/>
  <c r="X65" i="1"/>
  <c r="I6" i="1"/>
  <c r="B23" i="1"/>
  <c r="G7" i="1"/>
  <c r="J5" i="1"/>
  <c r="H7" i="1"/>
  <c r="B20" i="2"/>
  <c r="B36" i="2" s="1"/>
  <c r="J36" i="2" s="1"/>
  <c r="J20" i="2"/>
  <c r="BL15" i="1" l="1"/>
  <c r="BL9" i="1"/>
  <c r="AE95" i="1"/>
  <c r="AF33" i="1" s="1"/>
  <c r="AF46" i="1" s="1"/>
  <c r="BN9" i="1"/>
  <c r="BN15" i="1"/>
  <c r="AE90" i="1"/>
  <c r="AF28" i="1" s="1"/>
  <c r="AF41" i="1" s="1"/>
  <c r="AD80" i="1"/>
  <c r="W25" i="1"/>
  <c r="G19" i="1"/>
  <c r="AN55" i="1"/>
  <c r="AO23" i="1" s="1"/>
  <c r="S97" i="1"/>
  <c r="N22" i="1"/>
  <c r="AC28" i="1"/>
  <c r="AR58" i="1"/>
  <c r="Z100" i="1"/>
  <c r="I21" i="1"/>
  <c r="AP25" i="1"/>
  <c r="U99" i="1"/>
  <c r="X27" i="1"/>
  <c r="S21" i="1"/>
  <c r="AS69" i="1"/>
  <c r="AS58" i="1"/>
  <c r="AR70" i="1" s="1"/>
  <c r="R22" i="1"/>
  <c r="G25" i="1"/>
  <c r="AN61" i="1"/>
  <c r="W31" i="1"/>
  <c r="S103" i="1"/>
  <c r="AS57" i="1"/>
  <c r="AR69" i="1" s="1"/>
  <c r="R21" i="1"/>
  <c r="L19" i="1"/>
  <c r="AA25" i="1"/>
  <c r="AO55" i="1"/>
  <c r="X97" i="1"/>
  <c r="H17" i="1"/>
  <c r="T107" i="1" s="1"/>
  <c r="AN65" i="1"/>
  <c r="T95" i="1"/>
  <c r="BO14" i="1"/>
  <c r="AF94" i="1"/>
  <c r="AI32" i="1" s="1"/>
  <c r="AI45" i="1" s="1"/>
  <c r="J16" i="1"/>
  <c r="AQ20" i="1"/>
  <c r="Y22" i="1"/>
  <c r="V94" i="1"/>
  <c r="H21" i="1"/>
  <c r="T111" i="1" s="1"/>
  <c r="AN69" i="1"/>
  <c r="T99" i="1"/>
  <c r="S19" i="1"/>
  <c r="AS67" i="1"/>
  <c r="AR26" i="1"/>
  <c r="K22" i="1"/>
  <c r="Z28" i="1"/>
  <c r="W100" i="1"/>
  <c r="AQ88" i="1"/>
  <c r="AR88" i="1" s="1"/>
  <c r="K26" i="1"/>
  <c r="AR30" i="1"/>
  <c r="Z32" i="1"/>
  <c r="W104" i="1"/>
  <c r="AV10" i="1"/>
  <c r="AV47" i="1"/>
  <c r="S24" i="1"/>
  <c r="AS72" i="1"/>
  <c r="M23" i="1"/>
  <c r="AB29" i="1"/>
  <c r="AQ59" i="1"/>
  <c r="Y101" i="1"/>
  <c r="AN73" i="1"/>
  <c r="T103" i="1"/>
  <c r="H25" i="1"/>
  <c r="T115" i="1" s="1"/>
  <c r="L23" i="1"/>
  <c r="AA29" i="1"/>
  <c r="AO59" i="1"/>
  <c r="X101" i="1"/>
  <c r="I20" i="1"/>
  <c r="AP24" i="1"/>
  <c r="X26" i="1"/>
  <c r="U98" i="1"/>
  <c r="R19" i="1"/>
  <c r="AS55" i="1"/>
  <c r="V29" i="1"/>
  <c r="F23" i="1"/>
  <c r="V42" i="1" s="1"/>
  <c r="AQ55" i="1"/>
  <c r="AB25" i="1"/>
  <c r="Y97" i="1"/>
  <c r="M19" i="1"/>
  <c r="M27" i="1"/>
  <c r="AB33" i="1"/>
  <c r="AQ63" i="1"/>
  <c r="Y105" i="1"/>
  <c r="F22" i="1"/>
  <c r="V41" i="1" s="1"/>
  <c r="V28" i="1"/>
  <c r="AB30" i="1"/>
  <c r="AQ60" i="1"/>
  <c r="Y102" i="1"/>
  <c r="M24" i="1"/>
  <c r="M21" i="1"/>
  <c r="AB27" i="1"/>
  <c r="AQ57" i="1"/>
  <c r="Y99" i="1"/>
  <c r="N20" i="1"/>
  <c r="AR56" i="1"/>
  <c r="AC26" i="1"/>
  <c r="Z98" i="1"/>
  <c r="AD46" i="1"/>
  <c r="AA117" i="1"/>
  <c r="R25" i="1"/>
  <c r="AS61" i="1"/>
  <c r="AA32" i="1"/>
  <c r="L26" i="1"/>
  <c r="X104" i="1"/>
  <c r="AO62" i="1"/>
  <c r="BP9" i="1"/>
  <c r="BP15" i="1"/>
  <c r="AE85" i="1"/>
  <c r="AF23" i="1" s="1"/>
  <c r="AF36" i="1" s="1"/>
  <c r="F18" i="1"/>
  <c r="V37" i="1" s="1"/>
  <c r="V24" i="1"/>
  <c r="AQ31" i="1"/>
  <c r="Y33" i="1"/>
  <c r="V105" i="1"/>
  <c r="J27" i="1"/>
  <c r="R16" i="1"/>
  <c r="R28" i="1" s="1"/>
  <c r="AS52" i="1"/>
  <c r="M16" i="1"/>
  <c r="AQ52" i="1"/>
  <c r="AB22" i="1"/>
  <c r="Y94" i="1"/>
  <c r="Z24" i="1"/>
  <c r="K18" i="1"/>
  <c r="AR22" i="1"/>
  <c r="W96" i="1"/>
  <c r="AQ92" i="1"/>
  <c r="AR92" i="1" s="1"/>
  <c r="S17" i="1"/>
  <c r="AS65" i="1"/>
  <c r="BQ10" i="1"/>
  <c r="AF85" i="1"/>
  <c r="AI23" i="1" s="1"/>
  <c r="AI36" i="1" s="1"/>
  <c r="G20" i="1"/>
  <c r="W26" i="1"/>
  <c r="AN56" i="1"/>
  <c r="S98" i="1"/>
  <c r="R27" i="1"/>
  <c r="AS63" i="1"/>
  <c r="AF70" i="1"/>
  <c r="AG70" i="1" s="1"/>
  <c r="AH70" i="1" s="1"/>
  <c r="AJ70" i="1"/>
  <c r="V31" i="1"/>
  <c r="F25" i="1"/>
  <c r="V44" i="1" s="1"/>
  <c r="G21" i="1"/>
  <c r="W27" i="1"/>
  <c r="AN57" i="1"/>
  <c r="AO25" i="1" s="1"/>
  <c r="S99" i="1"/>
  <c r="H26" i="1"/>
  <c r="T116" i="1" s="1"/>
  <c r="AN74" i="1"/>
  <c r="T104" i="1"/>
  <c r="AQ86" i="1"/>
  <c r="AR86" i="1" s="1"/>
  <c r="W22" i="1"/>
  <c r="G16" i="1"/>
  <c r="AN52" i="1"/>
  <c r="AO20" i="1" s="1"/>
  <c r="S94" i="1"/>
  <c r="S26" i="1"/>
  <c r="AS74" i="1"/>
  <c r="L25" i="1"/>
  <c r="AA31" i="1"/>
  <c r="AO61" i="1"/>
  <c r="X103" i="1"/>
  <c r="AQ93" i="1"/>
  <c r="AR93" i="1" s="1"/>
  <c r="AD25" i="1"/>
  <c r="AV23" i="1"/>
  <c r="O19" i="1"/>
  <c r="AA97" i="1"/>
  <c r="H27" i="1"/>
  <c r="T117" i="1" s="1"/>
  <c r="AN75" i="1"/>
  <c r="T105" i="1"/>
  <c r="O17" i="1"/>
  <c r="AA95" i="1"/>
  <c r="AV21" i="1"/>
  <c r="AD23" i="1"/>
  <c r="AD30" i="1"/>
  <c r="O24" i="1"/>
  <c r="AV28" i="1"/>
  <c r="AA102" i="1"/>
  <c r="M25" i="1"/>
  <c r="AB31" i="1"/>
  <c r="AQ61" i="1"/>
  <c r="Y103" i="1"/>
  <c r="AF90" i="1"/>
  <c r="AI28" i="1" s="1"/>
  <c r="AI41" i="1" s="1"/>
  <c r="BO10" i="1"/>
  <c r="K23" i="1"/>
  <c r="Z29" i="1"/>
  <c r="AR27" i="1"/>
  <c r="W101" i="1"/>
  <c r="P18" i="1"/>
  <c r="AP66" i="1"/>
  <c r="P17" i="1"/>
  <c r="AP65" i="1"/>
  <c r="V27" i="1"/>
  <c r="F21" i="1"/>
  <c r="V40" i="1" s="1"/>
  <c r="K16" i="1"/>
  <c r="Z22" i="1"/>
  <c r="W94" i="1"/>
  <c r="AR20" i="1"/>
  <c r="AC33" i="1"/>
  <c r="Z105" i="1"/>
  <c r="N27" i="1"/>
  <c r="AR63" i="1"/>
  <c r="G18" i="1"/>
  <c r="W24" i="1"/>
  <c r="AN54" i="1"/>
  <c r="AO22" i="1" s="1"/>
  <c r="S96" i="1"/>
  <c r="P24" i="1"/>
  <c r="AP72" i="1"/>
  <c r="G23" i="1"/>
  <c r="AN59" i="1"/>
  <c r="W29" i="1"/>
  <c r="S101" i="1"/>
  <c r="H22" i="1"/>
  <c r="T112" i="1" s="1"/>
  <c r="AN70" i="1"/>
  <c r="T100" i="1"/>
  <c r="AA23" i="1"/>
  <c r="L17" i="1"/>
  <c r="AO53" i="1"/>
  <c r="X95" i="1"/>
  <c r="AC27" i="1"/>
  <c r="N21" i="1"/>
  <c r="AR57" i="1"/>
  <c r="Z99" i="1"/>
  <c r="M18" i="1"/>
  <c r="AQ54" i="1"/>
  <c r="Y96" i="1"/>
  <c r="AB24" i="1"/>
  <c r="N17" i="1"/>
  <c r="AC23" i="1"/>
  <c r="Z95" i="1"/>
  <c r="AR53" i="1"/>
  <c r="P20" i="1"/>
  <c r="AP68" i="1"/>
  <c r="F19" i="1"/>
  <c r="V38" i="1" s="1"/>
  <c r="V25" i="1"/>
  <c r="I19" i="1"/>
  <c r="AP23" i="1"/>
  <c r="U97" i="1"/>
  <c r="X25" i="1"/>
  <c r="O26" i="1"/>
  <c r="AV30" i="1"/>
  <c r="AD32" i="1"/>
  <c r="AA104" i="1"/>
  <c r="V30" i="1"/>
  <c r="F24" i="1"/>
  <c r="V43" i="1" s="1"/>
  <c r="AA22" i="1"/>
  <c r="L16" i="1"/>
  <c r="X94" i="1"/>
  <c r="AO52" i="1"/>
  <c r="I25" i="1"/>
  <c r="X31" i="1"/>
  <c r="U103" i="1"/>
  <c r="AP29" i="1"/>
  <c r="AQ91" i="1"/>
  <c r="AR91" i="1" s="1"/>
  <c r="R26" i="1"/>
  <c r="AS62" i="1"/>
  <c r="AR74" i="1" s="1"/>
  <c r="AP73" i="1"/>
  <c r="P25" i="1"/>
  <c r="AQ90" i="1"/>
  <c r="AR90" i="1" s="1"/>
  <c r="G27" i="1"/>
  <c r="S105" i="1"/>
  <c r="W33" i="1"/>
  <c r="AN63" i="1"/>
  <c r="AO31" i="1" s="1"/>
  <c r="N25" i="1"/>
  <c r="AC31" i="1"/>
  <c r="AR61" i="1"/>
  <c r="Z103" i="1"/>
  <c r="AD29" i="1"/>
  <c r="O23" i="1"/>
  <c r="AV27" i="1"/>
  <c r="AA101" i="1"/>
  <c r="K19" i="1"/>
  <c r="Z25" i="1"/>
  <c r="AR23" i="1"/>
  <c r="W97" i="1"/>
  <c r="X24" i="1"/>
  <c r="AP22" i="1"/>
  <c r="I18" i="1"/>
  <c r="U96" i="1"/>
  <c r="S22" i="1"/>
  <c r="AS70" i="1"/>
  <c r="AN71" i="1"/>
  <c r="T101" i="1"/>
  <c r="H23" i="1"/>
  <c r="T113" i="1" s="1"/>
  <c r="G22" i="1"/>
  <c r="AN58" i="1"/>
  <c r="AO26" i="1" s="1"/>
  <c r="W28" i="1"/>
  <c r="S100" i="1"/>
  <c r="K20" i="1"/>
  <c r="AR24" i="1"/>
  <c r="Z26" i="1"/>
  <c r="W98" i="1"/>
  <c r="AQ22" i="1"/>
  <c r="J18" i="1"/>
  <c r="Y24" i="1"/>
  <c r="V96" i="1"/>
  <c r="AS75" i="1"/>
  <c r="S27" i="1"/>
  <c r="H19" i="1"/>
  <c r="T109" i="1" s="1"/>
  <c r="AN67" i="1"/>
  <c r="T97" i="1"/>
  <c r="L24" i="1"/>
  <c r="AA30" i="1"/>
  <c r="AO60" i="1"/>
  <c r="X102" i="1"/>
  <c r="L18" i="1"/>
  <c r="AA24" i="1"/>
  <c r="X96" i="1"/>
  <c r="AO54" i="1"/>
  <c r="J26" i="1"/>
  <c r="AQ30" i="1"/>
  <c r="Y32" i="1"/>
  <c r="V104" i="1"/>
  <c r="O20" i="1"/>
  <c r="AD26" i="1"/>
  <c r="AV24" i="1"/>
  <c r="AA98" i="1"/>
  <c r="G24" i="1"/>
  <c r="W30" i="1"/>
  <c r="S102" i="1"/>
  <c r="AN60" i="1"/>
  <c r="I23" i="1"/>
  <c r="X29" i="1"/>
  <c r="AP27" i="1"/>
  <c r="U101" i="1"/>
  <c r="AA26" i="1"/>
  <c r="L20" i="1"/>
  <c r="X98" i="1"/>
  <c r="AO56" i="1"/>
  <c r="F27" i="1"/>
  <c r="V46" i="1" s="1"/>
  <c r="V33" i="1"/>
  <c r="K21" i="1"/>
  <c r="Z27" i="1"/>
  <c r="AR25" i="1"/>
  <c r="W99" i="1"/>
  <c r="I24" i="1"/>
  <c r="X30" i="1"/>
  <c r="AP28" i="1"/>
  <c r="U102" i="1"/>
  <c r="P16" i="1"/>
  <c r="P28" i="1" s="1"/>
  <c r="AP64" i="1"/>
  <c r="G26" i="1"/>
  <c r="W32" i="1"/>
  <c r="S104" i="1"/>
  <c r="AN62" i="1"/>
  <c r="AO30" i="1" s="1"/>
  <c r="AQ28" i="1"/>
  <c r="Y30" i="1"/>
  <c r="J24" i="1"/>
  <c r="V102" i="1"/>
  <c r="AJ68" i="1"/>
  <c r="AF68" i="1"/>
  <c r="AG68" i="1" s="1"/>
  <c r="AH68" i="1" s="1"/>
  <c r="H16" i="1"/>
  <c r="AN64" i="1"/>
  <c r="T94" i="1"/>
  <c r="O25" i="1"/>
  <c r="AV29" i="1"/>
  <c r="AA103" i="1"/>
  <c r="AD31" i="1"/>
  <c r="AQ85" i="1"/>
  <c r="AR85" i="1" s="1"/>
  <c r="AQ29" i="1"/>
  <c r="J25" i="1"/>
  <c r="Y31" i="1"/>
  <c r="V103" i="1"/>
  <c r="X100" i="1"/>
  <c r="L22" i="1"/>
  <c r="AO58" i="1"/>
  <c r="AA28" i="1"/>
  <c r="P27" i="1"/>
  <c r="AP75" i="1"/>
  <c r="R24" i="1"/>
  <c r="AS60" i="1"/>
  <c r="N24" i="1"/>
  <c r="AC30" i="1"/>
  <c r="AR60" i="1"/>
  <c r="Z102" i="1"/>
  <c r="J17" i="1"/>
  <c r="AQ21" i="1"/>
  <c r="V95" i="1"/>
  <c r="Y23" i="1"/>
  <c r="I22" i="1"/>
  <c r="X28" i="1"/>
  <c r="AP26" i="1"/>
  <c r="U100" i="1"/>
  <c r="AC22" i="1"/>
  <c r="N16" i="1"/>
  <c r="AR52" i="1"/>
  <c r="Z94" i="1"/>
  <c r="J20" i="1"/>
  <c r="Y26" i="1"/>
  <c r="AQ24" i="1"/>
  <c r="V98" i="1"/>
  <c r="M22" i="1"/>
  <c r="AB28" i="1"/>
  <c r="AQ58" i="1"/>
  <c r="Y100" i="1"/>
  <c r="I27" i="1"/>
  <c r="X33" i="1"/>
  <c r="AP31" i="1"/>
  <c r="U105" i="1"/>
  <c r="Y28" i="1"/>
  <c r="AQ26" i="1"/>
  <c r="J22" i="1"/>
  <c r="V100" i="1"/>
  <c r="P19" i="1"/>
  <c r="AP67" i="1"/>
  <c r="AP20" i="1"/>
  <c r="I16" i="1"/>
  <c r="X22" i="1"/>
  <c r="U94" i="1"/>
  <c r="AQ27" i="1"/>
  <c r="Y29" i="1"/>
  <c r="J23" i="1"/>
  <c r="V101" i="1"/>
  <c r="AQ94" i="1"/>
  <c r="AR94" i="1" s="1"/>
  <c r="AS54" i="1"/>
  <c r="AR66" i="1" s="1"/>
  <c r="R18" i="1"/>
  <c r="H18" i="1"/>
  <c r="T108" i="1" s="1"/>
  <c r="T96" i="1"/>
  <c r="AN66" i="1"/>
  <c r="J19" i="1"/>
  <c r="Y25" i="1"/>
  <c r="AQ23" i="1"/>
  <c r="V97" i="1"/>
  <c r="AB26" i="1"/>
  <c r="M20" i="1"/>
  <c r="AQ56" i="1"/>
  <c r="Y98" i="1"/>
  <c r="N19" i="1"/>
  <c r="AC25" i="1"/>
  <c r="Z97" i="1"/>
  <c r="AR55" i="1"/>
  <c r="AE69" i="1"/>
  <c r="F26" i="1"/>
  <c r="V45" i="1" s="1"/>
  <c r="V32" i="1"/>
  <c r="R23" i="1"/>
  <c r="AS59" i="1"/>
  <c r="R20" i="1"/>
  <c r="AS56" i="1"/>
  <c r="AR68" i="1" s="1"/>
  <c r="S20" i="1"/>
  <c r="AS68" i="1"/>
  <c r="M26" i="1"/>
  <c r="AB32" i="1"/>
  <c r="AQ62" i="1"/>
  <c r="Y104" i="1"/>
  <c r="S16" i="1"/>
  <c r="S28" i="1" s="1"/>
  <c r="AS64" i="1"/>
  <c r="P23" i="1"/>
  <c r="AP71" i="1"/>
  <c r="R17" i="1"/>
  <c r="AS53" i="1"/>
  <c r="AR65" i="1" s="1"/>
  <c r="G17" i="1"/>
  <c r="W23" i="1"/>
  <c r="AN53" i="1"/>
  <c r="AO21" i="1" s="1"/>
  <c r="S95" i="1"/>
  <c r="N18" i="1"/>
  <c r="AC24" i="1"/>
  <c r="AR54" i="1"/>
  <c r="Z96" i="1"/>
  <c r="K17" i="1"/>
  <c r="AR21" i="1"/>
  <c r="Z23" i="1"/>
  <c r="W95" i="1"/>
  <c r="P21" i="1"/>
  <c r="AP69" i="1"/>
  <c r="AR62" i="1"/>
  <c r="AC32" i="1"/>
  <c r="N26" i="1"/>
  <c r="Z104" i="1"/>
  <c r="AV26" i="1"/>
  <c r="O22" i="1"/>
  <c r="AD28" i="1"/>
  <c r="AA100" i="1"/>
  <c r="X32" i="1"/>
  <c r="AP30" i="1"/>
  <c r="U104" i="1"/>
  <c r="I26" i="1"/>
  <c r="L27" i="1"/>
  <c r="AO63" i="1"/>
  <c r="AA33" i="1"/>
  <c r="X105" i="1"/>
  <c r="P26" i="1"/>
  <c r="AP74" i="1"/>
  <c r="AR29" i="1"/>
  <c r="K25" i="1"/>
  <c r="W103" i="1"/>
  <c r="Z31" i="1"/>
  <c r="O21" i="1"/>
  <c r="AV25" i="1"/>
  <c r="AD27" i="1"/>
  <c r="AA99" i="1"/>
  <c r="AQ25" i="1"/>
  <c r="Y27" i="1"/>
  <c r="J21" i="1"/>
  <c r="V99" i="1"/>
  <c r="AB23" i="1"/>
  <c r="M17" i="1"/>
  <c r="AQ53" i="1"/>
  <c r="Y95" i="1"/>
  <c r="Z30" i="1"/>
  <c r="K24" i="1"/>
  <c r="AR28" i="1"/>
  <c r="W102" i="1"/>
  <c r="O16" i="1"/>
  <c r="AD22" i="1"/>
  <c r="AV20" i="1"/>
  <c r="AA94" i="1"/>
  <c r="H24" i="1"/>
  <c r="T114" i="1" s="1"/>
  <c r="AN72" i="1"/>
  <c r="T102" i="1"/>
  <c r="H20" i="1"/>
  <c r="T110" i="1" s="1"/>
  <c r="T98" i="1"/>
  <c r="AN68" i="1"/>
  <c r="AQ87" i="1"/>
  <c r="AR87" i="1" s="1"/>
  <c r="S18" i="1"/>
  <c r="AS66" i="1"/>
  <c r="X23" i="1"/>
  <c r="AP21" i="1"/>
  <c r="I17" i="1"/>
  <c r="U95" i="1"/>
  <c r="V26" i="1"/>
  <c r="F20" i="1"/>
  <c r="V39" i="1" s="1"/>
  <c r="AA27" i="1"/>
  <c r="AO57" i="1"/>
  <c r="X99" i="1"/>
  <c r="L21" i="1"/>
  <c r="O18" i="1"/>
  <c r="AD24" i="1"/>
  <c r="AV22" i="1"/>
  <c r="AA96" i="1"/>
  <c r="AF69" i="1"/>
  <c r="AG69" i="1" s="1"/>
  <c r="AH69" i="1" s="1"/>
  <c r="AJ69" i="1"/>
  <c r="F17" i="1"/>
  <c r="V36" i="1" s="1"/>
  <c r="V23" i="1"/>
  <c r="S23" i="1"/>
  <c r="AS71" i="1"/>
  <c r="AR59" i="1"/>
  <c r="AC29" i="1"/>
  <c r="N23" i="1"/>
  <c r="Z101" i="1"/>
  <c r="P22" i="1"/>
  <c r="AP70" i="1"/>
  <c r="AD33" i="1"/>
  <c r="S25" i="1"/>
  <c r="AS73" i="1"/>
  <c r="K27" i="1"/>
  <c r="AR31" i="1"/>
  <c r="Z33" i="1"/>
  <c r="W105" i="1"/>
  <c r="Z38" i="1" l="1"/>
  <c r="W109" i="1"/>
  <c r="Y35" i="1"/>
  <c r="J28" i="1"/>
  <c r="V106" i="1"/>
  <c r="BL13" i="1"/>
  <c r="BL7" i="1"/>
  <c r="AE87" i="1"/>
  <c r="AF25" i="1" s="1"/>
  <c r="AF38" i="1" s="1"/>
  <c r="AR13" i="1"/>
  <c r="AR44" i="1"/>
  <c r="Y40" i="1"/>
  <c r="V111" i="1"/>
  <c r="AA46" i="1"/>
  <c r="X117" i="1"/>
  <c r="AV11" i="1"/>
  <c r="AV42" i="1"/>
  <c r="AQ39" i="1"/>
  <c r="AQ14" i="1"/>
  <c r="AP5" i="1"/>
  <c r="AP36" i="1"/>
  <c r="AP10" i="1"/>
  <c r="AP47" i="1"/>
  <c r="AQ9" i="1"/>
  <c r="AQ40" i="1"/>
  <c r="AP11" i="1"/>
  <c r="AP42" i="1"/>
  <c r="AU28" i="1"/>
  <c r="BJ7" i="1"/>
  <c r="BJ13" i="1"/>
  <c r="AE92" i="1"/>
  <c r="AF30" i="1" s="1"/>
  <c r="AF43" i="1" s="1"/>
  <c r="AD78" i="1"/>
  <c r="S116" i="1"/>
  <c r="W45" i="1"/>
  <c r="AR16" i="1"/>
  <c r="AR41" i="1"/>
  <c r="AA39" i="1"/>
  <c r="X110" i="1"/>
  <c r="AQ15" i="1"/>
  <c r="AP62" i="1"/>
  <c r="AQ46" i="1"/>
  <c r="AO10" i="1"/>
  <c r="AO47" i="1"/>
  <c r="AQ66" i="1"/>
  <c r="AT22" i="1" s="1"/>
  <c r="L28" i="1"/>
  <c r="AA35" i="1"/>
  <c r="X106" i="1"/>
  <c r="AU21" i="1"/>
  <c r="AA44" i="1"/>
  <c r="X115" i="1"/>
  <c r="S110" i="1"/>
  <c r="W39" i="1"/>
  <c r="Z37" i="1"/>
  <c r="W108" i="1"/>
  <c r="Y46" i="1"/>
  <c r="V117" i="1"/>
  <c r="AB40" i="1"/>
  <c r="Y111" i="1"/>
  <c r="AR15" i="1"/>
  <c r="AR46" i="1"/>
  <c r="AA38" i="1"/>
  <c r="X109" i="1"/>
  <c r="AU26" i="1"/>
  <c r="AR47" i="1"/>
  <c r="AR10" i="1"/>
  <c r="AC42" i="1"/>
  <c r="Z113" i="1"/>
  <c r="Z43" i="1"/>
  <c r="W114" i="1"/>
  <c r="Z44" i="1"/>
  <c r="W115" i="1"/>
  <c r="X45" i="1"/>
  <c r="U116" i="1"/>
  <c r="AO37" i="1"/>
  <c r="AO12" i="1"/>
  <c r="AQ68" i="1"/>
  <c r="AT24" i="1" s="1"/>
  <c r="AA41" i="1"/>
  <c r="X112" i="1"/>
  <c r="W43" i="1"/>
  <c r="S114" i="1"/>
  <c r="Y45" i="1"/>
  <c r="V116" i="1"/>
  <c r="X114" i="1"/>
  <c r="AA43" i="1"/>
  <c r="Y37" i="1"/>
  <c r="V108" i="1"/>
  <c r="AO11" i="1"/>
  <c r="AO42" i="1"/>
  <c r="AQ73" i="1"/>
  <c r="AT29" i="1" s="1"/>
  <c r="X37" i="1"/>
  <c r="U108" i="1"/>
  <c r="AV6" i="1"/>
  <c r="AV43" i="1"/>
  <c r="AU25" i="1"/>
  <c r="AR5" i="1"/>
  <c r="AR36" i="1"/>
  <c r="AR48" i="1" s="1"/>
  <c r="AD38" i="1"/>
  <c r="AA109" i="1"/>
  <c r="BN7" i="1"/>
  <c r="BN13" i="1"/>
  <c r="AE94" i="1"/>
  <c r="AF32" i="1" s="1"/>
  <c r="AF45" i="1" s="1"/>
  <c r="AB43" i="1"/>
  <c r="Y114" i="1"/>
  <c r="AR67" i="1"/>
  <c r="AU23" i="1" s="1"/>
  <c r="AB42" i="1"/>
  <c r="Y113" i="1"/>
  <c r="Z45" i="1"/>
  <c r="W116" i="1"/>
  <c r="AD41" i="1"/>
  <c r="AA112" i="1"/>
  <c r="Y108" i="1"/>
  <c r="AB37" i="1"/>
  <c r="AV5" i="1"/>
  <c r="AV36" i="1"/>
  <c r="AV48" i="1" s="1"/>
  <c r="AQ16" i="1"/>
  <c r="AQ41" i="1"/>
  <c r="AP57" i="1"/>
  <c r="AC45" i="1"/>
  <c r="Z116" i="1"/>
  <c r="AR12" i="1"/>
  <c r="AR37" i="1"/>
  <c r="AR71" i="1"/>
  <c r="AC38" i="1"/>
  <c r="Z109" i="1"/>
  <c r="Y38" i="1"/>
  <c r="V109" i="1"/>
  <c r="V113" i="1"/>
  <c r="Y42" i="1"/>
  <c r="U117" i="1"/>
  <c r="X46" i="1"/>
  <c r="Y39" i="1"/>
  <c r="V110" i="1"/>
  <c r="X41" i="1"/>
  <c r="U112" i="1"/>
  <c r="AC43" i="1"/>
  <c r="Z114" i="1"/>
  <c r="AV45" i="1"/>
  <c r="AV8" i="1"/>
  <c r="Y43" i="1"/>
  <c r="V114" i="1"/>
  <c r="W111" i="1"/>
  <c r="Z40" i="1"/>
  <c r="AQ7" i="1"/>
  <c r="AQ38" i="1"/>
  <c r="W41" i="1"/>
  <c r="S112" i="1"/>
  <c r="AP7" i="1"/>
  <c r="AP38" i="1"/>
  <c r="AD42" i="1"/>
  <c r="AA113" i="1"/>
  <c r="AP45" i="1"/>
  <c r="AX29" i="1" s="1"/>
  <c r="AP8" i="1"/>
  <c r="AP14" i="1"/>
  <c r="AP39" i="1"/>
  <c r="AC40" i="1"/>
  <c r="Z111" i="1"/>
  <c r="AO7" i="1"/>
  <c r="AO38" i="1"/>
  <c r="AQ69" i="1"/>
  <c r="AT25" i="1" s="1"/>
  <c r="AV12" i="1"/>
  <c r="AV37" i="1"/>
  <c r="AV14" i="1"/>
  <c r="AV39" i="1"/>
  <c r="AB46" i="1"/>
  <c r="Y117" i="1"/>
  <c r="AA42" i="1"/>
  <c r="X113" i="1"/>
  <c r="AC41" i="1"/>
  <c r="Z112" i="1"/>
  <c r="AU27" i="1"/>
  <c r="AV7" i="1"/>
  <c r="AV38" i="1"/>
  <c r="AO74" i="1"/>
  <c r="AS30" i="1" s="1"/>
  <c r="AP46" i="1"/>
  <c r="AP15" i="1"/>
  <c r="Z36" i="1"/>
  <c r="W107" i="1"/>
  <c r="W36" i="1"/>
  <c r="S107" i="1"/>
  <c r="AR72" i="1"/>
  <c r="AD44" i="1"/>
  <c r="AA115" i="1"/>
  <c r="AP43" i="1"/>
  <c r="AP6" i="1"/>
  <c r="AV9" i="1"/>
  <c r="AV40" i="1"/>
  <c r="S117" i="1"/>
  <c r="W46" i="1"/>
  <c r="U109" i="1"/>
  <c r="X38" i="1"/>
  <c r="AC36" i="1"/>
  <c r="Z107" i="1"/>
  <c r="AR75" i="1"/>
  <c r="AQ10" i="1"/>
  <c r="AQ47" i="1"/>
  <c r="AA45" i="1"/>
  <c r="X116" i="1"/>
  <c r="AU24" i="1"/>
  <c r="Y109" i="1"/>
  <c r="AB38" i="1"/>
  <c r="AD79" i="1"/>
  <c r="AD45" i="1"/>
  <c r="AA116" i="1"/>
  <c r="AO72" i="1"/>
  <c r="AS28" i="1" s="1"/>
  <c r="AD43" i="1"/>
  <c r="AA114" i="1"/>
  <c r="Z46" i="1"/>
  <c r="W117" i="1"/>
  <c r="AR8" i="1"/>
  <c r="AR45" i="1"/>
  <c r="AQ6" i="1"/>
  <c r="AQ43" i="1"/>
  <c r="AP59" i="1"/>
  <c r="AO71" i="1" s="1"/>
  <c r="AS27" i="1" s="1"/>
  <c r="AQ13" i="1"/>
  <c r="AP60" i="1"/>
  <c r="AQ44" i="1"/>
  <c r="AP13" i="1"/>
  <c r="AP44" i="1"/>
  <c r="AX28" i="1" s="1"/>
  <c r="AS90" i="1"/>
  <c r="S108" i="1"/>
  <c r="W37" i="1"/>
  <c r="K28" i="1"/>
  <c r="Z35" i="1"/>
  <c r="W106" i="1"/>
  <c r="AR6" i="1"/>
  <c r="AR43" i="1"/>
  <c r="AB44" i="1"/>
  <c r="Y115" i="1"/>
  <c r="AD36" i="1"/>
  <c r="AA107" i="1"/>
  <c r="AO5" i="1"/>
  <c r="AO36" i="1"/>
  <c r="AQ67" i="1"/>
  <c r="AT23" i="1" s="1"/>
  <c r="AQ72" i="1"/>
  <c r="AT28" i="1" s="1"/>
  <c r="AO41" i="1"/>
  <c r="AO16" i="1"/>
  <c r="AC39" i="1"/>
  <c r="Z110" i="1"/>
  <c r="AO14" i="1"/>
  <c r="AQ70" i="1"/>
  <c r="AT26" i="1" s="1"/>
  <c r="AO39" i="1"/>
  <c r="AD37" i="1"/>
  <c r="AA108" i="1"/>
  <c r="X36" i="1"/>
  <c r="U107" i="1"/>
  <c r="AB36" i="1"/>
  <c r="Y107" i="1"/>
  <c r="AV41" i="1"/>
  <c r="AV16" i="1"/>
  <c r="AU22" i="1"/>
  <c r="Y116" i="1"/>
  <c r="AB45" i="1"/>
  <c r="Y110" i="1"/>
  <c r="AB39" i="1"/>
  <c r="AQ11" i="1"/>
  <c r="AQ42" i="1"/>
  <c r="AP58" i="1"/>
  <c r="AC35" i="1"/>
  <c r="N28" i="1"/>
  <c r="Z106" i="1"/>
  <c r="AQ12" i="1"/>
  <c r="AQ37" i="1"/>
  <c r="AP53" i="1"/>
  <c r="AO65" i="1" s="1"/>
  <c r="AS21" i="1" s="1"/>
  <c r="Y44" i="1"/>
  <c r="V115" i="1"/>
  <c r="AO15" i="1"/>
  <c r="AO46" i="1"/>
  <c r="AQ65" i="1"/>
  <c r="AT21" i="1" s="1"/>
  <c r="X42" i="1"/>
  <c r="U113" i="1"/>
  <c r="AA110" i="1"/>
  <c r="AD39" i="1"/>
  <c r="AA37" i="1"/>
  <c r="X108" i="1"/>
  <c r="AR9" i="1"/>
  <c r="AR40" i="1"/>
  <c r="AR14" i="1"/>
  <c r="AR39" i="1"/>
  <c r="X44" i="1"/>
  <c r="U115" i="1"/>
  <c r="AO27" i="1"/>
  <c r="AP54" i="1" s="1"/>
  <c r="AO66" i="1" s="1"/>
  <c r="AS22" i="1" s="1"/>
  <c r="AU31" i="1"/>
  <c r="G28" i="1"/>
  <c r="W35" i="1"/>
  <c r="S106" i="1"/>
  <c r="M28" i="1"/>
  <c r="AB35" i="1"/>
  <c r="Y106" i="1"/>
  <c r="AR73" i="1"/>
  <c r="AU29" i="1" s="1"/>
  <c r="AP9" i="1"/>
  <c r="AP40" i="1"/>
  <c r="W112" i="1"/>
  <c r="Z41" i="1"/>
  <c r="AO29" i="1"/>
  <c r="AP16" i="1"/>
  <c r="AP41" i="1"/>
  <c r="W38" i="1"/>
  <c r="S109" i="1"/>
  <c r="AC37" i="1"/>
  <c r="Z108" i="1"/>
  <c r="I28" i="1"/>
  <c r="U106" i="1"/>
  <c r="X35" i="1"/>
  <c r="Z115" i="1"/>
  <c r="AC44" i="1"/>
  <c r="AR7" i="1"/>
  <c r="AR38" i="1"/>
  <c r="O28" i="1"/>
  <c r="AD35" i="1"/>
  <c r="AA106" i="1"/>
  <c r="AU30" i="1"/>
  <c r="Y41" i="1"/>
  <c r="V112" i="1"/>
  <c r="AO70" i="1"/>
  <c r="AS26" i="1" s="1"/>
  <c r="AA40" i="1"/>
  <c r="X111" i="1"/>
  <c r="AP12" i="1"/>
  <c r="AP37" i="1"/>
  <c r="AX21" i="1" s="1"/>
  <c r="AR97" i="1"/>
  <c r="AS86" i="1" s="1"/>
  <c r="AD40" i="1"/>
  <c r="AA111" i="1"/>
  <c r="AO69" i="1"/>
  <c r="AS25" i="1" s="1"/>
  <c r="BM14" i="1"/>
  <c r="AF87" i="1"/>
  <c r="AI25" i="1" s="1"/>
  <c r="AI38" i="1" s="1"/>
  <c r="AD75" i="1"/>
  <c r="Y112" i="1"/>
  <c r="AB41" i="1"/>
  <c r="Y36" i="1"/>
  <c r="V107" i="1"/>
  <c r="AQ8" i="1"/>
  <c r="AQ45" i="1"/>
  <c r="AP61" i="1"/>
  <c r="H28" i="1"/>
  <c r="T118" i="1" s="1"/>
  <c r="T106" i="1"/>
  <c r="X43" i="1"/>
  <c r="U114" i="1"/>
  <c r="AO28" i="1"/>
  <c r="Z39" i="1"/>
  <c r="W110" i="1"/>
  <c r="AO73" i="1"/>
  <c r="AS29" i="1" s="1"/>
  <c r="AV15" i="1"/>
  <c r="AV46" i="1"/>
  <c r="AA36" i="1"/>
  <c r="X107" i="1"/>
  <c r="W42" i="1"/>
  <c r="S113" i="1"/>
  <c r="Z117" i="1"/>
  <c r="AC46" i="1"/>
  <c r="W113" i="1"/>
  <c r="Z42" i="1"/>
  <c r="AV13" i="1"/>
  <c r="AV44" i="1"/>
  <c r="W40" i="1"/>
  <c r="S111" i="1"/>
  <c r="AO24" i="1"/>
  <c r="AP63" i="1" s="1"/>
  <c r="AO75" i="1" s="1"/>
  <c r="AS31" i="1" s="1"/>
  <c r="AR64" i="1"/>
  <c r="AU20" i="1" s="1"/>
  <c r="X39" i="1"/>
  <c r="U110" i="1"/>
  <c r="AR11" i="1"/>
  <c r="AR42" i="1"/>
  <c r="AQ5" i="1"/>
  <c r="AP52" i="1"/>
  <c r="AO64" i="1" s="1"/>
  <c r="AS20" i="1" s="1"/>
  <c r="AQ36" i="1"/>
  <c r="AQ48" i="1" s="1"/>
  <c r="W44" i="1"/>
  <c r="S115" i="1"/>
  <c r="X40" i="1"/>
  <c r="U111" i="1"/>
  <c r="AU5" i="1" l="1"/>
  <c r="AU36" i="1"/>
  <c r="AU48" i="1" s="1"/>
  <c r="AS10" i="1"/>
  <c r="AS47" i="1"/>
  <c r="AS5" i="1"/>
  <c r="AS36" i="1"/>
  <c r="AS48" i="1" s="1"/>
  <c r="AU8" i="1"/>
  <c r="AU45" i="1"/>
  <c r="BA29" i="1" s="1"/>
  <c r="AS7" i="1"/>
  <c r="AS38" i="1"/>
  <c r="AU14" i="1"/>
  <c r="AU39" i="1"/>
  <c r="AT86" i="1"/>
  <c r="AU86" i="1" s="1"/>
  <c r="AH86" i="1" s="1"/>
  <c r="AI86" i="1"/>
  <c r="AS98" i="1"/>
  <c r="AS12" i="1"/>
  <c r="AS37" i="1"/>
  <c r="AS6" i="1"/>
  <c r="AS43" i="1"/>
  <c r="AU7" i="1"/>
  <c r="AU38" i="1"/>
  <c r="AT13" i="1"/>
  <c r="AT44" i="1"/>
  <c r="AT90" i="1"/>
  <c r="AU90" i="1" s="1"/>
  <c r="AH90" i="1" s="1"/>
  <c r="AI90" i="1"/>
  <c r="AS13" i="1"/>
  <c r="AS44" i="1"/>
  <c r="AS15" i="1"/>
  <c r="AS46" i="1"/>
  <c r="BE30" i="1" s="1"/>
  <c r="AZ22" i="1"/>
  <c r="AY22" i="1"/>
  <c r="BE22" i="1"/>
  <c r="AT9" i="1"/>
  <c r="AT40" i="1"/>
  <c r="AT38" i="1"/>
  <c r="AT7" i="1"/>
  <c r="AU13" i="1"/>
  <c r="AU44" i="1"/>
  <c r="AX20" i="1"/>
  <c r="AP48" i="1"/>
  <c r="AD47" i="1"/>
  <c r="AA118" i="1"/>
  <c r="AO8" i="1"/>
  <c r="AQ64" i="1"/>
  <c r="AT20" i="1" s="1"/>
  <c r="AO45" i="1"/>
  <c r="AB47" i="1"/>
  <c r="Y118" i="1"/>
  <c r="AY23" i="1"/>
  <c r="AZ23" i="1"/>
  <c r="AT14" i="1"/>
  <c r="AT39" i="1"/>
  <c r="AX13" i="1"/>
  <c r="BB28" i="1"/>
  <c r="BB13" i="1" s="1"/>
  <c r="V13" i="1"/>
  <c r="BA28" i="1"/>
  <c r="AT8" i="1"/>
  <c r="AT45" i="1"/>
  <c r="BE31" i="1"/>
  <c r="AZ31" i="1"/>
  <c r="AY31" i="1"/>
  <c r="AX26" i="1"/>
  <c r="AS87" i="1"/>
  <c r="X47" i="1"/>
  <c r="U118" i="1"/>
  <c r="AS92" i="1"/>
  <c r="AT42" i="1"/>
  <c r="AT11" i="1"/>
  <c r="AZ20" i="1"/>
  <c r="BE20" i="1"/>
  <c r="AY20" i="1"/>
  <c r="AO48" i="1"/>
  <c r="AX22" i="1"/>
  <c r="AY26" i="1"/>
  <c r="AY21" i="1"/>
  <c r="BE21" i="1"/>
  <c r="AS94" i="1"/>
  <c r="Y47" i="1"/>
  <c r="V118" i="1"/>
  <c r="AO44" i="1"/>
  <c r="AO13" i="1"/>
  <c r="AQ75" i="1"/>
  <c r="AT31" i="1" s="1"/>
  <c r="AU6" i="1"/>
  <c r="AU43" i="1"/>
  <c r="AU16" i="1"/>
  <c r="AU41" i="1"/>
  <c r="AP55" i="1"/>
  <c r="AO67" i="1" s="1"/>
  <c r="AS23" i="1" s="1"/>
  <c r="AX24" i="1"/>
  <c r="AS93" i="1"/>
  <c r="AX23" i="1"/>
  <c r="AS91" i="1"/>
  <c r="AU12" i="1"/>
  <c r="AU37" i="1"/>
  <c r="AP56" i="1"/>
  <c r="AO68" i="1" s="1"/>
  <c r="AS24" i="1" s="1"/>
  <c r="AS8" i="1"/>
  <c r="AS45" i="1"/>
  <c r="AS11" i="1"/>
  <c r="AS42" i="1"/>
  <c r="BE26" i="1" s="1"/>
  <c r="AT12" i="1"/>
  <c r="AT37" i="1"/>
  <c r="Z47" i="1"/>
  <c r="W118" i="1"/>
  <c r="AU11" i="1"/>
  <c r="AU42" i="1"/>
  <c r="AS89" i="1"/>
  <c r="AS84" i="1"/>
  <c r="AS95" i="1"/>
  <c r="AU15" i="1"/>
  <c r="AU46" i="1"/>
  <c r="AU10" i="1"/>
  <c r="AU47" i="1"/>
  <c r="AZ30" i="1"/>
  <c r="AY30" i="1"/>
  <c r="AU9" i="1"/>
  <c r="AU40" i="1"/>
  <c r="AX27" i="1"/>
  <c r="AS88" i="1"/>
  <c r="AX31" i="1"/>
  <c r="AO9" i="1"/>
  <c r="AO40" i="1"/>
  <c r="AZ21" i="1" s="1"/>
  <c r="AQ71" i="1"/>
  <c r="AT27" i="1" s="1"/>
  <c r="AS16" i="1"/>
  <c r="AS41" i="1"/>
  <c r="W47" i="1"/>
  <c r="S118" i="1"/>
  <c r="BB21" i="1"/>
  <c r="BB12" i="1" s="1"/>
  <c r="AX12" i="1"/>
  <c r="V12" i="1"/>
  <c r="BA21" i="1"/>
  <c r="AS85" i="1"/>
  <c r="AX25" i="1"/>
  <c r="AO6" i="1"/>
  <c r="AQ74" i="1"/>
  <c r="AT30" i="1" s="1"/>
  <c r="AO43" i="1"/>
  <c r="AC47" i="1"/>
  <c r="Z118" i="1"/>
  <c r="AZ25" i="1"/>
  <c r="AY25" i="1"/>
  <c r="BE25" i="1"/>
  <c r="AX30" i="1"/>
  <c r="AT16" i="1"/>
  <c r="AT41" i="1"/>
  <c r="AX8" i="1"/>
  <c r="BB29" i="1"/>
  <c r="BB8" i="1" s="1"/>
  <c r="V8" i="1"/>
  <c r="AA47" i="1"/>
  <c r="X118" i="1"/>
  <c r="BE11" i="1" l="1"/>
  <c r="X12" i="1"/>
  <c r="BA8" i="1"/>
  <c r="AF7" i="1"/>
  <c r="BD21" i="1"/>
  <c r="AZ12" i="1"/>
  <c r="AK7" i="1"/>
  <c r="BE15" i="1"/>
  <c r="X16" i="1"/>
  <c r="AT6" i="1"/>
  <c r="AT43" i="1"/>
  <c r="V14" i="1"/>
  <c r="AX14" i="1"/>
  <c r="BA23" i="1"/>
  <c r="BB23" i="1"/>
  <c r="BB14" i="1" s="1"/>
  <c r="AZ5" i="1"/>
  <c r="AK12" i="1"/>
  <c r="AX15" i="1"/>
  <c r="BB30" i="1"/>
  <c r="BB15" i="1" s="1"/>
  <c r="BA30" i="1"/>
  <c r="V15" i="1"/>
  <c r="AX6" i="1"/>
  <c r="V6" i="1"/>
  <c r="BA27" i="1"/>
  <c r="BB27" i="1"/>
  <c r="BB6" i="1" s="1"/>
  <c r="AI94" i="1"/>
  <c r="BA13" i="1"/>
  <c r="AF12" i="1"/>
  <c r="W14" i="1"/>
  <c r="BC23" i="1"/>
  <c r="BC14" i="1" s="1"/>
  <c r="AY14" i="1"/>
  <c r="X8" i="1"/>
  <c r="BE7" i="1"/>
  <c r="AH28" i="1"/>
  <c r="AE110" i="1"/>
  <c r="X5" i="1"/>
  <c r="BE16" i="1"/>
  <c r="AX16" i="1"/>
  <c r="BB25" i="1"/>
  <c r="BB16" i="1" s="1"/>
  <c r="V16" i="1"/>
  <c r="BA25" i="1"/>
  <c r="BE12" i="1"/>
  <c r="X13" i="1"/>
  <c r="AY5" i="1"/>
  <c r="W5" i="1"/>
  <c r="BC20" i="1"/>
  <c r="BC5" i="1" s="1"/>
  <c r="AS99" i="1"/>
  <c r="AI93" i="1"/>
  <c r="AT87" i="1"/>
  <c r="AU87" i="1" s="1"/>
  <c r="AH93" i="1" s="1"/>
  <c r="AE12" i="1"/>
  <c r="AA16" i="1"/>
  <c r="AJ15" i="1"/>
  <c r="AH5" i="1"/>
  <c r="AC14" i="1"/>
  <c r="AX5" i="1"/>
  <c r="BB20" i="1"/>
  <c r="BB5" i="1" s="1"/>
  <c r="V5" i="1"/>
  <c r="BA20" i="1"/>
  <c r="W7" i="1"/>
  <c r="AY7" i="1"/>
  <c r="BC22" i="1"/>
  <c r="BC7" i="1" s="1"/>
  <c r="AY16" i="1"/>
  <c r="W16" i="1"/>
  <c r="BC25" i="1"/>
  <c r="BC16" i="1" s="1"/>
  <c r="AT85" i="1"/>
  <c r="AU85" i="1" s="1"/>
  <c r="AH91" i="1" s="1"/>
  <c r="AS97" i="1"/>
  <c r="AI91" i="1"/>
  <c r="AI89" i="1"/>
  <c r="AT95" i="1"/>
  <c r="AU95" i="1" s="1"/>
  <c r="AH89" i="1" s="1"/>
  <c r="AI85" i="1"/>
  <c r="AT91" i="1"/>
  <c r="AU91" i="1" s="1"/>
  <c r="AH85" i="1" s="1"/>
  <c r="X6" i="1"/>
  <c r="BE5" i="1"/>
  <c r="V11" i="1"/>
  <c r="BB26" i="1"/>
  <c r="BB11" i="1" s="1"/>
  <c r="AX11" i="1"/>
  <c r="BA26" i="1"/>
  <c r="AZ7" i="1"/>
  <c r="BD22" i="1"/>
  <c r="AK14" i="1"/>
  <c r="AK24" i="1"/>
  <c r="AI106" i="1"/>
  <c r="AK11" i="1"/>
  <c r="AZ16" i="1"/>
  <c r="BD25" i="1"/>
  <c r="AT10" i="1"/>
  <c r="AT47" i="1"/>
  <c r="W10" i="1"/>
  <c r="BC31" i="1"/>
  <c r="BC10" i="1" s="1"/>
  <c r="AY10" i="1"/>
  <c r="AZ29" i="1"/>
  <c r="BE29" i="1"/>
  <c r="AY29" i="1"/>
  <c r="AH24" i="1"/>
  <c r="AE106" i="1"/>
  <c r="AE11" i="1"/>
  <c r="AJ14" i="1"/>
  <c r="AC13" i="1"/>
  <c r="AH16" i="1"/>
  <c r="AA15" i="1"/>
  <c r="AY24" i="1"/>
  <c r="BE24" i="1"/>
  <c r="AZ24" i="1"/>
  <c r="AT89" i="1"/>
  <c r="AU89" i="1" s="1"/>
  <c r="AH95" i="1" s="1"/>
  <c r="AI95" i="1"/>
  <c r="AI87" i="1"/>
  <c r="AK5" i="1"/>
  <c r="AZ10" i="1"/>
  <c r="BD31" i="1"/>
  <c r="AT5" i="1"/>
  <c r="AT36" i="1"/>
  <c r="AT48" i="1" s="1"/>
  <c r="W15" i="1"/>
  <c r="AY15" i="1"/>
  <c r="BC30" i="1"/>
  <c r="BC15" i="1" s="1"/>
  <c r="AZ15" i="1"/>
  <c r="AK10" i="1"/>
  <c r="BD30" i="1"/>
  <c r="AY28" i="1"/>
  <c r="AZ28" i="1"/>
  <c r="BE28" i="1"/>
  <c r="BE10" i="1"/>
  <c r="X11" i="1"/>
  <c r="AZ27" i="1"/>
  <c r="AY27" i="1"/>
  <c r="BE27" i="1"/>
  <c r="AX10" i="1"/>
  <c r="V10" i="1"/>
  <c r="BA31" i="1"/>
  <c r="BB31" i="1"/>
  <c r="BB10" i="1" s="1"/>
  <c r="AS39" i="1"/>
  <c r="BE23" i="1" s="1"/>
  <c r="AS14" i="1"/>
  <c r="W11" i="1"/>
  <c r="AY11" i="1"/>
  <c r="BC26" i="1"/>
  <c r="BC11" i="1" s="1"/>
  <c r="AI92" i="1"/>
  <c r="AT92" i="1"/>
  <c r="AU92" i="1" s="1"/>
  <c r="AH92" i="1" s="1"/>
  <c r="AJ10" i="1"/>
  <c r="AH12" i="1"/>
  <c r="AC9" i="1"/>
  <c r="AA11" i="1"/>
  <c r="AE7" i="1"/>
  <c r="AF11" i="1"/>
  <c r="BA12" i="1"/>
  <c r="AI84" i="1"/>
  <c r="AT84" i="1"/>
  <c r="AU84" i="1" s="1"/>
  <c r="AH84" i="1" s="1"/>
  <c r="AS96" i="1"/>
  <c r="AT94" i="1" s="1"/>
  <c r="AU94" i="1" s="1"/>
  <c r="AH94" i="1" s="1"/>
  <c r="W12" i="1"/>
  <c r="BC21" i="1"/>
  <c r="BC12" i="1" s="1"/>
  <c r="AY12" i="1"/>
  <c r="AX9" i="1"/>
  <c r="BA24" i="1"/>
  <c r="V9" i="1"/>
  <c r="BB24" i="1"/>
  <c r="BB9" i="1" s="1"/>
  <c r="AZ26" i="1"/>
  <c r="AT15" i="1"/>
  <c r="AT46" i="1"/>
  <c r="AI88" i="1"/>
  <c r="AT88" i="1"/>
  <c r="AU88" i="1" s="1"/>
  <c r="AH88" i="1" s="1"/>
  <c r="AS9" i="1"/>
  <c r="AS40" i="1"/>
  <c r="V7" i="1"/>
  <c r="AX7" i="1"/>
  <c r="BA22" i="1"/>
  <c r="BB22" i="1"/>
  <c r="BB7" i="1" s="1"/>
  <c r="AK9" i="1"/>
  <c r="AZ14" i="1"/>
  <c r="BD23" i="1"/>
  <c r="AK28" i="1"/>
  <c r="AI110" i="1"/>
  <c r="AE114" i="1" l="1"/>
  <c r="AH32" i="1"/>
  <c r="BE6" i="1"/>
  <c r="X7" i="1"/>
  <c r="C12" i="2"/>
  <c r="C28" i="2" s="1"/>
  <c r="AH37" i="1"/>
  <c r="AB7" i="1"/>
  <c r="Y9" i="1"/>
  <c r="AI8" i="1"/>
  <c r="AD12" i="1"/>
  <c r="AG10" i="1"/>
  <c r="AH27" i="1"/>
  <c r="AE109" i="1"/>
  <c r="Y15" i="1"/>
  <c r="AG16" i="1"/>
  <c r="AB13" i="1"/>
  <c r="AI14" i="1"/>
  <c r="AD6" i="1"/>
  <c r="AB10" i="1"/>
  <c r="AI11" i="1"/>
  <c r="Y12" i="1"/>
  <c r="AG13" i="1"/>
  <c r="AD15" i="1"/>
  <c r="AF6" i="1"/>
  <c r="BA7" i="1"/>
  <c r="AB8" i="1"/>
  <c r="AD13" i="1"/>
  <c r="Y10" i="1"/>
  <c r="AG11" i="1"/>
  <c r="AI9" i="1"/>
  <c r="AK13" i="1"/>
  <c r="AZ6" i="1"/>
  <c r="BD27" i="1"/>
  <c r="X9" i="1"/>
  <c r="BE8" i="1"/>
  <c r="AK27" i="1"/>
  <c r="AI109" i="1"/>
  <c r="AE14" i="1"/>
  <c r="AH7" i="1"/>
  <c r="AC16" i="1"/>
  <c r="AJ5" i="1"/>
  <c r="AA6" i="1"/>
  <c r="AF13" i="1"/>
  <c r="BA14" i="1"/>
  <c r="X10" i="1"/>
  <c r="BE9" i="1"/>
  <c r="W6" i="1"/>
  <c r="AY6" i="1"/>
  <c r="BC27" i="1"/>
  <c r="BC6" i="1" s="1"/>
  <c r="AF10" i="1"/>
  <c r="BA11" i="1"/>
  <c r="AK25" i="1"/>
  <c r="AI107" i="1"/>
  <c r="Y5" i="1"/>
  <c r="AB15" i="1"/>
  <c r="AI16" i="1"/>
  <c r="AG6" i="1"/>
  <c r="AD8" i="1"/>
  <c r="AN110" i="1"/>
  <c r="AF14" i="1"/>
  <c r="BA15" i="1"/>
  <c r="AJ9" i="1"/>
  <c r="AE6" i="1"/>
  <c r="AC8" i="1"/>
  <c r="AH11" i="1"/>
  <c r="AA10" i="1"/>
  <c r="AT93" i="1"/>
  <c r="AU93" i="1" s="1"/>
  <c r="AH87" i="1" s="1"/>
  <c r="AR106" i="1"/>
  <c r="AH15" i="1"/>
  <c r="AC12" i="1"/>
  <c r="AA14" i="1"/>
  <c r="AJ13" i="1"/>
  <c r="AE10" i="1"/>
  <c r="BA5" i="1"/>
  <c r="AF16" i="1"/>
  <c r="C16" i="2"/>
  <c r="C32" i="2" s="1"/>
  <c r="AH41" i="1"/>
  <c r="AE13" i="1"/>
  <c r="AA5" i="1"/>
  <c r="AH6" i="1"/>
  <c r="AC15" i="1"/>
  <c r="AJ16" i="1"/>
  <c r="AL10" i="1"/>
  <c r="Z13" i="1" s="1"/>
  <c r="BD15" i="1"/>
  <c r="AK23" i="1"/>
  <c r="AI105" i="1"/>
  <c r="BC24" i="1"/>
  <c r="BC9" i="1" s="1"/>
  <c r="AY9" i="1"/>
  <c r="W9" i="1"/>
  <c r="BD16" i="1"/>
  <c r="AL11" i="1"/>
  <c r="Z14" i="1" s="1"/>
  <c r="AK6" i="1"/>
  <c r="BD26" i="1"/>
  <c r="AZ11" i="1"/>
  <c r="AZ8" i="1"/>
  <c r="AK15" i="1"/>
  <c r="BD29" i="1"/>
  <c r="AK29" i="1"/>
  <c r="AI111" i="1"/>
  <c r="AL7" i="1"/>
  <c r="Z10" i="1" s="1"/>
  <c r="BD12" i="1"/>
  <c r="AR110" i="1"/>
  <c r="AH22" i="1"/>
  <c r="AE104" i="1"/>
  <c r="AK41" i="1"/>
  <c r="K16" i="2"/>
  <c r="K32" i="2" s="1"/>
  <c r="AE8" i="1"/>
  <c r="AA12" i="1"/>
  <c r="AC10" i="1"/>
  <c r="AH13" i="1"/>
  <c r="AJ11" i="1"/>
  <c r="AI104" i="1"/>
  <c r="AK22" i="1"/>
  <c r="AH30" i="1"/>
  <c r="AE112" i="1"/>
  <c r="AF9" i="1"/>
  <c r="BA10" i="1"/>
  <c r="BE13" i="1"/>
  <c r="X14" i="1"/>
  <c r="AB11" i="1"/>
  <c r="AG14" i="1"/>
  <c r="Y13" i="1"/>
  <c r="AD16" i="1"/>
  <c r="AI12" i="1"/>
  <c r="AK33" i="1"/>
  <c r="AI115" i="1"/>
  <c r="AK37" i="1"/>
  <c r="K12" i="2"/>
  <c r="K28" i="2" s="1"/>
  <c r="AH29" i="1"/>
  <c r="AE111" i="1"/>
  <c r="AJ7" i="1"/>
  <c r="AC6" i="1"/>
  <c r="AA8" i="1"/>
  <c r="AH9" i="1"/>
  <c r="AE16" i="1"/>
  <c r="AE113" i="1"/>
  <c r="AH31" i="1"/>
  <c r="BA16" i="1"/>
  <c r="AF15" i="1"/>
  <c r="AK32" i="1"/>
  <c r="AI114" i="1"/>
  <c r="BD14" i="1"/>
  <c r="AL9" i="1"/>
  <c r="Z12" i="1" s="1"/>
  <c r="AF8" i="1"/>
  <c r="BA9" i="1"/>
  <c r="AK30" i="1"/>
  <c r="AI112" i="1"/>
  <c r="AJ12" i="1"/>
  <c r="AH14" i="1"/>
  <c r="AE9" i="1"/>
  <c r="AC11" i="1"/>
  <c r="AA13" i="1"/>
  <c r="AZ13" i="1"/>
  <c r="BD28" i="1"/>
  <c r="AK8" i="1"/>
  <c r="AE115" i="1"/>
  <c r="AH33" i="1"/>
  <c r="AB6" i="1"/>
  <c r="AD11" i="1"/>
  <c r="AI7" i="1"/>
  <c r="Y8" i="1"/>
  <c r="AG9" i="1"/>
  <c r="AK31" i="1"/>
  <c r="AI113" i="1"/>
  <c r="AC5" i="1"/>
  <c r="AJ6" i="1"/>
  <c r="AH8" i="1"/>
  <c r="AE15" i="1"/>
  <c r="AA7" i="1"/>
  <c r="BD20" i="1"/>
  <c r="AK26" i="1"/>
  <c r="AI108" i="1"/>
  <c r="AL5" i="1"/>
  <c r="Z8" i="1" s="1"/>
  <c r="BD10" i="1"/>
  <c r="AJ8" i="1"/>
  <c r="AH10" i="1"/>
  <c r="AA9" i="1"/>
  <c r="AE5" i="1"/>
  <c r="AC7" i="1"/>
  <c r="W8" i="1"/>
  <c r="AY8" i="1"/>
  <c r="BC29" i="1"/>
  <c r="BC8" i="1" s="1"/>
  <c r="BE14" i="1"/>
  <c r="X15" i="1"/>
  <c r="AH26" i="1"/>
  <c r="AE108" i="1"/>
  <c r="W13" i="1"/>
  <c r="BC28" i="1"/>
  <c r="BC13" i="1" s="1"/>
  <c r="AY13" i="1"/>
  <c r="BD24" i="1"/>
  <c r="AZ9" i="1"/>
  <c r="AK16" i="1"/>
  <c r="AN106" i="1"/>
  <c r="BD7" i="1"/>
  <c r="AL14" i="1"/>
  <c r="Z5" i="1" s="1"/>
  <c r="AH23" i="1"/>
  <c r="AE105" i="1"/>
  <c r="AI13" i="1"/>
  <c r="Y14" i="1"/>
  <c r="AD5" i="1"/>
  <c r="AB12" i="1"/>
  <c r="AG15" i="1"/>
  <c r="AF5" i="1"/>
  <c r="BA6" i="1"/>
  <c r="AH36" i="1" l="1"/>
  <c r="C11" i="2"/>
  <c r="C33" i="2" s="1"/>
  <c r="AI5" i="1"/>
  <c r="AG7" i="1"/>
  <c r="AD9" i="1"/>
  <c r="Y6" i="1"/>
  <c r="AB16" i="1"/>
  <c r="AN109" i="1"/>
  <c r="K20" i="2"/>
  <c r="K36" i="2" s="1"/>
  <c r="AK45" i="1"/>
  <c r="BD11" i="1"/>
  <c r="AL6" i="1"/>
  <c r="Z9" i="1" s="1"/>
  <c r="K11" i="2"/>
  <c r="K33" i="2" s="1"/>
  <c r="AK36" i="1"/>
  <c r="AD7" i="1"/>
  <c r="AG5" i="1"/>
  <c r="AI15" i="1"/>
  <c r="Y16" i="1"/>
  <c r="AB14" i="1"/>
  <c r="AB9" i="1"/>
  <c r="Y11" i="1"/>
  <c r="AD14" i="1"/>
  <c r="AG12" i="1"/>
  <c r="AI10" i="1"/>
  <c r="AK39" i="1"/>
  <c r="K14" i="2"/>
  <c r="K30" i="2" s="1"/>
  <c r="K19" i="2"/>
  <c r="K29" i="2" s="1"/>
  <c r="AK44" i="1"/>
  <c r="AR112" i="1"/>
  <c r="AN112" i="1"/>
  <c r="AR108" i="1"/>
  <c r="AN108" i="1"/>
  <c r="AN105" i="1"/>
  <c r="AH43" i="1"/>
  <c r="C18" i="2"/>
  <c r="C34" i="2" s="1"/>
  <c r="AR105" i="1"/>
  <c r="AK35" i="1"/>
  <c r="AK47" i="1" s="1"/>
  <c r="K10" i="2"/>
  <c r="K26" i="2" s="1"/>
  <c r="AH25" i="1"/>
  <c r="AE107" i="1"/>
  <c r="AK38" i="1"/>
  <c r="K13" i="2"/>
  <c r="K35" i="2" s="1"/>
  <c r="AK40" i="1"/>
  <c r="K15" i="2"/>
  <c r="K25" i="2" s="1"/>
  <c r="AH40" i="1"/>
  <c r="C15" i="2"/>
  <c r="C25" i="2" s="1"/>
  <c r="AR114" i="1"/>
  <c r="AR111" i="1"/>
  <c r="AR107" i="1"/>
  <c r="AL12" i="1"/>
  <c r="Z15" i="1" s="1"/>
  <c r="BD5" i="1"/>
  <c r="AL8" i="1"/>
  <c r="Z11" i="1" s="1"/>
  <c r="BD13" i="1"/>
  <c r="AH44" i="1"/>
  <c r="C19" i="2"/>
  <c r="C29" i="2" s="1"/>
  <c r="K17" i="2"/>
  <c r="K27" i="2" s="1"/>
  <c r="AK42" i="1"/>
  <c r="AN107" i="1"/>
  <c r="AR104" i="1"/>
  <c r="AI116" i="1"/>
  <c r="AN104" i="1"/>
  <c r="BD8" i="1"/>
  <c r="AL15" i="1"/>
  <c r="Z6" i="1" s="1"/>
  <c r="Y7" i="1"/>
  <c r="AG8" i="1"/>
  <c r="AI6" i="1"/>
  <c r="AD10" i="1"/>
  <c r="AB5" i="1"/>
  <c r="AH35" i="1"/>
  <c r="AH47" i="1" s="1"/>
  <c r="C10" i="2"/>
  <c r="C26" i="2" s="1"/>
  <c r="C20" i="2"/>
  <c r="C36" i="2" s="1"/>
  <c r="AH45" i="1"/>
  <c r="AH46" i="1"/>
  <c r="C21" i="2"/>
  <c r="C31" i="2" s="1"/>
  <c r="AK46" i="1"/>
  <c r="K21" i="2"/>
  <c r="K31" i="2" s="1"/>
  <c r="AK43" i="1"/>
  <c r="K18" i="2"/>
  <c r="K34" i="2" s="1"/>
  <c r="AR113" i="1"/>
  <c r="AR115" i="1"/>
  <c r="AN115" i="1"/>
  <c r="C14" i="2"/>
  <c r="C30" i="2" s="1"/>
  <c r="AH39" i="1"/>
  <c r="AH42" i="1"/>
  <c r="C17" i="2"/>
  <c r="C27" i="2" s="1"/>
  <c r="AN111" i="1"/>
  <c r="AL16" i="1"/>
  <c r="Z7" i="1" s="1"/>
  <c r="BD9" i="1"/>
  <c r="AR109" i="1"/>
  <c r="AL13" i="1"/>
  <c r="Z16" i="1" s="1"/>
  <c r="BD6" i="1"/>
  <c r="AN114" i="1"/>
  <c r="AJ106" i="1" l="1"/>
  <c r="AS106" i="1" s="1"/>
  <c r="AJ110" i="1"/>
  <c r="AS110" i="1" s="1"/>
  <c r="AJ107" i="1"/>
  <c r="AS113" i="1" s="1"/>
  <c r="AJ104" i="1"/>
  <c r="AS104" i="1" s="1"/>
  <c r="AJ114" i="1"/>
  <c r="AS114" i="1" s="1"/>
  <c r="AH38" i="1"/>
  <c r="C13" i="2"/>
  <c r="C35" i="2" s="1"/>
  <c r="AJ112" i="1"/>
  <c r="AS112" i="1" s="1"/>
  <c r="AH48" i="1"/>
  <c r="AJ109" i="1"/>
  <c r="AS115" i="1" s="1"/>
  <c r="AJ105" i="1"/>
  <c r="AS111" i="1" s="1"/>
  <c r="AN113" i="1"/>
  <c r="AF107" i="1"/>
  <c r="AO113" i="1" s="1"/>
  <c r="AJ115" i="1"/>
  <c r="AS109" i="1" s="1"/>
  <c r="AE116" i="1"/>
  <c r="AJ113" i="1"/>
  <c r="AS107" i="1" s="1"/>
  <c r="AJ111" i="1"/>
  <c r="AS105" i="1" s="1"/>
  <c r="AJ108" i="1"/>
  <c r="AS108" i="1" s="1"/>
  <c r="AF106" i="1" l="1"/>
  <c r="AO106" i="1" s="1"/>
  <c r="AF110" i="1"/>
  <c r="AO110" i="1" s="1"/>
  <c r="AF104" i="1"/>
  <c r="AO104" i="1" s="1"/>
  <c r="AF109" i="1"/>
  <c r="AO115" i="1" s="1"/>
  <c r="AF108" i="1"/>
  <c r="AO108" i="1" s="1"/>
  <c r="AF115" i="1"/>
  <c r="AO109" i="1" s="1"/>
  <c r="AF112" i="1"/>
  <c r="AO112" i="1" s="1"/>
  <c r="AF114" i="1"/>
  <c r="AO114" i="1" s="1"/>
  <c r="AF113" i="1"/>
  <c r="AO107" i="1" s="1"/>
  <c r="AF105" i="1"/>
  <c r="AO111" i="1" s="1"/>
  <c r="AF111" i="1"/>
  <c r="AO105" i="1" s="1"/>
</calcChain>
</file>

<file path=xl/sharedStrings.xml><?xml version="1.0" encoding="utf-8"?>
<sst xmlns="http://schemas.openxmlformats.org/spreadsheetml/2006/main" count="278" uniqueCount="201">
  <si>
    <t>Variables</t>
  </si>
  <si>
    <t>Beat Rate Chart</t>
  </si>
  <si>
    <t>Subjective Tolerability</t>
  </si>
  <si>
    <t>Tuning recipe by cycle of fifths (across) and major thirds (down):</t>
  </si>
  <si>
    <t>Ref A =</t>
  </si>
  <si>
    <t>7/6</t>
  </si>
  <si>
    <t>6/5</t>
  </si>
  <si>
    <t>5/4</t>
  </si>
  <si>
    <t>4/3</t>
  </si>
  <si>
    <t>3/2</t>
  </si>
  <si>
    <t>8/5</t>
  </si>
  <si>
    <t>5/3</t>
  </si>
  <si>
    <t>9/5</t>
  </si>
  <si>
    <t>15/8</t>
  </si>
  <si>
    <t>14/9</t>
  </si>
  <si>
    <t>12/7</t>
  </si>
  <si>
    <t>7/4</t>
  </si>
  <si>
    <t>16/9</t>
  </si>
  <si>
    <t>Harmony Chart: subjective tension of common chords when playing in the given key</t>
  </si>
  <si>
    <t>Ref C =</t>
  </si>
  <si>
    <t>Root</t>
  </si>
  <si>
    <t>Freq</t>
  </si>
  <si>
    <t>Cents</t>
  </si>
  <si>
    <t>Sm Min3</t>
  </si>
  <si>
    <t>Min3</t>
  </si>
  <si>
    <t>Maj3</t>
  </si>
  <si>
    <t>Per4</t>
  </si>
  <si>
    <t>Per5</t>
  </si>
  <si>
    <t>Min6</t>
  </si>
  <si>
    <t>Maj6</t>
  </si>
  <si>
    <t>Min7</t>
  </si>
  <si>
    <t>Maj7</t>
  </si>
  <si>
    <t>Best</t>
  </si>
  <si>
    <t>Maj</t>
  </si>
  <si>
    <t>Min</t>
  </si>
  <si>
    <t>Dim</t>
  </si>
  <si>
    <t>As</t>
  </si>
  <si>
    <t>Use A?</t>
  </si>
  <si>
    <t>Key</t>
  </si>
  <si>
    <t>I</t>
  </si>
  <si>
    <t>i</t>
  </si>
  <si>
    <t>Neap</t>
  </si>
  <si>
    <t>ii</t>
  </si>
  <si>
    <t>iio</t>
  </si>
  <si>
    <t>III</t>
  </si>
  <si>
    <t>iii</t>
  </si>
  <si>
    <t>IV</t>
  </si>
  <si>
    <t>iv</t>
  </si>
  <si>
    <t>V</t>
  </si>
  <si>
    <t>V7</t>
  </si>
  <si>
    <t>v</t>
  </si>
  <si>
    <t>VI</t>
  </si>
  <si>
    <t>vi</t>
  </si>
  <si>
    <t>VII</t>
  </si>
  <si>
    <t>viio</t>
  </si>
  <si>
    <t>viio7</t>
  </si>
  <si>
    <t>Master</t>
  </si>
  <si>
    <t>|</t>
  </si>
  <si>
    <t>Triad</t>
  </si>
  <si>
    <t>Mm7</t>
  </si>
  <si>
    <t>MM7</t>
  </si>
  <si>
    <t>mm7</t>
  </si>
  <si>
    <t>dim7</t>
  </si>
  <si>
    <t>Comma</t>
  </si>
  <si>
    <t>Selection =</t>
  </si>
  <si>
    <t>Temperament Calculator</t>
  </si>
  <si>
    <t>bpl@umich.edu</t>
  </si>
  <si>
    <t>http://www-personal.umich.edu/~bpl/temper.html</t>
  </si>
  <si>
    <t>Frequency ratios relative to C</t>
  </si>
  <si>
    <t>Middle C</t>
  </si>
  <si>
    <t>If a wolf Per5 or Maj3, use that, else if Maj3&lt;6 use avg(Maj3,Per5/3), else use greater of (Maj3,Per5)</t>
  </si>
  <si>
    <t>If a wolf Per5 or Min3, use that, else if Min3&lt;6 use avg(Min3,Per5/3), else use greater of (Min3,Per5)</t>
  </si>
  <si>
    <t>Average of the two component Min3's</t>
  </si>
  <si>
    <t>(MajTriad*2+Min7*3)/5</t>
  </si>
  <si>
    <t>(MajTriad*2+Maj7*3)/5</t>
  </si>
  <si>
    <t>(MinTriad*2+Min7*3)/5</t>
  </si>
  <si>
    <t>(DimTriad*2+Maj6*3)/5</t>
  </si>
  <si>
    <t>4 parts Min3, 5 parts Min6, 1 part included Per4</t>
  </si>
  <si>
    <t>Beat Rate Summary</t>
  </si>
  <si>
    <t>Arranged chromatically:</t>
  </si>
  <si>
    <t>...choosing the slower beat from main chart when there is more than one option</t>
  </si>
  <si>
    <t>m3</t>
  </si>
  <si>
    <t>M3</t>
  </si>
  <si>
    <t>P4</t>
  </si>
  <si>
    <t>P5</t>
  </si>
  <si>
    <t>m6</t>
  </si>
  <si>
    <t>M6</t>
  </si>
  <si>
    <t>m7</t>
  </si>
  <si>
    <t>M7</t>
  </si>
  <si>
    <t>M3 SC's</t>
  </si>
  <si>
    <t>P5 SC's</t>
  </si>
  <si>
    <t>(*)</t>
  </si>
  <si>
    <t xml:space="preserve"> (number indicates beats in the given interval above the row note)</t>
  </si>
  <si>
    <t>(* difference in cents from equal temperament)</t>
  </si>
  <si>
    <t>Arranged as circle of fifths:</t>
  </si>
  <si>
    <t>Recipe Library:</t>
  </si>
  <si>
    <t>TempNum</t>
  </si>
  <si>
    <t>TempName</t>
  </si>
  <si>
    <t>C</t>
  </si>
  <si>
    <t>C#</t>
  </si>
  <si>
    <t>D</t>
  </si>
  <si>
    <t>Eb</t>
  </si>
  <si>
    <t>E</t>
  </si>
  <si>
    <t>F</t>
  </si>
  <si>
    <t>F#</t>
  </si>
  <si>
    <t>G</t>
  </si>
  <si>
    <t>G#</t>
  </si>
  <si>
    <t>A</t>
  </si>
  <si>
    <t>Bb</t>
  </si>
  <si>
    <t>B</t>
  </si>
  <si>
    <t>Absolute values of subjective chart, for use in calculations</t>
  </si>
  <si>
    <t>Pythagorean</t>
  </si>
  <si>
    <t>1/4 Syntonic Comma Meantone</t>
  </si>
  <si>
    <t>1/5 Syntonic Comma Meantone</t>
  </si>
  <si>
    <t>1/6 Syntonic Comma</t>
  </si>
  <si>
    <t>Kirnberger 2: 1/2 Syntonic Comma</t>
  </si>
  <si>
    <t>Kirnberger 3: 1/4 Syntonic Comma</t>
  </si>
  <si>
    <t>Equal Temperament</t>
  </si>
  <si>
    <t>1/3 Syntonic Comma Meantone</t>
  </si>
  <si>
    <t>Young 2</t>
  </si>
  <si>
    <t>Just intonation #1</t>
  </si>
  <si>
    <t>Variable Meantone 1: C-G-D-A-E 1/4, others 1/6</t>
  </si>
  <si>
    <t>Variable Meantone 2: C-G-D-A-E 1/4, 1/5-1/6-1/7-1/8 outward both directions</t>
  </si>
  <si>
    <t>Variable Meantone 3: C-G-D-A-E 1/4, 1/6 next, then Pyth</t>
  </si>
  <si>
    <t>TU: "tuning unit," developed by John Brombaugh.  A TU is defined as 1/720th of a ditonic (Pythagorean) comma.</t>
  </si>
  <si>
    <t>Variable Meantone 4: 1/4 SC naturals, Pyth acc's</t>
  </si>
  <si>
    <t>With this scale, a syntonic comma is about 660 TU's, and each comma can be divided easily into integer</t>
  </si>
  <si>
    <t>Nat &amp; BetterComp</t>
  </si>
  <si>
    <t>Composite</t>
  </si>
  <si>
    <t>Nat &amp; Comp</t>
  </si>
  <si>
    <t>Nat &amp; Bett</t>
  </si>
  <si>
    <t>Alt</t>
  </si>
  <si>
    <t>Tolerability scale: factored so that a number &gt; 10 is a wolf; 10-20 musically usable in passing</t>
  </si>
  <si>
    <t>portions without use of a calculator.  Twelve fifths are tempered a total of 720 TU.</t>
  </si>
  <si>
    <t>Min3's</t>
  </si>
  <si>
    <t>Min6's</t>
  </si>
  <si>
    <t>Min7's</t>
  </si>
  <si>
    <t>Subjective wolves:</t>
  </si>
  <si>
    <t>5th/4th: narrower or wider than 1/2 DC impure</t>
  </si>
  <si>
    <t>2/7 Syntonic Comma</t>
  </si>
  <si>
    <t>Maj3rd and Maj7th: slightly wider than Pythagorean, which is 9 (one SC wide)</t>
  </si>
  <si>
    <t>2/9 Syntonic Comma</t>
  </si>
  <si>
    <t>Min3rd and Min7th: ear doesn't hear much wolf, so arbitrarily Min3 is set to be equal to Maj3 (6) in E.T.</t>
  </si>
  <si>
    <t>1/4 SC Meantone with Pyth accidentals</t>
  </si>
  <si>
    <t>LucyTuning</t>
  </si>
  <si>
    <t>1/pi Syntonic Comma</t>
  </si>
  <si>
    <t>Min3 and Maj3 equally beating (1/3.4545 SC)</t>
  </si>
  <si>
    <t>Constants</t>
  </si>
  <si>
    <t>Note Name</t>
  </si>
  <si>
    <t>CalcA</t>
  </si>
  <si>
    <t>CalcC</t>
  </si>
  <si>
    <t>CentsC</t>
  </si>
  <si>
    <t>CentsA</t>
  </si>
  <si>
    <t>Fraction</t>
  </si>
  <si>
    <t>5th - commas narrow</t>
  </si>
  <si>
    <t>enh shift?</t>
  </si>
  <si>
    <t>shift M3?</t>
  </si>
  <si>
    <t>M3 above - SC's</t>
  </si>
  <si>
    <t>5th above - SC's</t>
  </si>
  <si>
    <t>Maj3 and Per5 equally beating (1/3.4 SC)</t>
  </si>
  <si>
    <t>"Ordinaire" in style of Rameau/Rousseau</t>
  </si>
  <si>
    <t>Cell at left is adjustment if tuning from A instead of C</t>
  </si>
  <si>
    <t>(inv of Smm3)</t>
  </si>
  <si>
    <t>Syntonic Comma errors of major thirds:</t>
  </si>
  <si>
    <t>TU errors</t>
  </si>
  <si>
    <t>TU Calculations:</t>
  </si>
  <si>
    <t>Actual</t>
  </si>
  <si>
    <t>*3/2</t>
  </si>
  <si>
    <t>Log act</t>
  </si>
  <si>
    <t>Log 3/2</t>
  </si>
  <si>
    <t>Diff</t>
  </si>
  <si>
    <t>interm</t>
  </si>
  <si>
    <t>TU 5th</t>
  </si>
  <si>
    <t>TU M3</t>
  </si>
  <si>
    <t>Notes:</t>
  </si>
  <si>
    <t>"Lucy comma" (LucyC) is to generate "LucyTuning" which sets</t>
  </si>
  <si>
    <t>the size of a "arge interval" (whole step) as 1200/(2*pi) cents.</t>
  </si>
  <si>
    <t>Because LucyTuning is a regular meantone, it is treated here</t>
  </si>
  <si>
    <t>in the recipe as 1/4 of an invented comma that generates the</t>
  </si>
  <si>
    <t>proper sizes of intervals.</t>
  </si>
  <si>
    <t>Metronome Rates</t>
  </si>
  <si>
    <t>TU</t>
  </si>
  <si>
    <t>%</t>
  </si>
  <si>
    <t>sum</t>
  </si>
  <si>
    <t>Additionally, in a twelve-note temperament, the resultant major thirds average 480 TU sharp.</t>
  </si>
  <si>
    <t>©2005 Bradley Lehman</t>
  </si>
  <si>
    <t>v2.2d (see website for version list)</t>
  </si>
  <si>
    <t>TUs</t>
  </si>
  <si>
    <t>Major thirds: excess TU (total 5040, average 420)</t>
  </si>
  <si>
    <t>Fifths: excess TU (total -720, average -60)</t>
  </si>
  <si>
    <t>Chromatically</t>
  </si>
  <si>
    <t>Circle of 5ths</t>
  </si>
  <si>
    <t>Werckmeister 3: 1/4 Pythagorean Comma</t>
  </si>
  <si>
    <t>Skip 1/6 Pythagorean Comma</t>
  </si>
  <si>
    <t>Marpurg (1/3 PC skipping)</t>
  </si>
  <si>
    <t>1/2 Pythagorean Comma (like Kirnberger 2)</t>
  </si>
  <si>
    <t>1/4 PC Meantone</t>
  </si>
  <si>
    <t>Bach 1722 (Lehman, from title page of WTC)</t>
  </si>
  <si>
    <t>"Barnes-Bach" (1/6 PC starting on F with one skip)</t>
  </si>
  <si>
    <t>1/6 Pythagorean Comma</t>
  </si>
  <si>
    <t>Vallotti 1/6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</si>
</sst>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7" formatCode="###.000"/>
    <numFmt numFmtId="178" formatCode="#0.00"/>
    <numFmt numFmtId="179" formatCode="\(0.00\)"/>
    <numFmt numFmtId="180" formatCode="0.000"/>
    <numFmt numFmtId="187" formatCode="0.######"/>
    <numFmt numFmtId="191" formatCode="???????/???????"/>
    <numFmt numFmtId="192" formatCode="0.0"/>
    <numFmt numFmtId="194" formatCode="0.0000"/>
  </numFmts>
  <fonts count="27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0"/>
      <color indexed="8"/>
      <name val="Arial"/>
    </font>
    <font>
      <b/>
      <sz val="10"/>
      <color indexed="8"/>
      <name val="Arial"/>
    </font>
    <font>
      <sz val="10"/>
      <color indexed="9"/>
      <name val="Arial"/>
      <family val="2"/>
    </font>
    <font>
      <sz val="8"/>
      <name val="Arial"/>
      <family val="2"/>
    </font>
    <font>
      <b/>
      <sz val="8"/>
      <name val="Arial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i/>
      <sz val="8"/>
      <name val="Arial"/>
      <family val="2"/>
    </font>
    <font>
      <i/>
      <sz val="8"/>
      <color indexed="56"/>
      <name val="Arial"/>
      <family val="2"/>
    </font>
    <font>
      <i/>
      <sz val="8"/>
      <color indexed="10"/>
      <name val="Arial"/>
      <family val="2"/>
    </font>
    <font>
      <sz val="8"/>
      <color indexed="10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i/>
      <sz val="8"/>
      <name val="Arial"/>
    </font>
    <font>
      <sz val="8"/>
      <color indexed="39"/>
      <name val="Arial"/>
      <family val="2"/>
    </font>
    <font>
      <sz val="8"/>
      <color indexed="50"/>
      <name val="Arial"/>
      <family val="2"/>
    </font>
    <font>
      <sz val="10"/>
      <color indexed="50"/>
      <name val="Arial"/>
      <family val="2"/>
    </font>
    <font>
      <sz val="10"/>
      <color indexed="39"/>
      <name val="Arial"/>
      <family val="2"/>
    </font>
    <font>
      <i/>
      <sz val="10"/>
      <name val="Arial"/>
      <family val="2"/>
    </font>
    <font>
      <sz val="8"/>
      <name val="Arial"/>
    </font>
    <font>
      <b/>
      <sz val="1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2" fillId="0" borderId="0" xfId="0" applyFont="1"/>
    <xf numFmtId="0" fontId="5" fillId="4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0" fillId="4" borderId="0" xfId="0" applyFill="1"/>
    <xf numFmtId="0" fontId="2" fillId="4" borderId="0" xfId="0" applyFont="1" applyFill="1"/>
    <xf numFmtId="0" fontId="0" fillId="0" borderId="0" xfId="0" applyFill="1"/>
    <xf numFmtId="2" fontId="0" fillId="0" borderId="0" xfId="0" applyNumberFormat="1"/>
    <xf numFmtId="0" fontId="1" fillId="4" borderId="0" xfId="0" applyFont="1" applyFill="1"/>
    <xf numFmtId="1" fontId="0" fillId="4" borderId="0" xfId="0" applyNumberFormat="1" applyFill="1"/>
    <xf numFmtId="0" fontId="4" fillId="0" borderId="0" xfId="0" applyFont="1" applyFill="1" applyAlignment="1">
      <alignment horizontal="right"/>
    </xf>
    <xf numFmtId="1" fontId="0" fillId="0" borderId="0" xfId="0" applyNumberFormat="1" applyFill="1"/>
    <xf numFmtId="0" fontId="0" fillId="5" borderId="0" xfId="0" applyFill="1"/>
    <xf numFmtId="0" fontId="0" fillId="5" borderId="0" xfId="0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0" borderId="0" xfId="0" applyFont="1" applyFill="1" applyAlignment="1">
      <alignment horizontal="right"/>
    </xf>
    <xf numFmtId="0" fontId="2" fillId="3" borderId="0" xfId="0" applyFont="1" applyFill="1"/>
    <xf numFmtId="0" fontId="1" fillId="3" borderId="0" xfId="0" applyFont="1" applyFill="1"/>
    <xf numFmtId="0" fontId="3" fillId="3" borderId="0" xfId="0" applyFont="1" applyFill="1" applyAlignment="1">
      <alignment horizontal="right"/>
    </xf>
    <xf numFmtId="0" fontId="1" fillId="3" borderId="0" xfId="0" applyFon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Protection="1">
      <protection locked="0"/>
    </xf>
    <xf numFmtId="2" fontId="0" fillId="0" borderId="0" xfId="0" applyNumberFormat="1" applyProtection="1">
      <protection locked="0"/>
    </xf>
    <xf numFmtId="0" fontId="0" fillId="2" borderId="0" xfId="0" applyNumberFormat="1" applyFill="1" applyAlignment="1">
      <alignment horizontal="right"/>
    </xf>
    <xf numFmtId="0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NumberFormat="1"/>
    <xf numFmtId="187" fontId="0" fillId="0" borderId="0" xfId="0" applyNumberFormat="1"/>
    <xf numFmtId="13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9" fillId="4" borderId="0" xfId="0" applyFont="1" applyFill="1"/>
    <xf numFmtId="0" fontId="10" fillId="0" borderId="0" xfId="0" applyFont="1" applyFill="1"/>
    <xf numFmtId="0" fontId="0" fillId="0" borderId="0" xfId="0" applyNumberFormat="1" applyAlignment="1">
      <alignment horizontal="left"/>
    </xf>
    <xf numFmtId="0" fontId="2" fillId="6" borderId="0" xfId="0" applyFont="1" applyFill="1"/>
    <xf numFmtId="0" fontId="0" fillId="6" borderId="0" xfId="0" applyFill="1"/>
    <xf numFmtId="0" fontId="8" fillId="6" borderId="0" xfId="0" applyFont="1" applyFill="1"/>
    <xf numFmtId="0" fontId="1" fillId="6" borderId="0" xfId="0" applyFont="1" applyFill="1"/>
    <xf numFmtId="0" fontId="0" fillId="6" borderId="0" xfId="0" applyFill="1" applyAlignment="1">
      <alignment horizontal="right"/>
    </xf>
    <xf numFmtId="0" fontId="5" fillId="6" borderId="0" xfId="0" applyFont="1" applyFill="1" applyAlignment="1">
      <alignment horizontal="right"/>
    </xf>
    <xf numFmtId="0" fontId="4" fillId="6" borderId="0" xfId="0" applyFont="1" applyFill="1" applyAlignment="1">
      <alignment horizontal="right"/>
    </xf>
    <xf numFmtId="0" fontId="1" fillId="6" borderId="0" xfId="0" applyFont="1" applyFill="1" applyAlignment="1">
      <alignment horizontal="right"/>
    </xf>
    <xf numFmtId="0" fontId="7" fillId="6" borderId="0" xfId="0" applyFont="1" applyFill="1" applyAlignment="1">
      <alignment horizontal="right"/>
    </xf>
    <xf numFmtId="1" fontId="0" fillId="6" borderId="0" xfId="0" applyNumberFormat="1" applyFill="1"/>
    <xf numFmtId="1" fontId="0" fillId="6" borderId="0" xfId="0" applyNumberFormat="1" applyFill="1" applyAlignment="1">
      <alignment horizontal="right"/>
    </xf>
    <xf numFmtId="0" fontId="3" fillId="7" borderId="0" xfId="0" applyFont="1" applyFill="1"/>
    <xf numFmtId="0" fontId="0" fillId="7" borderId="0" xfId="0" applyFill="1"/>
    <xf numFmtId="0" fontId="1" fillId="7" borderId="0" xfId="0" applyFont="1" applyFill="1"/>
    <xf numFmtId="0" fontId="2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1" fillId="7" borderId="0" xfId="0" applyFont="1" applyFill="1" applyAlignment="1">
      <alignment horizontal="center"/>
    </xf>
    <xf numFmtId="187" fontId="2" fillId="7" borderId="0" xfId="0" applyNumberFormat="1" applyFont="1" applyFill="1" applyAlignment="1">
      <alignment horizontal="center"/>
    </xf>
    <xf numFmtId="187" fontId="0" fillId="7" borderId="0" xfId="0" applyNumberFormat="1" applyFill="1" applyAlignment="1">
      <alignment horizontal="center"/>
    </xf>
    <xf numFmtId="187" fontId="1" fillId="7" borderId="0" xfId="0" applyNumberFormat="1" applyFont="1" applyFill="1" applyAlignment="1">
      <alignment horizontal="center"/>
    </xf>
    <xf numFmtId="0" fontId="2" fillId="7" borderId="0" xfId="0" applyNumberFormat="1" applyFont="1" applyFill="1" applyAlignment="1">
      <alignment horizontal="center"/>
    </xf>
    <xf numFmtId="0" fontId="0" fillId="7" borderId="0" xfId="0" applyNumberFormat="1" applyFill="1" applyAlignment="1">
      <alignment horizontal="center"/>
    </xf>
    <xf numFmtId="0" fontId="1" fillId="7" borderId="0" xfId="0" applyNumberFormat="1" applyFont="1" applyFill="1" applyAlignment="1">
      <alignment horizontal="center"/>
    </xf>
    <xf numFmtId="2" fontId="9" fillId="4" borderId="0" xfId="0" applyNumberFormat="1" applyFont="1" applyFill="1"/>
    <xf numFmtId="0" fontId="9" fillId="0" borderId="0" xfId="0" applyFont="1" applyProtection="1">
      <protection locked="0"/>
    </xf>
    <xf numFmtId="2" fontId="9" fillId="0" borderId="0" xfId="0" applyNumberFormat="1" applyFont="1" applyProtection="1">
      <protection locked="0"/>
    </xf>
    <xf numFmtId="0" fontId="18" fillId="8" borderId="0" xfId="0" applyFont="1" applyFill="1" applyAlignment="1" applyProtection="1">
      <alignment horizontal="right"/>
      <protection locked="0"/>
    </xf>
    <xf numFmtId="0" fontId="18" fillId="8" borderId="0" xfId="0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0" fillId="5" borderId="0" xfId="0" applyFill="1" applyAlignment="1" applyProtection="1">
      <alignment horizontal="left"/>
      <protection locked="0"/>
    </xf>
    <xf numFmtId="0" fontId="20" fillId="4" borderId="0" xfId="0" applyFont="1" applyFill="1"/>
    <xf numFmtId="0" fontId="21" fillId="4" borderId="0" xfId="0" applyFont="1" applyFill="1"/>
    <xf numFmtId="0" fontId="9" fillId="4" borderId="0" xfId="0" applyFont="1" applyFill="1" applyAlignment="1">
      <alignment horizontal="center"/>
    </xf>
    <xf numFmtId="0" fontId="17" fillId="4" borderId="0" xfId="0" applyFont="1" applyFill="1" applyAlignment="1">
      <alignment horizontal="center"/>
    </xf>
    <xf numFmtId="0" fontId="20" fillId="4" borderId="0" xfId="0" applyFont="1" applyFill="1" applyAlignment="1">
      <alignment horizontal="center"/>
    </xf>
    <xf numFmtId="0" fontId="21" fillId="4" borderId="0" xfId="0" applyFont="1" applyFill="1" applyAlignment="1">
      <alignment horizontal="center"/>
    </xf>
    <xf numFmtId="2" fontId="19" fillId="4" borderId="0" xfId="0" applyNumberFormat="1" applyFont="1" applyFill="1"/>
    <xf numFmtId="2" fontId="20" fillId="4" borderId="0" xfId="0" applyNumberFormat="1" applyFont="1" applyFill="1"/>
    <xf numFmtId="2" fontId="21" fillId="4" borderId="0" xfId="0" applyNumberFormat="1" applyFont="1" applyFill="1"/>
    <xf numFmtId="179" fontId="19" fillId="4" borderId="0" xfId="0" applyNumberFormat="1" applyFont="1" applyFill="1"/>
    <xf numFmtId="0" fontId="9" fillId="4" borderId="0" xfId="0" applyNumberFormat="1" applyFont="1" applyFill="1" applyAlignment="1">
      <alignment horizontal="left"/>
    </xf>
    <xf numFmtId="0" fontId="9" fillId="4" borderId="0" xfId="0" applyNumberFormat="1" applyFont="1" applyFill="1" applyAlignment="1">
      <alignment horizontal="right"/>
    </xf>
    <xf numFmtId="0" fontId="21" fillId="4" borderId="0" xfId="0" applyFont="1" applyFill="1" applyAlignment="1">
      <alignment horizontal="left"/>
    </xf>
    <xf numFmtId="0" fontId="22" fillId="4" borderId="0" xfId="0" applyFont="1" applyFill="1" applyAlignment="1">
      <alignment horizontal="left"/>
    </xf>
    <xf numFmtId="0" fontId="20" fillId="4" borderId="0" xfId="0" applyFont="1" applyFill="1" applyAlignment="1">
      <alignment horizontal="left"/>
    </xf>
    <xf numFmtId="0" fontId="23" fillId="4" borderId="0" xfId="0" applyFont="1" applyFill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/>
    </xf>
    <xf numFmtId="0" fontId="0" fillId="9" borderId="0" xfId="0" applyFill="1"/>
    <xf numFmtId="0" fontId="0" fillId="9" borderId="0" xfId="0" applyFill="1" applyAlignment="1">
      <alignment horizontal="right"/>
    </xf>
    <xf numFmtId="191" fontId="0" fillId="9" borderId="0" xfId="0" applyNumberFormat="1" applyFill="1"/>
    <xf numFmtId="0" fontId="24" fillId="0" borderId="0" xfId="0" applyFont="1"/>
    <xf numFmtId="192" fontId="0" fillId="0" borderId="0" xfId="0" applyNumberFormat="1"/>
    <xf numFmtId="0" fontId="0" fillId="10" borderId="0" xfId="0" applyFill="1"/>
    <xf numFmtId="2" fontId="0" fillId="0" borderId="0" xfId="0" applyNumberFormat="1" applyAlignment="1">
      <alignment horizontal="right"/>
    </xf>
    <xf numFmtId="1" fontId="0" fillId="9" borderId="0" xfId="0" applyNumberFormat="1" applyFill="1"/>
    <xf numFmtId="194" fontId="9" fillId="0" borderId="0" xfId="0" applyNumberFormat="1" applyFont="1" applyProtection="1">
      <protection locked="0"/>
    </xf>
    <xf numFmtId="194" fontId="0" fillId="0" borderId="0" xfId="0" applyNumberFormat="1"/>
    <xf numFmtId="178" fontId="11" fillId="11" borderId="0" xfId="0" applyNumberFormat="1" applyFont="1" applyFill="1"/>
    <xf numFmtId="0" fontId="6" fillId="11" borderId="0" xfId="0" applyFont="1" applyFill="1"/>
    <xf numFmtId="0" fontId="4" fillId="11" borderId="0" xfId="0" applyFont="1" applyFill="1"/>
    <xf numFmtId="0" fontId="0" fillId="11" borderId="0" xfId="0" applyFill="1"/>
    <xf numFmtId="0" fontId="7" fillId="11" borderId="0" xfId="0" applyFont="1" applyFill="1"/>
    <xf numFmtId="0" fontId="2" fillId="11" borderId="0" xfId="0" applyFont="1" applyFill="1"/>
    <xf numFmtId="0" fontId="9" fillId="11" borderId="0" xfId="0" applyFont="1" applyFill="1"/>
    <xf numFmtId="0" fontId="11" fillId="11" borderId="0" xfId="0" applyFont="1" applyFill="1"/>
    <xf numFmtId="49" fontId="11" fillId="11" borderId="0" xfId="0" applyNumberFormat="1" applyFont="1" applyFill="1" applyAlignment="1">
      <alignment horizontal="right"/>
    </xf>
    <xf numFmtId="49" fontId="9" fillId="11" borderId="0" xfId="0" applyNumberFormat="1" applyFont="1" applyFill="1" applyAlignment="1">
      <alignment horizontal="right"/>
    </xf>
    <xf numFmtId="0" fontId="12" fillId="11" borderId="0" xfId="0" applyFont="1" applyFill="1" applyAlignment="1">
      <alignment horizontal="right"/>
    </xf>
    <xf numFmtId="0" fontId="12" fillId="11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11" fillId="11" borderId="0" xfId="0" applyFont="1" applyFill="1" applyAlignment="1">
      <alignment horizontal="right"/>
    </xf>
    <xf numFmtId="177" fontId="11" fillId="11" borderId="0" xfId="0" applyNumberFormat="1" applyFont="1" applyFill="1"/>
    <xf numFmtId="2" fontId="14" fillId="11" borderId="0" xfId="0" applyNumberFormat="1" applyFont="1" applyFill="1"/>
    <xf numFmtId="2" fontId="9" fillId="11" borderId="0" xfId="0" applyNumberFormat="1" applyFont="1" applyFill="1"/>
    <xf numFmtId="2" fontId="9" fillId="11" borderId="0" xfId="0" applyNumberFormat="1" applyFont="1" applyFill="1" applyAlignment="1">
      <alignment horizontal="right"/>
    </xf>
    <xf numFmtId="179" fontId="15" fillId="11" borderId="0" xfId="0" applyNumberFormat="1" applyFont="1" applyFill="1"/>
    <xf numFmtId="2" fontId="11" fillId="11" borderId="0" xfId="0" applyNumberFormat="1" applyFont="1" applyFill="1"/>
    <xf numFmtId="0" fontId="16" fillId="11" borderId="0" xfId="0" applyFont="1" applyFill="1" applyAlignment="1">
      <alignment horizontal="center"/>
    </xf>
    <xf numFmtId="0" fontId="17" fillId="11" borderId="0" xfId="0" applyFont="1" applyFill="1"/>
    <xf numFmtId="0" fontId="9" fillId="11" borderId="0" xfId="0" applyFont="1" applyFill="1" applyAlignment="1">
      <alignment horizontal="right"/>
    </xf>
    <xf numFmtId="0" fontId="15" fillId="11" borderId="0" xfId="0" applyFont="1" applyFill="1"/>
    <xf numFmtId="180" fontId="9" fillId="0" borderId="0" xfId="0" applyNumberFormat="1" applyFont="1" applyProtection="1">
      <protection locked="0"/>
    </xf>
    <xf numFmtId="0" fontId="0" fillId="10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24" fillId="10" borderId="0" xfId="0" applyFont="1" applyFill="1"/>
    <xf numFmtId="0" fontId="24" fillId="3" borderId="0" xfId="0" applyFont="1" applyFill="1"/>
    <xf numFmtId="0" fontId="26" fillId="5" borderId="0" xfId="0" applyFont="1" applyFill="1" applyBorder="1"/>
    <xf numFmtId="180" fontId="0" fillId="0" borderId="0" xfId="0" applyNumberFormat="1" applyFill="1" applyAlignment="1">
      <alignment horizontal="left"/>
    </xf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087120150268051"/>
          <c:y val="0.34182000259234335"/>
          <c:w val="0.34387567470807878"/>
          <c:h val="0.31636532154823266"/>
        </c:manualLayout>
      </c:layout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Data!$AD$104:$AD$115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Data!$AE$104:$AE$115</c:f>
              <c:numCache>
                <c:formatCode>General</c:formatCode>
                <c:ptCount val="12"/>
                <c:pt idx="0">
                  <c:v>240</c:v>
                </c:pt>
                <c:pt idx="1">
                  <c:v>600</c:v>
                </c:pt>
                <c:pt idx="2">
                  <c:v>480</c:v>
                </c:pt>
                <c:pt idx="3">
                  <c:v>480</c:v>
                </c:pt>
                <c:pt idx="4">
                  <c:v>660</c:v>
                </c:pt>
                <c:pt idx="5">
                  <c:v>240</c:v>
                </c:pt>
                <c:pt idx="6">
                  <c:v>540</c:v>
                </c:pt>
                <c:pt idx="7">
                  <c:v>360</c:v>
                </c:pt>
                <c:pt idx="8">
                  <c:v>540</c:v>
                </c:pt>
                <c:pt idx="9">
                  <c:v>600</c:v>
                </c:pt>
                <c:pt idx="10">
                  <c:v>420</c:v>
                </c:pt>
                <c:pt idx="11">
                  <c:v>600</c:v>
                </c:pt>
              </c:numCache>
            </c:numRef>
          </c:val>
        </c:ser>
        <c:ser>
          <c:idx val="1"/>
          <c:order val="1"/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808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Data!$AD$104:$AD$115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Data!$AF$104:$AF$115</c:f>
              <c:numCache>
                <c:formatCode>0.0</c:formatCode>
                <c:ptCount val="12"/>
                <c:pt idx="0">
                  <c:v>4.166666666666667</c:v>
                </c:pt>
                <c:pt idx="1">
                  <c:v>10.416666666666666</c:v>
                </c:pt>
                <c:pt idx="2">
                  <c:v>8.3333333333333339</c:v>
                </c:pt>
                <c:pt idx="3">
                  <c:v>8.3333333333333339</c:v>
                </c:pt>
                <c:pt idx="4">
                  <c:v>11.458333333333334</c:v>
                </c:pt>
                <c:pt idx="5">
                  <c:v>4.166666666666667</c:v>
                </c:pt>
                <c:pt idx="6">
                  <c:v>9.375</c:v>
                </c:pt>
                <c:pt idx="7">
                  <c:v>6.25</c:v>
                </c:pt>
                <c:pt idx="8">
                  <c:v>9.375</c:v>
                </c:pt>
                <c:pt idx="9">
                  <c:v>10.416666666666666</c:v>
                </c:pt>
                <c:pt idx="10">
                  <c:v>7.291666666666667</c:v>
                </c:pt>
                <c:pt idx="11">
                  <c:v>10.416666666666666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541096376995035"/>
          <c:y val="0.30996365811602378"/>
          <c:w val="0.42623164058317886"/>
          <c:h val="0.38376452909602943"/>
        </c:manualLayout>
      </c:layout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Data!$AH$104:$AH$115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Data!$AI$104:$AI$115</c:f>
              <c:numCache>
                <c:formatCode>General</c:formatCode>
                <c:ptCount val="12"/>
                <c:pt idx="0">
                  <c:v>-119.99999999999093</c:v>
                </c:pt>
                <c:pt idx="1">
                  <c:v>-60.000000000076966</c:v>
                </c:pt>
                <c:pt idx="2">
                  <c:v>-119.99999999993661</c:v>
                </c:pt>
                <c:pt idx="3">
                  <c:v>-59.999999999968303</c:v>
                </c:pt>
                <c:pt idx="4">
                  <c:v>0</c:v>
                </c:pt>
                <c:pt idx="5">
                  <c:v>-120.00000000004525</c:v>
                </c:pt>
                <c:pt idx="6">
                  <c:v>0</c:v>
                </c:pt>
                <c:pt idx="7">
                  <c:v>-119.99999999999093</c:v>
                </c:pt>
                <c:pt idx="8">
                  <c:v>-59.999999999968303</c:v>
                </c:pt>
                <c:pt idx="9">
                  <c:v>-119.99999999999093</c:v>
                </c:pt>
                <c:pt idx="10">
                  <c:v>59.999999999968303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808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Data!$AH$104:$AH$115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Data!$AJ$104:$AJ$115</c:f>
              <c:numCache>
                <c:formatCode>0.0</c:formatCode>
                <c:ptCount val="12"/>
                <c:pt idx="0">
                  <c:v>16.66666666666541</c:v>
                </c:pt>
                <c:pt idx="1">
                  <c:v>8.333333333344024</c:v>
                </c:pt>
                <c:pt idx="2">
                  <c:v>16.666666666657864</c:v>
                </c:pt>
                <c:pt idx="3">
                  <c:v>8.3333333333289321</c:v>
                </c:pt>
                <c:pt idx="4">
                  <c:v>0</c:v>
                </c:pt>
                <c:pt idx="5">
                  <c:v>16.666666666672956</c:v>
                </c:pt>
                <c:pt idx="6">
                  <c:v>0</c:v>
                </c:pt>
                <c:pt idx="7">
                  <c:v>16.66666666666541</c:v>
                </c:pt>
                <c:pt idx="8">
                  <c:v>8.3333333333289321</c:v>
                </c:pt>
                <c:pt idx="9">
                  <c:v>16.66666666666541</c:v>
                </c:pt>
                <c:pt idx="10">
                  <c:v>-8.3333333333289321</c:v>
                </c:pt>
                <c:pt idx="11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984251968503935"/>
          <c:y val="0.34408677424337025"/>
          <c:w val="0.34645669291338582"/>
          <c:h val="0.31541287638975601"/>
        </c:manualLayout>
      </c:layout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Data!$AM$104:$AM$115</c:f>
              <c:strCache>
                <c:ptCount val="12"/>
                <c:pt idx="0">
                  <c:v>C</c:v>
                </c:pt>
                <c:pt idx="1">
                  <c:v>G</c:v>
                </c:pt>
                <c:pt idx="2">
                  <c:v>D</c:v>
                </c:pt>
                <c:pt idx="3">
                  <c:v>A</c:v>
                </c:pt>
                <c:pt idx="4">
                  <c:v>E</c:v>
                </c:pt>
                <c:pt idx="5">
                  <c:v>B</c:v>
                </c:pt>
                <c:pt idx="6">
                  <c:v>F#</c:v>
                </c:pt>
                <c:pt idx="7">
                  <c:v>C#</c:v>
                </c:pt>
                <c:pt idx="8">
                  <c:v>G#</c:v>
                </c:pt>
                <c:pt idx="9">
                  <c:v>D#</c:v>
                </c:pt>
                <c:pt idx="10">
                  <c:v>A#</c:v>
                </c:pt>
                <c:pt idx="11">
                  <c:v>F</c:v>
                </c:pt>
              </c:strCache>
            </c:strRef>
          </c:cat>
          <c:val>
            <c:numRef>
              <c:f>Data!$AN$104:$AN$115</c:f>
              <c:numCache>
                <c:formatCode>General</c:formatCode>
                <c:ptCount val="12"/>
                <c:pt idx="0">
                  <c:v>240</c:v>
                </c:pt>
                <c:pt idx="1">
                  <c:v>360</c:v>
                </c:pt>
                <c:pt idx="2">
                  <c:v>480</c:v>
                </c:pt>
                <c:pt idx="3">
                  <c:v>600</c:v>
                </c:pt>
                <c:pt idx="4">
                  <c:v>660</c:v>
                </c:pt>
                <c:pt idx="5">
                  <c:v>600</c:v>
                </c:pt>
                <c:pt idx="6">
                  <c:v>540</c:v>
                </c:pt>
                <c:pt idx="7">
                  <c:v>600</c:v>
                </c:pt>
                <c:pt idx="8">
                  <c:v>540</c:v>
                </c:pt>
                <c:pt idx="9">
                  <c:v>480</c:v>
                </c:pt>
                <c:pt idx="10">
                  <c:v>420</c:v>
                </c:pt>
                <c:pt idx="11">
                  <c:v>240</c:v>
                </c:pt>
              </c:numCache>
            </c:numRef>
          </c:val>
        </c:ser>
        <c:ser>
          <c:idx val="1"/>
          <c:order val="1"/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808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Data!$AM$104:$AM$115</c:f>
              <c:strCache>
                <c:ptCount val="12"/>
                <c:pt idx="0">
                  <c:v>C</c:v>
                </c:pt>
                <c:pt idx="1">
                  <c:v>G</c:v>
                </c:pt>
                <c:pt idx="2">
                  <c:v>D</c:v>
                </c:pt>
                <c:pt idx="3">
                  <c:v>A</c:v>
                </c:pt>
                <c:pt idx="4">
                  <c:v>E</c:v>
                </c:pt>
                <c:pt idx="5">
                  <c:v>B</c:v>
                </c:pt>
                <c:pt idx="6">
                  <c:v>F#</c:v>
                </c:pt>
                <c:pt idx="7">
                  <c:v>C#</c:v>
                </c:pt>
                <c:pt idx="8">
                  <c:v>G#</c:v>
                </c:pt>
                <c:pt idx="9">
                  <c:v>D#</c:v>
                </c:pt>
                <c:pt idx="10">
                  <c:v>A#</c:v>
                </c:pt>
                <c:pt idx="11">
                  <c:v>F</c:v>
                </c:pt>
              </c:strCache>
            </c:strRef>
          </c:cat>
          <c:val>
            <c:numRef>
              <c:f>Data!$AO$104:$AO$115</c:f>
              <c:numCache>
                <c:formatCode>General</c:formatCode>
                <c:ptCount val="12"/>
                <c:pt idx="0">
                  <c:v>4.166666666666667</c:v>
                </c:pt>
                <c:pt idx="1">
                  <c:v>6.25</c:v>
                </c:pt>
                <c:pt idx="2">
                  <c:v>8.3333333333333339</c:v>
                </c:pt>
                <c:pt idx="3">
                  <c:v>10.416666666666666</c:v>
                </c:pt>
                <c:pt idx="4">
                  <c:v>11.458333333333334</c:v>
                </c:pt>
                <c:pt idx="5">
                  <c:v>10.416666666666666</c:v>
                </c:pt>
                <c:pt idx="6">
                  <c:v>9.375</c:v>
                </c:pt>
                <c:pt idx="7">
                  <c:v>10.416666666666666</c:v>
                </c:pt>
                <c:pt idx="8">
                  <c:v>9.375</c:v>
                </c:pt>
                <c:pt idx="9">
                  <c:v>8.3333333333333339</c:v>
                </c:pt>
                <c:pt idx="10">
                  <c:v>7.291666666666667</c:v>
                </c:pt>
                <c:pt idx="11">
                  <c:v>4.166666666666667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541096376995035"/>
          <c:y val="0.31428667341252525"/>
          <c:w val="0.42623164058317886"/>
          <c:h val="0.37142970494207528"/>
        </c:manualLayout>
      </c:layout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Data!$AQ$104:$AQ$115</c:f>
              <c:strCache>
                <c:ptCount val="12"/>
                <c:pt idx="0">
                  <c:v>C</c:v>
                </c:pt>
                <c:pt idx="1">
                  <c:v>G</c:v>
                </c:pt>
                <c:pt idx="2">
                  <c:v>D</c:v>
                </c:pt>
                <c:pt idx="3">
                  <c:v>A</c:v>
                </c:pt>
                <c:pt idx="4">
                  <c:v>E</c:v>
                </c:pt>
                <c:pt idx="5">
                  <c:v>B</c:v>
                </c:pt>
                <c:pt idx="6">
                  <c:v>F#</c:v>
                </c:pt>
                <c:pt idx="7">
                  <c:v>C#</c:v>
                </c:pt>
                <c:pt idx="8">
                  <c:v>G#</c:v>
                </c:pt>
                <c:pt idx="9">
                  <c:v>D#</c:v>
                </c:pt>
                <c:pt idx="10">
                  <c:v>A#</c:v>
                </c:pt>
                <c:pt idx="11">
                  <c:v>F</c:v>
                </c:pt>
              </c:strCache>
            </c:strRef>
          </c:cat>
          <c:val>
            <c:numRef>
              <c:f>Data!$AR$104:$AR$115</c:f>
              <c:numCache>
                <c:formatCode>General</c:formatCode>
                <c:ptCount val="12"/>
                <c:pt idx="0">
                  <c:v>-119.99999999999093</c:v>
                </c:pt>
                <c:pt idx="1">
                  <c:v>-119.99999999999093</c:v>
                </c:pt>
                <c:pt idx="2">
                  <c:v>-119.99999999993661</c:v>
                </c:pt>
                <c:pt idx="3">
                  <c:v>-119.99999999999093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-60.000000000076966</c:v>
                </c:pt>
                <c:pt idx="8">
                  <c:v>-59.999999999968303</c:v>
                </c:pt>
                <c:pt idx="9">
                  <c:v>-59.999999999968303</c:v>
                </c:pt>
                <c:pt idx="10">
                  <c:v>59.999999999968303</c:v>
                </c:pt>
                <c:pt idx="11">
                  <c:v>-120.00000000004525</c:v>
                </c:pt>
              </c:numCache>
            </c:numRef>
          </c:val>
        </c:ser>
        <c:ser>
          <c:idx val="1"/>
          <c:order val="1"/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808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Data!$AQ$104:$AQ$115</c:f>
              <c:strCache>
                <c:ptCount val="12"/>
                <c:pt idx="0">
                  <c:v>C</c:v>
                </c:pt>
                <c:pt idx="1">
                  <c:v>G</c:v>
                </c:pt>
                <c:pt idx="2">
                  <c:v>D</c:v>
                </c:pt>
                <c:pt idx="3">
                  <c:v>A</c:v>
                </c:pt>
                <c:pt idx="4">
                  <c:v>E</c:v>
                </c:pt>
                <c:pt idx="5">
                  <c:v>B</c:v>
                </c:pt>
                <c:pt idx="6">
                  <c:v>F#</c:v>
                </c:pt>
                <c:pt idx="7">
                  <c:v>C#</c:v>
                </c:pt>
                <c:pt idx="8">
                  <c:v>G#</c:v>
                </c:pt>
                <c:pt idx="9">
                  <c:v>D#</c:v>
                </c:pt>
                <c:pt idx="10">
                  <c:v>A#</c:v>
                </c:pt>
                <c:pt idx="11">
                  <c:v>F</c:v>
                </c:pt>
              </c:strCache>
            </c:strRef>
          </c:cat>
          <c:val>
            <c:numRef>
              <c:f>Data!$AS$104:$AS$115</c:f>
              <c:numCache>
                <c:formatCode>General</c:formatCode>
                <c:ptCount val="12"/>
                <c:pt idx="0">
                  <c:v>16.66666666666541</c:v>
                </c:pt>
                <c:pt idx="1">
                  <c:v>16.66666666666541</c:v>
                </c:pt>
                <c:pt idx="2">
                  <c:v>16.666666666657864</c:v>
                </c:pt>
                <c:pt idx="3">
                  <c:v>16.66666666666541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8.333333333344024</c:v>
                </c:pt>
                <c:pt idx="8">
                  <c:v>8.3333333333289321</c:v>
                </c:pt>
                <c:pt idx="9">
                  <c:v>8.3333333333289321</c:v>
                </c:pt>
                <c:pt idx="10">
                  <c:v>-8.3333333333289321</c:v>
                </c:pt>
                <c:pt idx="11">
                  <c:v>16.666666666672956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Drop" dropLines="20" dropStyle="combo" dx="20" fmlaLink="$B$6" fmlaRange="$C$35:$C$125" sel="29" val="28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160020</xdr:rowOff>
        </xdr:from>
        <xdr:to>
          <xdr:col>2</xdr:col>
          <xdr:colOff>60960</xdr:colOff>
          <xdr:row>7</xdr:row>
          <xdr:rowOff>30480</xdr:rowOff>
        </xdr:to>
        <xdr:sp macro="" textlink="">
          <xdr:nvSpPr>
            <xdr:cNvPr id="2074" name="Drop Down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</xdr:colOff>
      <xdr:row>8</xdr:row>
      <xdr:rowOff>45720</xdr:rowOff>
    </xdr:from>
    <xdr:to>
      <xdr:col>7</xdr:col>
      <xdr:colOff>99060</xdr:colOff>
      <xdr:row>20</xdr:row>
      <xdr:rowOff>129540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129540</xdr:colOff>
      <xdr:row>8</xdr:row>
      <xdr:rowOff>45720</xdr:rowOff>
    </xdr:from>
    <xdr:to>
      <xdr:col>14</xdr:col>
      <xdr:colOff>525780</xdr:colOff>
      <xdr:row>20</xdr:row>
      <xdr:rowOff>99060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381000</xdr:colOff>
      <xdr:row>23</xdr:row>
      <xdr:rowOff>7620</xdr:rowOff>
    </xdr:from>
    <xdr:to>
      <xdr:col>7</xdr:col>
      <xdr:colOff>106680</xdr:colOff>
      <xdr:row>35</xdr:row>
      <xdr:rowOff>121920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129540</xdr:colOff>
      <xdr:row>23</xdr:row>
      <xdr:rowOff>7620</xdr:rowOff>
    </xdr:from>
    <xdr:to>
      <xdr:col>14</xdr:col>
      <xdr:colOff>525780</xdr:colOff>
      <xdr:row>35</xdr:row>
      <xdr:rowOff>129540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D154"/>
  <sheetViews>
    <sheetView tabSelected="1" workbookViewId="0">
      <selection activeCell="C21" sqref="C21"/>
    </sheetView>
  </sheetViews>
  <sheetFormatPr defaultRowHeight="13.2" x14ac:dyDescent="0.25"/>
  <cols>
    <col min="1" max="1" width="11.33203125" customWidth="1"/>
    <col min="2" max="2" width="16.5546875" customWidth="1"/>
    <col min="3" max="3" width="39.109375" customWidth="1"/>
    <col min="4" max="5" width="6.88671875" customWidth="1"/>
    <col min="6" max="7" width="7.88671875" customWidth="1"/>
    <col min="8" max="8" width="6.44140625" customWidth="1"/>
    <col min="9" max="10" width="6.33203125" customWidth="1"/>
    <col min="11" max="11" width="6.44140625" customWidth="1"/>
    <col min="12" max="12" width="6.5546875" customWidth="1"/>
    <col min="13" max="13" width="6" customWidth="1"/>
    <col min="14" max="14" width="6.5546875" customWidth="1"/>
    <col min="15" max="15" width="6.88671875" customWidth="1"/>
    <col min="16" max="17" width="6.5546875" customWidth="1"/>
    <col min="18" max="18" width="5.88671875" customWidth="1"/>
    <col min="19" max="19" width="6.6640625" customWidth="1"/>
    <col min="20" max="20" width="13.5546875" customWidth="1"/>
    <col min="21" max="21" width="6.5546875" customWidth="1"/>
    <col min="22" max="22" width="7.88671875" customWidth="1"/>
    <col min="24" max="24" width="7.33203125" customWidth="1"/>
    <col min="25" max="25" width="5.5546875" customWidth="1"/>
    <col min="26" max="26" width="6.88671875" customWidth="1"/>
    <col min="27" max="27" width="5.5546875" customWidth="1"/>
    <col min="28" max="28" width="5.109375" customWidth="1"/>
    <col min="29" max="29" width="5.88671875" customWidth="1"/>
    <col min="30" max="30" width="5.44140625" customWidth="1"/>
    <col min="31" max="31" width="6.44140625" customWidth="1"/>
    <col min="32" max="32" width="7.6640625" customWidth="1"/>
    <col min="34" max="35" width="12.5546875" customWidth="1"/>
    <col min="36" max="36" width="6.44140625" customWidth="1"/>
    <col min="37" max="37" width="4.44140625" customWidth="1"/>
    <col min="38" max="38" width="4.6640625" customWidth="1"/>
    <col min="40" max="40" width="6.109375" customWidth="1"/>
    <col min="41" max="42" width="5.33203125" customWidth="1"/>
    <col min="43" max="43" width="5.6640625" customWidth="1"/>
    <col min="44" max="44" width="6.109375" customWidth="1"/>
    <col min="45" max="45" width="5.6640625" customWidth="1"/>
    <col min="46" max="46" width="5.44140625" customWidth="1"/>
    <col min="47" max="47" width="5.5546875" customWidth="1"/>
    <col min="48" max="48" width="5.44140625" customWidth="1"/>
    <col min="49" max="49" width="1" customWidth="1"/>
    <col min="50" max="50" width="4.88671875" customWidth="1"/>
    <col min="51" max="51" width="4.5546875" customWidth="1"/>
    <col min="52" max="52" width="4.6640625" customWidth="1"/>
    <col min="53" max="53" width="5" customWidth="1"/>
    <col min="54" max="54" width="5.33203125" customWidth="1"/>
    <col min="55" max="55" width="5.109375" customWidth="1"/>
    <col min="56" max="56" width="4.44140625" customWidth="1"/>
    <col min="57" max="57" width="5.6640625" customWidth="1"/>
    <col min="58" max="58" width="3.33203125" customWidth="1"/>
    <col min="59" max="59" width="5.6640625" customWidth="1"/>
    <col min="60" max="60" width="13.5546875" customWidth="1"/>
    <col min="61" max="61" width="9.5546875" customWidth="1"/>
    <col min="62" max="62" width="10.88671875" customWidth="1"/>
    <col min="63" max="63" width="10.44140625" customWidth="1"/>
    <col min="64" max="64" width="11.88671875" customWidth="1"/>
    <col min="65" max="65" width="11.44140625" customWidth="1"/>
    <col min="66" max="66" width="11.88671875" customWidth="1"/>
    <col min="67" max="67" width="11.44140625" customWidth="1"/>
    <col min="68" max="68" width="10.88671875" customWidth="1"/>
    <col min="69" max="69" width="9.44140625" customWidth="1"/>
    <col min="70" max="70" width="3.44140625" customWidth="1"/>
    <col min="71" max="71" width="6.5546875" customWidth="1"/>
    <col min="72" max="72" width="5.33203125" customWidth="1"/>
    <col min="73" max="73" width="6.44140625" customWidth="1"/>
    <col min="74" max="74" width="5.88671875" customWidth="1"/>
    <col min="75" max="75" width="6.33203125" customWidth="1"/>
    <col min="76" max="76" width="5.88671875" customWidth="1"/>
    <col min="77" max="77" width="6.109375" customWidth="1"/>
    <col min="78" max="78" width="6.33203125" customWidth="1"/>
    <col min="79" max="79" width="5.6640625" customWidth="1"/>
    <col min="80" max="80" width="6.44140625" customWidth="1"/>
    <col min="81" max="81" width="6.109375" customWidth="1"/>
    <col min="82" max="82" width="6.5546875" customWidth="1"/>
    <col min="83" max="83" width="6.109375" customWidth="1"/>
    <col min="84" max="84" width="4.5546875" customWidth="1"/>
    <col min="85" max="85" width="6.44140625" customWidth="1"/>
    <col min="86" max="88" width="4.109375" customWidth="1"/>
    <col min="89" max="89" width="4.33203125" customWidth="1"/>
    <col min="90" max="90" width="4.109375" customWidth="1"/>
    <col min="91" max="91" width="4.33203125" customWidth="1"/>
    <col min="92" max="93" width="4.6640625" customWidth="1"/>
    <col min="94" max="95" width="4.5546875" customWidth="1"/>
    <col min="96" max="98" width="4.6640625" customWidth="1"/>
    <col min="99" max="99" width="4.5546875" customWidth="1"/>
  </cols>
  <sheetData>
    <row r="1" spans="1:82" x14ac:dyDescent="0.25">
      <c r="A1" s="17" t="s">
        <v>0</v>
      </c>
      <c r="B1" s="15"/>
      <c r="D1" s="97" t="s">
        <v>1</v>
      </c>
      <c r="E1" s="98"/>
      <c r="F1" s="99"/>
      <c r="G1" s="100" t="str">
        <f>CONCATENATE(+Temper_Choice_Name,", set from ",IF(UseA,"A=","C="),IF(UseA,RefA,RefC))</f>
        <v>Bach 1722 (Lehman, from title page of WTC), set from C=523.25</v>
      </c>
      <c r="H1" s="98"/>
      <c r="I1" s="98"/>
      <c r="J1" s="98"/>
      <c r="K1" s="98"/>
      <c r="L1" s="98"/>
      <c r="M1" s="98"/>
      <c r="N1" s="98"/>
      <c r="O1" s="99"/>
      <c r="P1" s="101"/>
      <c r="Q1" s="99"/>
      <c r="R1" s="99"/>
      <c r="S1" s="99"/>
      <c r="AN1" s="38" t="s">
        <v>2</v>
      </c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I1" s="49" t="s">
        <v>3</v>
      </c>
      <c r="BJ1" s="50"/>
      <c r="BK1" s="50"/>
      <c r="BL1" s="50"/>
      <c r="BM1" s="50"/>
      <c r="BN1" s="50"/>
      <c r="BO1" s="50"/>
      <c r="BP1" s="50"/>
      <c r="BQ1" s="50"/>
      <c r="BR1" s="50"/>
      <c r="BS1" s="9"/>
    </row>
    <row r="2" spans="1:82" x14ac:dyDescent="0.25">
      <c r="A2" s="16" t="s">
        <v>4</v>
      </c>
      <c r="B2" s="67">
        <v>440</v>
      </c>
      <c r="D2" s="102"/>
      <c r="E2" s="103"/>
      <c r="F2" s="103"/>
      <c r="G2" s="104" t="s">
        <v>5</v>
      </c>
      <c r="H2" s="104" t="s">
        <v>6</v>
      </c>
      <c r="I2" s="104" t="s">
        <v>7</v>
      </c>
      <c r="J2" s="104" t="s">
        <v>8</v>
      </c>
      <c r="K2" s="104" t="s">
        <v>9</v>
      </c>
      <c r="L2" s="104" t="s">
        <v>10</v>
      </c>
      <c r="M2" s="104" t="s">
        <v>11</v>
      </c>
      <c r="N2" s="104" t="s">
        <v>12</v>
      </c>
      <c r="O2" s="105" t="s">
        <v>13</v>
      </c>
      <c r="P2" s="105" t="s">
        <v>14</v>
      </c>
      <c r="Q2" s="105" t="s">
        <v>15</v>
      </c>
      <c r="R2" s="105" t="s">
        <v>16</v>
      </c>
      <c r="S2" s="105" t="s">
        <v>17</v>
      </c>
      <c r="U2" s="19" t="s">
        <v>18</v>
      </c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N2" s="41" t="str">
        <f>+Temper_Choice_Name</f>
        <v>Bach 1722 (Lehman, from title page of WTC)</v>
      </c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I2" s="51" t="str">
        <f>+Temper_Choice_Name</f>
        <v>Bach 1722 (Lehman, from title page of WTC)</v>
      </c>
      <c r="BJ2" s="50"/>
      <c r="BK2" s="50"/>
      <c r="BL2" s="50"/>
      <c r="BM2" s="50"/>
      <c r="BN2" s="50"/>
      <c r="BO2" s="50"/>
      <c r="BP2" s="50"/>
      <c r="BQ2" s="50"/>
      <c r="BR2" s="50"/>
    </row>
    <row r="3" spans="1:82" x14ac:dyDescent="0.25">
      <c r="A3" s="16" t="s">
        <v>19</v>
      </c>
      <c r="B3" s="67">
        <v>523.25</v>
      </c>
      <c r="D3" s="106" t="s">
        <v>20</v>
      </c>
      <c r="E3" s="107" t="s">
        <v>21</v>
      </c>
      <c r="F3" s="108" t="s">
        <v>22</v>
      </c>
      <c r="G3" s="109" t="s">
        <v>23</v>
      </c>
      <c r="H3" s="109" t="s">
        <v>24</v>
      </c>
      <c r="I3" s="109" t="s">
        <v>25</v>
      </c>
      <c r="J3" s="109" t="s">
        <v>26</v>
      </c>
      <c r="K3" s="109" t="s">
        <v>27</v>
      </c>
      <c r="L3" s="109" t="s">
        <v>28</v>
      </c>
      <c r="M3" s="109" t="s">
        <v>29</v>
      </c>
      <c r="N3" s="109" t="s">
        <v>30</v>
      </c>
      <c r="O3" s="109" t="s">
        <v>31</v>
      </c>
      <c r="P3" s="105" t="s">
        <v>28</v>
      </c>
      <c r="Q3" s="105" t="s">
        <v>29</v>
      </c>
      <c r="R3" s="105" t="s">
        <v>30</v>
      </c>
      <c r="S3" s="105" t="s">
        <v>30</v>
      </c>
      <c r="U3" s="20" t="str">
        <f>+Temper_Choice_Name</f>
        <v>Bach 1722 (Lehman, from title page of WTC)</v>
      </c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N3" s="39"/>
      <c r="AO3" s="42" t="s">
        <v>32</v>
      </c>
      <c r="AP3" s="42"/>
      <c r="AQ3" s="42"/>
      <c r="AR3" s="42"/>
      <c r="AS3" s="42" t="s">
        <v>32</v>
      </c>
      <c r="AT3" s="42" t="s">
        <v>32</v>
      </c>
      <c r="AU3" s="42" t="s">
        <v>32</v>
      </c>
      <c r="AV3" s="42"/>
      <c r="AW3" s="42"/>
      <c r="AX3" s="42" t="s">
        <v>33</v>
      </c>
      <c r="AY3" s="42" t="s">
        <v>34</v>
      </c>
      <c r="AZ3" s="42" t="s">
        <v>35</v>
      </c>
      <c r="BA3" s="42"/>
      <c r="BB3" s="42"/>
      <c r="BC3" s="42"/>
      <c r="BD3" s="42"/>
      <c r="BE3" s="42" t="s">
        <v>36</v>
      </c>
      <c r="BF3" s="39"/>
      <c r="BI3" s="50"/>
      <c r="BJ3" s="50"/>
      <c r="BK3" s="50"/>
      <c r="BL3" s="50"/>
      <c r="BM3" s="50"/>
      <c r="BN3" s="50"/>
      <c r="BO3" s="50"/>
      <c r="BP3" s="50"/>
      <c r="BQ3" s="50"/>
      <c r="BR3" s="50"/>
    </row>
    <row r="4" spans="1:82" x14ac:dyDescent="0.25">
      <c r="A4" s="16" t="s">
        <v>37</v>
      </c>
      <c r="B4" s="67" t="b">
        <f>FALSE()</f>
        <v>0</v>
      </c>
      <c r="D4" s="109" t="str">
        <f t="shared" ref="D4:D12" si="0">+S63</f>
        <v>C</v>
      </c>
      <c r="E4" s="110">
        <f t="shared" ref="E4:E12" si="1">IF(UseA,U63,V63)/4</f>
        <v>130.8125</v>
      </c>
      <c r="F4" s="111">
        <f t="shared" ref="F4:F12" si="2">+IF(UseA,X63,W63)</f>
        <v>0</v>
      </c>
      <c r="G4" s="96">
        <f t="shared" ref="G4:G15" si="3">($E7*6)-($E4*7)</f>
        <v>16.638008533865104</v>
      </c>
      <c r="H4" s="96">
        <f t="shared" ref="H4:H15" si="4">($E7*5)-($E4*6)</f>
        <v>-7.9370762217790798</v>
      </c>
      <c r="I4" s="96">
        <f t="shared" ref="I4:I15" si="5">($E8*4)-($E4*5)</f>
        <v>2.2200484976674488</v>
      </c>
      <c r="J4" s="96">
        <f t="shared" ref="J4:J15" si="6">($E9*3)-($E4*4)</f>
        <v>1.1830985502990643</v>
      </c>
      <c r="K4" s="96">
        <f t="shared" ref="K4:K15" si="7">($E11*2)-($E4*3)</f>
        <v>-0.88532214808037679</v>
      </c>
      <c r="L4" s="96">
        <f t="shared" ref="L4:L15" si="8">($E12*5)-($E4*8)</f>
        <v>-9.4122951247104538</v>
      </c>
      <c r="M4" s="96">
        <f t="shared" ref="M4:M15" si="9">($E13*3)-($E4*5)</f>
        <v>3.7039413437529447</v>
      </c>
      <c r="N4" s="96">
        <f t="shared" ref="N4:N15" si="10">($E14*5)-($E4*9)</f>
        <v>-13.220910509215855</v>
      </c>
      <c r="O4" s="96">
        <f t="shared" ref="O4:O15" si="11">($E15*8)-($E4*15)</f>
        <v>6.6601454930021191</v>
      </c>
      <c r="P4" s="112">
        <f t="shared" ref="P4:P15" si="12">($E12*9)-($E4*14)</f>
        <v>35.382868775521274</v>
      </c>
      <c r="Q4" s="113">
        <f t="shared" ref="Q4:Q15" si="13">($E13*7)-($E4*12)</f>
        <v>-34.961636864576576</v>
      </c>
      <c r="R4" s="113">
        <f t="shared" ref="R4:R15" si="14">($E14*4)-($E4*7)</f>
        <v>15.585771592627339</v>
      </c>
      <c r="S4" s="113">
        <f t="shared" ref="S4:S15" si="15">($E14*9)-($E4*16)</f>
        <v>2.3648610834115971</v>
      </c>
      <c r="U4" s="21" t="s">
        <v>38</v>
      </c>
      <c r="V4" s="22" t="s">
        <v>39</v>
      </c>
      <c r="W4" s="22" t="s">
        <v>40</v>
      </c>
      <c r="X4" s="22" t="s">
        <v>41</v>
      </c>
      <c r="Y4" s="22" t="s">
        <v>42</v>
      </c>
      <c r="Z4" s="22" t="s">
        <v>43</v>
      </c>
      <c r="AA4" s="22" t="s">
        <v>44</v>
      </c>
      <c r="AB4" s="22" t="s">
        <v>45</v>
      </c>
      <c r="AC4" s="22" t="s">
        <v>46</v>
      </c>
      <c r="AD4" s="22" t="s">
        <v>47</v>
      </c>
      <c r="AE4" s="22" t="s">
        <v>48</v>
      </c>
      <c r="AF4" s="22" t="s">
        <v>49</v>
      </c>
      <c r="AG4" s="22" t="s">
        <v>50</v>
      </c>
      <c r="AH4" s="22" t="s">
        <v>51</v>
      </c>
      <c r="AI4" s="22" t="s">
        <v>52</v>
      </c>
      <c r="AJ4" s="22" t="s">
        <v>53</v>
      </c>
      <c r="AK4" s="22" t="s">
        <v>54</v>
      </c>
      <c r="AL4" s="22" t="s">
        <v>55</v>
      </c>
      <c r="AN4" s="43" t="s">
        <v>56</v>
      </c>
      <c r="AO4" s="44" t="s">
        <v>24</v>
      </c>
      <c r="AP4" s="44" t="s">
        <v>25</v>
      </c>
      <c r="AQ4" s="44" t="s">
        <v>26</v>
      </c>
      <c r="AR4" s="44" t="s">
        <v>27</v>
      </c>
      <c r="AS4" s="42" t="s">
        <v>28</v>
      </c>
      <c r="AT4" s="44" t="s">
        <v>29</v>
      </c>
      <c r="AU4" s="42" t="s">
        <v>30</v>
      </c>
      <c r="AV4" s="42" t="s">
        <v>31</v>
      </c>
      <c r="AW4" s="42" t="s">
        <v>57</v>
      </c>
      <c r="AX4" s="44" t="s">
        <v>58</v>
      </c>
      <c r="AY4" s="44" t="s">
        <v>58</v>
      </c>
      <c r="AZ4" s="42" t="s">
        <v>58</v>
      </c>
      <c r="BA4" s="42" t="s">
        <v>59</v>
      </c>
      <c r="BB4" s="42" t="s">
        <v>60</v>
      </c>
      <c r="BC4" s="42" t="s">
        <v>61</v>
      </c>
      <c r="BD4" s="42" t="s">
        <v>62</v>
      </c>
      <c r="BE4" s="42" t="s">
        <v>41</v>
      </c>
      <c r="BF4" s="45"/>
      <c r="BH4" s="4"/>
      <c r="BI4" s="50" t="s">
        <v>63</v>
      </c>
      <c r="BJ4" s="52" t="str">
        <f>Y64</f>
        <v>E</v>
      </c>
      <c r="BK4" s="52"/>
      <c r="BL4" s="52" t="str">
        <f>Y65</f>
        <v>B</v>
      </c>
      <c r="BM4" s="52"/>
      <c r="BN4" s="52" t="str">
        <f>Y66</f>
        <v>F#</v>
      </c>
      <c r="BO4" s="52"/>
      <c r="BP4" s="52" t="str">
        <f>Y67</f>
        <v>C#</v>
      </c>
      <c r="BQ4" s="52"/>
      <c r="BR4" s="50"/>
    </row>
    <row r="5" spans="1:82" x14ac:dyDescent="0.25">
      <c r="A5" s="16"/>
      <c r="B5" s="67"/>
      <c r="D5" s="109" t="str">
        <f t="shared" si="0"/>
        <v>C#</v>
      </c>
      <c r="E5" s="110">
        <f t="shared" si="1"/>
        <v>138.43460007372673</v>
      </c>
      <c r="F5" s="111">
        <f t="shared" si="2"/>
        <v>98.044999134612695</v>
      </c>
      <c r="G5" s="96">
        <f t="shared" si="3"/>
        <v>15.381622230414109</v>
      </c>
      <c r="H5" s="96">
        <f t="shared" si="4"/>
        <v>-10.254414820275997</v>
      </c>
      <c r="I5" s="96">
        <f t="shared" si="5"/>
        <v>7.0711310317650486</v>
      </c>
      <c r="J5" s="96">
        <f t="shared" si="6"/>
        <v>0</v>
      </c>
      <c r="K5" s="96">
        <f t="shared" si="7"/>
        <v>-0.46871827106429009</v>
      </c>
      <c r="L5" s="96">
        <f t="shared" si="8"/>
        <v>-11.199398350225465</v>
      </c>
      <c r="M5" s="96">
        <f t="shared" si="9"/>
        <v>6.2819533258368665</v>
      </c>
      <c r="N5" s="96">
        <f t="shared" si="10"/>
        <v>-15.381622230414223</v>
      </c>
      <c r="O5" s="96">
        <f t="shared" si="11"/>
        <v>16.48099889409923</v>
      </c>
      <c r="P5" s="112">
        <f t="shared" si="12"/>
        <v>35.21492299908482</v>
      </c>
      <c r="Q5" s="113">
        <f t="shared" si="13"/>
        <v>-31.486975597622859</v>
      </c>
      <c r="R5" s="113">
        <f t="shared" si="14"/>
        <v>15.381622230413996</v>
      </c>
      <c r="S5" s="113">
        <f t="shared" si="15"/>
        <v>0</v>
      </c>
      <c r="U5" s="21" t="str">
        <f>+AN20</f>
        <v>C</v>
      </c>
      <c r="V5" s="23">
        <f>+AX20</f>
        <v>1.751975082733578</v>
      </c>
      <c r="W5" s="23">
        <f>+AY20</f>
        <v>7.281025487728539</v>
      </c>
      <c r="X5" s="23">
        <f>+BE25</f>
        <v>7.4202454216451219</v>
      </c>
      <c r="Y5" s="23">
        <f t="shared" ref="Y5:Y14" si="16">+W7</f>
        <v>2.5911812888941133</v>
      </c>
      <c r="Z5" s="23">
        <f>+AL14</f>
        <v>5.7614317962644339</v>
      </c>
      <c r="AA5" s="23">
        <f>+V14</f>
        <v>3.0600478244509062</v>
      </c>
      <c r="AB5" s="23">
        <f t="shared" ref="AB5:AB12" si="17">+W9</f>
        <v>2.0271920243102981</v>
      </c>
      <c r="AC5" s="23">
        <f>+V16</f>
        <v>1.751975082733668</v>
      </c>
      <c r="AD5" s="23">
        <f>+W16</f>
        <v>8.0854111093150252</v>
      </c>
      <c r="AE5" s="23">
        <f t="shared" ref="AE5:AE15" si="18">+V6</f>
        <v>2.5460314552207146</v>
      </c>
      <c r="AF5" s="23">
        <f>+BA27</f>
        <v>5.2705575428210754</v>
      </c>
      <c r="AG5" s="23">
        <f t="shared" ref="AG5:AG15" si="19">+W6</f>
        <v>6.4757309983673812</v>
      </c>
      <c r="AH5" s="23">
        <f>+V13</f>
        <v>6.3529888131202954</v>
      </c>
      <c r="AI5" s="23">
        <f t="shared" ref="AI5:AI13" si="20">+W8</f>
        <v>2.5911812888941652</v>
      </c>
      <c r="AJ5" s="23">
        <f>+V15</f>
        <v>2.6622160580469711</v>
      </c>
      <c r="AK5" s="23">
        <f>+AZ31</f>
        <v>4.8619553314653992</v>
      </c>
      <c r="AL5" s="23">
        <f>+BD31</f>
        <v>6.7148384271254455</v>
      </c>
      <c r="AN5" s="45" t="str">
        <f t="shared" ref="AN5:AV5" si="21">+AN20</f>
        <v>C</v>
      </c>
      <c r="AO5" s="47">
        <f t="shared" si="21"/>
        <v>-7.281025487728539</v>
      </c>
      <c r="AP5" s="47">
        <f t="shared" si="21"/>
        <v>2.3759716362996111</v>
      </c>
      <c r="AQ5" s="47">
        <f t="shared" si="21"/>
        <v>3.1654810710342858</v>
      </c>
      <c r="AR5" s="47">
        <f t="shared" si="21"/>
        <v>-3.3839355875026342</v>
      </c>
      <c r="AS5" s="47">
        <f t="shared" si="21"/>
        <v>-4.9199300382807394</v>
      </c>
      <c r="AT5" s="47">
        <f t="shared" si="21"/>
        <v>3.9640843812740547</v>
      </c>
      <c r="AU5" s="47">
        <f t="shared" si="21"/>
        <v>1.8078250040413548</v>
      </c>
      <c r="AV5" s="47">
        <f t="shared" si="21"/>
        <v>7.1279149088985889</v>
      </c>
      <c r="AW5" s="42" t="s">
        <v>57</v>
      </c>
      <c r="AX5" s="47">
        <f t="shared" ref="AX5:BE5" si="22">+AX20</f>
        <v>1.751975082733578</v>
      </c>
      <c r="AY5" s="47">
        <f t="shared" si="22"/>
        <v>7.281025487728539</v>
      </c>
      <c r="AZ5" s="47">
        <f t="shared" si="22"/>
        <v>7.2810254877285603</v>
      </c>
      <c r="BA5" s="47">
        <f t="shared" si="22"/>
        <v>1.7854850355182443</v>
      </c>
      <c r="BB5" s="47">
        <f t="shared" si="22"/>
        <v>4.9775389784325847</v>
      </c>
      <c r="BC5" s="47">
        <f t="shared" si="22"/>
        <v>3.9971051975162282</v>
      </c>
      <c r="BD5" s="47">
        <f t="shared" si="22"/>
        <v>5.2908608238558568</v>
      </c>
      <c r="BE5" s="47">
        <f t="shared" si="22"/>
        <v>5.5305599020853897</v>
      </c>
      <c r="BF5" s="45" t="str">
        <f t="shared" ref="BF5:BF16" si="23">+AN5</f>
        <v>C</v>
      </c>
      <c r="BI5" s="53" t="str">
        <f>IF(BI6="SC","SC","approx SC")</f>
        <v>approx SC</v>
      </c>
      <c r="BJ5" s="53" t="str">
        <f>AJ60</f>
        <v>( 33/100 )</v>
      </c>
      <c r="BK5" s="53"/>
      <c r="BL5" s="53" t="str">
        <f>AJ61</f>
        <v>( 1/2 )</v>
      </c>
      <c r="BM5" s="53"/>
      <c r="BN5" s="53" t="str">
        <f>AJ62</f>
        <v>( 67/100 )</v>
      </c>
      <c r="BO5" s="53"/>
      <c r="BP5" s="53" t="str">
        <f>AJ63</f>
        <v>( 83/100 )</v>
      </c>
      <c r="BQ5" s="53"/>
      <c r="BR5" s="50"/>
    </row>
    <row r="6" spans="1:82" x14ac:dyDescent="0.25">
      <c r="A6" s="16" t="s">
        <v>64</v>
      </c>
      <c r="B6" s="67">
        <v>29</v>
      </c>
      <c r="D6" s="109" t="str">
        <f t="shared" si="0"/>
        <v>D</v>
      </c>
      <c r="E6" s="110">
        <f t="shared" si="1"/>
        <v>146.50081985722053</v>
      </c>
      <c r="F6" s="111">
        <f t="shared" si="2"/>
        <v>196.08999826922513</v>
      </c>
      <c r="G6" s="96">
        <f t="shared" si="3"/>
        <v>23.360458100054302</v>
      </c>
      <c r="H6" s="96">
        <f t="shared" si="4"/>
        <v>-4.9497548928247852</v>
      </c>
      <c r="I6" s="96">
        <f t="shared" si="5"/>
        <v>5.8137677737731792</v>
      </c>
      <c r="J6" s="96">
        <f t="shared" si="6"/>
        <v>1.324987348997297</v>
      </c>
      <c r="K6" s="96">
        <f t="shared" si="7"/>
        <v>-0.99149867582627849</v>
      </c>
      <c r="L6" s="96">
        <f t="shared" si="8"/>
        <v>-7.9149693669801309</v>
      </c>
      <c r="M6" s="96">
        <f t="shared" si="9"/>
        <v>5.8137677737730655</v>
      </c>
      <c r="N6" s="96">
        <f t="shared" si="10"/>
        <v>-10.382378714984725</v>
      </c>
      <c r="O6" s="96">
        <f t="shared" si="11"/>
        <v>17.441303321319538</v>
      </c>
      <c r="P6" s="112">
        <f t="shared" si="12"/>
        <v>44.353383082323944</v>
      </c>
      <c r="Q6" s="113">
        <f t="shared" si="13"/>
        <v>-35.268148480269474</v>
      </c>
      <c r="R6" s="113">
        <f t="shared" si="14"/>
        <v>20.994260999456174</v>
      </c>
      <c r="S6" s="113">
        <f t="shared" si="15"/>
        <v>10.611882284471449</v>
      </c>
      <c r="U6" s="21" t="str">
        <f>+AN27</f>
        <v>G</v>
      </c>
      <c r="V6" s="23">
        <f>+AX27</f>
        <v>2.5460314552207146</v>
      </c>
      <c r="W6" s="23">
        <f>+AY27</f>
        <v>6.4757309983673812</v>
      </c>
      <c r="X6" s="23">
        <f>+BE20</f>
        <v>5.5305599020853897</v>
      </c>
      <c r="Y6" s="23">
        <f t="shared" si="16"/>
        <v>2.5911812888941652</v>
      </c>
      <c r="Z6" s="23">
        <f>+AL15</f>
        <v>6.5577361682127417</v>
      </c>
      <c r="AA6" s="23">
        <f>+V15</f>
        <v>2.6622160580469711</v>
      </c>
      <c r="AB6" s="23">
        <f t="shared" si="17"/>
        <v>2.8347633071550331</v>
      </c>
      <c r="AC6" s="23">
        <f t="shared" ref="AC6:AD16" si="24">+V5</f>
        <v>1.751975082733578</v>
      </c>
      <c r="AD6" s="23">
        <f t="shared" si="24"/>
        <v>7.281025487728539</v>
      </c>
      <c r="AE6" s="23">
        <f t="shared" si="18"/>
        <v>3.3418832351482042</v>
      </c>
      <c r="AF6" s="23">
        <f>+BA22</f>
        <v>5.5888982547919417</v>
      </c>
      <c r="AG6" s="23">
        <f t="shared" si="19"/>
        <v>2.5911812888941133</v>
      </c>
      <c r="AH6" s="23">
        <f>+V14</f>
        <v>3.0600478244509062</v>
      </c>
      <c r="AI6" s="23">
        <f t="shared" si="20"/>
        <v>2.0271920243102981</v>
      </c>
      <c r="AJ6" s="23">
        <f>+V16</f>
        <v>1.751975082733668</v>
      </c>
      <c r="AK6" s="23">
        <f>+AZ26</f>
        <v>5.667704768174552</v>
      </c>
      <c r="AL6" s="23">
        <f>+BD26</f>
        <v>6.5577361682128226</v>
      </c>
      <c r="AN6" s="45" t="str">
        <f t="shared" ref="AN6:AV6" si="25">+AN27</f>
        <v>G</v>
      </c>
      <c r="AO6" s="47">
        <f t="shared" si="25"/>
        <v>-6.4757309983673812</v>
      </c>
      <c r="AP6" s="47">
        <f t="shared" si="25"/>
        <v>3.9640843812738633</v>
      </c>
      <c r="AQ6" s="47">
        <f t="shared" si="25"/>
        <v>3.1654810710343519</v>
      </c>
      <c r="AR6" s="47">
        <f t="shared" si="25"/>
        <v>-3.3839355875026991</v>
      </c>
      <c r="AS6" s="47">
        <f t="shared" si="25"/>
        <v>-4.1155444166941866</v>
      </c>
      <c r="AT6" s="47">
        <f t="shared" si="25"/>
        <v>3.9640843812739446</v>
      </c>
      <c r="AU6" s="47">
        <f t="shared" si="25"/>
        <v>-7.0869082678879831</v>
      </c>
      <c r="AV6" s="47">
        <f t="shared" si="25"/>
        <v>11.892253143821833</v>
      </c>
      <c r="AW6" s="42" t="s">
        <v>57</v>
      </c>
      <c r="AX6" s="47">
        <f t="shared" ref="AX6:BE6" si="26">+AX27</f>
        <v>2.5460314552207146</v>
      </c>
      <c r="AY6" s="47">
        <f t="shared" si="26"/>
        <v>6.4757309983673812</v>
      </c>
      <c r="AZ6" s="47">
        <f t="shared" si="26"/>
        <v>6.4757309983673865</v>
      </c>
      <c r="BA6" s="47">
        <f t="shared" si="26"/>
        <v>5.2705575428210754</v>
      </c>
      <c r="BB6" s="47">
        <f t="shared" si="26"/>
        <v>8.1537644683813859</v>
      </c>
      <c r="BC6" s="47">
        <f t="shared" si="26"/>
        <v>6.8424373600797423</v>
      </c>
      <c r="BD6" s="47">
        <f t="shared" si="26"/>
        <v>4.9687430281113212</v>
      </c>
      <c r="BE6" s="47">
        <f t="shared" si="26"/>
        <v>4.8062492955476532</v>
      </c>
      <c r="BF6" s="45" t="str">
        <f t="shared" si="23"/>
        <v>G</v>
      </c>
      <c r="BH6" s="2"/>
      <c r="BI6" s="54" t="str">
        <f>T76</f>
        <v>DC</v>
      </c>
      <c r="BJ6" s="54" t="str">
        <f>Y60</f>
        <v>C</v>
      </c>
      <c r="BK6" s="54" t="str">
        <f>AE60</f>
        <v>(- 1/6 )</v>
      </c>
      <c r="BL6" s="54" t="str">
        <f>Y61</f>
        <v>G</v>
      </c>
      <c r="BM6" s="54" t="str">
        <f>AE61</f>
        <v>(- 1/6 )</v>
      </c>
      <c r="BN6" s="54" t="str">
        <f>Y62</f>
        <v>D</v>
      </c>
      <c r="BO6" s="54" t="str">
        <f>AE62</f>
        <v>(- 1/6 )</v>
      </c>
      <c r="BP6" s="54" t="str">
        <f>Y63</f>
        <v>A</v>
      </c>
      <c r="BQ6" s="54" t="str">
        <f>AE63</f>
        <v>(- 1/6 )</v>
      </c>
      <c r="BR6" s="51" t="str">
        <f>BJ10</f>
        <v>E</v>
      </c>
    </row>
    <row r="7" spans="1:82" x14ac:dyDescent="0.25">
      <c r="B7" s="67"/>
      <c r="D7" s="109" t="str">
        <f t="shared" si="0"/>
        <v>D#</v>
      </c>
      <c r="E7" s="110">
        <f t="shared" si="1"/>
        <v>155.38758475564418</v>
      </c>
      <c r="F7" s="111">
        <f t="shared" si="2"/>
        <v>298.04499913461279</v>
      </c>
      <c r="G7" s="96">
        <f t="shared" si="3"/>
        <v>19.763707300304532</v>
      </c>
      <c r="H7" s="96">
        <f t="shared" si="4"/>
        <v>-9.4281747090202543</v>
      </c>
      <c r="I7" s="96">
        <f t="shared" si="5"/>
        <v>6.1664319256183262</v>
      </c>
      <c r="J7" s="96">
        <f t="shared" si="6"/>
        <v>0.70228390259705975</v>
      </c>
      <c r="K7" s="96">
        <f t="shared" si="7"/>
        <v>-0.52611847061888284</v>
      </c>
      <c r="L7" s="96">
        <f t="shared" si="8"/>
        <v>-12.570899612027233</v>
      </c>
      <c r="M7" s="96">
        <f t="shared" si="9"/>
        <v>7.9370762217790798</v>
      </c>
      <c r="N7" s="96">
        <f t="shared" si="10"/>
        <v>-14.142262063530325</v>
      </c>
      <c r="O7" s="96">
        <f t="shared" si="11"/>
        <v>13.199346380865791</v>
      </c>
      <c r="P7" s="112">
        <f t="shared" si="12"/>
        <v>39.527414600608608</v>
      </c>
      <c r="Q7" s="113">
        <f t="shared" si="13"/>
        <v>-33.276017067730209</v>
      </c>
      <c r="R7" s="113">
        <f t="shared" si="14"/>
        <v>19.763707300304532</v>
      </c>
      <c r="S7" s="113">
        <f t="shared" si="15"/>
        <v>5.6214452367739796</v>
      </c>
      <c r="U7" s="21" t="str">
        <f>+AN22</f>
        <v>D</v>
      </c>
      <c r="V7" s="23">
        <f>+AX22</f>
        <v>3.3418832351482042</v>
      </c>
      <c r="W7" s="23">
        <f>+AY22</f>
        <v>2.5911812888941133</v>
      </c>
      <c r="X7" s="23">
        <f>+BE27</f>
        <v>4.8062492955476532</v>
      </c>
      <c r="Y7" s="23">
        <f t="shared" si="16"/>
        <v>2.0271920243102981</v>
      </c>
      <c r="Z7" s="23">
        <f>+AL16</f>
        <v>7.3560230093975658</v>
      </c>
      <c r="AA7" s="23">
        <f>+V16</f>
        <v>1.751975082733668</v>
      </c>
      <c r="AB7" s="23">
        <f t="shared" si="17"/>
        <v>7.2810254877283977</v>
      </c>
      <c r="AC7" s="23">
        <f t="shared" si="24"/>
        <v>2.5460314552207146</v>
      </c>
      <c r="AD7" s="23">
        <f t="shared" si="24"/>
        <v>6.4757309983673812</v>
      </c>
      <c r="AE7" s="23">
        <f t="shared" si="18"/>
        <v>7.1510904349048223</v>
      </c>
      <c r="AF7" s="23">
        <f>+BA29</f>
        <v>7.1125811346946737</v>
      </c>
      <c r="AG7" s="23">
        <f t="shared" si="19"/>
        <v>2.5911812888941652</v>
      </c>
      <c r="AH7" s="23">
        <f>+V15</f>
        <v>2.6622160580469711</v>
      </c>
      <c r="AI7" s="23">
        <f t="shared" si="20"/>
        <v>2.8347633071550331</v>
      </c>
      <c r="AJ7" s="23">
        <f t="shared" ref="AJ7:AJ16" si="27">+V5</f>
        <v>1.751975082733578</v>
      </c>
      <c r="AK7" s="23">
        <f>+AZ21</f>
        <v>6.4716364687547179</v>
      </c>
      <c r="AL7" s="23">
        <f>+BD21</f>
        <v>6.4004478753740361</v>
      </c>
      <c r="AN7" s="45" t="str">
        <f t="shared" ref="AN7:AV7" si="28">+AN22</f>
        <v>D</v>
      </c>
      <c r="AO7" s="48">
        <f t="shared" si="28"/>
        <v>-4.0543840486207312</v>
      </c>
      <c r="AP7" s="48">
        <f t="shared" si="28"/>
        <v>5.5557879411289131</v>
      </c>
      <c r="AQ7" s="48">
        <f t="shared" si="28"/>
        <v>3.1654810710344119</v>
      </c>
      <c r="AR7" s="48">
        <f t="shared" si="28"/>
        <v>-3.383935587502485</v>
      </c>
      <c r="AS7" s="48">
        <f t="shared" si="28"/>
        <v>-3.3102499273329693</v>
      </c>
      <c r="AT7" s="48">
        <f t="shared" si="28"/>
        <v>5.5557879411288047</v>
      </c>
      <c r="AU7" s="48">
        <f t="shared" si="28"/>
        <v>-7.0869082678877664</v>
      </c>
      <c r="AV7" s="48">
        <f t="shared" si="28"/>
        <v>16.66736382338674</v>
      </c>
      <c r="AW7" s="42" t="s">
        <v>57</v>
      </c>
      <c r="AX7" s="48">
        <f t="shared" ref="AX7:BE7" si="29">+AX22</f>
        <v>3.3418832351482042</v>
      </c>
      <c r="AY7" s="48">
        <f t="shared" si="29"/>
        <v>2.5911812888941133</v>
      </c>
      <c r="AZ7" s="48">
        <f t="shared" si="29"/>
        <v>6.0698975789678782</v>
      </c>
      <c r="BA7" s="48">
        <f t="shared" si="29"/>
        <v>5.5888982547919417</v>
      </c>
      <c r="BB7" s="48">
        <f t="shared" si="29"/>
        <v>11.337171588091326</v>
      </c>
      <c r="BC7" s="48">
        <f t="shared" si="29"/>
        <v>5.2886174762903053</v>
      </c>
      <c r="BD7" s="48">
        <f t="shared" si="29"/>
        <v>5.7614317962644339</v>
      </c>
      <c r="BE7" s="48">
        <f t="shared" si="29"/>
        <v>3.4348847412911403</v>
      </c>
      <c r="BF7" s="45" t="str">
        <f t="shared" si="23"/>
        <v>D</v>
      </c>
      <c r="BI7" s="53" t="str">
        <f>BI5</f>
        <v>approx SC</v>
      </c>
      <c r="BJ7" s="53" t="str">
        <f>AJ68</f>
        <v>(...)</v>
      </c>
      <c r="BK7" s="53"/>
      <c r="BL7" s="53" t="str">
        <f>AJ69</f>
        <v>(...)</v>
      </c>
      <c r="BM7" s="53"/>
      <c r="BN7" s="53" t="str">
        <f>AJ70</f>
        <v>(...)</v>
      </c>
      <c r="BO7" s="53"/>
      <c r="BP7" s="53" t="str">
        <f>AJ71</f>
        <v>( 33/100 )</v>
      </c>
      <c r="BQ7" s="53"/>
      <c r="BR7" s="50"/>
    </row>
    <row r="8" spans="1:82" x14ac:dyDescent="0.25">
      <c r="A8" s="2" t="str">
        <f>Temper_Choice_Name</f>
        <v>Bach 1722 (Lehman, from title page of WTC)</v>
      </c>
      <c r="D8" s="109" t="str">
        <f t="shared" si="0"/>
        <v>E</v>
      </c>
      <c r="E8" s="110">
        <f t="shared" si="1"/>
        <v>164.07063712441686</v>
      </c>
      <c r="F8" s="111">
        <f t="shared" si="2"/>
        <v>392.17999653845027</v>
      </c>
      <c r="G8" s="96">
        <f t="shared" si="3"/>
        <v>26.162073684840834</v>
      </c>
      <c r="H8" s="96">
        <f t="shared" si="4"/>
        <v>-5.5433781167021152</v>
      </c>
      <c r="I8" s="96">
        <f t="shared" si="5"/>
        <v>9.3169782781474169</v>
      </c>
      <c r="J8" s="96">
        <f t="shared" si="6"/>
        <v>1.4838928460854959</v>
      </c>
      <c r="K8" s="96">
        <f t="shared" si="7"/>
        <v>0</v>
      </c>
      <c r="L8" s="96">
        <f t="shared" si="8"/>
        <v>-4.4400969953348977</v>
      </c>
      <c r="M8" s="96">
        <f t="shared" si="9"/>
        <v>10.254414820275997</v>
      </c>
      <c r="N8" s="96">
        <f t="shared" si="10"/>
        <v>-11.627535547546358</v>
      </c>
      <c r="O8" s="96">
        <f t="shared" si="11"/>
        <v>25.141799224054012</v>
      </c>
      <c r="P8" s="112">
        <f t="shared" si="12"/>
        <v>57.636080258163929</v>
      </c>
      <c r="Q8" s="113">
        <f t="shared" si="13"/>
        <v>-30.763244460828219</v>
      </c>
      <c r="R8" s="113">
        <f t="shared" si="14"/>
        <v>23.51209898684624</v>
      </c>
      <c r="S8" s="113">
        <f t="shared" si="15"/>
        <v>11.884563439299654</v>
      </c>
      <c r="U8" s="21" t="str">
        <f>+AN29</f>
        <v>A</v>
      </c>
      <c r="V8" s="23">
        <f>+AX29</f>
        <v>7.1510904349048223</v>
      </c>
      <c r="W8" s="23">
        <f>+AY29</f>
        <v>2.5911812888941652</v>
      </c>
      <c r="X8" s="23">
        <f>+BE22</f>
        <v>3.4348847412911403</v>
      </c>
      <c r="Y8" s="23">
        <f t="shared" si="16"/>
        <v>2.8347633071550331</v>
      </c>
      <c r="Z8" s="23">
        <f t="shared" ref="Z8:Z16" si="30">+AL5</f>
        <v>6.7148384271254455</v>
      </c>
      <c r="AA8" s="23">
        <f t="shared" ref="AA8:AA16" si="31">+V5</f>
        <v>1.751975082733578</v>
      </c>
      <c r="AB8" s="23">
        <f t="shared" si="17"/>
        <v>8.8888888888888395</v>
      </c>
      <c r="AC8" s="23">
        <f t="shared" si="24"/>
        <v>3.3418832351482042</v>
      </c>
      <c r="AD8" s="23">
        <f t="shared" si="24"/>
        <v>2.5911812888941133</v>
      </c>
      <c r="AE8" s="23">
        <f t="shared" si="18"/>
        <v>7.9500938242320149</v>
      </c>
      <c r="AF8" s="23">
        <f>+BA24</f>
        <v>7.4321824904254381</v>
      </c>
      <c r="AG8" s="23">
        <f t="shared" si="19"/>
        <v>2.0271920243102981</v>
      </c>
      <c r="AH8" s="23">
        <f>+V16</f>
        <v>1.751975082733668</v>
      </c>
      <c r="AI8" s="23">
        <f t="shared" si="20"/>
        <v>7.2810254877283977</v>
      </c>
      <c r="AJ8" s="23">
        <f t="shared" si="27"/>
        <v>2.5460314552207146</v>
      </c>
      <c r="AK8" s="23">
        <f>+AZ28</f>
        <v>6.8774688618126039</v>
      </c>
      <c r="AL8" s="23">
        <f>+BD28</f>
        <v>7.5210438392642569</v>
      </c>
      <c r="AN8" s="45" t="str">
        <f t="shared" ref="AN8:AV8" si="32">+AN29</f>
        <v>A</v>
      </c>
      <c r="AO8" s="48">
        <f t="shared" si="32"/>
        <v>-4.0543840486207072</v>
      </c>
      <c r="AP8" s="48">
        <f t="shared" si="32"/>
        <v>7.1510904349048223</v>
      </c>
      <c r="AQ8" s="48">
        <f t="shared" si="32"/>
        <v>3.1654810710342116</v>
      </c>
      <c r="AR8" s="48">
        <f t="shared" si="32"/>
        <v>-3.3839355875028687</v>
      </c>
      <c r="AS8" s="48">
        <f t="shared" si="32"/>
        <v>-0.88890297758651959</v>
      </c>
      <c r="AT8" s="48">
        <f t="shared" si="32"/>
        <v>7.1510904349048223</v>
      </c>
      <c r="AU8" s="48">
        <f t="shared" si="32"/>
        <v>-7.0869082678879076</v>
      </c>
      <c r="AV8" s="48">
        <f t="shared" si="32"/>
        <v>19.058966439360486</v>
      </c>
      <c r="AW8" s="42" t="s">
        <v>57</v>
      </c>
      <c r="AX8" s="48">
        <f t="shared" ref="AX8:BE8" si="33">+AX29</f>
        <v>7.1510904349048223</v>
      </c>
      <c r="AY8" s="48">
        <f t="shared" si="33"/>
        <v>2.5911812888941652</v>
      </c>
      <c r="AZ8" s="48">
        <f t="shared" si="33"/>
        <v>5.6677047681746231</v>
      </c>
      <c r="BA8" s="48">
        <f t="shared" si="33"/>
        <v>7.1125811346946737</v>
      </c>
      <c r="BB8" s="48">
        <f t="shared" si="33"/>
        <v>14.29581603757822</v>
      </c>
      <c r="BC8" s="48">
        <f t="shared" si="33"/>
        <v>5.2886174762904101</v>
      </c>
      <c r="BD8" s="48">
        <f t="shared" si="33"/>
        <v>6.5577361682127417</v>
      </c>
      <c r="BE8" s="48">
        <f t="shared" si="33"/>
        <v>2.3827532153449713</v>
      </c>
      <c r="BF8" s="45" t="str">
        <f t="shared" si="23"/>
        <v>A</v>
      </c>
      <c r="BH8" s="4"/>
      <c r="BI8" s="52"/>
      <c r="BJ8" s="52" t="str">
        <f>Y68</f>
        <v>G#</v>
      </c>
      <c r="BK8" s="52"/>
      <c r="BL8" s="55" t="str">
        <f>Y69</f>
        <v>D#</v>
      </c>
      <c r="BM8" s="52"/>
      <c r="BN8" s="52" t="str">
        <f>Y70</f>
        <v>A#</v>
      </c>
      <c r="BO8" s="52"/>
      <c r="BP8" s="52" t="str">
        <f>Y71</f>
        <v>F</v>
      </c>
      <c r="BQ8" s="52"/>
      <c r="BR8" s="50"/>
    </row>
    <row r="9" spans="1:82" x14ac:dyDescent="0.25">
      <c r="D9" s="109" t="str">
        <f t="shared" si="0"/>
        <v>F</v>
      </c>
      <c r="E9" s="110">
        <f t="shared" si="1"/>
        <v>174.81103285009968</v>
      </c>
      <c r="F9" s="111">
        <f t="shared" si="2"/>
        <v>501.95500086538715</v>
      </c>
      <c r="G9" s="96">
        <f t="shared" si="3"/>
        <v>20.828015899649927</v>
      </c>
      <c r="H9" s="96">
        <f t="shared" si="4"/>
        <v>-11.778492225308582</v>
      </c>
      <c r="I9" s="96">
        <f t="shared" si="5"/>
        <v>2.9667575411722282</v>
      </c>
      <c r="J9" s="96">
        <f t="shared" si="6"/>
        <v>-0.78917770592818215</v>
      </c>
      <c r="K9" s="96">
        <f t="shared" si="7"/>
        <v>-1.1830985502990643</v>
      </c>
      <c r="L9" s="96">
        <f t="shared" si="8"/>
        <v>-14.142262063530097</v>
      </c>
      <c r="M9" s="96">
        <f t="shared" si="9"/>
        <v>4.9497548928247852</v>
      </c>
      <c r="N9" s="96">
        <f t="shared" si="10"/>
        <v>-19.423448094455352</v>
      </c>
      <c r="O9" s="96">
        <f t="shared" si="11"/>
        <v>2.9647012391747012</v>
      </c>
      <c r="P9" s="112">
        <f t="shared" si="12"/>
        <v>44.468341425685594</v>
      </c>
      <c r="Q9" s="113">
        <f t="shared" si="13"/>
        <v>-46.720916200108604</v>
      </c>
      <c r="R9" s="113">
        <f t="shared" si="14"/>
        <v>19.423448094455807</v>
      </c>
      <c r="S9" s="113">
        <f t="shared" si="15"/>
        <v>0</v>
      </c>
      <c r="U9" s="21" t="str">
        <f>+AN24</f>
        <v>E</v>
      </c>
      <c r="V9" s="23">
        <f>+AX24</f>
        <v>7.9500938242320149</v>
      </c>
      <c r="W9" s="23">
        <f>+AY24</f>
        <v>2.0271920243102981</v>
      </c>
      <c r="X9" s="23">
        <f>+BE29</f>
        <v>2.3827532153449713</v>
      </c>
      <c r="Y9" s="23">
        <f t="shared" si="16"/>
        <v>7.2810254877283977</v>
      </c>
      <c r="Z9" s="23">
        <f t="shared" si="30"/>
        <v>6.5577361682128226</v>
      </c>
      <c r="AA9" s="23">
        <f t="shared" si="31"/>
        <v>2.5460314552207146</v>
      </c>
      <c r="AB9" s="23">
        <f t="shared" si="17"/>
        <v>8.0854111093151424</v>
      </c>
      <c r="AC9" s="23">
        <f t="shared" si="24"/>
        <v>7.1510904349048223</v>
      </c>
      <c r="AD9" s="23">
        <f t="shared" si="24"/>
        <v>2.5911812888941652</v>
      </c>
      <c r="AE9" s="23">
        <f t="shared" si="18"/>
        <v>7.1510904349051341</v>
      </c>
      <c r="AF9" s="23">
        <f>+BA31</f>
        <v>5.0310517655287832</v>
      </c>
      <c r="AG9" s="23">
        <f t="shared" si="19"/>
        <v>2.8347633071550331</v>
      </c>
      <c r="AH9" s="23">
        <f t="shared" ref="AH9:AH16" si="34">+V5</f>
        <v>1.751975082733578</v>
      </c>
      <c r="AI9" s="23">
        <f t="shared" si="20"/>
        <v>8.8888888888888395</v>
      </c>
      <c r="AJ9" s="23">
        <f t="shared" si="27"/>
        <v>3.3418832351482042</v>
      </c>
      <c r="AK9" s="23">
        <f>+AZ23</f>
        <v>7.2810254877284901</v>
      </c>
      <c r="AL9" s="23">
        <f>+BD23</f>
        <v>7.2030644560343733</v>
      </c>
      <c r="AN9" s="45" t="str">
        <f t="shared" ref="AN9:AV9" si="35">+AN24</f>
        <v>E</v>
      </c>
      <c r="AO9" s="48">
        <f t="shared" si="35"/>
        <v>-4.0543840486205962</v>
      </c>
      <c r="AP9" s="48">
        <f t="shared" si="35"/>
        <v>7.9500938242320149</v>
      </c>
      <c r="AQ9" s="48">
        <f t="shared" si="35"/>
        <v>3.1654810710345709</v>
      </c>
      <c r="AR9" s="48">
        <f t="shared" si="35"/>
        <v>0</v>
      </c>
      <c r="AS9" s="48">
        <f t="shared" si="35"/>
        <v>-0.88890297758613634</v>
      </c>
      <c r="AT9" s="48">
        <f t="shared" si="35"/>
        <v>8.749999999999952</v>
      </c>
      <c r="AU9" s="48">
        <f t="shared" si="35"/>
        <v>-7.0869082678877202</v>
      </c>
      <c r="AV9" s="48">
        <f t="shared" si="35"/>
        <v>21.45327130471501</v>
      </c>
      <c r="AW9" s="42" t="s">
        <v>57</v>
      </c>
      <c r="AX9" s="48">
        <f t="shared" ref="AX9:BE9" si="36">+AX24</f>
        <v>7.9500938242320149</v>
      </c>
      <c r="AY9" s="48">
        <f t="shared" si="36"/>
        <v>2.0271920243102981</v>
      </c>
      <c r="AZ9" s="48">
        <f t="shared" si="36"/>
        <v>5.2650575234939883</v>
      </c>
      <c r="BA9" s="48">
        <f t="shared" si="36"/>
        <v>7.4321824904254381</v>
      </c>
      <c r="BB9" s="48">
        <f t="shared" si="36"/>
        <v>16.052000312521812</v>
      </c>
      <c r="BC9" s="48">
        <f t="shared" si="36"/>
        <v>5.0630217704567517</v>
      </c>
      <c r="BD9" s="48">
        <f t="shared" si="36"/>
        <v>7.3560230093975658</v>
      </c>
      <c r="BE9" s="48">
        <f t="shared" si="36"/>
        <v>2.3827532153447417</v>
      </c>
      <c r="BF9" s="45" t="str">
        <f t="shared" si="23"/>
        <v>E</v>
      </c>
      <c r="BI9" s="50"/>
      <c r="BJ9" s="53" t="str">
        <f>AJ64</f>
        <v>( 23/25 )</v>
      </c>
      <c r="BK9" s="53"/>
      <c r="BL9" s="56" t="str">
        <f>AJ65</f>
        <v>( 83/100 )</v>
      </c>
      <c r="BM9" s="53"/>
      <c r="BN9" s="53" t="str">
        <f>AJ66</f>
        <v>( 3/4 )</v>
      </c>
      <c r="BO9" s="53"/>
      <c r="BP9" s="53" t="str">
        <f>AJ67</f>
        <v>(...)</v>
      </c>
      <c r="BQ9" s="53"/>
      <c r="BR9" s="50"/>
      <c r="BS9" s="18"/>
    </row>
    <row r="10" spans="1:82" x14ac:dyDescent="0.25">
      <c r="A10" s="4" t="s">
        <v>65</v>
      </c>
      <c r="D10" s="109" t="str">
        <f t="shared" si="0"/>
        <v>F#</v>
      </c>
      <c r="E10" s="110">
        <f t="shared" si="1"/>
        <v>184.57946676496897</v>
      </c>
      <c r="F10" s="111">
        <f t="shared" si="2"/>
        <v>596.08999826922513</v>
      </c>
      <c r="G10" s="96">
        <f t="shared" si="3"/>
        <v>23.476615332722986</v>
      </c>
      <c r="H10" s="96">
        <f t="shared" si="4"/>
        <v>-11.199398350225465</v>
      </c>
      <c r="I10" s="96">
        <f t="shared" si="5"/>
        <v>8.3759377677824887</v>
      </c>
      <c r="J10" s="96">
        <f t="shared" si="6"/>
        <v>0</v>
      </c>
      <c r="K10" s="96">
        <f t="shared" si="7"/>
        <v>0</v>
      </c>
      <c r="L10" s="96">
        <f t="shared" si="8"/>
        <v>-11.627535547546358</v>
      </c>
      <c r="M10" s="96">
        <f t="shared" si="9"/>
        <v>9.4281747090202543</v>
      </c>
      <c r="N10" s="96">
        <f t="shared" si="10"/>
        <v>-20.508829640551994</v>
      </c>
      <c r="O10" s="96">
        <f t="shared" si="11"/>
        <v>28.284524127060195</v>
      </c>
      <c r="P10" s="112">
        <f t="shared" si="12"/>
        <v>52.902222720403643</v>
      </c>
      <c r="Q10" s="113">
        <f t="shared" si="13"/>
        <v>-39.527414600609063</v>
      </c>
      <c r="R10" s="113">
        <f t="shared" si="14"/>
        <v>20.508829640551994</v>
      </c>
      <c r="S10" s="113">
        <f t="shared" si="15"/>
        <v>0</v>
      </c>
      <c r="U10" s="21" t="str">
        <f>+AN31</f>
        <v>B</v>
      </c>
      <c r="V10" s="23">
        <f>+AX31</f>
        <v>7.1510904349051341</v>
      </c>
      <c r="W10" s="23">
        <f>+AY31</f>
        <v>2.8347633071550331</v>
      </c>
      <c r="X10" s="23">
        <f>+BE24</f>
        <v>2.3827532153447417</v>
      </c>
      <c r="Y10" s="23">
        <f t="shared" si="16"/>
        <v>8.8888888888888395</v>
      </c>
      <c r="Z10" s="23">
        <f t="shared" si="30"/>
        <v>6.4004478753740361</v>
      </c>
      <c r="AA10" s="23">
        <f t="shared" si="31"/>
        <v>3.3418832351482042</v>
      </c>
      <c r="AB10" s="23">
        <f t="shared" si="17"/>
        <v>7.2810254877285816</v>
      </c>
      <c r="AC10" s="23">
        <f t="shared" si="24"/>
        <v>7.9500938242320149</v>
      </c>
      <c r="AD10" s="23">
        <f t="shared" si="24"/>
        <v>2.0271920243102981</v>
      </c>
      <c r="AE10" s="23">
        <f t="shared" si="18"/>
        <v>6.3529888131202474</v>
      </c>
      <c r="AF10" s="23">
        <f>+BA26</f>
        <v>2.5411955252480989</v>
      </c>
      <c r="AG10" s="23">
        <f t="shared" si="19"/>
        <v>7.2810254877283977</v>
      </c>
      <c r="AH10" s="23">
        <f t="shared" si="34"/>
        <v>2.5460314552207146</v>
      </c>
      <c r="AI10" s="23">
        <f t="shared" si="20"/>
        <v>8.0854111093151424</v>
      </c>
      <c r="AJ10" s="23">
        <f t="shared" si="27"/>
        <v>7.1510904349048223</v>
      </c>
      <c r="AK10" s="23">
        <f>+AZ30</f>
        <v>7.6823099436281161</v>
      </c>
      <c r="AL10" s="23">
        <f>+BD30</f>
        <v>6.8847172653233883</v>
      </c>
      <c r="AN10" s="45" t="str">
        <f t="shared" ref="AN10:AV10" si="37">+AN31</f>
        <v>B</v>
      </c>
      <c r="AO10" s="48">
        <f t="shared" si="37"/>
        <v>-5.6695266143100662</v>
      </c>
      <c r="AP10" s="48">
        <f t="shared" si="37"/>
        <v>7.1510904349051341</v>
      </c>
      <c r="AQ10" s="48">
        <f t="shared" si="37"/>
        <v>0</v>
      </c>
      <c r="AR10" s="48">
        <f t="shared" si="37"/>
        <v>0</v>
      </c>
      <c r="AS10" s="48">
        <f t="shared" si="37"/>
        <v>-4.0543840486205962</v>
      </c>
      <c r="AT10" s="48">
        <f t="shared" si="37"/>
        <v>7.9500938242321446</v>
      </c>
      <c r="AU10" s="48">
        <f t="shared" si="37"/>
        <v>3.6176926526112161</v>
      </c>
      <c r="AV10" s="48">
        <f t="shared" si="37"/>
        <v>19.058966439361004</v>
      </c>
      <c r="AW10" s="42" t="s">
        <v>57</v>
      </c>
      <c r="AX10" s="48">
        <f t="shared" ref="AX10:BE10" si="38">+AX31</f>
        <v>7.1510904349051341</v>
      </c>
      <c r="AY10" s="48">
        <f t="shared" si="38"/>
        <v>2.8347633071550331</v>
      </c>
      <c r="AZ10" s="48">
        <f t="shared" si="38"/>
        <v>4.8619553314653992</v>
      </c>
      <c r="BA10" s="48">
        <f t="shared" si="38"/>
        <v>5.0310517655287832</v>
      </c>
      <c r="BB10" s="48">
        <f t="shared" si="38"/>
        <v>14.295816037578657</v>
      </c>
      <c r="BC10" s="48">
        <f t="shared" si="38"/>
        <v>3.3045209144287426</v>
      </c>
      <c r="BD10" s="48">
        <f t="shared" si="38"/>
        <v>6.7148384271254455</v>
      </c>
      <c r="BE10" s="48">
        <f t="shared" si="38"/>
        <v>4.611550777137766</v>
      </c>
      <c r="BF10" s="45" t="str">
        <f t="shared" si="23"/>
        <v>B</v>
      </c>
      <c r="BI10" s="50"/>
      <c r="BJ10" s="54" t="str">
        <f>Y64</f>
        <v>E</v>
      </c>
      <c r="BK10" s="54" t="str">
        <f>AE64</f>
        <v>(0)</v>
      </c>
      <c r="BL10" s="57" t="str">
        <f>Y65</f>
        <v>B</v>
      </c>
      <c r="BM10" s="54" t="str">
        <f>AE65</f>
        <v>(0)</v>
      </c>
      <c r="BN10" s="54" t="str">
        <f>Y66</f>
        <v>F#</v>
      </c>
      <c r="BO10" s="54" t="str">
        <f>AE66</f>
        <v>(0)</v>
      </c>
      <c r="BP10" s="54" t="str">
        <f>Y67</f>
        <v>C#</v>
      </c>
      <c r="BQ10" s="54" t="str">
        <f>AE67</f>
        <v>(- 1/12 )</v>
      </c>
      <c r="BR10" s="51" t="str">
        <f>BJ14</f>
        <v>G#</v>
      </c>
      <c r="BS10" s="18"/>
    </row>
    <row r="11" spans="1:82" x14ac:dyDescent="0.25">
      <c r="A11" s="4" t="s">
        <v>185</v>
      </c>
      <c r="D11" s="109" t="str">
        <f t="shared" si="0"/>
        <v>G</v>
      </c>
      <c r="E11" s="110">
        <f t="shared" si="1"/>
        <v>195.77608892595981</v>
      </c>
      <c r="F11" s="111">
        <f t="shared" si="2"/>
        <v>698.04499913461257</v>
      </c>
      <c r="G11" s="96">
        <f t="shared" si="3"/>
        <v>26.477284907222383</v>
      </c>
      <c r="H11" s="96">
        <f t="shared" si="4"/>
        <v>-10.564944064974725</v>
      </c>
      <c r="I11" s="96">
        <f t="shared" si="5"/>
        <v>5.5433781167020015</v>
      </c>
      <c r="J11" s="96">
        <f t="shared" si="6"/>
        <v>1.7706442961607536</v>
      </c>
      <c r="K11" s="96">
        <f t="shared" si="7"/>
        <v>-1.324987348997297</v>
      </c>
      <c r="L11" s="96">
        <f t="shared" si="8"/>
        <v>-12.332863851236652</v>
      </c>
      <c r="M11" s="96">
        <f t="shared" si="9"/>
        <v>5.5433781167021152</v>
      </c>
      <c r="N11" s="96">
        <f t="shared" si="10"/>
        <v>-13.874471832641575</v>
      </c>
      <c r="O11" s="96">
        <f t="shared" si="11"/>
        <v>16.630134350106346</v>
      </c>
      <c r="P11" s="112">
        <f t="shared" si="12"/>
        <v>56.11128063815795</v>
      </c>
      <c r="Q11" s="113">
        <f t="shared" si="13"/>
        <v>-52.324147369681668</v>
      </c>
      <c r="R11" s="113">
        <f t="shared" si="14"/>
        <v>28.055640319078748</v>
      </c>
      <c r="S11" s="113">
        <f t="shared" si="15"/>
        <v>14.1811684864374</v>
      </c>
      <c r="U11" s="21" t="str">
        <f>+AN26</f>
        <v>F#</v>
      </c>
      <c r="V11" s="23">
        <f>+AX26</f>
        <v>6.3529888131202474</v>
      </c>
      <c r="W11" s="23">
        <f>+AY26</f>
        <v>7.2810254877283977</v>
      </c>
      <c r="X11" s="23">
        <f>+BE31</f>
        <v>4.611550777137766</v>
      </c>
      <c r="Y11" s="23">
        <f t="shared" si="16"/>
        <v>8.0854111093151424</v>
      </c>
      <c r="Z11" s="23">
        <f t="shared" si="30"/>
        <v>7.5210438392642569</v>
      </c>
      <c r="AA11" s="23">
        <f t="shared" si="31"/>
        <v>7.1510904349048223</v>
      </c>
      <c r="AB11" s="23">
        <f t="shared" si="17"/>
        <v>6.4757309983673919</v>
      </c>
      <c r="AC11" s="23">
        <f t="shared" si="24"/>
        <v>7.1510904349051341</v>
      </c>
      <c r="AD11" s="23">
        <f t="shared" si="24"/>
        <v>2.8347633071550331</v>
      </c>
      <c r="AE11" s="23">
        <f t="shared" si="18"/>
        <v>7.1510904349048596</v>
      </c>
      <c r="AF11" s="23">
        <f>+BA21</f>
        <v>2.8604361739619439</v>
      </c>
      <c r="AG11" s="23">
        <f t="shared" si="19"/>
        <v>8.8888888888888395</v>
      </c>
      <c r="AH11" s="23">
        <f t="shared" si="34"/>
        <v>3.3418832351482042</v>
      </c>
      <c r="AI11" s="23">
        <f t="shared" si="20"/>
        <v>7.2810254877285816</v>
      </c>
      <c r="AJ11" s="23">
        <f t="shared" si="27"/>
        <v>7.9500938242320149</v>
      </c>
      <c r="AK11" s="23">
        <f>+AZ25</f>
        <v>8.0854111093150838</v>
      </c>
      <c r="AL11" s="23">
        <f>+BD25</f>
        <v>5.6126150724904802</v>
      </c>
      <c r="AN11" s="45" t="str">
        <f t="shared" ref="AN11:AV11" si="39">+AN26</f>
        <v>F#</v>
      </c>
      <c r="AO11" s="48">
        <f t="shared" si="39"/>
        <v>-7.2810254877283977</v>
      </c>
      <c r="AP11" s="48">
        <f t="shared" si="39"/>
        <v>6.3529888131202474</v>
      </c>
      <c r="AQ11" s="48">
        <f t="shared" si="39"/>
        <v>0</v>
      </c>
      <c r="AR11" s="48">
        <f t="shared" si="39"/>
        <v>0</v>
      </c>
      <c r="AS11" s="48">
        <f t="shared" si="39"/>
        <v>-5.6695266143100662</v>
      </c>
      <c r="AT11" s="48">
        <f t="shared" si="39"/>
        <v>7.1510904349050035</v>
      </c>
      <c r="AU11" s="48">
        <f t="shared" si="39"/>
        <v>0</v>
      </c>
      <c r="AV11" s="48">
        <f t="shared" si="39"/>
        <v>21.45327130471458</v>
      </c>
      <c r="AW11" s="42" t="s">
        <v>57</v>
      </c>
      <c r="AX11" s="48">
        <f t="shared" ref="AX11:BE11" si="40">+AX26</f>
        <v>6.3529888131202474</v>
      </c>
      <c r="AY11" s="48">
        <f t="shared" si="40"/>
        <v>7.2810254877283977</v>
      </c>
      <c r="AZ11" s="48">
        <f t="shared" si="40"/>
        <v>5.667704768174552</v>
      </c>
      <c r="BA11" s="48">
        <f t="shared" si="40"/>
        <v>2.5411955252480989</v>
      </c>
      <c r="BB11" s="48">
        <f t="shared" si="40"/>
        <v>15.413158308076849</v>
      </c>
      <c r="BC11" s="48">
        <f t="shared" si="40"/>
        <v>2.912410195091359</v>
      </c>
      <c r="BD11" s="48">
        <f t="shared" si="40"/>
        <v>6.5577361682128226</v>
      </c>
      <c r="BE11" s="48">
        <f t="shared" si="40"/>
        <v>6.0637216093498134</v>
      </c>
      <c r="BF11" s="45" t="str">
        <f t="shared" si="23"/>
        <v>F#</v>
      </c>
      <c r="BI11" s="50"/>
      <c r="BJ11" s="53" t="str">
        <f>AJ60</f>
        <v>( 33/100 )</v>
      </c>
      <c r="BK11" s="53"/>
      <c r="BL11" s="56" t="str">
        <f>AJ61</f>
        <v>( 1/2 )</v>
      </c>
      <c r="BM11" s="53"/>
      <c r="BN11" s="53" t="str">
        <f>AJ62</f>
        <v>( 67/100 )</v>
      </c>
      <c r="BO11" s="53"/>
      <c r="BP11" s="53" t="str">
        <f>AJ63</f>
        <v>( 83/100 )</v>
      </c>
      <c r="BQ11" s="53"/>
      <c r="BR11" s="50"/>
      <c r="BS11" s="18"/>
    </row>
    <row r="12" spans="1:82" x14ac:dyDescent="0.25">
      <c r="A12" s="4" t="s">
        <v>66</v>
      </c>
      <c r="D12" s="109" t="str">
        <f t="shared" si="0"/>
        <v>G#</v>
      </c>
      <c r="E12" s="110">
        <f t="shared" si="1"/>
        <v>207.41754097505793</v>
      </c>
      <c r="F12" s="111">
        <f t="shared" si="2"/>
        <v>798.04499913461257</v>
      </c>
      <c r="G12" s="96">
        <f t="shared" si="3"/>
        <v>24.712947294345895</v>
      </c>
      <c r="H12" s="96">
        <f t="shared" si="4"/>
        <v>-13.975467417221353</v>
      </c>
      <c r="I12" s="96">
        <f t="shared" si="5"/>
        <v>9.4122951247104538</v>
      </c>
      <c r="J12" s="96">
        <f t="shared" si="6"/>
        <v>0.93743654212858019</v>
      </c>
      <c r="K12" s="96">
        <f t="shared" si="7"/>
        <v>-0.70228390259705975</v>
      </c>
      <c r="L12" s="96">
        <f t="shared" si="8"/>
        <v>-18.633956556294834</v>
      </c>
      <c r="M12" s="96">
        <f t="shared" si="9"/>
        <v>11.778492225308582</v>
      </c>
      <c r="N12" s="96">
        <f t="shared" si="10"/>
        <v>-20.963201125831574</v>
      </c>
      <c r="O12" s="96">
        <f t="shared" si="11"/>
        <v>21.154308189487892</v>
      </c>
      <c r="P12" s="112">
        <f t="shared" si="12"/>
        <v>49.425894588692245</v>
      </c>
      <c r="Q12" s="113">
        <f t="shared" si="13"/>
        <v>-41.656031799299853</v>
      </c>
      <c r="R12" s="113">
        <f t="shared" si="14"/>
        <v>24.712947294346122</v>
      </c>
      <c r="S12" s="113">
        <f t="shared" si="15"/>
        <v>3.7497461685143207</v>
      </c>
      <c r="U12" s="21" t="str">
        <f>+AN21</f>
        <v>C#</v>
      </c>
      <c r="V12" s="23">
        <f>+AX21</f>
        <v>7.1510904349048596</v>
      </c>
      <c r="W12" s="23">
        <f>+AY21</f>
        <v>8.8888888888888395</v>
      </c>
      <c r="X12" s="23">
        <f>+BE26</f>
        <v>6.0637216093498134</v>
      </c>
      <c r="Y12" s="23">
        <f t="shared" si="16"/>
        <v>7.2810254877285816</v>
      </c>
      <c r="Z12" s="23">
        <f t="shared" si="30"/>
        <v>7.2030644560343733</v>
      </c>
      <c r="AA12" s="23">
        <f t="shared" si="31"/>
        <v>7.9500938242320149</v>
      </c>
      <c r="AB12" s="23">
        <f t="shared" si="17"/>
        <v>8.0854111093150252</v>
      </c>
      <c r="AC12" s="23">
        <f t="shared" si="24"/>
        <v>6.3529888131202474</v>
      </c>
      <c r="AD12" s="23">
        <f t="shared" si="24"/>
        <v>7.2810254877283977</v>
      </c>
      <c r="AE12" s="23">
        <f t="shared" si="18"/>
        <v>6.3529888131202954</v>
      </c>
      <c r="AF12" s="23">
        <f>+BA28</f>
        <v>3.6258905276727864</v>
      </c>
      <c r="AG12" s="23">
        <f t="shared" si="19"/>
        <v>8.0854111093151424</v>
      </c>
      <c r="AH12" s="23">
        <f t="shared" si="34"/>
        <v>7.1510904349048223</v>
      </c>
      <c r="AI12" s="23">
        <f t="shared" si="20"/>
        <v>6.4757309983673919</v>
      </c>
      <c r="AJ12" s="23">
        <f t="shared" si="27"/>
        <v>7.1510904349051341</v>
      </c>
      <c r="AK12" s="23">
        <f>+AZ20</f>
        <v>7.2810254877285603</v>
      </c>
      <c r="AL12" s="23">
        <f>+BD20</f>
        <v>5.2908608238558568</v>
      </c>
      <c r="AN12" s="45" t="str">
        <f t="shared" ref="AN12:AV12" si="41">+AN21</f>
        <v>C#</v>
      </c>
      <c r="AO12" s="48">
        <f t="shared" si="41"/>
        <v>-8.8888888888888395</v>
      </c>
      <c r="AP12" s="48">
        <f t="shared" si="41"/>
        <v>7.1510904349048596</v>
      </c>
      <c r="AQ12" s="48">
        <f t="shared" si="41"/>
        <v>0</v>
      </c>
      <c r="AR12" s="48">
        <f t="shared" si="41"/>
        <v>-1.6929231233183855</v>
      </c>
      <c r="AS12" s="48">
        <f t="shared" si="41"/>
        <v>-7.2810254877283977</v>
      </c>
      <c r="AT12" s="48">
        <f t="shared" si="41"/>
        <v>6.3529888131202474</v>
      </c>
      <c r="AU12" s="48">
        <f t="shared" si="41"/>
        <v>0</v>
      </c>
      <c r="AV12" s="48">
        <f t="shared" si="41"/>
        <v>16.667363823387088</v>
      </c>
      <c r="AW12" s="42" t="s">
        <v>57</v>
      </c>
      <c r="AX12" s="48">
        <f t="shared" ref="AX12:BE12" si="42">+AX21</f>
        <v>7.1510904349048596</v>
      </c>
      <c r="AY12" s="48">
        <f t="shared" si="42"/>
        <v>8.8888888888888395</v>
      </c>
      <c r="AZ12" s="48">
        <f t="shared" si="42"/>
        <v>6.4716364687547179</v>
      </c>
      <c r="BA12" s="48">
        <f t="shared" si="42"/>
        <v>2.8604361739619439</v>
      </c>
      <c r="BB12" s="48">
        <f t="shared" si="42"/>
        <v>12.860854467994196</v>
      </c>
      <c r="BC12" s="48">
        <f t="shared" si="42"/>
        <v>3.5555555555555358</v>
      </c>
      <c r="BD12" s="48">
        <f t="shared" si="42"/>
        <v>6.4004478753740361</v>
      </c>
      <c r="BE12" s="48">
        <f t="shared" si="42"/>
        <v>7.5126164065231933</v>
      </c>
      <c r="BF12" s="45" t="str">
        <f t="shared" si="23"/>
        <v>C#</v>
      </c>
      <c r="BI12" s="50"/>
      <c r="BJ12" s="52" t="str">
        <f>Y60</f>
        <v>C</v>
      </c>
      <c r="BK12" s="52"/>
      <c r="BL12" s="52" t="str">
        <f>Y61</f>
        <v>G</v>
      </c>
      <c r="BM12" s="52"/>
      <c r="BN12" s="58" t="str">
        <f>Y62</f>
        <v>D</v>
      </c>
      <c r="BO12" s="52"/>
      <c r="BP12" s="52" t="str">
        <f>Y63</f>
        <v>A</v>
      </c>
      <c r="BQ12" s="52"/>
      <c r="BR12" s="52"/>
      <c r="BS12" s="18"/>
    </row>
    <row r="13" spans="1:82" x14ac:dyDescent="0.25">
      <c r="A13" s="4" t="s">
        <v>67</v>
      </c>
      <c r="D13" s="109" t="str">
        <f>+S60</f>
        <v>A</v>
      </c>
      <c r="E13" s="110">
        <f t="shared" ref="E13:E24" si="43">IF(UseA,U60,V60)/2</f>
        <v>219.25548044791765</v>
      </c>
      <c r="F13" s="111">
        <f>+IF(UseA,X60,W60)</f>
        <v>894.13499740383793</v>
      </c>
      <c r="G13" s="96">
        <f t="shared" si="3"/>
        <v>34.961636864576576</v>
      </c>
      <c r="H13" s="96">
        <f t="shared" si="4"/>
        <v>-7.4078826875058894</v>
      </c>
      <c r="I13" s="96">
        <f t="shared" si="5"/>
        <v>11.199398350225465</v>
      </c>
      <c r="J13" s="96">
        <f t="shared" si="6"/>
        <v>1.982997351652557</v>
      </c>
      <c r="K13" s="96">
        <f t="shared" si="7"/>
        <v>-1.4838928460854959</v>
      </c>
      <c r="L13" s="96">
        <f t="shared" si="8"/>
        <v>-5.9335150823444565</v>
      </c>
      <c r="M13" s="96">
        <f t="shared" si="9"/>
        <v>11.199398350225465</v>
      </c>
      <c r="N13" s="96">
        <f t="shared" si="10"/>
        <v>-15.538434771660832</v>
      </c>
      <c r="O13" s="96">
        <f t="shared" si="11"/>
        <v>29.848448882162302</v>
      </c>
      <c r="P13" s="112">
        <f t="shared" si="12"/>
        <v>77.021865030947538</v>
      </c>
      <c r="Q13" s="113">
        <f t="shared" si="13"/>
        <v>-46.953230665445972</v>
      </c>
      <c r="R13" s="113">
        <f t="shared" si="14"/>
        <v>31.420348272255069</v>
      </c>
      <c r="S13" s="113">
        <f t="shared" si="15"/>
        <v>15.881913500594237</v>
      </c>
      <c r="U13" s="21" t="str">
        <f>+AN28</f>
        <v>G#</v>
      </c>
      <c r="V13" s="23">
        <f>+AX28</f>
        <v>6.3529888131202954</v>
      </c>
      <c r="W13" s="23">
        <f>+AY28</f>
        <v>8.0854111093151424</v>
      </c>
      <c r="X13" s="23">
        <f>+BE21</f>
        <v>7.5126164065231933</v>
      </c>
      <c r="Y13" s="23">
        <f t="shared" si="16"/>
        <v>6.4757309983673919</v>
      </c>
      <c r="Z13" s="23">
        <f t="shared" si="30"/>
        <v>6.8847172653233883</v>
      </c>
      <c r="AA13" s="23">
        <f t="shared" si="31"/>
        <v>7.1510904349051341</v>
      </c>
      <c r="AB13" s="23">
        <f>+W5</f>
        <v>7.281025487728539</v>
      </c>
      <c r="AC13" s="23">
        <f t="shared" si="24"/>
        <v>7.1510904349048596</v>
      </c>
      <c r="AD13" s="23">
        <f t="shared" si="24"/>
        <v>8.8888888888888395</v>
      </c>
      <c r="AE13" s="23">
        <f t="shared" si="18"/>
        <v>3.0600478244509062</v>
      </c>
      <c r="AF13" s="23">
        <f>+BA23</f>
        <v>3.3946347213467112</v>
      </c>
      <c r="AG13" s="23">
        <f t="shared" si="19"/>
        <v>7.2810254877285816</v>
      </c>
      <c r="AH13" s="23">
        <f t="shared" si="34"/>
        <v>7.9500938242320149</v>
      </c>
      <c r="AI13" s="23">
        <f t="shared" si="20"/>
        <v>8.0854111093150252</v>
      </c>
      <c r="AJ13" s="23">
        <f t="shared" si="27"/>
        <v>6.3529888131202474</v>
      </c>
      <c r="AK13" s="23">
        <f>+AZ27</f>
        <v>6.4757309983673865</v>
      </c>
      <c r="AL13" s="23">
        <f>+BD27</f>
        <v>4.9687430281113212</v>
      </c>
      <c r="AN13" s="45" t="str">
        <f t="shared" ref="AN13:AV13" si="44">+AN28</f>
        <v>G#</v>
      </c>
      <c r="AO13" s="48">
        <f t="shared" si="44"/>
        <v>-8.0854111093151424</v>
      </c>
      <c r="AP13" s="48">
        <f t="shared" si="44"/>
        <v>6.3529888131202954</v>
      </c>
      <c r="AQ13" s="48">
        <f t="shared" si="44"/>
        <v>1.5818468785359747</v>
      </c>
      <c r="AR13" s="48">
        <f t="shared" si="44"/>
        <v>-1.6929231233184607</v>
      </c>
      <c r="AS13" s="48">
        <f t="shared" si="44"/>
        <v>-7.3070420103528644</v>
      </c>
      <c r="AT13" s="48">
        <f t="shared" si="44"/>
        <v>7.9500938242320274</v>
      </c>
      <c r="AU13" s="48">
        <f t="shared" si="44"/>
        <v>1.8078250040411141</v>
      </c>
      <c r="AV13" s="48">
        <f t="shared" si="44"/>
        <v>14.278460406993442</v>
      </c>
      <c r="AW13" s="42" t="s">
        <v>57</v>
      </c>
      <c r="AX13" s="48">
        <f t="shared" ref="AX13:BE13" si="45">+AX28</f>
        <v>6.3529888131202954</v>
      </c>
      <c r="AY13" s="48">
        <f t="shared" si="45"/>
        <v>8.0854111093151424</v>
      </c>
      <c r="AZ13" s="48">
        <f t="shared" si="45"/>
        <v>6.8774688618126039</v>
      </c>
      <c r="BA13" s="48">
        <f t="shared" si="45"/>
        <v>3.6258905276727864</v>
      </c>
      <c r="BB13" s="48">
        <f t="shared" si="45"/>
        <v>11.108271769444183</v>
      </c>
      <c r="BC13" s="48">
        <f t="shared" si="45"/>
        <v>4.318859446150725</v>
      </c>
      <c r="BD13" s="48">
        <f t="shared" si="45"/>
        <v>7.5210438392642569</v>
      </c>
      <c r="BE13" s="48">
        <f t="shared" si="45"/>
        <v>6.8876854489024897</v>
      </c>
      <c r="BF13" s="45" t="str">
        <f t="shared" si="23"/>
        <v>G#</v>
      </c>
      <c r="BI13" s="50"/>
      <c r="BJ13" s="53" t="str">
        <f>AJ68</f>
        <v>(...)</v>
      </c>
      <c r="BK13" s="53"/>
      <c r="BL13" s="53" t="str">
        <f>AJ69</f>
        <v>(...)</v>
      </c>
      <c r="BM13" s="53"/>
      <c r="BN13" s="59" t="str">
        <f>AJ70</f>
        <v>(...)</v>
      </c>
      <c r="BO13" s="53"/>
      <c r="BP13" s="53" t="str">
        <f>AJ71</f>
        <v>( 33/100 )</v>
      </c>
      <c r="BQ13" s="53"/>
      <c r="BR13" s="53"/>
      <c r="BS13" s="18"/>
    </row>
    <row r="14" spans="1:82" x14ac:dyDescent="0.25">
      <c r="A14" s="4" t="s">
        <v>186</v>
      </c>
      <c r="D14" s="109" t="str">
        <f>+S61</f>
        <v>A#</v>
      </c>
      <c r="E14" s="110">
        <f t="shared" si="43"/>
        <v>232.81831789815683</v>
      </c>
      <c r="F14" s="111">
        <f>+IF(UseA,X61,W61)</f>
        <v>998.04499913461257</v>
      </c>
      <c r="G14" s="96">
        <f t="shared" si="3"/>
        <v>31.486975597622859</v>
      </c>
      <c r="H14" s="96">
        <f t="shared" si="4"/>
        <v>-12.563906651673733</v>
      </c>
      <c r="I14" s="96">
        <f t="shared" si="5"/>
        <v>7.9149693669801309</v>
      </c>
      <c r="J14" s="96">
        <f t="shared" si="6"/>
        <v>1.0522369412377657</v>
      </c>
      <c r="K14" s="96">
        <f t="shared" si="7"/>
        <v>0.78917770592818215</v>
      </c>
      <c r="L14" s="96">
        <f t="shared" si="8"/>
        <v>-16.751875535564977</v>
      </c>
      <c r="M14" s="96">
        <f t="shared" si="9"/>
        <v>10.564944064974725</v>
      </c>
      <c r="N14" s="96">
        <f t="shared" si="10"/>
        <v>-21.189451332832505</v>
      </c>
      <c r="O14" s="96">
        <f t="shared" si="11"/>
        <v>15.81291869432971</v>
      </c>
      <c r="P14" s="112">
        <f t="shared" si="12"/>
        <v>62.973951195245718</v>
      </c>
      <c r="Q14" s="113">
        <f t="shared" si="13"/>
        <v>-52.954569814444767</v>
      </c>
      <c r="R14" s="113">
        <f t="shared" si="14"/>
        <v>29.612102513365699</v>
      </c>
      <c r="S14" s="113">
        <f t="shared" si="15"/>
        <v>8.4226511805331938</v>
      </c>
      <c r="U14" s="21" t="str">
        <f>+AN23</f>
        <v>D#</v>
      </c>
      <c r="V14" s="23">
        <f>+AX23</f>
        <v>3.0600478244509062</v>
      </c>
      <c r="W14" s="23">
        <f>+AY23</f>
        <v>7.2810254877285816</v>
      </c>
      <c r="X14" s="23">
        <f>+BE28</f>
        <v>6.8876854489024897</v>
      </c>
      <c r="Y14" s="23">
        <f t="shared" si="16"/>
        <v>8.0854111093150252</v>
      </c>
      <c r="Z14" s="23">
        <f t="shared" si="30"/>
        <v>5.6126150724904802</v>
      </c>
      <c r="AA14" s="23">
        <f t="shared" si="31"/>
        <v>6.3529888131202474</v>
      </c>
      <c r="AB14" s="23">
        <f>+W6</f>
        <v>6.4757309983673812</v>
      </c>
      <c r="AC14" s="23">
        <f t="shared" si="24"/>
        <v>6.3529888131202954</v>
      </c>
      <c r="AD14" s="23">
        <f t="shared" si="24"/>
        <v>8.0854111093151424</v>
      </c>
      <c r="AE14" s="23">
        <f t="shared" si="18"/>
        <v>2.6622160580469711</v>
      </c>
      <c r="AF14" s="23">
        <f>+BA30</f>
        <v>3.235502014785145</v>
      </c>
      <c r="AG14" s="23">
        <f t="shared" si="19"/>
        <v>6.4757309983673919</v>
      </c>
      <c r="AH14" s="23">
        <f t="shared" si="34"/>
        <v>7.1510904349051341</v>
      </c>
      <c r="AI14" s="23">
        <f>+W5</f>
        <v>7.281025487728539</v>
      </c>
      <c r="AJ14" s="23">
        <f t="shared" si="27"/>
        <v>7.1510904349048596</v>
      </c>
      <c r="AK14" s="23">
        <f>+AZ22</f>
        <v>6.0698975789678782</v>
      </c>
      <c r="AL14" s="23">
        <f>+BD22</f>
        <v>5.7614317962644339</v>
      </c>
      <c r="AN14" s="45" t="str">
        <f t="shared" ref="AN14:AV14" si="46">+AN23</f>
        <v>D#</v>
      </c>
      <c r="AO14" s="48">
        <f t="shared" si="46"/>
        <v>-7.2810254877285816</v>
      </c>
      <c r="AP14" s="48">
        <f t="shared" si="46"/>
        <v>5.5557879411289832</v>
      </c>
      <c r="AQ14" s="48">
        <f t="shared" si="46"/>
        <v>1.5818468785360451</v>
      </c>
      <c r="AR14" s="48">
        <f t="shared" si="46"/>
        <v>-1.692923123318488</v>
      </c>
      <c r="AS14" s="48">
        <f t="shared" si="46"/>
        <v>-6.5035642307790971</v>
      </c>
      <c r="AT14" s="48">
        <f t="shared" si="46"/>
        <v>7.1510904349049618</v>
      </c>
      <c r="AU14" s="48">
        <f t="shared" si="46"/>
        <v>3.6176926526105815</v>
      </c>
      <c r="AV14" s="48">
        <f t="shared" si="46"/>
        <v>11.892253143821959</v>
      </c>
      <c r="AW14" s="42" t="s">
        <v>57</v>
      </c>
      <c r="AX14" s="48">
        <f t="shared" ref="AX14:BE14" si="47">+AX23</f>
        <v>3.0600478244509062</v>
      </c>
      <c r="AY14" s="48">
        <f t="shared" si="47"/>
        <v>7.2810254877285816</v>
      </c>
      <c r="AZ14" s="48">
        <f t="shared" si="47"/>
        <v>7.2810254877284901</v>
      </c>
      <c r="BA14" s="48">
        <f t="shared" si="47"/>
        <v>3.3946347213467112</v>
      </c>
      <c r="BB14" s="48">
        <f t="shared" si="47"/>
        <v>8.3593710160735366</v>
      </c>
      <c r="BC14" s="48">
        <f t="shared" si="47"/>
        <v>5.0830257866577808</v>
      </c>
      <c r="BD14" s="48">
        <f t="shared" si="47"/>
        <v>7.2030644560343733</v>
      </c>
      <c r="BE14" s="48">
        <f t="shared" si="47"/>
        <v>6.1641923104809804</v>
      </c>
      <c r="BF14" s="45" t="str">
        <f t="shared" si="23"/>
        <v>D#</v>
      </c>
      <c r="BI14" s="50"/>
      <c r="BJ14" s="54" t="str">
        <f>Y68</f>
        <v>G#</v>
      </c>
      <c r="BK14" s="54" t="str">
        <f>AE68</f>
        <v>(- 1/12 )</v>
      </c>
      <c r="BL14" s="54" t="str">
        <f>Y69</f>
        <v>D#</v>
      </c>
      <c r="BM14" s="54" t="str">
        <f>AE69</f>
        <v>(- 1/12 )</v>
      </c>
      <c r="BN14" s="60" t="str">
        <f>Y70</f>
        <v>A#</v>
      </c>
      <c r="BO14" s="54" t="str">
        <f>AE70</f>
        <v>(...)</v>
      </c>
      <c r="BP14" s="54" t="str">
        <f>Y71</f>
        <v>F</v>
      </c>
      <c r="BQ14" s="54" t="str">
        <f>AE71</f>
        <v>(- 1/6 )</v>
      </c>
      <c r="BR14" s="54" t="str">
        <f>BJ6</f>
        <v>C</v>
      </c>
      <c r="BS14" s="18"/>
    </row>
    <row r="15" spans="1:82" x14ac:dyDescent="0.25">
      <c r="D15" s="109" t="str">
        <f>+S62</f>
        <v>B</v>
      </c>
      <c r="E15" s="110">
        <f t="shared" si="43"/>
        <v>246.10595568662526</v>
      </c>
      <c r="F15" s="111">
        <f>+IF(UseA,X62,W62)</f>
        <v>1094.1349974038376</v>
      </c>
      <c r="G15" s="96">
        <f t="shared" si="3"/>
        <v>35.268148480269474</v>
      </c>
      <c r="H15" s="96">
        <f t="shared" si="4"/>
        <v>-11.627535547546131</v>
      </c>
      <c r="I15" s="96">
        <f t="shared" si="5"/>
        <v>12.570899612027233</v>
      </c>
      <c r="J15" s="96">
        <f t="shared" si="6"/>
        <v>0</v>
      </c>
      <c r="K15" s="96">
        <f t="shared" si="7"/>
        <v>0</v>
      </c>
      <c r="L15" s="96">
        <f t="shared" si="8"/>
        <v>-11.086756233404003</v>
      </c>
      <c r="M15" s="96">
        <f t="shared" si="9"/>
        <v>13.975467417221353</v>
      </c>
      <c r="N15" s="96">
        <f t="shared" si="10"/>
        <v>-22.398796700450475</v>
      </c>
      <c r="O15" s="96">
        <f t="shared" si="11"/>
        <v>33.503751071130409</v>
      </c>
      <c r="P15" s="112">
        <f t="shared" si="12"/>
        <v>78.486221054522957</v>
      </c>
      <c r="Q15" s="113">
        <f t="shared" si="13"/>
        <v>-49.42589458869179</v>
      </c>
      <c r="R15" s="113">
        <f t="shared" si="14"/>
        <v>31.30215377696436</v>
      </c>
      <c r="S15" s="113">
        <f t="shared" si="15"/>
        <v>8.9033570765136574</v>
      </c>
      <c r="U15" s="21" t="str">
        <f>+AN30</f>
        <v>A#</v>
      </c>
      <c r="V15" s="23">
        <f>+AX30</f>
        <v>2.6622160580469711</v>
      </c>
      <c r="W15" s="23">
        <f>+AY30</f>
        <v>6.4757309983673919</v>
      </c>
      <c r="X15" s="23">
        <f>+BE23</f>
        <v>6.1641923104809804</v>
      </c>
      <c r="Y15" s="23">
        <f>+W5</f>
        <v>7.281025487728539</v>
      </c>
      <c r="Z15" s="23">
        <f t="shared" si="30"/>
        <v>5.2908608238558568</v>
      </c>
      <c r="AA15" s="23">
        <f t="shared" si="31"/>
        <v>7.1510904349048596</v>
      </c>
      <c r="AB15" s="23">
        <f>+W7</f>
        <v>2.5911812888941133</v>
      </c>
      <c r="AC15" s="23">
        <f t="shared" si="24"/>
        <v>3.0600478244509062</v>
      </c>
      <c r="AD15" s="23">
        <f t="shared" si="24"/>
        <v>7.2810254877285816</v>
      </c>
      <c r="AE15" s="23">
        <f t="shared" si="18"/>
        <v>1.751975082733668</v>
      </c>
      <c r="AF15" s="23">
        <f>+BA25</f>
        <v>0.70079003309346721</v>
      </c>
      <c r="AG15" s="23">
        <f t="shared" si="19"/>
        <v>8.0854111093150252</v>
      </c>
      <c r="AH15" s="23">
        <f t="shared" si="34"/>
        <v>6.3529888131202474</v>
      </c>
      <c r="AI15" s="23">
        <f>+W6</f>
        <v>6.4757309983673812</v>
      </c>
      <c r="AJ15" s="23">
        <f t="shared" si="27"/>
        <v>6.3529888131202954</v>
      </c>
      <c r="AK15" s="23">
        <f>+AZ29</f>
        <v>5.6677047681746231</v>
      </c>
      <c r="AL15" s="23">
        <f>+BD29</f>
        <v>6.5577361682127417</v>
      </c>
      <c r="AN15" s="45" t="str">
        <f t="shared" ref="AN15:AV15" si="48">+AN30</f>
        <v>A#</v>
      </c>
      <c r="AO15" s="48">
        <f t="shared" si="48"/>
        <v>-6.4757309983673919</v>
      </c>
      <c r="AP15" s="48">
        <f t="shared" si="48"/>
        <v>4.7594868023311614</v>
      </c>
      <c r="AQ15" s="48">
        <f t="shared" si="48"/>
        <v>1.5818468785360706</v>
      </c>
      <c r="AR15" s="48">
        <f t="shared" si="48"/>
        <v>1.694835941288342</v>
      </c>
      <c r="AS15" s="48">
        <f t="shared" si="48"/>
        <v>-5.6991786091925114</v>
      </c>
      <c r="AT15" s="48">
        <f t="shared" si="48"/>
        <v>6.3529888131202368</v>
      </c>
      <c r="AU15" s="48">
        <f t="shared" si="48"/>
        <v>3.6176926526105935</v>
      </c>
      <c r="AV15" s="48">
        <f t="shared" si="48"/>
        <v>9.508738990952418</v>
      </c>
      <c r="AW15" s="42" t="s">
        <v>57</v>
      </c>
      <c r="AX15" s="48">
        <f t="shared" ref="AX15:BE15" si="49">+AX30</f>
        <v>2.6622160580469711</v>
      </c>
      <c r="AY15" s="48">
        <f t="shared" si="49"/>
        <v>6.4757309983673919</v>
      </c>
      <c r="AZ15" s="48">
        <f t="shared" si="49"/>
        <v>7.6823099436281161</v>
      </c>
      <c r="BA15" s="48">
        <f t="shared" si="49"/>
        <v>3.235502014785145</v>
      </c>
      <c r="BB15" s="48">
        <f t="shared" si="49"/>
        <v>6.7701298177902398</v>
      </c>
      <c r="BC15" s="48">
        <f t="shared" si="49"/>
        <v>4.7609079909133127</v>
      </c>
      <c r="BD15" s="48">
        <f t="shared" si="49"/>
        <v>6.8847172653233883</v>
      </c>
      <c r="BE15" s="48">
        <f t="shared" si="49"/>
        <v>5.4398817039432128</v>
      </c>
      <c r="BF15" s="45" t="str">
        <f t="shared" si="23"/>
        <v>A#</v>
      </c>
      <c r="BI15" s="50"/>
      <c r="BJ15" s="53" t="str">
        <f>AJ64</f>
        <v>( 23/25 )</v>
      </c>
      <c r="BK15" s="53"/>
      <c r="BL15" s="53" t="str">
        <f>AJ65</f>
        <v>( 83/100 )</v>
      </c>
      <c r="BM15" s="53"/>
      <c r="BN15" s="59" t="str">
        <f>AJ66</f>
        <v>( 3/4 )</v>
      </c>
      <c r="BO15" s="53"/>
      <c r="BP15" s="53" t="str">
        <f>AJ67</f>
        <v>(...)</v>
      </c>
      <c r="BQ15" s="53"/>
      <c r="BR15" s="53"/>
      <c r="BS15" s="18"/>
    </row>
    <row r="16" spans="1:82" x14ac:dyDescent="0.25">
      <c r="A16" s="86" t="s">
        <v>68</v>
      </c>
      <c r="B16" s="86"/>
      <c r="C16" s="126"/>
      <c r="D16" s="109" t="s">
        <v>69</v>
      </c>
      <c r="E16" s="110">
        <f t="shared" si="43"/>
        <v>261.625</v>
      </c>
      <c r="F16" s="114">
        <f>F4-IF(UseA,300,0)</f>
        <v>0</v>
      </c>
      <c r="G16" s="96">
        <f t="shared" ref="G16:S28" si="50">2*G4</f>
        <v>33.276017067730209</v>
      </c>
      <c r="H16" s="96">
        <f t="shared" si="50"/>
        <v>-15.87415244355816</v>
      </c>
      <c r="I16" s="96">
        <f t="shared" si="50"/>
        <v>4.4400969953348977</v>
      </c>
      <c r="J16" s="96">
        <f t="shared" si="50"/>
        <v>2.3661971005981286</v>
      </c>
      <c r="K16" s="96">
        <f t="shared" si="50"/>
        <v>-1.7706442961607536</v>
      </c>
      <c r="L16" s="96">
        <f t="shared" si="50"/>
        <v>-18.824590249420908</v>
      </c>
      <c r="M16" s="96">
        <f t="shared" si="50"/>
        <v>7.4078826875058894</v>
      </c>
      <c r="N16" s="96">
        <f t="shared" si="50"/>
        <v>-26.44182101843171</v>
      </c>
      <c r="O16" s="96">
        <f t="shared" si="50"/>
        <v>13.320290986004238</v>
      </c>
      <c r="P16" s="115">
        <f t="shared" si="50"/>
        <v>70.765737551042548</v>
      </c>
      <c r="Q16" s="115">
        <f t="shared" si="50"/>
        <v>-69.923273729153152</v>
      </c>
      <c r="R16" s="115">
        <f t="shared" si="50"/>
        <v>31.171543185254677</v>
      </c>
      <c r="S16" s="115">
        <f t="shared" si="50"/>
        <v>4.7297221668231941</v>
      </c>
      <c r="U16" s="21" t="str">
        <f>+AN25</f>
        <v>F</v>
      </c>
      <c r="V16" s="23">
        <f>+AX25</f>
        <v>1.751975082733668</v>
      </c>
      <c r="W16" s="23">
        <f>+AY25</f>
        <v>8.0854111093150252</v>
      </c>
      <c r="X16" s="23">
        <f>+BE30</f>
        <v>5.4398817039432128</v>
      </c>
      <c r="Y16" s="23">
        <f>+W6</f>
        <v>6.4757309983673812</v>
      </c>
      <c r="Z16" s="23">
        <f t="shared" si="30"/>
        <v>4.9687430281113212</v>
      </c>
      <c r="AA16" s="23">
        <f t="shared" si="31"/>
        <v>6.3529888131202954</v>
      </c>
      <c r="AB16" s="23">
        <f>+W8</f>
        <v>2.5911812888941652</v>
      </c>
      <c r="AC16" s="23">
        <f t="shared" si="24"/>
        <v>2.6622160580469711</v>
      </c>
      <c r="AD16" s="23">
        <f t="shared" si="24"/>
        <v>6.4757309983673919</v>
      </c>
      <c r="AE16" s="23">
        <f>+V5</f>
        <v>1.751975082733578</v>
      </c>
      <c r="AF16" s="23">
        <f>+BA20</f>
        <v>1.7854850355182443</v>
      </c>
      <c r="AG16" s="23">
        <f>+W5</f>
        <v>7.281025487728539</v>
      </c>
      <c r="AH16" s="23">
        <f t="shared" si="34"/>
        <v>7.1510904349048596</v>
      </c>
      <c r="AI16" s="23">
        <f>+W7</f>
        <v>2.5911812888941133</v>
      </c>
      <c r="AJ16" s="23">
        <f t="shared" si="27"/>
        <v>3.0600478244509062</v>
      </c>
      <c r="AK16" s="23">
        <f>+AZ24</f>
        <v>5.2650575234939883</v>
      </c>
      <c r="AL16" s="23">
        <f>+BD24</f>
        <v>7.3560230093975658</v>
      </c>
      <c r="AN16" s="45" t="str">
        <f t="shared" ref="AN16:AV16" si="51">+AN25</f>
        <v>F</v>
      </c>
      <c r="AO16" s="48">
        <f t="shared" si="51"/>
        <v>-8.0854111093150252</v>
      </c>
      <c r="AP16" s="48">
        <f t="shared" si="51"/>
        <v>2.3759716362998144</v>
      </c>
      <c r="AQ16" s="48">
        <f t="shared" si="51"/>
        <v>-1.5800615817636379</v>
      </c>
      <c r="AR16" s="48">
        <f t="shared" si="51"/>
        <v>-3.3839355875025645</v>
      </c>
      <c r="AS16" s="48">
        <f t="shared" si="51"/>
        <v>-8.0557925801310297</v>
      </c>
      <c r="AT16" s="48">
        <f t="shared" si="51"/>
        <v>3.9640843812740778</v>
      </c>
      <c r="AU16" s="48">
        <f t="shared" si="51"/>
        <v>0</v>
      </c>
      <c r="AV16" s="48">
        <f t="shared" si="51"/>
        <v>2.3743248164454829</v>
      </c>
      <c r="AW16" s="42" t="s">
        <v>57</v>
      </c>
      <c r="AX16" s="48">
        <f t="shared" ref="AX16:BE16" si="52">+AX25</f>
        <v>1.751975082733668</v>
      </c>
      <c r="AY16" s="48">
        <f t="shared" si="52"/>
        <v>8.0854111093150252</v>
      </c>
      <c r="AZ16" s="48">
        <f t="shared" si="52"/>
        <v>8.0854111093150838</v>
      </c>
      <c r="BA16" s="48">
        <f t="shared" si="52"/>
        <v>0.70079003309346721</v>
      </c>
      <c r="BB16" s="48">
        <f t="shared" si="52"/>
        <v>2.1253849229607567</v>
      </c>
      <c r="BC16" s="48">
        <f t="shared" si="52"/>
        <v>3.23416444372601</v>
      </c>
      <c r="BD16" s="48">
        <f t="shared" si="52"/>
        <v>5.6126150724904802</v>
      </c>
      <c r="BE16" s="48">
        <f t="shared" si="52"/>
        <v>7.4202454216451219</v>
      </c>
      <c r="BF16" s="45" t="str">
        <f t="shared" si="23"/>
        <v>F</v>
      </c>
      <c r="BI16" s="50"/>
      <c r="BJ16" s="52" t="str">
        <f>Y64</f>
        <v>E</v>
      </c>
      <c r="BK16" s="52"/>
      <c r="BL16" s="52" t="str">
        <f>Y65</f>
        <v>B</v>
      </c>
      <c r="BM16" s="52"/>
      <c r="BN16" s="58" t="str">
        <f>Y66</f>
        <v>F#</v>
      </c>
      <c r="BO16" s="52"/>
      <c r="BP16" s="52" t="str">
        <f>Y67</f>
        <v>C#</v>
      </c>
      <c r="BQ16" s="52"/>
      <c r="BR16" s="52"/>
      <c r="BS16" s="18"/>
      <c r="CD16" s="36"/>
    </row>
    <row r="17" spans="1:71" x14ac:dyDescent="0.25">
      <c r="A17" s="87" t="str">
        <f t="shared" ref="A17:A28" si="53">D4</f>
        <v>C</v>
      </c>
      <c r="B17" s="88">
        <f t="shared" ref="B17:B29" si="54">E4/$E$4</f>
        <v>1</v>
      </c>
      <c r="C17" s="126"/>
      <c r="D17" s="109" t="str">
        <f t="shared" ref="D17:D24" si="55">+S64</f>
        <v>C#</v>
      </c>
      <c r="E17" s="110">
        <f t="shared" si="43"/>
        <v>276.86920014745345</v>
      </c>
      <c r="F17" s="114">
        <f>(F5-IF(UseA,300,0))-100</f>
        <v>-1.955000865387305</v>
      </c>
      <c r="G17" s="96">
        <f t="shared" si="50"/>
        <v>30.763244460828219</v>
      </c>
      <c r="H17" s="96">
        <f t="shared" si="50"/>
        <v>-20.508829640551994</v>
      </c>
      <c r="I17" s="96">
        <f t="shared" si="50"/>
        <v>14.142262063530097</v>
      </c>
      <c r="J17" s="96">
        <f t="shared" si="50"/>
        <v>0</v>
      </c>
      <c r="K17" s="96">
        <f t="shared" si="50"/>
        <v>-0.93743654212858019</v>
      </c>
      <c r="L17" s="96">
        <f t="shared" si="50"/>
        <v>-22.39879670045093</v>
      </c>
      <c r="M17" s="96">
        <f t="shared" si="50"/>
        <v>12.563906651673733</v>
      </c>
      <c r="N17" s="96">
        <f t="shared" si="50"/>
        <v>-30.763244460828446</v>
      </c>
      <c r="O17" s="96">
        <f t="shared" si="50"/>
        <v>32.96199778819846</v>
      </c>
      <c r="P17" s="115">
        <f t="shared" si="50"/>
        <v>70.42984599816964</v>
      </c>
      <c r="Q17" s="115">
        <f t="shared" si="50"/>
        <v>-62.973951195245718</v>
      </c>
      <c r="R17" s="115">
        <f t="shared" si="50"/>
        <v>30.763244460827991</v>
      </c>
      <c r="S17" s="115">
        <f t="shared" si="50"/>
        <v>0</v>
      </c>
      <c r="AZ17" s="9"/>
      <c r="BA17" s="9"/>
      <c r="BB17" s="9"/>
      <c r="BC17" s="9"/>
      <c r="BD17" s="9"/>
      <c r="BE17" s="9"/>
      <c r="BS17" s="18"/>
    </row>
    <row r="18" spans="1:71" x14ac:dyDescent="0.25">
      <c r="A18" s="87" t="str">
        <f t="shared" si="53"/>
        <v>C#</v>
      </c>
      <c r="B18" s="88">
        <f t="shared" si="54"/>
        <v>1.0582673679787997</v>
      </c>
      <c r="C18" s="126"/>
      <c r="D18" s="109" t="str">
        <f t="shared" si="55"/>
        <v>D</v>
      </c>
      <c r="E18" s="110">
        <f t="shared" si="43"/>
        <v>293.00163971444107</v>
      </c>
      <c r="F18" s="114">
        <f>(F6-IF(UseA,300,0))-200</f>
        <v>-3.9100017307748658</v>
      </c>
      <c r="G18" s="96">
        <f t="shared" si="50"/>
        <v>46.720916200108604</v>
      </c>
      <c r="H18" s="96">
        <f t="shared" si="50"/>
        <v>-9.8995097856495704</v>
      </c>
      <c r="I18" s="96">
        <f t="shared" si="50"/>
        <v>11.627535547546358</v>
      </c>
      <c r="J18" s="96">
        <f t="shared" si="50"/>
        <v>2.649974697994594</v>
      </c>
      <c r="K18" s="96">
        <f t="shared" si="50"/>
        <v>-1.982997351652557</v>
      </c>
      <c r="L18" s="96">
        <f t="shared" si="50"/>
        <v>-15.829938733960262</v>
      </c>
      <c r="M18" s="96">
        <f t="shared" si="50"/>
        <v>11.627535547546131</v>
      </c>
      <c r="N18" s="96">
        <f t="shared" si="50"/>
        <v>-20.76475742996945</v>
      </c>
      <c r="O18" s="96">
        <f t="shared" si="50"/>
        <v>34.882606642639075</v>
      </c>
      <c r="P18" s="115">
        <f t="shared" si="50"/>
        <v>88.706766164647888</v>
      </c>
      <c r="Q18" s="115">
        <f t="shared" si="50"/>
        <v>-70.536296960538948</v>
      </c>
      <c r="R18" s="115">
        <f t="shared" si="50"/>
        <v>41.988521998912347</v>
      </c>
      <c r="S18" s="115">
        <f t="shared" si="50"/>
        <v>21.223764568942897</v>
      </c>
      <c r="AM18" s="28"/>
      <c r="AX18" s="40" t="s">
        <v>70</v>
      </c>
      <c r="AY18" s="40" t="s">
        <v>71</v>
      </c>
      <c r="AZ18" s="40" t="s">
        <v>72</v>
      </c>
      <c r="BA18" s="40" t="s">
        <v>73</v>
      </c>
      <c r="BB18" s="40" t="s">
        <v>74</v>
      </c>
      <c r="BC18" s="40" t="s">
        <v>75</v>
      </c>
      <c r="BD18" s="40" t="s">
        <v>76</v>
      </c>
      <c r="BE18" s="40" t="s">
        <v>77</v>
      </c>
      <c r="BF18" s="39"/>
      <c r="BS18" s="18"/>
    </row>
    <row r="19" spans="1:71" x14ac:dyDescent="0.25">
      <c r="A19" s="87" t="str">
        <f t="shared" si="53"/>
        <v>D</v>
      </c>
      <c r="B19" s="88">
        <f t="shared" si="54"/>
        <v>1.1199298221287761</v>
      </c>
      <c r="C19" s="126"/>
      <c r="D19" s="109" t="str">
        <f t="shared" si="55"/>
        <v>D#</v>
      </c>
      <c r="E19" s="110">
        <f t="shared" si="43"/>
        <v>310.77516951128837</v>
      </c>
      <c r="F19" s="114">
        <f>(F7-IF(UseA,300,0))-300</f>
        <v>-1.9550008653872055</v>
      </c>
      <c r="G19" s="96">
        <f t="shared" si="50"/>
        <v>39.527414600609063</v>
      </c>
      <c r="H19" s="96">
        <f t="shared" si="50"/>
        <v>-18.856349418040509</v>
      </c>
      <c r="I19" s="96">
        <f t="shared" si="50"/>
        <v>12.332863851236652</v>
      </c>
      <c r="J19" s="96">
        <f t="shared" si="50"/>
        <v>1.4045678051941195</v>
      </c>
      <c r="K19" s="96">
        <f t="shared" si="50"/>
        <v>-1.0522369412377657</v>
      </c>
      <c r="L19" s="96">
        <f t="shared" si="50"/>
        <v>-25.141799224054466</v>
      </c>
      <c r="M19" s="96">
        <f t="shared" si="50"/>
        <v>15.87415244355816</v>
      </c>
      <c r="N19" s="96">
        <f t="shared" si="50"/>
        <v>-28.284524127060649</v>
      </c>
      <c r="O19" s="96">
        <f t="shared" si="50"/>
        <v>26.398692761731581</v>
      </c>
      <c r="P19" s="115">
        <f t="shared" si="50"/>
        <v>79.054829201217217</v>
      </c>
      <c r="Q19" s="115">
        <f t="shared" si="50"/>
        <v>-66.552034135460417</v>
      </c>
      <c r="R19" s="115">
        <f t="shared" si="50"/>
        <v>39.527414600609063</v>
      </c>
      <c r="S19" s="115">
        <f t="shared" si="50"/>
        <v>11.242890473547959</v>
      </c>
      <c r="U19" s="8" t="s">
        <v>78</v>
      </c>
      <c r="V19" s="7"/>
      <c r="W19" s="7"/>
      <c r="X19" s="7"/>
      <c r="Y19" s="11" t="str">
        <f>G1</f>
        <v>Bach 1722 (Lehman, from title page of WTC), set from C=523.25</v>
      </c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28"/>
      <c r="AN19" s="4" t="s">
        <v>79</v>
      </c>
      <c r="BS19" s="18"/>
    </row>
    <row r="20" spans="1:71" x14ac:dyDescent="0.25">
      <c r="A20" s="87" t="str">
        <f t="shared" si="53"/>
        <v>D#</v>
      </c>
      <c r="B20" s="88">
        <f t="shared" si="54"/>
        <v>1.1878649575204525</v>
      </c>
      <c r="C20" s="126"/>
      <c r="D20" s="109" t="str">
        <f t="shared" si="55"/>
        <v>E</v>
      </c>
      <c r="E20" s="110">
        <f t="shared" si="43"/>
        <v>328.14127424883372</v>
      </c>
      <c r="F20" s="114">
        <f>(F8-IF(UseA,300,0))-400</f>
        <v>-7.8200034615497316</v>
      </c>
      <c r="G20" s="96">
        <f t="shared" si="50"/>
        <v>52.324147369681668</v>
      </c>
      <c r="H20" s="96">
        <f t="shared" si="50"/>
        <v>-11.08675623340423</v>
      </c>
      <c r="I20" s="96">
        <f t="shared" si="50"/>
        <v>18.633956556294834</v>
      </c>
      <c r="J20" s="96">
        <f t="shared" si="50"/>
        <v>2.9677856921709918</v>
      </c>
      <c r="K20" s="96">
        <f t="shared" si="50"/>
        <v>0</v>
      </c>
      <c r="L20" s="96">
        <f t="shared" si="50"/>
        <v>-8.8801939906697953</v>
      </c>
      <c r="M20" s="96">
        <f t="shared" si="50"/>
        <v>20.508829640551994</v>
      </c>
      <c r="N20" s="96">
        <f t="shared" si="50"/>
        <v>-23.255071095092717</v>
      </c>
      <c r="O20" s="96">
        <f t="shared" si="50"/>
        <v>50.283598448108023</v>
      </c>
      <c r="P20" s="115">
        <f t="shared" si="50"/>
        <v>115.27216051632786</v>
      </c>
      <c r="Q20" s="115">
        <f t="shared" si="50"/>
        <v>-61.526488921656437</v>
      </c>
      <c r="R20" s="115">
        <f t="shared" si="50"/>
        <v>47.02419797369248</v>
      </c>
      <c r="S20" s="115">
        <f t="shared" si="50"/>
        <v>23.769126878599309</v>
      </c>
      <c r="U20" s="35" t="s">
        <v>80</v>
      </c>
      <c r="V20" s="7"/>
      <c r="W20" s="7"/>
      <c r="X20" s="7"/>
      <c r="Y20" s="7"/>
      <c r="Z20" s="7"/>
      <c r="AA20" s="7"/>
      <c r="AB20" s="7"/>
      <c r="AC20" s="7"/>
      <c r="AD20" s="7"/>
      <c r="AE20" s="7"/>
      <c r="AF20" s="68" t="str">
        <f>IF(T74=1,"exact","approximate")</f>
        <v>approximate</v>
      </c>
      <c r="AG20" s="7"/>
      <c r="AH20" s="7"/>
      <c r="AI20" s="69" t="str">
        <f>AF20</f>
        <v>approximate</v>
      </c>
      <c r="AJ20" s="7"/>
      <c r="AK20" s="7"/>
      <c r="AL20" s="7"/>
      <c r="AM20" s="28"/>
      <c r="AN20" s="46" t="str">
        <f t="shared" ref="AN20:AN31" si="56">+D4</f>
        <v>C</v>
      </c>
      <c r="AO20" s="47">
        <f t="shared" ref="AO20:AO31" si="57">IF(ABS(AN52)&lt;ABS(AN64),AN52,AN64)</f>
        <v>-7.281025487728539</v>
      </c>
      <c r="AP20" s="47">
        <f t="shared" ref="AP20:AP31" si="58">(I4/E4)*FactMaj3</f>
        <v>2.3759716362996111</v>
      </c>
      <c r="AQ20" s="47">
        <f t="shared" ref="AQ20:AQ31" si="59">(J4/E4)*+FactPer4</f>
        <v>3.1654810710342858</v>
      </c>
      <c r="AR20" s="47">
        <f t="shared" ref="AR20:AR31" si="60">(K4/E4)*+FactPer5</f>
        <v>-3.3839355875026342</v>
      </c>
      <c r="AS20" s="47">
        <f t="shared" ref="AS20:AS31" si="61">+IF(ABS(+AO64)&lt;ABS(+AO52),+AO64,+AO52)</f>
        <v>-4.9199300382807394</v>
      </c>
      <c r="AT20" s="47">
        <f t="shared" ref="AT20:AT31" si="62">+IF(ABS(+AQ64)&lt;ABS(+AQ52),+AQ64,+AQ52)</f>
        <v>3.9640843812740547</v>
      </c>
      <c r="AU20" s="47">
        <f t="shared" ref="AU20:AU31" si="63">+IF(ABS(+AR52)&lt;ABS(+AR64),+AR52,+AR64)</f>
        <v>1.8078250040413548</v>
      </c>
      <c r="AV20" s="47">
        <f t="shared" ref="AV20:AV31" si="64">(O4/E4)*+FactMaj3</f>
        <v>7.1279149088985889</v>
      </c>
      <c r="AW20" s="42" t="s">
        <v>57</v>
      </c>
      <c r="AX20" s="47">
        <f t="shared" ref="AX20:AX31" si="65">+IF(MAX(+$AP36,+$AR36)&gt;=10,MAX(+$AP36,+$AR36),IF(+$AP36&lt;=6,AVERAGE(+$AP36,+$AR36/3),MAX(+$AP36,+$AR36)))</f>
        <v>1.751975082733578</v>
      </c>
      <c r="AY20" s="47">
        <f t="shared" ref="AY20:AY31" si="66">+IF(MAX(+$AO36,+$AR36)&gt;=10,MAX(+$AO36,+$AR36),IF(+$AO36&lt;=6,AVERAGE(+$AO36,+$AR36/3),MAX(+$AO36,+$AR36)))</f>
        <v>7.281025487728539</v>
      </c>
      <c r="AZ20" s="47">
        <f t="shared" ref="AZ20:AZ29" si="67">+AVERAGE(+AO36,+AO39)</f>
        <v>7.2810254877285603</v>
      </c>
      <c r="BA20" s="47">
        <f t="shared" ref="BA20:BA31" si="68">+(+AX20*2+AU36*3)/5</f>
        <v>1.7854850355182443</v>
      </c>
      <c r="BB20" s="47">
        <f t="shared" ref="BB20:BB31" si="69">+(+AX20*2+AV36*3)/5</f>
        <v>4.9775389784325847</v>
      </c>
      <c r="BC20" s="47">
        <f t="shared" ref="BC20:BC31" si="70">+(+AY20*2+AU36*3)/5</f>
        <v>3.9971051975162282</v>
      </c>
      <c r="BD20" s="47">
        <f t="shared" ref="BD20:BD31" si="71">+(+AZ20*2+AT36*3)/5</f>
        <v>5.2908608238558568</v>
      </c>
      <c r="BE20" s="47">
        <f t="shared" ref="BE20:BE29" si="72">+(+AO36*4+AS36*5+AQ39)/10</f>
        <v>5.5305599020853897</v>
      </c>
      <c r="BF20" s="45" t="str">
        <f t="shared" ref="BF20:BF31" si="73">+AN20</f>
        <v>C</v>
      </c>
      <c r="BS20" s="18"/>
    </row>
    <row r="21" spans="1:71" x14ac:dyDescent="0.25">
      <c r="A21" s="87" t="str">
        <f t="shared" si="53"/>
        <v>E</v>
      </c>
      <c r="B21" s="88">
        <f t="shared" si="54"/>
        <v>1.2542428064933921</v>
      </c>
      <c r="C21" s="126"/>
      <c r="D21" s="109" t="str">
        <f t="shared" si="55"/>
        <v>F</v>
      </c>
      <c r="E21" s="110">
        <f t="shared" si="43"/>
        <v>349.62206570019936</v>
      </c>
      <c r="F21" s="114">
        <f>(F9-IF(UseA,300,0))-500</f>
        <v>1.9550008653871487</v>
      </c>
      <c r="G21" s="96">
        <f t="shared" si="50"/>
        <v>41.656031799299853</v>
      </c>
      <c r="H21" s="96">
        <f t="shared" si="50"/>
        <v>-23.556984450617165</v>
      </c>
      <c r="I21" s="96">
        <f t="shared" si="50"/>
        <v>5.9335150823444565</v>
      </c>
      <c r="J21" s="96">
        <f t="shared" si="50"/>
        <v>-1.5783554118563643</v>
      </c>
      <c r="K21" s="96">
        <f t="shared" si="50"/>
        <v>-2.3661971005981286</v>
      </c>
      <c r="L21" s="96">
        <f t="shared" si="50"/>
        <v>-28.284524127060195</v>
      </c>
      <c r="M21" s="96">
        <f t="shared" si="50"/>
        <v>9.8995097856495704</v>
      </c>
      <c r="N21" s="96">
        <f t="shared" si="50"/>
        <v>-38.846896188910705</v>
      </c>
      <c r="O21" s="96">
        <f t="shared" si="50"/>
        <v>5.9294024783494024</v>
      </c>
      <c r="P21" s="115">
        <f t="shared" si="50"/>
        <v>88.936682851371188</v>
      </c>
      <c r="Q21" s="115">
        <f t="shared" si="50"/>
        <v>-93.441832400217208</v>
      </c>
      <c r="R21" s="115">
        <f t="shared" si="50"/>
        <v>38.846896188911614</v>
      </c>
      <c r="S21" s="115">
        <f t="shared" si="50"/>
        <v>0</v>
      </c>
      <c r="U21" s="70" t="s">
        <v>20</v>
      </c>
      <c r="V21" s="71" t="s">
        <v>22</v>
      </c>
      <c r="W21" s="70" t="s">
        <v>81</v>
      </c>
      <c r="X21" s="72" t="s">
        <v>82</v>
      </c>
      <c r="Y21" s="70" t="s">
        <v>83</v>
      </c>
      <c r="Z21" s="73" t="s">
        <v>84</v>
      </c>
      <c r="AA21" s="70" t="s">
        <v>85</v>
      </c>
      <c r="AB21" s="70" t="s">
        <v>86</v>
      </c>
      <c r="AC21" s="70" t="s">
        <v>87</v>
      </c>
      <c r="AD21" s="70" t="s">
        <v>88</v>
      </c>
      <c r="AE21" s="7"/>
      <c r="AF21" s="68" t="s">
        <v>89</v>
      </c>
      <c r="AG21" s="35"/>
      <c r="AH21" s="68" t="s">
        <v>187</v>
      </c>
      <c r="AI21" s="69" t="s">
        <v>90</v>
      </c>
      <c r="AJ21" s="7"/>
      <c r="AK21" s="69" t="s">
        <v>187</v>
      </c>
      <c r="AL21" s="7"/>
      <c r="AM21" s="28"/>
      <c r="AN21" s="46" t="str">
        <f t="shared" si="56"/>
        <v>C#</v>
      </c>
      <c r="AO21" s="47">
        <f t="shared" si="57"/>
        <v>-8.8888888888888395</v>
      </c>
      <c r="AP21" s="47">
        <f t="shared" si="58"/>
        <v>7.1510904349048596</v>
      </c>
      <c r="AQ21" s="47">
        <f t="shared" si="59"/>
        <v>0</v>
      </c>
      <c r="AR21" s="47">
        <f t="shared" si="60"/>
        <v>-1.6929231233183855</v>
      </c>
      <c r="AS21" s="47">
        <f t="shared" si="61"/>
        <v>-7.2810254877283977</v>
      </c>
      <c r="AT21" s="47">
        <f t="shared" si="62"/>
        <v>6.3529888131202474</v>
      </c>
      <c r="AU21" s="47">
        <f t="shared" si="63"/>
        <v>0</v>
      </c>
      <c r="AV21" s="47">
        <f t="shared" si="64"/>
        <v>16.667363823387088</v>
      </c>
      <c r="AW21" s="42" t="s">
        <v>57</v>
      </c>
      <c r="AX21" s="47">
        <f t="shared" si="65"/>
        <v>7.1510904349048596</v>
      </c>
      <c r="AY21" s="47">
        <f t="shared" si="66"/>
        <v>8.8888888888888395</v>
      </c>
      <c r="AZ21" s="47">
        <f t="shared" si="67"/>
        <v>6.4716364687547179</v>
      </c>
      <c r="BA21" s="47">
        <f t="shared" si="68"/>
        <v>2.8604361739619439</v>
      </c>
      <c r="BB21" s="47">
        <f t="shared" si="69"/>
        <v>12.860854467994196</v>
      </c>
      <c r="BC21" s="47">
        <f t="shared" si="70"/>
        <v>3.5555555555555358</v>
      </c>
      <c r="BD21" s="47">
        <f t="shared" si="71"/>
        <v>6.4004478753740361</v>
      </c>
      <c r="BE21" s="47">
        <f t="shared" si="72"/>
        <v>7.5126164065231933</v>
      </c>
      <c r="BF21" s="45" t="str">
        <f t="shared" si="73"/>
        <v>C#</v>
      </c>
      <c r="BS21" s="18"/>
    </row>
    <row r="22" spans="1:71" x14ac:dyDescent="0.25">
      <c r="A22" s="87" t="str">
        <f t="shared" si="53"/>
        <v>F</v>
      </c>
      <c r="B22" s="88">
        <f t="shared" si="54"/>
        <v>1.3363480772105087</v>
      </c>
      <c r="C22" s="126"/>
      <c r="D22" s="109" t="str">
        <f t="shared" si="55"/>
        <v>F#</v>
      </c>
      <c r="E22" s="110">
        <f t="shared" si="43"/>
        <v>369.15893352993794</v>
      </c>
      <c r="F22" s="114">
        <f>(F10-IF(UseA,300,0))-600</f>
        <v>-3.9100017307748658</v>
      </c>
      <c r="G22" s="96">
        <f t="shared" si="50"/>
        <v>46.953230665445972</v>
      </c>
      <c r="H22" s="96">
        <f t="shared" si="50"/>
        <v>-22.39879670045093</v>
      </c>
      <c r="I22" s="96">
        <f t="shared" si="50"/>
        <v>16.751875535564977</v>
      </c>
      <c r="J22" s="96">
        <f t="shared" si="50"/>
        <v>0</v>
      </c>
      <c r="K22" s="96">
        <f t="shared" si="50"/>
        <v>0</v>
      </c>
      <c r="L22" s="96">
        <f t="shared" si="50"/>
        <v>-23.255071095092717</v>
      </c>
      <c r="M22" s="96">
        <f t="shared" si="50"/>
        <v>18.856349418040509</v>
      </c>
      <c r="N22" s="96">
        <f t="shared" si="50"/>
        <v>-41.017659281103988</v>
      </c>
      <c r="O22" s="96">
        <f t="shared" si="50"/>
        <v>56.569048254120389</v>
      </c>
      <c r="P22" s="115">
        <f t="shared" si="50"/>
        <v>105.80444544080729</v>
      </c>
      <c r="Q22" s="115">
        <f t="shared" si="50"/>
        <v>-79.054829201218126</v>
      </c>
      <c r="R22" s="115">
        <f t="shared" si="50"/>
        <v>41.017659281103988</v>
      </c>
      <c r="S22" s="115">
        <f t="shared" si="50"/>
        <v>0</v>
      </c>
      <c r="U22" s="70" t="str">
        <f t="shared" ref="U22:U33" si="74">D4</f>
        <v>C</v>
      </c>
      <c r="V22" s="74">
        <f t="shared" ref="V22:V33" si="75">F4</f>
        <v>0</v>
      </c>
      <c r="W22" s="61">
        <f>IF(ABS(G4)&lt;ABS(H4),G4,H4)</f>
        <v>-7.9370762217790798</v>
      </c>
      <c r="X22" s="75">
        <f t="shared" ref="X22:X33" si="76">I4</f>
        <v>2.2200484976674488</v>
      </c>
      <c r="Y22" s="61">
        <f t="shared" ref="Y22:Y33" si="77">J4</f>
        <v>1.1830985502990643</v>
      </c>
      <c r="Z22" s="76">
        <f t="shared" ref="Z22:Z33" si="78">K4</f>
        <v>-0.88532214808037679</v>
      </c>
      <c r="AA22" s="61">
        <f>IF(ABS(L4)&lt;ABS(P4),L4,P4)</f>
        <v>-9.4122951247104538</v>
      </c>
      <c r="AB22" s="61">
        <f t="shared" ref="AB22:AD33" si="79">IF(ABS(M4)&lt;ABS(Q4),M4,Q4)</f>
        <v>3.7039413437529447</v>
      </c>
      <c r="AC22" s="61">
        <f t="shared" si="79"/>
        <v>-13.220910509215855</v>
      </c>
      <c r="AD22" s="61">
        <f t="shared" si="79"/>
        <v>2.3648610834115971</v>
      </c>
      <c r="AE22" s="35"/>
      <c r="AF22" s="68" t="str">
        <f t="shared" ref="AF22:AF33" si="80">AE84</f>
        <v>( 33/100 )</v>
      </c>
      <c r="AG22" s="35"/>
      <c r="AH22" s="82">
        <f t="shared" ref="AH22:AH33" si="81">AH84</f>
        <v>240</v>
      </c>
      <c r="AI22" s="69" t="str">
        <f t="shared" ref="AI22:AI33" si="82">AF84</f>
        <v>(- 1/6 )</v>
      </c>
      <c r="AJ22" s="35"/>
      <c r="AK22" s="80">
        <f>ROUND(AI84,0)</f>
        <v>-120</v>
      </c>
      <c r="AL22" s="35"/>
      <c r="AM22" s="28"/>
      <c r="AN22" s="46" t="str">
        <f t="shared" si="56"/>
        <v>D</v>
      </c>
      <c r="AO22" s="47">
        <f t="shared" si="57"/>
        <v>-4.0543840486207312</v>
      </c>
      <c r="AP22" s="47">
        <f t="shared" si="58"/>
        <v>5.5557879411289131</v>
      </c>
      <c r="AQ22" s="47">
        <f t="shared" si="59"/>
        <v>3.1654810710344119</v>
      </c>
      <c r="AR22" s="47">
        <f t="shared" si="60"/>
        <v>-3.383935587502485</v>
      </c>
      <c r="AS22" s="47">
        <f t="shared" si="61"/>
        <v>-3.3102499273329693</v>
      </c>
      <c r="AT22" s="47">
        <f t="shared" si="62"/>
        <v>5.5557879411288047</v>
      </c>
      <c r="AU22" s="47">
        <f t="shared" si="63"/>
        <v>-7.0869082678877664</v>
      </c>
      <c r="AV22" s="47">
        <f t="shared" si="64"/>
        <v>16.66736382338674</v>
      </c>
      <c r="AW22" s="42" t="s">
        <v>57</v>
      </c>
      <c r="AX22" s="47">
        <f t="shared" si="65"/>
        <v>3.3418832351482042</v>
      </c>
      <c r="AY22" s="47">
        <f t="shared" si="66"/>
        <v>2.5911812888941133</v>
      </c>
      <c r="AZ22" s="47">
        <f t="shared" si="67"/>
        <v>6.0698975789678782</v>
      </c>
      <c r="BA22" s="47">
        <f t="shared" si="68"/>
        <v>5.5888982547919417</v>
      </c>
      <c r="BB22" s="47">
        <f t="shared" si="69"/>
        <v>11.337171588091326</v>
      </c>
      <c r="BC22" s="47">
        <f t="shared" si="70"/>
        <v>5.2886174762903053</v>
      </c>
      <c r="BD22" s="47">
        <f t="shared" si="71"/>
        <v>5.7614317962644339</v>
      </c>
      <c r="BE22" s="47">
        <f t="shared" si="72"/>
        <v>3.4348847412911403</v>
      </c>
      <c r="BF22" s="45" t="str">
        <f t="shared" si="73"/>
        <v>D</v>
      </c>
      <c r="BS22" s="18"/>
    </row>
    <row r="23" spans="1:71" x14ac:dyDescent="0.25">
      <c r="A23" s="87" t="str">
        <f t="shared" si="53"/>
        <v>F#</v>
      </c>
      <c r="B23" s="88">
        <f t="shared" si="54"/>
        <v>1.4110231573050662</v>
      </c>
      <c r="C23" s="126"/>
      <c r="D23" s="109" t="str">
        <f t="shared" si="55"/>
        <v>G</v>
      </c>
      <c r="E23" s="110">
        <f t="shared" si="43"/>
        <v>391.55217785191962</v>
      </c>
      <c r="F23" s="114">
        <f>(F11-IF(UseA,300,0))-700</f>
        <v>-1.9550008653874329</v>
      </c>
      <c r="G23" s="96">
        <f t="shared" si="50"/>
        <v>52.954569814444767</v>
      </c>
      <c r="H23" s="96">
        <f t="shared" si="50"/>
        <v>-21.12988812994945</v>
      </c>
      <c r="I23" s="96">
        <f t="shared" si="50"/>
        <v>11.086756233404003</v>
      </c>
      <c r="J23" s="96">
        <f t="shared" si="50"/>
        <v>3.5412885923215072</v>
      </c>
      <c r="K23" s="96">
        <f t="shared" si="50"/>
        <v>-2.649974697994594</v>
      </c>
      <c r="L23" s="96">
        <f t="shared" si="50"/>
        <v>-24.665727702473305</v>
      </c>
      <c r="M23" s="96">
        <f t="shared" si="50"/>
        <v>11.08675623340423</v>
      </c>
      <c r="N23" s="96">
        <f t="shared" si="50"/>
        <v>-27.74894366528315</v>
      </c>
      <c r="O23" s="96">
        <f t="shared" si="50"/>
        <v>33.260268700212691</v>
      </c>
      <c r="P23" s="115">
        <f t="shared" si="50"/>
        <v>112.2225612763159</v>
      </c>
      <c r="Q23" s="115">
        <f t="shared" si="50"/>
        <v>-104.64829473936334</v>
      </c>
      <c r="R23" s="115">
        <f t="shared" si="50"/>
        <v>56.111280638157496</v>
      </c>
      <c r="S23" s="115">
        <f t="shared" si="50"/>
        <v>28.3623369728748</v>
      </c>
      <c r="U23" s="70" t="str">
        <f t="shared" si="74"/>
        <v>C#</v>
      </c>
      <c r="V23" s="74">
        <f t="shared" si="75"/>
        <v>98.044999134612695</v>
      </c>
      <c r="W23" s="61">
        <f t="shared" ref="W23:W33" si="83">IF(ABS(G5)&lt;ABS(H5),G5,H5)</f>
        <v>-10.254414820275997</v>
      </c>
      <c r="X23" s="75">
        <f t="shared" si="76"/>
        <v>7.0711310317650486</v>
      </c>
      <c r="Y23" s="61">
        <f t="shared" si="77"/>
        <v>0</v>
      </c>
      <c r="Z23" s="76">
        <f t="shared" si="78"/>
        <v>-0.46871827106429009</v>
      </c>
      <c r="AA23" s="61">
        <f t="shared" ref="AA23:AA33" si="84">IF(ABS(L5)&lt;ABS(P5),L5,P5)</f>
        <v>-11.199398350225465</v>
      </c>
      <c r="AB23" s="61">
        <f t="shared" si="79"/>
        <v>6.2819533258368665</v>
      </c>
      <c r="AC23" s="61">
        <f t="shared" si="79"/>
        <v>15.381622230413996</v>
      </c>
      <c r="AD23" s="61">
        <f t="shared" si="79"/>
        <v>0</v>
      </c>
      <c r="AE23" s="35"/>
      <c r="AF23" s="68" t="str">
        <f t="shared" si="80"/>
        <v>(...)</v>
      </c>
      <c r="AG23" s="35"/>
      <c r="AH23" s="82">
        <f t="shared" si="81"/>
        <v>600</v>
      </c>
      <c r="AI23" s="69" t="str">
        <f t="shared" si="82"/>
        <v>(- 1/12 )</v>
      </c>
      <c r="AJ23" s="35"/>
      <c r="AK23" s="80">
        <f t="shared" ref="AK23:AK33" si="85">ROUND(AI85,0)</f>
        <v>-60</v>
      </c>
      <c r="AL23" s="35"/>
      <c r="AM23" s="28"/>
      <c r="AN23" s="46" t="str">
        <f t="shared" si="56"/>
        <v>D#</v>
      </c>
      <c r="AO23" s="47">
        <f t="shared" si="57"/>
        <v>-7.2810254877285816</v>
      </c>
      <c r="AP23" s="47">
        <f t="shared" si="58"/>
        <v>5.5557879411289832</v>
      </c>
      <c r="AQ23" s="47">
        <f t="shared" si="59"/>
        <v>1.5818468785360451</v>
      </c>
      <c r="AR23" s="47">
        <f t="shared" si="60"/>
        <v>-1.692923123318488</v>
      </c>
      <c r="AS23" s="47">
        <f t="shared" si="61"/>
        <v>-6.5035642307790971</v>
      </c>
      <c r="AT23" s="47">
        <f t="shared" si="62"/>
        <v>7.1510904349049618</v>
      </c>
      <c r="AU23" s="47">
        <f t="shared" si="63"/>
        <v>3.6176926526105815</v>
      </c>
      <c r="AV23" s="47">
        <f t="shared" si="64"/>
        <v>11.892253143821959</v>
      </c>
      <c r="AW23" s="42" t="s">
        <v>57</v>
      </c>
      <c r="AX23" s="47">
        <f t="shared" si="65"/>
        <v>3.0600478244509062</v>
      </c>
      <c r="AY23" s="47">
        <f t="shared" si="66"/>
        <v>7.2810254877285816</v>
      </c>
      <c r="AZ23" s="47">
        <f t="shared" si="67"/>
        <v>7.2810254877284901</v>
      </c>
      <c r="BA23" s="47">
        <f t="shared" si="68"/>
        <v>3.3946347213467112</v>
      </c>
      <c r="BB23" s="47">
        <f t="shared" si="69"/>
        <v>8.3593710160735366</v>
      </c>
      <c r="BC23" s="47">
        <f t="shared" si="70"/>
        <v>5.0830257866577808</v>
      </c>
      <c r="BD23" s="47">
        <f t="shared" si="71"/>
        <v>7.2030644560343733</v>
      </c>
      <c r="BE23" s="47">
        <f t="shared" si="72"/>
        <v>6.1641923104809804</v>
      </c>
      <c r="BF23" s="45" t="str">
        <f t="shared" si="73"/>
        <v>D#</v>
      </c>
      <c r="BS23" s="18"/>
    </row>
    <row r="24" spans="1:71" x14ac:dyDescent="0.25">
      <c r="A24" s="87" t="str">
        <f t="shared" si="53"/>
        <v>G</v>
      </c>
      <c r="B24" s="88">
        <f t="shared" si="54"/>
        <v>1.4966160644124973</v>
      </c>
      <c r="C24" s="126"/>
      <c r="D24" s="109" t="str">
        <f t="shared" si="55"/>
        <v>G#</v>
      </c>
      <c r="E24" s="110">
        <f t="shared" si="43"/>
        <v>414.83508195011586</v>
      </c>
      <c r="F24" s="114">
        <f>(F12-IF(UseA,300,0))-800</f>
        <v>-1.9550008653874329</v>
      </c>
      <c r="G24" s="96">
        <f t="shared" si="50"/>
        <v>49.42589458869179</v>
      </c>
      <c r="H24" s="96">
        <f t="shared" si="50"/>
        <v>-27.950934834442705</v>
      </c>
      <c r="I24" s="96">
        <f t="shared" si="50"/>
        <v>18.824590249420908</v>
      </c>
      <c r="J24" s="96">
        <f t="shared" si="50"/>
        <v>1.8748730842571604</v>
      </c>
      <c r="K24" s="96">
        <f t="shared" si="50"/>
        <v>-1.4045678051941195</v>
      </c>
      <c r="L24" s="96">
        <f t="shared" si="50"/>
        <v>-37.267913112589667</v>
      </c>
      <c r="M24" s="96">
        <f t="shared" si="50"/>
        <v>23.556984450617165</v>
      </c>
      <c r="N24" s="96">
        <f t="shared" si="50"/>
        <v>-41.926402251663148</v>
      </c>
      <c r="O24" s="96">
        <f t="shared" si="50"/>
        <v>42.308616378975785</v>
      </c>
      <c r="P24" s="115">
        <f t="shared" si="50"/>
        <v>98.851789177384489</v>
      </c>
      <c r="Q24" s="115">
        <f t="shared" si="50"/>
        <v>-83.312063598599707</v>
      </c>
      <c r="R24" s="115">
        <f t="shared" si="50"/>
        <v>49.425894588692245</v>
      </c>
      <c r="S24" s="115">
        <f t="shared" si="50"/>
        <v>7.4994923370286415</v>
      </c>
      <c r="U24" s="70" t="str">
        <f t="shared" si="74"/>
        <v>D</v>
      </c>
      <c r="V24" s="74">
        <f t="shared" si="75"/>
        <v>196.08999826922513</v>
      </c>
      <c r="W24" s="61">
        <f t="shared" si="83"/>
        <v>-4.9497548928247852</v>
      </c>
      <c r="X24" s="75">
        <f t="shared" si="76"/>
        <v>5.8137677737731792</v>
      </c>
      <c r="Y24" s="61">
        <f t="shared" si="77"/>
        <v>1.324987348997297</v>
      </c>
      <c r="Z24" s="76">
        <f t="shared" si="78"/>
        <v>-0.99149867582627849</v>
      </c>
      <c r="AA24" s="61">
        <f t="shared" si="84"/>
        <v>-7.9149693669801309</v>
      </c>
      <c r="AB24" s="61">
        <f t="shared" si="79"/>
        <v>5.8137677737730655</v>
      </c>
      <c r="AC24" s="61">
        <f t="shared" si="79"/>
        <v>-10.382378714984725</v>
      </c>
      <c r="AD24" s="61">
        <f t="shared" si="79"/>
        <v>10.611882284471449</v>
      </c>
      <c r="AE24" s="35"/>
      <c r="AF24" s="68" t="str">
        <f t="shared" si="80"/>
        <v>( 67/100 )</v>
      </c>
      <c r="AG24" s="35"/>
      <c r="AH24" s="82">
        <f t="shared" si="81"/>
        <v>480</v>
      </c>
      <c r="AI24" s="69" t="str">
        <f t="shared" si="82"/>
        <v>(- 1/6 )</v>
      </c>
      <c r="AJ24" s="35"/>
      <c r="AK24" s="80">
        <f t="shared" si="85"/>
        <v>-120</v>
      </c>
      <c r="AL24" s="35"/>
      <c r="AM24" s="28"/>
      <c r="AN24" s="46" t="str">
        <f t="shared" si="56"/>
        <v>E</v>
      </c>
      <c r="AO24" s="47">
        <f t="shared" si="57"/>
        <v>-4.0543840486205962</v>
      </c>
      <c r="AP24" s="47">
        <f t="shared" si="58"/>
        <v>7.9500938242320149</v>
      </c>
      <c r="AQ24" s="47">
        <f t="shared" si="59"/>
        <v>3.1654810710345709</v>
      </c>
      <c r="AR24" s="47">
        <f t="shared" si="60"/>
        <v>0</v>
      </c>
      <c r="AS24" s="47">
        <f t="shared" si="61"/>
        <v>-0.88890297758613634</v>
      </c>
      <c r="AT24" s="47">
        <f t="shared" si="62"/>
        <v>8.749999999999952</v>
      </c>
      <c r="AU24" s="47">
        <f t="shared" si="63"/>
        <v>-7.0869082678877202</v>
      </c>
      <c r="AV24" s="47">
        <f t="shared" si="64"/>
        <v>21.45327130471501</v>
      </c>
      <c r="AW24" s="42" t="s">
        <v>57</v>
      </c>
      <c r="AX24" s="47">
        <f t="shared" si="65"/>
        <v>7.9500938242320149</v>
      </c>
      <c r="AY24" s="47">
        <f t="shared" si="66"/>
        <v>2.0271920243102981</v>
      </c>
      <c r="AZ24" s="47">
        <f t="shared" si="67"/>
        <v>5.2650575234939883</v>
      </c>
      <c r="BA24" s="47">
        <f t="shared" si="68"/>
        <v>7.4321824904254381</v>
      </c>
      <c r="BB24" s="47">
        <f t="shared" si="69"/>
        <v>16.052000312521812</v>
      </c>
      <c r="BC24" s="47">
        <f t="shared" si="70"/>
        <v>5.0630217704567517</v>
      </c>
      <c r="BD24" s="47">
        <f t="shared" si="71"/>
        <v>7.3560230093975658</v>
      </c>
      <c r="BE24" s="47">
        <f t="shared" si="72"/>
        <v>2.3827532153447417</v>
      </c>
      <c r="BF24" s="45" t="str">
        <f t="shared" si="73"/>
        <v>E</v>
      </c>
      <c r="BS24" s="18"/>
    </row>
    <row r="25" spans="1:71" x14ac:dyDescent="0.25">
      <c r="A25" s="87" t="str">
        <f t="shared" si="53"/>
        <v>G#</v>
      </c>
      <c r="B25" s="88">
        <f t="shared" si="54"/>
        <v>1.5856094866702948</v>
      </c>
      <c r="C25" s="126"/>
      <c r="D25" s="109" t="str">
        <f>+S60</f>
        <v>A</v>
      </c>
      <c r="E25" s="110">
        <f>IF(UseA,U60,V60)</f>
        <v>438.5109608958353</v>
      </c>
      <c r="F25" s="114">
        <f>(F13-IF(UseA,300,0))-900</f>
        <v>-5.8650025961620713</v>
      </c>
      <c r="G25" s="96">
        <f t="shared" si="50"/>
        <v>69.923273729153152</v>
      </c>
      <c r="H25" s="96">
        <f t="shared" si="50"/>
        <v>-14.815765375011779</v>
      </c>
      <c r="I25" s="96">
        <f t="shared" si="50"/>
        <v>22.39879670045093</v>
      </c>
      <c r="J25" s="96">
        <f t="shared" si="50"/>
        <v>3.9659947033051139</v>
      </c>
      <c r="K25" s="96">
        <f t="shared" si="50"/>
        <v>-2.9677856921709918</v>
      </c>
      <c r="L25" s="96">
        <f t="shared" si="50"/>
        <v>-11.867030164688913</v>
      </c>
      <c r="M25" s="96">
        <f t="shared" si="50"/>
        <v>22.39879670045093</v>
      </c>
      <c r="N25" s="96">
        <f t="shared" si="50"/>
        <v>-31.076869543321664</v>
      </c>
      <c r="O25" s="96">
        <f t="shared" si="50"/>
        <v>59.696897764324603</v>
      </c>
      <c r="P25" s="115">
        <f t="shared" si="50"/>
        <v>154.04373006189508</v>
      </c>
      <c r="Q25" s="115">
        <f t="shared" si="50"/>
        <v>-93.906461330891943</v>
      </c>
      <c r="R25" s="115">
        <f t="shared" si="50"/>
        <v>62.840696544510138</v>
      </c>
      <c r="S25" s="115">
        <f t="shared" si="50"/>
        <v>31.763827001188474</v>
      </c>
      <c r="U25" s="70" t="str">
        <f t="shared" si="74"/>
        <v>D#</v>
      </c>
      <c r="V25" s="74">
        <f t="shared" si="75"/>
        <v>298.04499913461279</v>
      </c>
      <c r="W25" s="61">
        <f t="shared" si="83"/>
        <v>-9.4281747090202543</v>
      </c>
      <c r="X25" s="75">
        <f t="shared" si="76"/>
        <v>6.1664319256183262</v>
      </c>
      <c r="Y25" s="61">
        <f t="shared" si="77"/>
        <v>0.70228390259705975</v>
      </c>
      <c r="Z25" s="76">
        <f t="shared" si="78"/>
        <v>-0.52611847061888284</v>
      </c>
      <c r="AA25" s="61">
        <f t="shared" si="84"/>
        <v>-12.570899612027233</v>
      </c>
      <c r="AB25" s="61">
        <f t="shared" si="79"/>
        <v>7.9370762217790798</v>
      </c>
      <c r="AC25" s="61">
        <f t="shared" si="79"/>
        <v>-14.142262063530325</v>
      </c>
      <c r="AD25" s="61">
        <f t="shared" si="79"/>
        <v>5.6214452367739796</v>
      </c>
      <c r="AE25" s="35"/>
      <c r="AF25" s="68" t="str">
        <f t="shared" si="80"/>
        <v>(...)</v>
      </c>
      <c r="AG25" s="35"/>
      <c r="AH25" s="82">
        <f t="shared" si="81"/>
        <v>480</v>
      </c>
      <c r="AI25" s="69" t="str">
        <f t="shared" si="82"/>
        <v>(- 1/12 )</v>
      </c>
      <c r="AJ25" s="35"/>
      <c r="AK25" s="80">
        <f t="shared" si="85"/>
        <v>-60</v>
      </c>
      <c r="AL25" s="35"/>
      <c r="AM25" s="28"/>
      <c r="AN25" s="46" t="str">
        <f t="shared" si="56"/>
        <v>F</v>
      </c>
      <c r="AO25" s="47">
        <f t="shared" si="57"/>
        <v>-8.0854111093150252</v>
      </c>
      <c r="AP25" s="47">
        <f t="shared" si="58"/>
        <v>2.3759716362998144</v>
      </c>
      <c r="AQ25" s="47">
        <f t="shared" si="59"/>
        <v>-1.5800615817636379</v>
      </c>
      <c r="AR25" s="47">
        <f t="shared" si="60"/>
        <v>-3.3839355875025645</v>
      </c>
      <c r="AS25" s="47">
        <f t="shared" si="61"/>
        <v>-8.0557925801310297</v>
      </c>
      <c r="AT25" s="47">
        <f t="shared" si="62"/>
        <v>3.9640843812740778</v>
      </c>
      <c r="AU25" s="47">
        <f t="shared" si="63"/>
        <v>0</v>
      </c>
      <c r="AV25" s="47">
        <f t="shared" si="64"/>
        <v>2.3743248164454829</v>
      </c>
      <c r="AW25" s="42" t="s">
        <v>57</v>
      </c>
      <c r="AX25" s="47">
        <f t="shared" si="65"/>
        <v>1.751975082733668</v>
      </c>
      <c r="AY25" s="47">
        <f t="shared" si="66"/>
        <v>8.0854111093150252</v>
      </c>
      <c r="AZ25" s="47">
        <f t="shared" si="67"/>
        <v>8.0854111093150838</v>
      </c>
      <c r="BA25" s="47">
        <f t="shared" si="68"/>
        <v>0.70079003309346721</v>
      </c>
      <c r="BB25" s="47">
        <f t="shared" si="69"/>
        <v>2.1253849229607567</v>
      </c>
      <c r="BC25" s="47">
        <f t="shared" si="70"/>
        <v>3.23416444372601</v>
      </c>
      <c r="BD25" s="47">
        <f t="shared" si="71"/>
        <v>5.6126150724904802</v>
      </c>
      <c r="BE25" s="47">
        <f t="shared" si="72"/>
        <v>7.4202454216451219</v>
      </c>
      <c r="BF25" s="45" t="str">
        <f t="shared" si="73"/>
        <v>F</v>
      </c>
      <c r="BS25" s="18"/>
    </row>
    <row r="26" spans="1:71" x14ac:dyDescent="0.25">
      <c r="A26" s="87" t="str">
        <f t="shared" si="53"/>
        <v>A</v>
      </c>
      <c r="B26" s="88">
        <f t="shared" si="54"/>
        <v>1.6761049628125573</v>
      </c>
      <c r="C26" s="126"/>
      <c r="D26" s="109" t="str">
        <f>+S61</f>
        <v>A#</v>
      </c>
      <c r="E26" s="110">
        <f>IF(UseA,U61,V61)</f>
        <v>465.63663579631367</v>
      </c>
      <c r="F26" s="114">
        <f>(F14-IF(UseA,300,0))-1000</f>
        <v>-1.9550008653874329</v>
      </c>
      <c r="G26" s="96">
        <f t="shared" si="50"/>
        <v>62.973951195245718</v>
      </c>
      <c r="H26" s="96">
        <f t="shared" si="50"/>
        <v>-25.127813303347466</v>
      </c>
      <c r="I26" s="96">
        <f t="shared" si="50"/>
        <v>15.829938733960262</v>
      </c>
      <c r="J26" s="96">
        <f t="shared" si="50"/>
        <v>2.1044738824755314</v>
      </c>
      <c r="K26" s="96">
        <f t="shared" si="50"/>
        <v>1.5783554118563643</v>
      </c>
      <c r="L26" s="96">
        <f t="shared" si="50"/>
        <v>-33.503751071129955</v>
      </c>
      <c r="M26" s="96">
        <f t="shared" si="50"/>
        <v>21.12988812994945</v>
      </c>
      <c r="N26" s="96">
        <f t="shared" si="50"/>
        <v>-42.378902665665009</v>
      </c>
      <c r="O26" s="96">
        <f t="shared" si="50"/>
        <v>31.62583738865942</v>
      </c>
      <c r="P26" s="115">
        <f t="shared" si="50"/>
        <v>125.94790239049144</v>
      </c>
      <c r="Q26" s="115">
        <f t="shared" si="50"/>
        <v>-105.90913962888953</v>
      </c>
      <c r="R26" s="115">
        <f t="shared" si="50"/>
        <v>59.224205026731397</v>
      </c>
      <c r="S26" s="115">
        <f t="shared" si="50"/>
        <v>16.845302361066388</v>
      </c>
      <c r="U26" s="70" t="str">
        <f t="shared" si="74"/>
        <v>E</v>
      </c>
      <c r="V26" s="74">
        <f t="shared" si="75"/>
        <v>392.17999653845027</v>
      </c>
      <c r="W26" s="61">
        <f t="shared" si="83"/>
        <v>-5.5433781167021152</v>
      </c>
      <c r="X26" s="75">
        <f t="shared" si="76"/>
        <v>9.3169782781474169</v>
      </c>
      <c r="Y26" s="61">
        <f t="shared" si="77"/>
        <v>1.4838928460854959</v>
      </c>
      <c r="Z26" s="76">
        <f t="shared" si="78"/>
        <v>0</v>
      </c>
      <c r="AA26" s="61">
        <f t="shared" si="84"/>
        <v>-4.4400969953348977</v>
      </c>
      <c r="AB26" s="61">
        <f t="shared" si="79"/>
        <v>10.254414820275997</v>
      </c>
      <c r="AC26" s="61">
        <f t="shared" si="79"/>
        <v>-11.627535547546358</v>
      </c>
      <c r="AD26" s="61">
        <f t="shared" si="79"/>
        <v>11.884563439299654</v>
      </c>
      <c r="AE26" s="35"/>
      <c r="AF26" s="68" t="str">
        <f t="shared" si="80"/>
        <v>( 23/25 )</v>
      </c>
      <c r="AG26" s="35"/>
      <c r="AH26" s="82">
        <f t="shared" si="81"/>
        <v>660</v>
      </c>
      <c r="AI26" s="69" t="str">
        <f t="shared" si="82"/>
        <v>(0)</v>
      </c>
      <c r="AJ26" s="35"/>
      <c r="AK26" s="80">
        <f t="shared" si="85"/>
        <v>0</v>
      </c>
      <c r="AL26" s="35"/>
      <c r="AM26" s="28"/>
      <c r="AN26" s="46" t="str">
        <f t="shared" si="56"/>
        <v>F#</v>
      </c>
      <c r="AO26" s="47">
        <f t="shared" si="57"/>
        <v>-7.2810254877283977</v>
      </c>
      <c r="AP26" s="47">
        <f t="shared" si="58"/>
        <v>6.3529888131202474</v>
      </c>
      <c r="AQ26" s="47">
        <f t="shared" si="59"/>
        <v>0</v>
      </c>
      <c r="AR26" s="47">
        <f t="shared" si="60"/>
        <v>0</v>
      </c>
      <c r="AS26" s="47">
        <f t="shared" si="61"/>
        <v>-5.6695266143100662</v>
      </c>
      <c r="AT26" s="47">
        <f t="shared" si="62"/>
        <v>7.1510904349050035</v>
      </c>
      <c r="AU26" s="47">
        <f t="shared" si="63"/>
        <v>0</v>
      </c>
      <c r="AV26" s="47">
        <f t="shared" si="64"/>
        <v>21.45327130471458</v>
      </c>
      <c r="AW26" s="42" t="s">
        <v>57</v>
      </c>
      <c r="AX26" s="47">
        <f t="shared" si="65"/>
        <v>6.3529888131202474</v>
      </c>
      <c r="AY26" s="47">
        <f t="shared" si="66"/>
        <v>7.2810254877283977</v>
      </c>
      <c r="AZ26" s="47">
        <f t="shared" si="67"/>
        <v>5.667704768174552</v>
      </c>
      <c r="BA26" s="47">
        <f t="shared" si="68"/>
        <v>2.5411955252480989</v>
      </c>
      <c r="BB26" s="47">
        <f t="shared" si="69"/>
        <v>15.413158308076849</v>
      </c>
      <c r="BC26" s="47">
        <f t="shared" si="70"/>
        <v>2.912410195091359</v>
      </c>
      <c r="BD26" s="47">
        <f t="shared" si="71"/>
        <v>6.5577361682128226</v>
      </c>
      <c r="BE26" s="47">
        <f t="shared" si="72"/>
        <v>6.0637216093498134</v>
      </c>
      <c r="BF26" s="45" t="str">
        <f t="shared" si="73"/>
        <v>F#</v>
      </c>
      <c r="BS26" s="18"/>
    </row>
    <row r="27" spans="1:71" x14ac:dyDescent="0.25">
      <c r="A27" s="87" t="str">
        <f t="shared" si="53"/>
        <v>A#</v>
      </c>
      <c r="B27" s="88">
        <f t="shared" si="54"/>
        <v>1.7797864722267125</v>
      </c>
      <c r="C27" s="126"/>
      <c r="D27" s="109" t="str">
        <f>+S62</f>
        <v>B</v>
      </c>
      <c r="E27" s="110">
        <f>IF(UseA,U62,V62)</f>
        <v>492.21191137325053</v>
      </c>
      <c r="F27" s="114">
        <f>(F15-IF(UseA,300,0))-1100</f>
        <v>-5.8650025961624124</v>
      </c>
      <c r="G27" s="96">
        <f t="shared" si="50"/>
        <v>70.536296960538948</v>
      </c>
      <c r="H27" s="96">
        <f t="shared" si="50"/>
        <v>-23.255071095092262</v>
      </c>
      <c r="I27" s="96">
        <f t="shared" si="50"/>
        <v>25.141799224054466</v>
      </c>
      <c r="J27" s="96">
        <f t="shared" si="50"/>
        <v>0</v>
      </c>
      <c r="K27" s="96">
        <f t="shared" si="50"/>
        <v>0</v>
      </c>
      <c r="L27" s="96">
        <f t="shared" si="50"/>
        <v>-22.173512466808006</v>
      </c>
      <c r="M27" s="96">
        <f t="shared" si="50"/>
        <v>27.950934834442705</v>
      </c>
      <c r="N27" s="96">
        <f t="shared" si="50"/>
        <v>-44.797593400900951</v>
      </c>
      <c r="O27" s="96">
        <f t="shared" si="50"/>
        <v>67.007502142260819</v>
      </c>
      <c r="P27" s="115">
        <f t="shared" si="50"/>
        <v>156.97244210904591</v>
      </c>
      <c r="Q27" s="115">
        <f t="shared" si="50"/>
        <v>-98.85178917738358</v>
      </c>
      <c r="R27" s="115">
        <f t="shared" si="50"/>
        <v>62.60430755392872</v>
      </c>
      <c r="S27" s="115">
        <f t="shared" si="50"/>
        <v>17.806714153027315</v>
      </c>
      <c r="U27" s="70" t="str">
        <f t="shared" si="74"/>
        <v>F</v>
      </c>
      <c r="V27" s="74">
        <f t="shared" si="75"/>
        <v>501.95500086538715</v>
      </c>
      <c r="W27" s="61">
        <f t="shared" si="83"/>
        <v>-11.778492225308582</v>
      </c>
      <c r="X27" s="75">
        <f t="shared" si="76"/>
        <v>2.9667575411722282</v>
      </c>
      <c r="Y27" s="61">
        <f t="shared" si="77"/>
        <v>-0.78917770592818215</v>
      </c>
      <c r="Z27" s="76">
        <f t="shared" si="78"/>
        <v>-1.1830985502990643</v>
      </c>
      <c r="AA27" s="61">
        <f t="shared" si="84"/>
        <v>-14.142262063530097</v>
      </c>
      <c r="AB27" s="61">
        <f t="shared" si="79"/>
        <v>4.9497548928247852</v>
      </c>
      <c r="AC27" s="61">
        <f t="shared" si="79"/>
        <v>-19.423448094455352</v>
      </c>
      <c r="AD27" s="61">
        <f t="shared" si="79"/>
        <v>0</v>
      </c>
      <c r="AE27" s="35"/>
      <c r="AF27" s="68" t="str">
        <f t="shared" si="80"/>
        <v>( 33/100 )</v>
      </c>
      <c r="AG27" s="35"/>
      <c r="AH27" s="82">
        <f t="shared" si="81"/>
        <v>240</v>
      </c>
      <c r="AI27" s="69" t="str">
        <f t="shared" si="82"/>
        <v>(- 1/6 )</v>
      </c>
      <c r="AJ27" s="35"/>
      <c r="AK27" s="80">
        <f t="shared" si="85"/>
        <v>-120</v>
      </c>
      <c r="AL27" s="35"/>
      <c r="AM27" s="28"/>
      <c r="AN27" s="46" t="str">
        <f t="shared" si="56"/>
        <v>G</v>
      </c>
      <c r="AO27" s="47">
        <f t="shared" si="57"/>
        <v>-6.4757309983673812</v>
      </c>
      <c r="AP27" s="47">
        <f t="shared" si="58"/>
        <v>3.9640843812738633</v>
      </c>
      <c r="AQ27" s="47">
        <f t="shared" si="59"/>
        <v>3.1654810710343519</v>
      </c>
      <c r="AR27" s="47">
        <f t="shared" si="60"/>
        <v>-3.3839355875026991</v>
      </c>
      <c r="AS27" s="47">
        <f t="shared" si="61"/>
        <v>-4.1155444166941866</v>
      </c>
      <c r="AT27" s="47">
        <f t="shared" si="62"/>
        <v>3.9640843812739446</v>
      </c>
      <c r="AU27" s="47">
        <f t="shared" si="63"/>
        <v>-7.0869082678879831</v>
      </c>
      <c r="AV27" s="47">
        <f t="shared" si="64"/>
        <v>11.892253143821833</v>
      </c>
      <c r="AW27" s="42" t="s">
        <v>57</v>
      </c>
      <c r="AX27" s="47">
        <f t="shared" si="65"/>
        <v>2.5460314552207146</v>
      </c>
      <c r="AY27" s="47">
        <f t="shared" si="66"/>
        <v>6.4757309983673812</v>
      </c>
      <c r="AZ27" s="47">
        <f t="shared" si="67"/>
        <v>6.4757309983673865</v>
      </c>
      <c r="BA27" s="47">
        <f t="shared" si="68"/>
        <v>5.2705575428210754</v>
      </c>
      <c r="BB27" s="47">
        <f t="shared" si="69"/>
        <v>8.1537644683813859</v>
      </c>
      <c r="BC27" s="47">
        <f t="shared" si="70"/>
        <v>6.8424373600797423</v>
      </c>
      <c r="BD27" s="47">
        <f t="shared" si="71"/>
        <v>4.9687430281113212</v>
      </c>
      <c r="BE27" s="47">
        <f t="shared" si="72"/>
        <v>4.8062492955476532</v>
      </c>
      <c r="BF27" s="45" t="str">
        <f t="shared" si="73"/>
        <v>G</v>
      </c>
      <c r="BS27" s="18"/>
    </row>
    <row r="28" spans="1:71" x14ac:dyDescent="0.25">
      <c r="A28" s="87" t="str">
        <f t="shared" si="53"/>
        <v>B</v>
      </c>
      <c r="B28" s="88">
        <f t="shared" si="54"/>
        <v>1.881364209740088</v>
      </c>
      <c r="C28" s="126"/>
      <c r="D28" s="109" t="str">
        <f>+S63</f>
        <v>C</v>
      </c>
      <c r="E28" s="110">
        <f>IF(UseA,U63,V63)</f>
        <v>523.25</v>
      </c>
      <c r="F28" s="114">
        <f>+F16</f>
        <v>0</v>
      </c>
      <c r="G28" s="96">
        <f t="shared" si="50"/>
        <v>66.552034135460417</v>
      </c>
      <c r="H28" s="96">
        <f t="shared" si="50"/>
        <v>-31.748304887116319</v>
      </c>
      <c r="I28" s="96">
        <f t="shared" si="50"/>
        <v>8.8801939906697953</v>
      </c>
      <c r="J28" s="96">
        <f t="shared" si="50"/>
        <v>4.7323942011962572</v>
      </c>
      <c r="K28" s="96">
        <f t="shared" si="50"/>
        <v>-3.5412885923215072</v>
      </c>
      <c r="L28" s="96">
        <f t="shared" si="50"/>
        <v>-37.649180498841815</v>
      </c>
      <c r="M28" s="96">
        <f t="shared" si="50"/>
        <v>14.815765375011779</v>
      </c>
      <c r="N28" s="96">
        <f t="shared" si="50"/>
        <v>-52.883642036863421</v>
      </c>
      <c r="O28" s="96">
        <f t="shared" si="50"/>
        <v>26.640581972008476</v>
      </c>
      <c r="P28" s="115">
        <f t="shared" si="50"/>
        <v>141.5314751020851</v>
      </c>
      <c r="Q28" s="115">
        <f t="shared" si="50"/>
        <v>-139.8465474583063</v>
      </c>
      <c r="R28" s="115">
        <f t="shared" si="50"/>
        <v>62.343086370509354</v>
      </c>
      <c r="S28" s="115">
        <f t="shared" si="50"/>
        <v>9.4594443336463883</v>
      </c>
      <c r="U28" s="70" t="str">
        <f t="shared" si="74"/>
        <v>F#</v>
      </c>
      <c r="V28" s="74">
        <f t="shared" si="75"/>
        <v>596.08999826922513</v>
      </c>
      <c r="W28" s="61">
        <f t="shared" si="83"/>
        <v>-11.199398350225465</v>
      </c>
      <c r="X28" s="75">
        <f t="shared" si="76"/>
        <v>8.3759377677824887</v>
      </c>
      <c r="Y28" s="61">
        <f t="shared" si="77"/>
        <v>0</v>
      </c>
      <c r="Z28" s="76">
        <f t="shared" si="78"/>
        <v>0</v>
      </c>
      <c r="AA28" s="61">
        <f t="shared" si="84"/>
        <v>-11.627535547546358</v>
      </c>
      <c r="AB28" s="61">
        <f t="shared" si="79"/>
        <v>9.4281747090202543</v>
      </c>
      <c r="AC28" s="61">
        <f t="shared" si="79"/>
        <v>20.508829640551994</v>
      </c>
      <c r="AD28" s="61">
        <f t="shared" si="79"/>
        <v>0</v>
      </c>
      <c r="AE28" s="35"/>
      <c r="AF28" s="68" t="str">
        <f t="shared" si="80"/>
        <v>( 3/4 )</v>
      </c>
      <c r="AG28" s="35"/>
      <c r="AH28" s="82">
        <f t="shared" si="81"/>
        <v>540</v>
      </c>
      <c r="AI28" s="69" t="str">
        <f t="shared" si="82"/>
        <v>(0)</v>
      </c>
      <c r="AJ28" s="35"/>
      <c r="AK28" s="80">
        <f t="shared" si="85"/>
        <v>0</v>
      </c>
      <c r="AL28" s="35"/>
      <c r="AM28" s="28"/>
      <c r="AN28" s="46" t="str">
        <f t="shared" si="56"/>
        <v>G#</v>
      </c>
      <c r="AO28" s="47">
        <f t="shared" si="57"/>
        <v>-8.0854111093151424</v>
      </c>
      <c r="AP28" s="47">
        <f t="shared" si="58"/>
        <v>6.3529888131202954</v>
      </c>
      <c r="AQ28" s="47">
        <f t="shared" si="59"/>
        <v>1.5818468785359747</v>
      </c>
      <c r="AR28" s="47">
        <f t="shared" si="60"/>
        <v>-1.6929231233184607</v>
      </c>
      <c r="AS28" s="47">
        <f t="shared" si="61"/>
        <v>-7.3070420103528644</v>
      </c>
      <c r="AT28" s="47">
        <f t="shared" si="62"/>
        <v>7.9500938242320274</v>
      </c>
      <c r="AU28" s="47">
        <f t="shared" si="63"/>
        <v>1.8078250040411141</v>
      </c>
      <c r="AV28" s="47">
        <f t="shared" si="64"/>
        <v>14.278460406993442</v>
      </c>
      <c r="AW28" s="42" t="s">
        <v>57</v>
      </c>
      <c r="AX28" s="47">
        <f t="shared" si="65"/>
        <v>6.3529888131202954</v>
      </c>
      <c r="AY28" s="47">
        <f t="shared" si="66"/>
        <v>8.0854111093151424</v>
      </c>
      <c r="AZ28" s="47">
        <f t="shared" si="67"/>
        <v>6.8774688618126039</v>
      </c>
      <c r="BA28" s="47">
        <f t="shared" si="68"/>
        <v>3.6258905276727864</v>
      </c>
      <c r="BB28" s="47">
        <f t="shared" si="69"/>
        <v>11.108271769444183</v>
      </c>
      <c r="BC28" s="47">
        <f t="shared" si="70"/>
        <v>4.318859446150725</v>
      </c>
      <c r="BD28" s="47">
        <f t="shared" si="71"/>
        <v>7.5210438392642569</v>
      </c>
      <c r="BE28" s="47">
        <f t="shared" si="72"/>
        <v>6.8876854489024897</v>
      </c>
      <c r="BF28" s="45" t="str">
        <f t="shared" si="73"/>
        <v>G#</v>
      </c>
      <c r="BS28" s="18"/>
    </row>
    <row r="29" spans="1:71" x14ac:dyDescent="0.25">
      <c r="A29" s="87" t="str">
        <f>D4</f>
        <v>C</v>
      </c>
      <c r="B29" s="88">
        <f t="shared" si="54"/>
        <v>2</v>
      </c>
      <c r="D29" s="102"/>
      <c r="E29" s="102"/>
      <c r="F29" s="116" t="s">
        <v>91</v>
      </c>
      <c r="G29" s="117" t="s">
        <v>92</v>
      </c>
      <c r="H29" s="102"/>
      <c r="I29" s="102"/>
      <c r="J29" s="102"/>
      <c r="K29" s="102"/>
      <c r="L29" s="102"/>
      <c r="M29" s="102"/>
      <c r="N29" s="102"/>
      <c r="O29" s="102"/>
      <c r="P29" s="118"/>
      <c r="Q29" s="118"/>
      <c r="R29" s="118"/>
      <c r="S29" s="102"/>
      <c r="U29" s="70" t="str">
        <f t="shared" si="74"/>
        <v>G</v>
      </c>
      <c r="V29" s="74">
        <f t="shared" si="75"/>
        <v>698.04499913461257</v>
      </c>
      <c r="W29" s="61">
        <f t="shared" si="83"/>
        <v>-10.564944064974725</v>
      </c>
      <c r="X29" s="75">
        <f t="shared" si="76"/>
        <v>5.5433781167020015</v>
      </c>
      <c r="Y29" s="61">
        <f t="shared" si="77"/>
        <v>1.7706442961607536</v>
      </c>
      <c r="Z29" s="76">
        <f t="shared" si="78"/>
        <v>-1.324987348997297</v>
      </c>
      <c r="AA29" s="61">
        <f t="shared" si="84"/>
        <v>-12.332863851236652</v>
      </c>
      <c r="AB29" s="61">
        <f t="shared" si="79"/>
        <v>5.5433781167021152</v>
      </c>
      <c r="AC29" s="61">
        <f t="shared" si="79"/>
        <v>-13.874471832641575</v>
      </c>
      <c r="AD29" s="61">
        <f t="shared" si="79"/>
        <v>14.1811684864374</v>
      </c>
      <c r="AE29" s="35"/>
      <c r="AF29" s="68" t="str">
        <f t="shared" si="80"/>
        <v>( 1/2 )</v>
      </c>
      <c r="AG29" s="35"/>
      <c r="AH29" s="82">
        <f t="shared" si="81"/>
        <v>360</v>
      </c>
      <c r="AI29" s="69" t="str">
        <f t="shared" si="82"/>
        <v>(- 1/6 )</v>
      </c>
      <c r="AJ29" s="35"/>
      <c r="AK29" s="80">
        <f t="shared" si="85"/>
        <v>-120</v>
      </c>
      <c r="AL29" s="35"/>
      <c r="AM29" s="28"/>
      <c r="AN29" s="46" t="str">
        <f t="shared" si="56"/>
        <v>A</v>
      </c>
      <c r="AO29" s="47">
        <f t="shared" si="57"/>
        <v>-4.0543840486207072</v>
      </c>
      <c r="AP29" s="47">
        <f t="shared" si="58"/>
        <v>7.1510904349048223</v>
      </c>
      <c r="AQ29" s="47">
        <f t="shared" si="59"/>
        <v>3.1654810710342116</v>
      </c>
      <c r="AR29" s="47">
        <f t="shared" si="60"/>
        <v>-3.3839355875028687</v>
      </c>
      <c r="AS29" s="47">
        <f t="shared" si="61"/>
        <v>-0.88890297758651959</v>
      </c>
      <c r="AT29" s="47">
        <f t="shared" si="62"/>
        <v>7.1510904349048223</v>
      </c>
      <c r="AU29" s="47">
        <f t="shared" si="63"/>
        <v>-7.0869082678879076</v>
      </c>
      <c r="AV29" s="47">
        <f t="shared" si="64"/>
        <v>19.058966439360486</v>
      </c>
      <c r="AW29" s="42" t="s">
        <v>57</v>
      </c>
      <c r="AX29" s="47">
        <f t="shared" si="65"/>
        <v>7.1510904349048223</v>
      </c>
      <c r="AY29" s="47">
        <f t="shared" si="66"/>
        <v>2.5911812888941652</v>
      </c>
      <c r="AZ29" s="47">
        <f t="shared" si="67"/>
        <v>5.6677047681746231</v>
      </c>
      <c r="BA29" s="47">
        <f t="shared" si="68"/>
        <v>7.1125811346946737</v>
      </c>
      <c r="BB29" s="47">
        <f t="shared" si="69"/>
        <v>14.29581603757822</v>
      </c>
      <c r="BC29" s="47">
        <f t="shared" si="70"/>
        <v>5.2886174762904101</v>
      </c>
      <c r="BD29" s="47">
        <f t="shared" si="71"/>
        <v>6.5577361682127417</v>
      </c>
      <c r="BE29" s="47">
        <f t="shared" si="72"/>
        <v>2.3827532153449713</v>
      </c>
      <c r="BF29" s="45" t="str">
        <f t="shared" si="73"/>
        <v>A</v>
      </c>
    </row>
    <row r="30" spans="1:71" x14ac:dyDescent="0.25">
      <c r="D30" s="102"/>
      <c r="E30" s="102"/>
      <c r="F30" s="102"/>
      <c r="G30" s="119" t="s">
        <v>93</v>
      </c>
      <c r="H30" s="102"/>
      <c r="I30" s="102"/>
      <c r="J30" s="102"/>
      <c r="K30" s="102"/>
      <c r="L30" s="102"/>
      <c r="M30" s="102"/>
      <c r="N30" s="102"/>
      <c r="O30" s="102"/>
      <c r="P30" s="118"/>
      <c r="Q30" s="118"/>
      <c r="R30" s="102"/>
      <c r="S30" s="102"/>
      <c r="U30" s="70" t="str">
        <f t="shared" si="74"/>
        <v>G#</v>
      </c>
      <c r="V30" s="74">
        <f t="shared" si="75"/>
        <v>798.04499913461257</v>
      </c>
      <c r="W30" s="61">
        <f t="shared" si="83"/>
        <v>-13.975467417221353</v>
      </c>
      <c r="X30" s="75">
        <f t="shared" si="76"/>
        <v>9.4122951247104538</v>
      </c>
      <c r="Y30" s="61">
        <f t="shared" si="77"/>
        <v>0.93743654212858019</v>
      </c>
      <c r="Z30" s="76">
        <f t="shared" si="78"/>
        <v>-0.70228390259705975</v>
      </c>
      <c r="AA30" s="61">
        <f t="shared" si="84"/>
        <v>-18.633956556294834</v>
      </c>
      <c r="AB30" s="61">
        <f t="shared" si="79"/>
        <v>11.778492225308582</v>
      </c>
      <c r="AC30" s="61">
        <f t="shared" si="79"/>
        <v>-20.963201125831574</v>
      </c>
      <c r="AD30" s="61">
        <f t="shared" si="79"/>
        <v>3.7497461685143207</v>
      </c>
      <c r="AE30" s="35"/>
      <c r="AF30" s="68" t="str">
        <f t="shared" si="80"/>
        <v>(...)</v>
      </c>
      <c r="AG30" s="35"/>
      <c r="AH30" s="82">
        <f t="shared" si="81"/>
        <v>540</v>
      </c>
      <c r="AI30" s="69" t="str">
        <f t="shared" si="82"/>
        <v>(- 1/12 )</v>
      </c>
      <c r="AJ30" s="35"/>
      <c r="AK30" s="80">
        <f t="shared" si="85"/>
        <v>-60</v>
      </c>
      <c r="AL30" s="35"/>
      <c r="AN30" s="46" t="str">
        <f t="shared" si="56"/>
        <v>A#</v>
      </c>
      <c r="AO30" s="47">
        <f t="shared" si="57"/>
        <v>-6.4757309983673919</v>
      </c>
      <c r="AP30" s="47">
        <f t="shared" si="58"/>
        <v>4.7594868023311614</v>
      </c>
      <c r="AQ30" s="47">
        <f t="shared" si="59"/>
        <v>1.5818468785360706</v>
      </c>
      <c r="AR30" s="47">
        <f t="shared" si="60"/>
        <v>1.694835941288342</v>
      </c>
      <c r="AS30" s="47">
        <f t="shared" si="61"/>
        <v>-5.6991786091925114</v>
      </c>
      <c r="AT30" s="47">
        <f t="shared" si="62"/>
        <v>6.3529888131202368</v>
      </c>
      <c r="AU30" s="47">
        <f t="shared" si="63"/>
        <v>3.6176926526105935</v>
      </c>
      <c r="AV30" s="47">
        <f t="shared" si="64"/>
        <v>9.508738990952418</v>
      </c>
      <c r="AW30" s="42" t="s">
        <v>57</v>
      </c>
      <c r="AX30" s="47">
        <f t="shared" si="65"/>
        <v>2.6622160580469711</v>
      </c>
      <c r="AY30" s="47">
        <f t="shared" si="66"/>
        <v>6.4757309983673919</v>
      </c>
      <c r="AZ30" s="47">
        <f>+AVERAGE(+AO46,+AO37)</f>
        <v>7.6823099436281161</v>
      </c>
      <c r="BA30" s="47">
        <f t="shared" si="68"/>
        <v>3.235502014785145</v>
      </c>
      <c r="BB30" s="47">
        <f t="shared" si="69"/>
        <v>6.7701298177902398</v>
      </c>
      <c r="BC30" s="47">
        <f t="shared" si="70"/>
        <v>4.7609079909133127</v>
      </c>
      <c r="BD30" s="47">
        <f t="shared" si="71"/>
        <v>6.8847172653233883</v>
      </c>
      <c r="BE30" s="47">
        <f>+(+AO46*4+AS46*5+AQ37)/10</f>
        <v>5.4398817039432128</v>
      </c>
      <c r="BF30" s="45" t="str">
        <f t="shared" si="73"/>
        <v>A#</v>
      </c>
    </row>
    <row r="31" spans="1:71" x14ac:dyDescent="0.25">
      <c r="U31" s="70" t="str">
        <f t="shared" si="74"/>
        <v>A</v>
      </c>
      <c r="V31" s="74">
        <f t="shared" si="75"/>
        <v>894.13499740383793</v>
      </c>
      <c r="W31" s="61">
        <f t="shared" si="83"/>
        <v>-7.4078826875058894</v>
      </c>
      <c r="X31" s="75">
        <f t="shared" si="76"/>
        <v>11.199398350225465</v>
      </c>
      <c r="Y31" s="61">
        <f t="shared" si="77"/>
        <v>1.982997351652557</v>
      </c>
      <c r="Z31" s="76">
        <f t="shared" si="78"/>
        <v>-1.4838928460854959</v>
      </c>
      <c r="AA31" s="61">
        <f t="shared" si="84"/>
        <v>-5.9335150823444565</v>
      </c>
      <c r="AB31" s="61">
        <f t="shared" si="79"/>
        <v>11.199398350225465</v>
      </c>
      <c r="AC31" s="61">
        <f t="shared" si="79"/>
        <v>-15.538434771660832</v>
      </c>
      <c r="AD31" s="61">
        <f t="shared" si="79"/>
        <v>15.881913500594237</v>
      </c>
      <c r="AE31" s="35"/>
      <c r="AF31" s="68" t="str">
        <f t="shared" si="80"/>
        <v>( 83/100 )</v>
      </c>
      <c r="AG31" s="35"/>
      <c r="AH31" s="82">
        <f t="shared" si="81"/>
        <v>600</v>
      </c>
      <c r="AI31" s="69" t="str">
        <f t="shared" si="82"/>
        <v>(- 1/6 )</v>
      </c>
      <c r="AJ31" s="35"/>
      <c r="AK31" s="80">
        <f t="shared" si="85"/>
        <v>-120</v>
      </c>
      <c r="AL31" s="35"/>
      <c r="AN31" s="46" t="str">
        <f t="shared" si="56"/>
        <v>B</v>
      </c>
      <c r="AO31" s="47">
        <f t="shared" si="57"/>
        <v>-5.6695266143100662</v>
      </c>
      <c r="AP31" s="47">
        <f t="shared" si="58"/>
        <v>7.1510904349051341</v>
      </c>
      <c r="AQ31" s="47">
        <f t="shared" si="59"/>
        <v>0</v>
      </c>
      <c r="AR31" s="47">
        <f t="shared" si="60"/>
        <v>0</v>
      </c>
      <c r="AS31" s="47">
        <f t="shared" si="61"/>
        <v>-4.0543840486205962</v>
      </c>
      <c r="AT31" s="47">
        <f t="shared" si="62"/>
        <v>7.9500938242321446</v>
      </c>
      <c r="AU31" s="47">
        <f t="shared" si="63"/>
        <v>3.6176926526112161</v>
      </c>
      <c r="AV31" s="47">
        <f t="shared" si="64"/>
        <v>19.058966439361004</v>
      </c>
      <c r="AW31" s="42" t="s">
        <v>57</v>
      </c>
      <c r="AX31" s="47">
        <f t="shared" si="65"/>
        <v>7.1510904349051341</v>
      </c>
      <c r="AY31" s="47">
        <f t="shared" si="66"/>
        <v>2.8347633071550331</v>
      </c>
      <c r="AZ31" s="47">
        <f>+AVERAGE(+AO47,+AO38)</f>
        <v>4.8619553314653992</v>
      </c>
      <c r="BA31" s="47">
        <f t="shared" si="68"/>
        <v>5.0310517655287832</v>
      </c>
      <c r="BB31" s="47">
        <f t="shared" si="69"/>
        <v>14.295816037578657</v>
      </c>
      <c r="BC31" s="47">
        <f t="shared" si="70"/>
        <v>3.3045209144287426</v>
      </c>
      <c r="BD31" s="47">
        <f t="shared" si="71"/>
        <v>6.7148384271254455</v>
      </c>
      <c r="BE31" s="47">
        <f>+(+AO47*4+AS47*5+AQ38)/10</f>
        <v>4.611550777137766</v>
      </c>
      <c r="BF31" s="45" t="str">
        <f t="shared" si="73"/>
        <v>B</v>
      </c>
    </row>
    <row r="32" spans="1:71" x14ac:dyDescent="0.25">
      <c r="U32" s="70" t="str">
        <f t="shared" si="74"/>
        <v>A#</v>
      </c>
      <c r="V32" s="74">
        <f t="shared" si="75"/>
        <v>998.04499913461257</v>
      </c>
      <c r="W32" s="61">
        <f t="shared" si="83"/>
        <v>-12.563906651673733</v>
      </c>
      <c r="X32" s="75">
        <f t="shared" si="76"/>
        <v>7.9149693669801309</v>
      </c>
      <c r="Y32" s="61">
        <f t="shared" si="77"/>
        <v>1.0522369412377657</v>
      </c>
      <c r="Z32" s="76">
        <f t="shared" si="78"/>
        <v>0.78917770592818215</v>
      </c>
      <c r="AA32" s="61">
        <f t="shared" si="84"/>
        <v>-16.751875535564977</v>
      </c>
      <c r="AB32" s="61">
        <f t="shared" si="79"/>
        <v>10.564944064974725</v>
      </c>
      <c r="AC32" s="61">
        <f t="shared" si="79"/>
        <v>-21.189451332832505</v>
      </c>
      <c r="AD32" s="61">
        <f t="shared" si="79"/>
        <v>8.4226511805331938</v>
      </c>
      <c r="AE32" s="35"/>
      <c r="AF32" s="68" t="str">
        <f t="shared" si="80"/>
        <v>(...)</v>
      </c>
      <c r="AG32" s="35"/>
      <c r="AH32" s="82">
        <f t="shared" si="81"/>
        <v>420</v>
      </c>
      <c r="AI32" s="69" t="str">
        <f t="shared" si="82"/>
        <v>(...)</v>
      </c>
      <c r="AJ32" s="35"/>
      <c r="AK32" s="80">
        <f t="shared" si="85"/>
        <v>60</v>
      </c>
      <c r="AL32" s="35"/>
      <c r="AN32" s="38" t="s">
        <v>94</v>
      </c>
      <c r="AO32" s="39"/>
      <c r="AP32" s="39"/>
      <c r="AQ32" s="39"/>
      <c r="AR32" s="39"/>
      <c r="AS32" s="39"/>
      <c r="AT32" s="39"/>
      <c r="AU32" s="39"/>
      <c r="AV32" s="39"/>
      <c r="AW32" s="42" t="s">
        <v>57</v>
      </c>
      <c r="AX32" s="47"/>
      <c r="AY32" s="47"/>
      <c r="AZ32" s="47"/>
      <c r="BA32" s="47"/>
      <c r="BB32" s="47"/>
      <c r="BC32" s="47"/>
      <c r="BD32" s="47"/>
      <c r="BE32" s="39"/>
      <c r="BF32" s="45"/>
    </row>
    <row r="33" spans="2:48" x14ac:dyDescent="0.25">
      <c r="B33" s="2" t="s">
        <v>95</v>
      </c>
      <c r="U33" s="70" t="str">
        <f t="shared" si="74"/>
        <v>B</v>
      </c>
      <c r="V33" s="74">
        <f t="shared" si="75"/>
        <v>1094.1349974038376</v>
      </c>
      <c r="W33" s="61">
        <f t="shared" si="83"/>
        <v>-11.627535547546131</v>
      </c>
      <c r="X33" s="75">
        <f t="shared" si="76"/>
        <v>12.570899612027233</v>
      </c>
      <c r="Y33" s="61">
        <f t="shared" si="77"/>
        <v>0</v>
      </c>
      <c r="Z33" s="76">
        <f t="shared" si="78"/>
        <v>0</v>
      </c>
      <c r="AA33" s="61">
        <f t="shared" si="84"/>
        <v>-11.086756233404003</v>
      </c>
      <c r="AB33" s="61">
        <f t="shared" si="79"/>
        <v>13.975467417221353</v>
      </c>
      <c r="AC33" s="61">
        <f t="shared" si="79"/>
        <v>-22.398796700450475</v>
      </c>
      <c r="AD33" s="61">
        <f t="shared" si="79"/>
        <v>8.9033570765136574</v>
      </c>
      <c r="AE33" s="35"/>
      <c r="AF33" s="68" t="str">
        <f t="shared" si="80"/>
        <v>( 83/100 )</v>
      </c>
      <c r="AG33" s="35"/>
      <c r="AH33" s="82">
        <f t="shared" si="81"/>
        <v>600</v>
      </c>
      <c r="AI33" s="69" t="str">
        <f t="shared" si="82"/>
        <v>(0)</v>
      </c>
      <c r="AJ33" s="35"/>
      <c r="AK33" s="80">
        <f t="shared" si="85"/>
        <v>0</v>
      </c>
      <c r="AL33" s="35"/>
    </row>
    <row r="34" spans="2:48" x14ac:dyDescent="0.25">
      <c r="B34" s="65" t="s">
        <v>96</v>
      </c>
      <c r="C34" s="65" t="s">
        <v>97</v>
      </c>
      <c r="D34" s="64" t="s">
        <v>63</v>
      </c>
      <c r="E34" s="64" t="s">
        <v>98</v>
      </c>
      <c r="F34" s="64" t="s">
        <v>99</v>
      </c>
      <c r="G34" s="64" t="s">
        <v>100</v>
      </c>
      <c r="H34" s="64" t="s">
        <v>101</v>
      </c>
      <c r="I34" s="64" t="s">
        <v>102</v>
      </c>
      <c r="J34" s="64" t="s">
        <v>103</v>
      </c>
      <c r="K34" s="64" t="s">
        <v>104</v>
      </c>
      <c r="L34" s="64" t="s">
        <v>105</v>
      </c>
      <c r="M34" s="64" t="s">
        <v>106</v>
      </c>
      <c r="N34" s="64" t="s">
        <v>107</v>
      </c>
      <c r="O34" s="64" t="s">
        <v>108</v>
      </c>
      <c r="P34" s="64" t="s">
        <v>109</v>
      </c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83"/>
      <c r="AI34" s="7"/>
      <c r="AJ34" s="7"/>
      <c r="AK34" s="81"/>
      <c r="AL34" s="7"/>
      <c r="AN34" s="4" t="s">
        <v>110</v>
      </c>
    </row>
    <row r="35" spans="2:48" x14ac:dyDescent="0.25">
      <c r="B35" s="66">
        <v>1</v>
      </c>
      <c r="C35" s="62" t="s">
        <v>111</v>
      </c>
      <c r="D35" s="62">
        <f>+DC</f>
        <v>1.0136432647705078</v>
      </c>
      <c r="E35" s="94">
        <v>0</v>
      </c>
      <c r="F35" s="94">
        <v>0</v>
      </c>
      <c r="G35" s="94">
        <v>0</v>
      </c>
      <c r="H35" s="94">
        <v>0</v>
      </c>
      <c r="I35" s="94">
        <v>0</v>
      </c>
      <c r="J35" s="94">
        <v>0</v>
      </c>
      <c r="K35" s="94">
        <v>0</v>
      </c>
      <c r="L35" s="94">
        <v>0</v>
      </c>
      <c r="M35" s="94">
        <v>0</v>
      </c>
      <c r="N35" s="94">
        <v>0</v>
      </c>
      <c r="O35" s="94">
        <v>0</v>
      </c>
      <c r="P35" s="94">
        <v>0</v>
      </c>
      <c r="Q35" s="95">
        <f>SUM(E35:P35)</f>
        <v>0</v>
      </c>
      <c r="U35" s="70" t="str">
        <f t="shared" ref="U35:U47" si="86">D16</f>
        <v>Middle C</v>
      </c>
      <c r="V35" s="77">
        <f t="shared" ref="V35:V47" si="87">F16</f>
        <v>0</v>
      </c>
      <c r="W35" s="61">
        <f>IF(ABS(G16)&lt;ABS(H16),G16,H16)</f>
        <v>-15.87415244355816</v>
      </c>
      <c r="X35" s="75">
        <f t="shared" ref="X35:X47" si="88">I16</f>
        <v>4.4400969953348977</v>
      </c>
      <c r="Y35" s="61">
        <f t="shared" ref="Y35:Y47" si="89">J16</f>
        <v>2.3661971005981286</v>
      </c>
      <c r="Z35" s="76">
        <f t="shared" ref="Z35:Z47" si="90">K16</f>
        <v>-1.7706442961607536</v>
      </c>
      <c r="AA35" s="61">
        <f>IF(ABS(L16)&lt;ABS(P16),L16,P16)</f>
        <v>-18.824590249420908</v>
      </c>
      <c r="AB35" s="61">
        <f t="shared" ref="AB35:AD38" si="91">IF(ABS(M16)&lt;ABS(Q16),M16,Q16)</f>
        <v>7.4078826875058894</v>
      </c>
      <c r="AC35" s="61">
        <f t="shared" si="91"/>
        <v>-26.44182101843171</v>
      </c>
      <c r="AD35" s="61">
        <f t="shared" si="91"/>
        <v>4.7297221668231941</v>
      </c>
      <c r="AE35" s="35"/>
      <c r="AF35" s="68" t="str">
        <f t="shared" ref="AF35:AF46" si="92">AF22</f>
        <v>( 33/100 )</v>
      </c>
      <c r="AG35" s="35"/>
      <c r="AH35" s="82">
        <f t="shared" ref="AH35:AI46" si="93">AH22</f>
        <v>240</v>
      </c>
      <c r="AI35" s="69" t="str">
        <f t="shared" si="93"/>
        <v>(- 1/6 )</v>
      </c>
      <c r="AJ35" s="35"/>
      <c r="AK35" s="80">
        <f t="shared" ref="AK35:AK46" si="94">AK22</f>
        <v>-120</v>
      </c>
      <c r="AL35" s="35"/>
      <c r="AM35" s="37"/>
    </row>
    <row r="36" spans="2:48" x14ac:dyDescent="0.25">
      <c r="B36" s="66">
        <v>2</v>
      </c>
      <c r="C36" s="62" t="s">
        <v>112</v>
      </c>
      <c r="D36" s="62">
        <f>+SC</f>
        <v>1.0125</v>
      </c>
      <c r="E36" s="94">
        <v>0</v>
      </c>
      <c r="F36" s="94">
        <f>-7/4</f>
        <v>-1.75</v>
      </c>
      <c r="G36" s="94">
        <f>-1/2</f>
        <v>-0.5</v>
      </c>
      <c r="H36" s="94">
        <f>3/4</f>
        <v>0.75</v>
      </c>
      <c r="I36" s="94">
        <v>-1</v>
      </c>
      <c r="J36" s="94">
        <f>1/4</f>
        <v>0.25</v>
      </c>
      <c r="K36" s="94">
        <f>-3/2</f>
        <v>-1.5</v>
      </c>
      <c r="L36" s="94">
        <f>-1/4</f>
        <v>-0.25</v>
      </c>
      <c r="M36" s="94">
        <v>-2</v>
      </c>
      <c r="N36" s="94">
        <f>-3/4</f>
        <v>-0.75</v>
      </c>
      <c r="O36" s="94">
        <f>1/2</f>
        <v>0.5</v>
      </c>
      <c r="P36" s="94">
        <f>-5/4</f>
        <v>-1.25</v>
      </c>
      <c r="Q36" s="95">
        <f t="shared" ref="Q36:Q66" si="95">SUM(E36:P36)</f>
        <v>-7.5</v>
      </c>
      <c r="U36" s="70" t="str">
        <f t="shared" si="86"/>
        <v>C#</v>
      </c>
      <c r="V36" s="77">
        <f t="shared" si="87"/>
        <v>-1.955000865387305</v>
      </c>
      <c r="W36" s="61">
        <f>IF(ABS(G17)&lt;ABS(H17),G17,H17)</f>
        <v>-20.508829640551994</v>
      </c>
      <c r="X36" s="75">
        <f t="shared" si="88"/>
        <v>14.142262063530097</v>
      </c>
      <c r="Y36" s="61">
        <f t="shared" si="89"/>
        <v>0</v>
      </c>
      <c r="Z36" s="76">
        <f t="shared" si="90"/>
        <v>-0.93743654212858019</v>
      </c>
      <c r="AA36" s="61">
        <f>IF(ABS(L17)&lt;ABS(P17),L17,P17)</f>
        <v>-22.39879670045093</v>
      </c>
      <c r="AB36" s="61">
        <f t="shared" si="91"/>
        <v>12.563906651673733</v>
      </c>
      <c r="AC36" s="61">
        <f t="shared" si="91"/>
        <v>30.763244460827991</v>
      </c>
      <c r="AD36" s="61">
        <f t="shared" si="91"/>
        <v>0</v>
      </c>
      <c r="AE36" s="35"/>
      <c r="AF36" s="68" t="str">
        <f t="shared" si="92"/>
        <v>(...)</v>
      </c>
      <c r="AG36" s="35"/>
      <c r="AH36" s="82">
        <f t="shared" si="93"/>
        <v>600</v>
      </c>
      <c r="AI36" s="69" t="str">
        <f t="shared" si="93"/>
        <v>(- 1/12 )</v>
      </c>
      <c r="AJ36" s="35"/>
      <c r="AK36" s="80">
        <f t="shared" si="94"/>
        <v>-60</v>
      </c>
      <c r="AL36" s="35"/>
      <c r="AM36" s="28"/>
      <c r="AN36" s="13" t="str">
        <f t="shared" ref="AN36:AN47" si="96">+AN20</f>
        <v>C</v>
      </c>
      <c r="AO36" s="14">
        <f t="shared" ref="AO36:AV47" si="97">+ABS(AO20)</f>
        <v>7.281025487728539</v>
      </c>
      <c r="AP36" s="14">
        <f t="shared" si="97"/>
        <v>2.3759716362996111</v>
      </c>
      <c r="AQ36" s="14">
        <f t="shared" si="97"/>
        <v>3.1654810710342858</v>
      </c>
      <c r="AR36" s="14">
        <f t="shared" si="97"/>
        <v>3.3839355875026342</v>
      </c>
      <c r="AS36" s="14">
        <f t="shared" si="97"/>
        <v>4.9199300382807394</v>
      </c>
      <c r="AT36" s="14">
        <f t="shared" si="97"/>
        <v>3.9640843812740547</v>
      </c>
      <c r="AU36" s="14">
        <f t="shared" si="97"/>
        <v>1.8078250040413548</v>
      </c>
      <c r="AV36" s="14">
        <f t="shared" si="97"/>
        <v>7.1279149088985889</v>
      </c>
    </row>
    <row r="37" spans="2:48" x14ac:dyDescent="0.25">
      <c r="B37" s="66">
        <v>3</v>
      </c>
      <c r="C37" s="62" t="s">
        <v>113</v>
      </c>
      <c r="D37" s="62">
        <f>+SC</f>
        <v>1.0125</v>
      </c>
      <c r="E37" s="94">
        <v>0</v>
      </c>
      <c r="F37" s="94">
        <f>-7/5</f>
        <v>-1.4</v>
      </c>
      <c r="G37" s="94">
        <f>-2/5</f>
        <v>-0.4</v>
      </c>
      <c r="H37" s="94">
        <v>0.6</v>
      </c>
      <c r="I37" s="94">
        <f>-4/5</f>
        <v>-0.8</v>
      </c>
      <c r="J37" s="94">
        <f>1/5</f>
        <v>0.2</v>
      </c>
      <c r="K37" s="94">
        <f>-6/5</f>
        <v>-1.2</v>
      </c>
      <c r="L37" s="94">
        <f>-1/5</f>
        <v>-0.2</v>
      </c>
      <c r="M37" s="94">
        <f>-8/5</f>
        <v>-1.6</v>
      </c>
      <c r="N37" s="94">
        <f>-3/5</f>
        <v>-0.6</v>
      </c>
      <c r="O37" s="94">
        <v>0.4</v>
      </c>
      <c r="P37" s="94">
        <v>-1</v>
      </c>
      <c r="Q37" s="95">
        <f t="shared" si="95"/>
        <v>-6</v>
      </c>
      <c r="U37" s="70" t="str">
        <f t="shared" si="86"/>
        <v>D</v>
      </c>
      <c r="V37" s="77">
        <f t="shared" si="87"/>
        <v>-3.9100017307748658</v>
      </c>
      <c r="W37" s="61">
        <f>IF(ABS(G18)&lt;ABS(H18),G18,H18)</f>
        <v>-9.8995097856495704</v>
      </c>
      <c r="X37" s="75">
        <f t="shared" si="88"/>
        <v>11.627535547546358</v>
      </c>
      <c r="Y37" s="61">
        <f t="shared" si="89"/>
        <v>2.649974697994594</v>
      </c>
      <c r="Z37" s="76">
        <f t="shared" si="90"/>
        <v>-1.982997351652557</v>
      </c>
      <c r="AA37" s="61">
        <f>IF(ABS(L18)&lt;ABS(P18),L18,P18)</f>
        <v>-15.829938733960262</v>
      </c>
      <c r="AB37" s="61">
        <f t="shared" si="91"/>
        <v>11.627535547546131</v>
      </c>
      <c r="AC37" s="61">
        <f t="shared" si="91"/>
        <v>-20.76475742996945</v>
      </c>
      <c r="AD37" s="61">
        <f t="shared" si="91"/>
        <v>21.223764568942897</v>
      </c>
      <c r="AE37" s="35"/>
      <c r="AF37" s="68" t="str">
        <f t="shared" si="92"/>
        <v>( 67/100 )</v>
      </c>
      <c r="AG37" s="35"/>
      <c r="AH37" s="82">
        <f t="shared" si="93"/>
        <v>480</v>
      </c>
      <c r="AI37" s="69" t="str">
        <f t="shared" si="93"/>
        <v>(- 1/6 )</v>
      </c>
      <c r="AJ37" s="35"/>
      <c r="AK37" s="80">
        <f t="shared" si="94"/>
        <v>-120</v>
      </c>
      <c r="AL37" s="35"/>
      <c r="AM37" s="28"/>
      <c r="AN37" s="13" t="str">
        <f t="shared" si="96"/>
        <v>C#</v>
      </c>
      <c r="AO37" s="14">
        <f t="shared" si="97"/>
        <v>8.8888888888888395</v>
      </c>
      <c r="AP37" s="14">
        <f t="shared" si="97"/>
        <v>7.1510904349048596</v>
      </c>
      <c r="AQ37" s="14">
        <f t="shared" si="97"/>
        <v>0</v>
      </c>
      <c r="AR37" s="14">
        <f t="shared" si="97"/>
        <v>1.6929231233183855</v>
      </c>
      <c r="AS37" s="14">
        <f t="shared" si="97"/>
        <v>7.2810254877283977</v>
      </c>
      <c r="AT37" s="14">
        <f t="shared" si="97"/>
        <v>6.3529888131202474</v>
      </c>
      <c r="AU37" s="14">
        <f t="shared" si="97"/>
        <v>0</v>
      </c>
      <c r="AV37" s="14">
        <f t="shared" si="97"/>
        <v>16.667363823387088</v>
      </c>
    </row>
    <row r="38" spans="2:48" x14ac:dyDescent="0.25">
      <c r="B38" s="66">
        <v>4</v>
      </c>
      <c r="C38" s="62" t="s">
        <v>114</v>
      </c>
      <c r="D38" s="62">
        <f>+SC</f>
        <v>1.0125</v>
      </c>
      <c r="E38" s="94">
        <v>0</v>
      </c>
      <c r="F38" s="94">
        <v>-1.1666666666666667</v>
      </c>
      <c r="G38" s="94">
        <v>-0.33333333333333331</v>
      </c>
      <c r="H38" s="94">
        <v>0.5</v>
      </c>
      <c r="I38" s="94">
        <v>-0.66666666666666663</v>
      </c>
      <c r="J38" s="94">
        <v>0.16666666666666666</v>
      </c>
      <c r="K38" s="94">
        <v>-1</v>
      </c>
      <c r="L38" s="94">
        <v>-0.16666666666666666</v>
      </c>
      <c r="M38" s="94">
        <v>-1.3333333333333333</v>
      </c>
      <c r="N38" s="94">
        <v>-0.5</v>
      </c>
      <c r="O38" s="94">
        <v>0.33333333333333331</v>
      </c>
      <c r="P38" s="94">
        <v>-0.83333333333333337</v>
      </c>
      <c r="Q38" s="95">
        <f t="shared" si="95"/>
        <v>-5</v>
      </c>
      <c r="U38" s="70" t="str">
        <f t="shared" si="86"/>
        <v>D#</v>
      </c>
      <c r="V38" s="77">
        <f t="shared" si="87"/>
        <v>-1.9550008653872055</v>
      </c>
      <c r="W38" s="61">
        <f>IF(ABS(G19)&lt;ABS(H19),G19,H19)</f>
        <v>-18.856349418040509</v>
      </c>
      <c r="X38" s="75">
        <f t="shared" si="88"/>
        <v>12.332863851236652</v>
      </c>
      <c r="Y38" s="61">
        <f t="shared" si="89"/>
        <v>1.4045678051941195</v>
      </c>
      <c r="Z38" s="76">
        <f t="shared" si="90"/>
        <v>-1.0522369412377657</v>
      </c>
      <c r="AA38" s="61">
        <f>IF(ABS(L19)&lt;ABS(P19),L19,P19)</f>
        <v>-25.141799224054466</v>
      </c>
      <c r="AB38" s="61">
        <f t="shared" si="91"/>
        <v>15.87415244355816</v>
      </c>
      <c r="AC38" s="61">
        <f t="shared" si="91"/>
        <v>-28.284524127060649</v>
      </c>
      <c r="AD38" s="61">
        <f t="shared" si="91"/>
        <v>11.242890473547959</v>
      </c>
      <c r="AE38" s="35"/>
      <c r="AF38" s="68" t="str">
        <f t="shared" si="92"/>
        <v>(...)</v>
      </c>
      <c r="AG38" s="35"/>
      <c r="AH38" s="82">
        <f t="shared" si="93"/>
        <v>480</v>
      </c>
      <c r="AI38" s="69" t="str">
        <f t="shared" si="93"/>
        <v>(- 1/12 )</v>
      </c>
      <c r="AJ38" s="35"/>
      <c r="AK38" s="80">
        <f t="shared" si="94"/>
        <v>-60</v>
      </c>
      <c r="AL38" s="35"/>
      <c r="AM38" s="28"/>
      <c r="AN38" s="13" t="str">
        <f t="shared" si="96"/>
        <v>D</v>
      </c>
      <c r="AO38" s="14">
        <f t="shared" si="97"/>
        <v>4.0543840486207312</v>
      </c>
      <c r="AP38" s="14">
        <f t="shared" si="97"/>
        <v>5.5557879411289131</v>
      </c>
      <c r="AQ38" s="14">
        <f t="shared" si="97"/>
        <v>3.1654810710344119</v>
      </c>
      <c r="AR38" s="14">
        <f t="shared" si="97"/>
        <v>3.383935587502485</v>
      </c>
      <c r="AS38" s="14">
        <f t="shared" si="97"/>
        <v>3.3102499273329693</v>
      </c>
      <c r="AT38" s="14">
        <f t="shared" si="97"/>
        <v>5.5557879411288047</v>
      </c>
      <c r="AU38" s="14">
        <f t="shared" si="97"/>
        <v>7.0869082678877664</v>
      </c>
      <c r="AV38" s="14">
        <f t="shared" si="97"/>
        <v>16.66736382338674</v>
      </c>
    </row>
    <row r="39" spans="2:48" x14ac:dyDescent="0.25">
      <c r="B39" s="66">
        <v>5</v>
      </c>
      <c r="C39" s="62" t="s">
        <v>115</v>
      </c>
      <c r="D39" s="62">
        <f>+SC</f>
        <v>1.0125</v>
      </c>
      <c r="E39" s="94">
        <v>0</v>
      </c>
      <c r="F39" s="94">
        <v>-1</v>
      </c>
      <c r="G39" s="94">
        <v>0</v>
      </c>
      <c r="H39" s="94">
        <v>0</v>
      </c>
      <c r="I39" s="94">
        <v>-1</v>
      </c>
      <c r="J39" s="94">
        <v>0</v>
      </c>
      <c r="K39" s="94">
        <v>-1</v>
      </c>
      <c r="L39" s="94">
        <v>0</v>
      </c>
      <c r="M39" s="94">
        <v>-1</v>
      </c>
      <c r="N39" s="94">
        <v>-0.5</v>
      </c>
      <c r="O39" s="94">
        <v>0</v>
      </c>
      <c r="P39" s="94">
        <v>-1</v>
      </c>
      <c r="Q39" s="95">
        <f t="shared" si="95"/>
        <v>-5.5</v>
      </c>
      <c r="U39" s="70" t="str">
        <f t="shared" si="86"/>
        <v>E</v>
      </c>
      <c r="V39" s="77">
        <f t="shared" si="87"/>
        <v>-7.8200034615497316</v>
      </c>
      <c r="W39" s="61">
        <f>IF(ABS(G20)&lt;ABS(H20),G20,H20)</f>
        <v>-11.08675623340423</v>
      </c>
      <c r="X39" s="75">
        <f t="shared" si="88"/>
        <v>18.633956556294834</v>
      </c>
      <c r="Y39" s="61">
        <f t="shared" si="89"/>
        <v>2.9677856921709918</v>
      </c>
      <c r="Z39" s="76">
        <f t="shared" si="90"/>
        <v>0</v>
      </c>
      <c r="AA39" s="61">
        <f>IF(ABS(L20)&lt;ABS(P20),L20,P20)</f>
        <v>-8.8801939906697953</v>
      </c>
      <c r="AB39" s="61">
        <f>IF(ABS(M20)&lt;ABS(Q20),M20,Q20)</f>
        <v>20.508829640551994</v>
      </c>
      <c r="AC39" s="61">
        <f>IF(ABS(N20)&lt;ABS(R20),N20,R20)</f>
        <v>-23.255071095092717</v>
      </c>
      <c r="AD39" s="61">
        <f>IF(ABS(O20)&lt;ABS(S20),O20,S20)</f>
        <v>23.769126878599309</v>
      </c>
      <c r="AE39" s="35"/>
      <c r="AF39" s="68" t="str">
        <f t="shared" si="92"/>
        <v>( 23/25 )</v>
      </c>
      <c r="AG39" s="35"/>
      <c r="AH39" s="82">
        <f t="shared" si="93"/>
        <v>660</v>
      </c>
      <c r="AI39" s="69" t="str">
        <f t="shared" si="93"/>
        <v>(0)</v>
      </c>
      <c r="AJ39" s="35"/>
      <c r="AK39" s="80">
        <f t="shared" si="94"/>
        <v>0</v>
      </c>
      <c r="AL39" s="78"/>
      <c r="AM39" s="28"/>
      <c r="AN39" s="13" t="str">
        <f t="shared" si="96"/>
        <v>D#</v>
      </c>
      <c r="AO39" s="14">
        <f t="shared" si="97"/>
        <v>7.2810254877285816</v>
      </c>
      <c r="AP39" s="14">
        <f t="shared" si="97"/>
        <v>5.5557879411289832</v>
      </c>
      <c r="AQ39" s="14">
        <f t="shared" si="97"/>
        <v>1.5818468785360451</v>
      </c>
      <c r="AR39" s="14">
        <f t="shared" si="97"/>
        <v>1.692923123318488</v>
      </c>
      <c r="AS39" s="14">
        <f t="shared" si="97"/>
        <v>6.5035642307790971</v>
      </c>
      <c r="AT39" s="14">
        <f t="shared" si="97"/>
        <v>7.1510904349049618</v>
      </c>
      <c r="AU39" s="14">
        <f t="shared" si="97"/>
        <v>3.6176926526105815</v>
      </c>
      <c r="AV39" s="14">
        <f t="shared" si="97"/>
        <v>11.892253143821959</v>
      </c>
    </row>
    <row r="40" spans="2:48" x14ac:dyDescent="0.25">
      <c r="B40" s="66">
        <v>6</v>
      </c>
      <c r="C40" s="62" t="s">
        <v>116</v>
      </c>
      <c r="D40" s="62">
        <f>+SC</f>
        <v>1.0125</v>
      </c>
      <c r="E40" s="94">
        <v>0</v>
      </c>
      <c r="F40" s="94">
        <v>0</v>
      </c>
      <c r="G40" s="94">
        <v>-0.5</v>
      </c>
      <c r="H40" s="94">
        <v>0</v>
      </c>
      <c r="I40" s="94">
        <v>-1</v>
      </c>
      <c r="J40" s="94">
        <v>0</v>
      </c>
      <c r="K40" s="94">
        <v>0</v>
      </c>
      <c r="L40" s="94">
        <v>-0.25</v>
      </c>
      <c r="M40" s="94">
        <v>0</v>
      </c>
      <c r="N40" s="94">
        <v>-0.75</v>
      </c>
      <c r="O40" s="94">
        <v>0</v>
      </c>
      <c r="P40" s="94">
        <v>-1</v>
      </c>
      <c r="Q40" s="95">
        <f t="shared" si="95"/>
        <v>-3.5</v>
      </c>
      <c r="U40" s="70" t="str">
        <f t="shared" si="86"/>
        <v>F</v>
      </c>
      <c r="V40" s="77">
        <f t="shared" si="87"/>
        <v>1.9550008653871487</v>
      </c>
      <c r="W40" s="61">
        <f t="shared" ref="W40:W47" si="98">IF(ABS(G21)&lt;ABS(H21),G21,H21)</f>
        <v>-23.556984450617165</v>
      </c>
      <c r="X40" s="75">
        <f t="shared" si="88"/>
        <v>5.9335150823444565</v>
      </c>
      <c r="Y40" s="61">
        <f t="shared" si="89"/>
        <v>-1.5783554118563643</v>
      </c>
      <c r="Z40" s="76">
        <f t="shared" si="90"/>
        <v>-2.3661971005981286</v>
      </c>
      <c r="AA40" s="61">
        <f t="shared" ref="AA40:AD47" si="99">IF(ABS(L21)&lt;ABS(P21),L21,P21)</f>
        <v>-28.284524127060195</v>
      </c>
      <c r="AB40" s="61">
        <f t="shared" si="99"/>
        <v>9.8995097856495704</v>
      </c>
      <c r="AC40" s="61">
        <f t="shared" si="99"/>
        <v>-38.846896188910705</v>
      </c>
      <c r="AD40" s="61">
        <f t="shared" si="99"/>
        <v>0</v>
      </c>
      <c r="AE40" s="35"/>
      <c r="AF40" s="68" t="str">
        <f t="shared" si="92"/>
        <v>( 33/100 )</v>
      </c>
      <c r="AG40" s="35"/>
      <c r="AH40" s="82">
        <f t="shared" si="93"/>
        <v>240</v>
      </c>
      <c r="AI40" s="69" t="str">
        <f t="shared" si="93"/>
        <v>(- 1/6 )</v>
      </c>
      <c r="AJ40" s="35"/>
      <c r="AK40" s="80">
        <f t="shared" si="94"/>
        <v>-120</v>
      </c>
      <c r="AL40" s="79"/>
      <c r="AM40" s="28"/>
      <c r="AN40" s="13" t="str">
        <f t="shared" si="96"/>
        <v>E</v>
      </c>
      <c r="AO40" s="14">
        <f t="shared" si="97"/>
        <v>4.0543840486205962</v>
      </c>
      <c r="AP40" s="14">
        <f t="shared" si="97"/>
        <v>7.9500938242320149</v>
      </c>
      <c r="AQ40" s="14">
        <f t="shared" si="97"/>
        <v>3.1654810710345709</v>
      </c>
      <c r="AR40" s="14">
        <f t="shared" si="97"/>
        <v>0</v>
      </c>
      <c r="AS40" s="14">
        <f t="shared" si="97"/>
        <v>0.88890297758613634</v>
      </c>
      <c r="AT40" s="14">
        <f t="shared" si="97"/>
        <v>8.749999999999952</v>
      </c>
      <c r="AU40" s="14">
        <f t="shared" si="97"/>
        <v>7.0869082678877202</v>
      </c>
      <c r="AV40" s="14">
        <f t="shared" si="97"/>
        <v>21.45327130471501</v>
      </c>
    </row>
    <row r="41" spans="2:48" x14ac:dyDescent="0.25">
      <c r="B41" s="66">
        <v>7</v>
      </c>
      <c r="C41" s="62" t="s">
        <v>192</v>
      </c>
      <c r="D41" s="62">
        <f>+DC</f>
        <v>1.0136432647705078</v>
      </c>
      <c r="E41" s="94">
        <v>0</v>
      </c>
      <c r="F41" s="94">
        <v>0</v>
      </c>
      <c r="G41" s="94">
        <v>-0.5</v>
      </c>
      <c r="H41" s="94">
        <v>0</v>
      </c>
      <c r="I41" s="94">
        <v>-0.75</v>
      </c>
      <c r="J41" s="94">
        <v>0</v>
      </c>
      <c r="K41" s="94">
        <v>0</v>
      </c>
      <c r="L41" s="94">
        <v>-0.25</v>
      </c>
      <c r="M41" s="94">
        <v>0</v>
      </c>
      <c r="N41" s="94">
        <v>-0.75</v>
      </c>
      <c r="O41" s="94">
        <v>0</v>
      </c>
      <c r="P41" s="94">
        <v>-0.75</v>
      </c>
      <c r="Q41" s="95">
        <f t="shared" si="95"/>
        <v>-3</v>
      </c>
      <c r="U41" s="70" t="str">
        <f t="shared" si="86"/>
        <v>F#</v>
      </c>
      <c r="V41" s="77">
        <f t="shared" si="87"/>
        <v>-3.9100017307748658</v>
      </c>
      <c r="W41" s="61">
        <f t="shared" si="98"/>
        <v>-22.39879670045093</v>
      </c>
      <c r="X41" s="75">
        <f t="shared" si="88"/>
        <v>16.751875535564977</v>
      </c>
      <c r="Y41" s="61">
        <f t="shared" si="89"/>
        <v>0</v>
      </c>
      <c r="Z41" s="76">
        <f t="shared" si="90"/>
        <v>0</v>
      </c>
      <c r="AA41" s="61">
        <f t="shared" si="99"/>
        <v>-23.255071095092717</v>
      </c>
      <c r="AB41" s="61">
        <f t="shared" si="99"/>
        <v>18.856349418040509</v>
      </c>
      <c r="AC41" s="61">
        <f t="shared" si="99"/>
        <v>41.017659281103988</v>
      </c>
      <c r="AD41" s="61">
        <f t="shared" si="99"/>
        <v>0</v>
      </c>
      <c r="AE41" s="35"/>
      <c r="AF41" s="68" t="str">
        <f t="shared" si="92"/>
        <v>( 3/4 )</v>
      </c>
      <c r="AG41" s="35"/>
      <c r="AH41" s="82">
        <f t="shared" si="93"/>
        <v>540</v>
      </c>
      <c r="AI41" s="69" t="str">
        <f t="shared" si="93"/>
        <v>(0)</v>
      </c>
      <c r="AJ41" s="35"/>
      <c r="AK41" s="80">
        <f t="shared" si="94"/>
        <v>0</v>
      </c>
      <c r="AL41" s="79"/>
      <c r="AM41" s="28"/>
      <c r="AN41" s="13" t="str">
        <f t="shared" si="96"/>
        <v>F</v>
      </c>
      <c r="AO41" s="14">
        <f t="shared" si="97"/>
        <v>8.0854111093150252</v>
      </c>
      <c r="AP41" s="14">
        <f t="shared" si="97"/>
        <v>2.3759716362998144</v>
      </c>
      <c r="AQ41" s="14">
        <f t="shared" si="97"/>
        <v>1.5800615817636379</v>
      </c>
      <c r="AR41" s="14">
        <f t="shared" si="97"/>
        <v>3.3839355875025645</v>
      </c>
      <c r="AS41" s="14">
        <f t="shared" si="97"/>
        <v>8.0557925801310297</v>
      </c>
      <c r="AT41" s="14">
        <f t="shared" si="97"/>
        <v>3.9640843812740778</v>
      </c>
      <c r="AU41" s="14">
        <f t="shared" si="97"/>
        <v>0</v>
      </c>
      <c r="AV41" s="14">
        <f t="shared" si="97"/>
        <v>2.3743248164454829</v>
      </c>
    </row>
    <row r="42" spans="2:48" x14ac:dyDescent="0.25">
      <c r="B42" s="66">
        <v>8</v>
      </c>
      <c r="C42" s="62" t="s">
        <v>117</v>
      </c>
      <c r="D42" s="62">
        <f>+DC</f>
        <v>1.0136432647705078</v>
      </c>
      <c r="E42" s="94">
        <v>0</v>
      </c>
      <c r="F42" s="94">
        <v>-0.58333333333333337</v>
      </c>
      <c r="G42" s="94">
        <v>-0.16666666666666666</v>
      </c>
      <c r="H42" s="94">
        <v>0.25</v>
      </c>
      <c r="I42" s="94">
        <v>-0.33333333333333331</v>
      </c>
      <c r="J42" s="94">
        <v>8.3333333333333329E-2</v>
      </c>
      <c r="K42" s="94">
        <v>-0.5</v>
      </c>
      <c r="L42" s="94">
        <v>-8.3333333333333329E-2</v>
      </c>
      <c r="M42" s="94">
        <v>-0.66666666666666663</v>
      </c>
      <c r="N42" s="94">
        <v>-0.25</v>
      </c>
      <c r="O42" s="94">
        <v>0.16666666666666666</v>
      </c>
      <c r="P42" s="94">
        <v>-0.41666666666666669</v>
      </c>
      <c r="Q42" s="95">
        <f t="shared" si="95"/>
        <v>-2.5</v>
      </c>
      <c r="U42" s="70" t="str">
        <f t="shared" si="86"/>
        <v>G</v>
      </c>
      <c r="V42" s="77">
        <f t="shared" si="87"/>
        <v>-1.9550008653874329</v>
      </c>
      <c r="W42" s="61">
        <f t="shared" si="98"/>
        <v>-21.12988812994945</v>
      </c>
      <c r="X42" s="75">
        <f t="shared" si="88"/>
        <v>11.086756233404003</v>
      </c>
      <c r="Y42" s="61">
        <f t="shared" si="89"/>
        <v>3.5412885923215072</v>
      </c>
      <c r="Z42" s="76">
        <f t="shared" si="90"/>
        <v>-2.649974697994594</v>
      </c>
      <c r="AA42" s="61">
        <f t="shared" si="99"/>
        <v>-24.665727702473305</v>
      </c>
      <c r="AB42" s="61">
        <f t="shared" si="99"/>
        <v>11.08675623340423</v>
      </c>
      <c r="AC42" s="61">
        <f t="shared" si="99"/>
        <v>-27.74894366528315</v>
      </c>
      <c r="AD42" s="61">
        <f t="shared" si="99"/>
        <v>28.3623369728748</v>
      </c>
      <c r="AE42" s="35"/>
      <c r="AF42" s="68" t="str">
        <f t="shared" si="92"/>
        <v>( 1/2 )</v>
      </c>
      <c r="AG42" s="35"/>
      <c r="AH42" s="82">
        <f t="shared" si="93"/>
        <v>360</v>
      </c>
      <c r="AI42" s="69" t="str">
        <f t="shared" si="93"/>
        <v>(- 1/6 )</v>
      </c>
      <c r="AJ42" s="35"/>
      <c r="AK42" s="80">
        <f t="shared" si="94"/>
        <v>-120</v>
      </c>
      <c r="AL42" s="79"/>
      <c r="AM42" s="28"/>
      <c r="AN42" s="13" t="str">
        <f t="shared" si="96"/>
        <v>F#</v>
      </c>
      <c r="AO42" s="14">
        <f t="shared" si="97"/>
        <v>7.2810254877283977</v>
      </c>
      <c r="AP42" s="14">
        <f t="shared" si="97"/>
        <v>6.3529888131202474</v>
      </c>
      <c r="AQ42" s="14">
        <f t="shared" si="97"/>
        <v>0</v>
      </c>
      <c r="AR42" s="14">
        <f t="shared" si="97"/>
        <v>0</v>
      </c>
      <c r="AS42" s="14">
        <f t="shared" si="97"/>
        <v>5.6695266143100662</v>
      </c>
      <c r="AT42" s="14">
        <f t="shared" si="97"/>
        <v>7.1510904349050035</v>
      </c>
      <c r="AU42" s="14">
        <f t="shared" si="97"/>
        <v>0</v>
      </c>
      <c r="AV42" s="14">
        <f t="shared" si="97"/>
        <v>21.45327130471458</v>
      </c>
    </row>
    <row r="43" spans="2:48" x14ac:dyDescent="0.25">
      <c r="B43" s="66">
        <v>9</v>
      </c>
      <c r="C43" s="62" t="s">
        <v>118</v>
      </c>
      <c r="D43" s="62">
        <f>+SC</f>
        <v>1.0125</v>
      </c>
      <c r="E43" s="94">
        <v>0</v>
      </c>
      <c r="F43" s="94">
        <v>-2.3333333333333335</v>
      </c>
      <c r="G43" s="94">
        <v>-0.66666666666666663</v>
      </c>
      <c r="H43" s="94">
        <v>1</v>
      </c>
      <c r="I43" s="94">
        <v>-1.3333333333333333</v>
      </c>
      <c r="J43" s="94">
        <v>0.33333333333333331</v>
      </c>
      <c r="K43" s="94">
        <v>-2</v>
      </c>
      <c r="L43" s="94">
        <v>-0.33333333333333331</v>
      </c>
      <c r="M43" s="94">
        <v>-2.6666666666666665</v>
      </c>
      <c r="N43" s="94">
        <v>-1</v>
      </c>
      <c r="O43" s="94">
        <v>0.66666666666666663</v>
      </c>
      <c r="P43" s="94">
        <v>-1.6666666666666667</v>
      </c>
      <c r="Q43" s="95">
        <f t="shared" si="95"/>
        <v>-10</v>
      </c>
      <c r="U43" s="70" t="str">
        <f t="shared" si="86"/>
        <v>G#</v>
      </c>
      <c r="V43" s="77">
        <f t="shared" si="87"/>
        <v>-1.9550008653874329</v>
      </c>
      <c r="W43" s="61">
        <f t="shared" si="98"/>
        <v>-27.950934834442705</v>
      </c>
      <c r="X43" s="75">
        <f t="shared" si="88"/>
        <v>18.824590249420908</v>
      </c>
      <c r="Y43" s="61">
        <f t="shared" si="89"/>
        <v>1.8748730842571604</v>
      </c>
      <c r="Z43" s="76">
        <f t="shared" si="90"/>
        <v>-1.4045678051941195</v>
      </c>
      <c r="AA43" s="61">
        <f t="shared" si="99"/>
        <v>-37.267913112589667</v>
      </c>
      <c r="AB43" s="61">
        <f t="shared" si="99"/>
        <v>23.556984450617165</v>
      </c>
      <c r="AC43" s="61">
        <f t="shared" si="99"/>
        <v>-41.926402251663148</v>
      </c>
      <c r="AD43" s="61">
        <f t="shared" si="99"/>
        <v>7.4994923370286415</v>
      </c>
      <c r="AE43" s="35"/>
      <c r="AF43" s="68" t="str">
        <f t="shared" si="92"/>
        <v>(...)</v>
      </c>
      <c r="AG43" s="35"/>
      <c r="AH43" s="82">
        <f t="shared" si="93"/>
        <v>540</v>
      </c>
      <c r="AI43" s="69" t="str">
        <f t="shared" si="93"/>
        <v>(- 1/12 )</v>
      </c>
      <c r="AJ43" s="35"/>
      <c r="AK43" s="80">
        <f t="shared" si="94"/>
        <v>-60</v>
      </c>
      <c r="AL43" s="79"/>
      <c r="AM43" s="28"/>
      <c r="AN43" s="13" t="str">
        <f t="shared" si="96"/>
        <v>G</v>
      </c>
      <c r="AO43" s="14">
        <f t="shared" si="97"/>
        <v>6.4757309983673812</v>
      </c>
      <c r="AP43" s="14">
        <f t="shared" si="97"/>
        <v>3.9640843812738633</v>
      </c>
      <c r="AQ43" s="14">
        <f t="shared" si="97"/>
        <v>3.1654810710343519</v>
      </c>
      <c r="AR43" s="14">
        <f t="shared" si="97"/>
        <v>3.3839355875026991</v>
      </c>
      <c r="AS43" s="14">
        <f t="shared" si="97"/>
        <v>4.1155444166941866</v>
      </c>
      <c r="AT43" s="14">
        <f t="shared" si="97"/>
        <v>3.9640843812739446</v>
      </c>
      <c r="AU43" s="14">
        <f t="shared" si="97"/>
        <v>7.0869082678879831</v>
      </c>
      <c r="AV43" s="14">
        <f t="shared" si="97"/>
        <v>11.892253143821833</v>
      </c>
    </row>
    <row r="44" spans="2:48" x14ac:dyDescent="0.25">
      <c r="B44" s="66">
        <v>10</v>
      </c>
      <c r="C44" s="62" t="s">
        <v>119</v>
      </c>
      <c r="D44" s="62">
        <f>+DC</f>
        <v>1.0136432647705078</v>
      </c>
      <c r="E44" s="94">
        <v>0</v>
      </c>
      <c r="F44" s="94">
        <v>0</v>
      </c>
      <c r="G44" s="94">
        <v>-0.33333333333333331</v>
      </c>
      <c r="H44" s="94">
        <v>0</v>
      </c>
      <c r="I44" s="94">
        <v>-0.66666666666666663</v>
      </c>
      <c r="J44" s="94">
        <v>0</v>
      </c>
      <c r="K44" s="94">
        <v>-1</v>
      </c>
      <c r="L44" s="94">
        <v>-0.16666666666666666</v>
      </c>
      <c r="M44" s="94">
        <v>0</v>
      </c>
      <c r="N44" s="94">
        <v>-0.5</v>
      </c>
      <c r="O44" s="94">
        <v>0</v>
      </c>
      <c r="P44" s="94">
        <v>-0.83333333333333337</v>
      </c>
      <c r="Q44" s="95">
        <f t="shared" si="95"/>
        <v>-3.5</v>
      </c>
      <c r="U44" s="70" t="str">
        <f t="shared" si="86"/>
        <v>A</v>
      </c>
      <c r="V44" s="77">
        <f t="shared" si="87"/>
        <v>-5.8650025961620713</v>
      </c>
      <c r="W44" s="61">
        <f t="shared" si="98"/>
        <v>-14.815765375011779</v>
      </c>
      <c r="X44" s="75">
        <f t="shared" si="88"/>
        <v>22.39879670045093</v>
      </c>
      <c r="Y44" s="61">
        <f t="shared" si="89"/>
        <v>3.9659947033051139</v>
      </c>
      <c r="Z44" s="76">
        <f t="shared" si="90"/>
        <v>-2.9677856921709918</v>
      </c>
      <c r="AA44" s="61">
        <f t="shared" si="99"/>
        <v>-11.867030164688913</v>
      </c>
      <c r="AB44" s="61">
        <f t="shared" si="99"/>
        <v>22.39879670045093</v>
      </c>
      <c r="AC44" s="61">
        <f t="shared" si="99"/>
        <v>-31.076869543321664</v>
      </c>
      <c r="AD44" s="61">
        <f t="shared" si="99"/>
        <v>31.763827001188474</v>
      </c>
      <c r="AE44" s="35"/>
      <c r="AF44" s="68" t="str">
        <f t="shared" si="92"/>
        <v>( 83/100 )</v>
      </c>
      <c r="AG44" s="35"/>
      <c r="AH44" s="82">
        <f t="shared" si="93"/>
        <v>600</v>
      </c>
      <c r="AI44" s="69" t="str">
        <f t="shared" si="93"/>
        <v>(- 1/6 )</v>
      </c>
      <c r="AJ44" s="35"/>
      <c r="AK44" s="80">
        <f t="shared" si="94"/>
        <v>-120</v>
      </c>
      <c r="AL44" s="79"/>
      <c r="AN44" s="13" t="str">
        <f t="shared" si="96"/>
        <v>G#</v>
      </c>
      <c r="AO44" s="14">
        <f t="shared" si="97"/>
        <v>8.0854111093151424</v>
      </c>
      <c r="AP44" s="14">
        <f t="shared" si="97"/>
        <v>6.3529888131202954</v>
      </c>
      <c r="AQ44" s="14">
        <f t="shared" si="97"/>
        <v>1.5818468785359747</v>
      </c>
      <c r="AR44" s="14">
        <f t="shared" si="97"/>
        <v>1.6929231233184607</v>
      </c>
      <c r="AS44" s="14">
        <f t="shared" si="97"/>
        <v>7.3070420103528644</v>
      </c>
      <c r="AT44" s="14">
        <f t="shared" si="97"/>
        <v>7.9500938242320274</v>
      </c>
      <c r="AU44" s="14">
        <f t="shared" si="97"/>
        <v>1.8078250040411141</v>
      </c>
      <c r="AV44" s="14">
        <f t="shared" si="97"/>
        <v>14.278460406993442</v>
      </c>
    </row>
    <row r="45" spans="2:48" x14ac:dyDescent="0.25">
      <c r="B45" s="66">
        <v>11</v>
      </c>
      <c r="C45" s="62" t="s">
        <v>193</v>
      </c>
      <c r="D45" s="62">
        <f>+DC</f>
        <v>1.0136432647705078</v>
      </c>
      <c r="E45" s="94">
        <v>0</v>
      </c>
      <c r="F45" s="94">
        <v>-0.66666666666666663</v>
      </c>
      <c r="G45" s="94">
        <v>-0.16666666666666666</v>
      </c>
      <c r="H45" s="94">
        <v>0.16666666666666666</v>
      </c>
      <c r="I45" s="94">
        <v>-0.33333333333333331</v>
      </c>
      <c r="J45" s="94">
        <v>0</v>
      </c>
      <c r="K45" s="94">
        <v>-0.5</v>
      </c>
      <c r="L45" s="94">
        <v>-0.16666666666666666</v>
      </c>
      <c r="M45" s="94">
        <v>-0.66666666666666663</v>
      </c>
      <c r="N45" s="94">
        <v>-0.33333333333333331</v>
      </c>
      <c r="O45" s="94">
        <v>0.16666666666666666</v>
      </c>
      <c r="P45" s="94">
        <v>-0.5</v>
      </c>
      <c r="Q45" s="95">
        <f t="shared" si="95"/>
        <v>-3.0000000000000004</v>
      </c>
      <c r="U45" s="70" t="str">
        <f t="shared" si="86"/>
        <v>A#</v>
      </c>
      <c r="V45" s="77">
        <f t="shared" si="87"/>
        <v>-1.9550008653874329</v>
      </c>
      <c r="W45" s="61">
        <f t="shared" si="98"/>
        <v>-25.127813303347466</v>
      </c>
      <c r="X45" s="75">
        <f t="shared" si="88"/>
        <v>15.829938733960262</v>
      </c>
      <c r="Y45" s="61">
        <f t="shared" si="89"/>
        <v>2.1044738824755314</v>
      </c>
      <c r="Z45" s="76">
        <f t="shared" si="90"/>
        <v>1.5783554118563643</v>
      </c>
      <c r="AA45" s="61">
        <f t="shared" si="99"/>
        <v>-33.503751071129955</v>
      </c>
      <c r="AB45" s="61">
        <f t="shared" si="99"/>
        <v>21.12988812994945</v>
      </c>
      <c r="AC45" s="61">
        <f t="shared" si="99"/>
        <v>-42.378902665665009</v>
      </c>
      <c r="AD45" s="61">
        <f t="shared" si="99"/>
        <v>16.845302361066388</v>
      </c>
      <c r="AE45" s="35"/>
      <c r="AF45" s="68" t="str">
        <f t="shared" si="92"/>
        <v>(...)</v>
      </c>
      <c r="AG45" s="35"/>
      <c r="AH45" s="82">
        <f t="shared" si="93"/>
        <v>420</v>
      </c>
      <c r="AI45" s="69" t="str">
        <f t="shared" si="93"/>
        <v>(...)</v>
      </c>
      <c r="AJ45" s="35"/>
      <c r="AK45" s="80">
        <f t="shared" si="94"/>
        <v>60</v>
      </c>
      <c r="AL45" s="79"/>
      <c r="AN45" s="13" t="str">
        <f t="shared" si="96"/>
        <v>A</v>
      </c>
      <c r="AO45" s="14">
        <f t="shared" si="97"/>
        <v>4.0543840486207072</v>
      </c>
      <c r="AP45" s="14">
        <f t="shared" si="97"/>
        <v>7.1510904349048223</v>
      </c>
      <c r="AQ45" s="14">
        <f t="shared" si="97"/>
        <v>3.1654810710342116</v>
      </c>
      <c r="AR45" s="14">
        <f t="shared" si="97"/>
        <v>3.3839355875028687</v>
      </c>
      <c r="AS45" s="14">
        <f t="shared" si="97"/>
        <v>0.88890297758651959</v>
      </c>
      <c r="AT45" s="14">
        <f t="shared" si="97"/>
        <v>7.1510904349048223</v>
      </c>
      <c r="AU45" s="14">
        <f t="shared" si="97"/>
        <v>7.0869082678879076</v>
      </c>
      <c r="AV45" s="14">
        <f t="shared" si="97"/>
        <v>19.058966439360486</v>
      </c>
    </row>
    <row r="46" spans="2:48" x14ac:dyDescent="0.25">
      <c r="B46" s="66">
        <v>12</v>
      </c>
      <c r="C46" s="62" t="s">
        <v>120</v>
      </c>
      <c r="D46" s="62">
        <f>+SC</f>
        <v>1.0125</v>
      </c>
      <c r="E46" s="94">
        <v>0</v>
      </c>
      <c r="F46" s="94">
        <v>1</v>
      </c>
      <c r="G46" s="94">
        <v>0</v>
      </c>
      <c r="H46" s="94">
        <v>1</v>
      </c>
      <c r="I46" s="94">
        <v>-1</v>
      </c>
      <c r="J46" s="94">
        <v>0</v>
      </c>
      <c r="K46" s="94">
        <v>-1</v>
      </c>
      <c r="L46" s="94">
        <v>0</v>
      </c>
      <c r="M46" s="94">
        <v>1</v>
      </c>
      <c r="N46" s="94">
        <v>-1</v>
      </c>
      <c r="O46" s="94">
        <v>1</v>
      </c>
      <c r="P46" s="94">
        <v>-1</v>
      </c>
      <c r="Q46" s="95">
        <f t="shared" si="95"/>
        <v>0</v>
      </c>
      <c r="U46" s="70" t="str">
        <f t="shared" si="86"/>
        <v>B</v>
      </c>
      <c r="V46" s="77">
        <f t="shared" si="87"/>
        <v>-5.8650025961624124</v>
      </c>
      <c r="W46" s="61">
        <f t="shared" si="98"/>
        <v>-23.255071095092262</v>
      </c>
      <c r="X46" s="75">
        <f t="shared" si="88"/>
        <v>25.141799224054466</v>
      </c>
      <c r="Y46" s="61">
        <f t="shared" si="89"/>
        <v>0</v>
      </c>
      <c r="Z46" s="76">
        <f t="shared" si="90"/>
        <v>0</v>
      </c>
      <c r="AA46" s="61">
        <f t="shared" si="99"/>
        <v>-22.173512466808006</v>
      </c>
      <c r="AB46" s="61">
        <f t="shared" si="99"/>
        <v>27.950934834442705</v>
      </c>
      <c r="AC46" s="61">
        <f t="shared" si="99"/>
        <v>-44.797593400900951</v>
      </c>
      <c r="AD46" s="61">
        <f t="shared" si="99"/>
        <v>17.806714153027315</v>
      </c>
      <c r="AE46" s="35"/>
      <c r="AF46" s="68" t="str">
        <f t="shared" si="92"/>
        <v>( 83/100 )</v>
      </c>
      <c r="AG46" s="35"/>
      <c r="AH46" s="82">
        <f t="shared" si="93"/>
        <v>600</v>
      </c>
      <c r="AI46" s="69" t="str">
        <f t="shared" si="93"/>
        <v>(0)</v>
      </c>
      <c r="AJ46" s="35"/>
      <c r="AK46" s="80">
        <f t="shared" si="94"/>
        <v>0</v>
      </c>
      <c r="AL46" s="79"/>
      <c r="AN46" s="13" t="str">
        <f t="shared" si="96"/>
        <v>A#</v>
      </c>
      <c r="AO46" s="14">
        <f t="shared" si="97"/>
        <v>6.4757309983673919</v>
      </c>
      <c r="AP46" s="14">
        <f t="shared" si="97"/>
        <v>4.7594868023311614</v>
      </c>
      <c r="AQ46" s="14">
        <f t="shared" si="97"/>
        <v>1.5818468785360706</v>
      </c>
      <c r="AR46" s="14">
        <f t="shared" si="97"/>
        <v>1.694835941288342</v>
      </c>
      <c r="AS46" s="14">
        <f t="shared" si="97"/>
        <v>5.6991786091925114</v>
      </c>
      <c r="AT46" s="14">
        <f t="shared" si="97"/>
        <v>6.3529888131202368</v>
      </c>
      <c r="AU46" s="14">
        <f t="shared" si="97"/>
        <v>3.6176926526105935</v>
      </c>
      <c r="AV46" s="14">
        <f t="shared" si="97"/>
        <v>9.508738990952418</v>
      </c>
    </row>
    <row r="47" spans="2:48" x14ac:dyDescent="0.25">
      <c r="B47" s="66">
        <v>13</v>
      </c>
      <c r="C47" s="62" t="s">
        <v>121</v>
      </c>
      <c r="D47" s="62">
        <f>+SC</f>
        <v>1.0125</v>
      </c>
      <c r="E47" s="94">
        <v>0</v>
      </c>
      <c r="F47" s="94">
        <v>-1.5</v>
      </c>
      <c r="G47" s="94">
        <v>-0.5</v>
      </c>
      <c r="H47" s="94">
        <v>0.5</v>
      </c>
      <c r="I47" s="94">
        <v>-1</v>
      </c>
      <c r="J47" s="94">
        <v>0.16666666666666666</v>
      </c>
      <c r="K47" s="94">
        <v>-1.3333333333333333</v>
      </c>
      <c r="L47" s="94">
        <v>-0.25</v>
      </c>
      <c r="M47" s="94">
        <v>-1.6666666666666667</v>
      </c>
      <c r="N47" s="94">
        <v>-0.75</v>
      </c>
      <c r="O47" s="94">
        <v>0.33333333333333331</v>
      </c>
      <c r="P47" s="94">
        <v>-1.1666666666666667</v>
      </c>
      <c r="Q47" s="95">
        <f t="shared" si="95"/>
        <v>-7.1666666666666679</v>
      </c>
      <c r="U47" s="70" t="str">
        <f t="shared" si="86"/>
        <v>C</v>
      </c>
      <c r="V47" s="77">
        <f t="shared" si="87"/>
        <v>0</v>
      </c>
      <c r="W47" s="61">
        <f t="shared" si="98"/>
        <v>-31.748304887116319</v>
      </c>
      <c r="X47" s="75">
        <f t="shared" si="88"/>
        <v>8.8801939906697953</v>
      </c>
      <c r="Y47" s="61">
        <f t="shared" si="89"/>
        <v>4.7323942011962572</v>
      </c>
      <c r="Z47" s="76">
        <f t="shared" si="90"/>
        <v>-3.5412885923215072</v>
      </c>
      <c r="AA47" s="61">
        <f t="shared" si="99"/>
        <v>-37.649180498841815</v>
      </c>
      <c r="AB47" s="61">
        <f t="shared" si="99"/>
        <v>14.815765375011779</v>
      </c>
      <c r="AC47" s="61">
        <f t="shared" si="99"/>
        <v>-52.883642036863421</v>
      </c>
      <c r="AD47" s="61">
        <f t="shared" si="99"/>
        <v>9.4594443336463883</v>
      </c>
      <c r="AE47" s="35"/>
      <c r="AF47" s="68" t="str">
        <f>AF35</f>
        <v>( 33/100 )</v>
      </c>
      <c r="AG47" s="35"/>
      <c r="AH47" s="82">
        <f>AH35</f>
        <v>240</v>
      </c>
      <c r="AI47" s="69" t="str">
        <f>AI35</f>
        <v>(- 1/6 )</v>
      </c>
      <c r="AJ47" s="35"/>
      <c r="AK47" s="80">
        <f>AK35</f>
        <v>-120</v>
      </c>
      <c r="AL47" s="79"/>
      <c r="AN47" s="13" t="str">
        <f t="shared" si="96"/>
        <v>B</v>
      </c>
      <c r="AO47" s="14">
        <f t="shared" si="97"/>
        <v>5.6695266143100662</v>
      </c>
      <c r="AP47" s="14">
        <f t="shared" si="97"/>
        <v>7.1510904349051341</v>
      </c>
      <c r="AQ47" s="14">
        <f t="shared" si="97"/>
        <v>0</v>
      </c>
      <c r="AR47" s="14">
        <f t="shared" si="97"/>
        <v>0</v>
      </c>
      <c r="AS47" s="14">
        <f t="shared" si="97"/>
        <v>4.0543840486205962</v>
      </c>
      <c r="AT47" s="14">
        <f t="shared" si="97"/>
        <v>7.9500938242321446</v>
      </c>
      <c r="AU47" s="14">
        <f t="shared" si="97"/>
        <v>3.6176926526112161</v>
      </c>
      <c r="AV47" s="14">
        <f t="shared" si="97"/>
        <v>19.058966439361004</v>
      </c>
    </row>
    <row r="48" spans="2:48" x14ac:dyDescent="0.25">
      <c r="B48" s="66">
        <v>14</v>
      </c>
      <c r="C48" s="62" t="s">
        <v>122</v>
      </c>
      <c r="D48" s="62">
        <f>+SC</f>
        <v>1.0125</v>
      </c>
      <c r="E48" s="94">
        <v>0</v>
      </c>
      <c r="F48" s="94">
        <f>-1-0.2-0.166666666666667-0.142857142857143</f>
        <v>-1.5095238095238095</v>
      </c>
      <c r="G48" s="94">
        <v>-0.5</v>
      </c>
      <c r="H48" s="94">
        <f>0.2+0.166666666666667+0.142857142857143</f>
        <v>0.50952380952380949</v>
      </c>
      <c r="I48" s="94">
        <v>-1</v>
      </c>
      <c r="J48" s="94">
        <v>0.2</v>
      </c>
      <c r="K48" s="94">
        <f>-1-0.2-0.166666666666667</f>
        <v>-1.3666666666666667</v>
      </c>
      <c r="L48" s="94">
        <v>-0.25</v>
      </c>
      <c r="M48" s="94">
        <f>-1-0.2-0.166666666666667-0.142857142857143-0.125</f>
        <v>-1.6345238095238095</v>
      </c>
      <c r="N48" s="94">
        <v>-0.75</v>
      </c>
      <c r="O48" s="94">
        <f>0.2+0.166666666666667</f>
        <v>0.3666666666666667</v>
      </c>
      <c r="P48" s="94">
        <v>-1.2</v>
      </c>
      <c r="Q48" s="95">
        <f t="shared" si="95"/>
        <v>-7.1345238095238086</v>
      </c>
      <c r="AH48" s="85">
        <f>AVERAGE(AH22:AH33)</f>
        <v>480</v>
      </c>
      <c r="AN48" s="13" t="str">
        <f>+AN20</f>
        <v>C</v>
      </c>
      <c r="AO48" s="14">
        <f t="shared" ref="AO48:AV48" si="100">+ABS(AO36)</f>
        <v>7.281025487728539</v>
      </c>
      <c r="AP48" s="14">
        <f t="shared" si="100"/>
        <v>2.3759716362996111</v>
      </c>
      <c r="AQ48" s="14">
        <f t="shared" si="100"/>
        <v>3.1654810710342858</v>
      </c>
      <c r="AR48" s="14">
        <f t="shared" si="100"/>
        <v>3.3839355875026342</v>
      </c>
      <c r="AS48" s="14">
        <f t="shared" si="100"/>
        <v>4.9199300382807394</v>
      </c>
      <c r="AT48" s="14">
        <f t="shared" si="100"/>
        <v>3.9640843812740547</v>
      </c>
      <c r="AU48" s="14">
        <f t="shared" si="100"/>
        <v>1.8078250040413548</v>
      </c>
      <c r="AV48" s="14">
        <f t="shared" si="100"/>
        <v>7.1279149088985889</v>
      </c>
    </row>
    <row r="49" spans="1:47" x14ac:dyDescent="0.25">
      <c r="B49" s="66">
        <v>15</v>
      </c>
      <c r="C49" s="62" t="s">
        <v>123</v>
      </c>
      <c r="D49" s="62">
        <f>+SC</f>
        <v>1.0125</v>
      </c>
      <c r="E49" s="94">
        <v>0</v>
      </c>
      <c r="F49" s="94">
        <v>-1.2</v>
      </c>
      <c r="G49" s="94">
        <v>-0.5</v>
      </c>
      <c r="H49" s="94">
        <v>0.16666666666666666</v>
      </c>
      <c r="I49" s="94">
        <v>-1</v>
      </c>
      <c r="J49" s="94">
        <v>0.16666666666666666</v>
      </c>
      <c r="K49" s="94">
        <v>-1.2</v>
      </c>
      <c r="L49" s="94">
        <v>-0.25</v>
      </c>
      <c r="M49" s="94">
        <v>-1.2</v>
      </c>
      <c r="N49" s="94">
        <v>-0.75</v>
      </c>
      <c r="O49" s="94">
        <v>0.16666666666666666</v>
      </c>
      <c r="P49" s="94">
        <v>-1.2</v>
      </c>
      <c r="Q49" s="95">
        <f t="shared" si="95"/>
        <v>-6.8</v>
      </c>
      <c r="U49" s="84" t="s">
        <v>124</v>
      </c>
    </row>
    <row r="50" spans="1:47" x14ac:dyDescent="0.25">
      <c r="B50" s="66">
        <v>16</v>
      </c>
      <c r="C50" s="62" t="s">
        <v>125</v>
      </c>
      <c r="D50" s="62">
        <f>+SC</f>
        <v>1.0125</v>
      </c>
      <c r="E50" s="94">
        <v>0</v>
      </c>
      <c r="F50" s="94">
        <v>-1.25</v>
      </c>
      <c r="G50" s="94">
        <v>-0.5</v>
      </c>
      <c r="H50" s="94">
        <v>0.25</v>
      </c>
      <c r="I50" s="94">
        <v>-1</v>
      </c>
      <c r="J50" s="94">
        <v>0.25</v>
      </c>
      <c r="K50" s="94">
        <v>-1.25</v>
      </c>
      <c r="L50" s="94">
        <v>-0.25</v>
      </c>
      <c r="M50" s="94">
        <v>-1.25</v>
      </c>
      <c r="N50" s="94">
        <v>-0.75</v>
      </c>
      <c r="O50" s="94">
        <v>0.25</v>
      </c>
      <c r="P50" s="94">
        <v>-1.25</v>
      </c>
      <c r="Q50" s="95">
        <f t="shared" si="95"/>
        <v>-6.75</v>
      </c>
      <c r="U50" s="84" t="s">
        <v>126</v>
      </c>
      <c r="AN50" s="9"/>
      <c r="AO50" s="9" t="s">
        <v>127</v>
      </c>
      <c r="AP50" s="9" t="s">
        <v>128</v>
      </c>
      <c r="AQ50" s="9" t="s">
        <v>129</v>
      </c>
      <c r="AR50" s="9" t="s">
        <v>130</v>
      </c>
      <c r="AS50" s="9" t="s">
        <v>131</v>
      </c>
      <c r="AU50" t="s">
        <v>132</v>
      </c>
    </row>
    <row r="51" spans="1:47" x14ac:dyDescent="0.25">
      <c r="B51" s="66">
        <v>17</v>
      </c>
      <c r="C51" s="62" t="s">
        <v>194</v>
      </c>
      <c r="D51" s="62">
        <f>+DC</f>
        <v>1.0136432647705078</v>
      </c>
      <c r="E51" s="94">
        <v>0</v>
      </c>
      <c r="F51" s="94">
        <v>-0.66666666666666663</v>
      </c>
      <c r="G51" s="94">
        <v>0</v>
      </c>
      <c r="H51" s="94">
        <v>0.33333333333333331</v>
      </c>
      <c r="I51" s="94">
        <v>-0.33333333333333331</v>
      </c>
      <c r="J51" s="94">
        <v>0</v>
      </c>
      <c r="K51" s="94">
        <v>-0.33333333333333331</v>
      </c>
      <c r="L51" s="94">
        <v>0</v>
      </c>
      <c r="M51" s="94">
        <v>-0.66666666666666663</v>
      </c>
      <c r="N51" s="94">
        <v>-0.33333333333333331</v>
      </c>
      <c r="O51" s="94">
        <v>0.33333333333333331</v>
      </c>
      <c r="P51" s="94">
        <v>-0.33333333333333331</v>
      </c>
      <c r="Q51" s="95">
        <f t="shared" si="95"/>
        <v>-1.9999999999999998</v>
      </c>
      <c r="U51" s="84" t="s">
        <v>133</v>
      </c>
      <c r="AN51" s="13" t="s">
        <v>134</v>
      </c>
      <c r="AO51" s="13" t="s">
        <v>28</v>
      </c>
      <c r="AP51" s="9" t="s">
        <v>135</v>
      </c>
      <c r="AQ51" s="9" t="s">
        <v>29</v>
      </c>
      <c r="AR51" s="9" t="s">
        <v>136</v>
      </c>
      <c r="AS51" s="9" t="s">
        <v>136</v>
      </c>
      <c r="AU51" t="s">
        <v>137</v>
      </c>
    </row>
    <row r="52" spans="1:47" x14ac:dyDescent="0.25">
      <c r="B52" s="66">
        <v>18</v>
      </c>
      <c r="C52" s="62" t="s">
        <v>198</v>
      </c>
      <c r="D52" s="62">
        <f>+DC</f>
        <v>1.0136432647705078</v>
      </c>
      <c r="E52" s="94">
        <v>0</v>
      </c>
      <c r="F52" s="94">
        <v>0.16666666666666666</v>
      </c>
      <c r="G52" s="94">
        <v>-0.33333333333333331</v>
      </c>
      <c r="H52" s="94">
        <v>0.16666666666666666</v>
      </c>
      <c r="I52" s="94">
        <v>-0.66666666666666663</v>
      </c>
      <c r="J52" s="94">
        <v>0.16666666666666666</v>
      </c>
      <c r="K52" s="94">
        <v>0.16666666666666666</v>
      </c>
      <c r="L52" s="94">
        <v>-0.16666666666666666</v>
      </c>
      <c r="M52" s="94">
        <v>0.16666666666666666</v>
      </c>
      <c r="N52" s="94">
        <v>-0.5</v>
      </c>
      <c r="O52" s="94">
        <v>0.16666666666666666</v>
      </c>
      <c r="P52" s="94">
        <v>-0.66666666666666663</v>
      </c>
      <c r="Q52" s="95">
        <f t="shared" si="95"/>
        <v>-1.3333333333333335</v>
      </c>
      <c r="U52" s="84" t="s">
        <v>184</v>
      </c>
      <c r="AN52" s="14">
        <f t="shared" ref="AN52:AN63" si="101">(G4/E4)*+FactSmm3</f>
        <v>12.71897451227146</v>
      </c>
      <c r="AO52" s="14">
        <f t="shared" ref="AO52:AO63" si="102">+(L4/E4)*+FactMaj3</f>
        <v>-10.073359330793796</v>
      </c>
      <c r="AP52" s="14">
        <f t="shared" ref="AP52:AP58" si="103">+AQ20+AO25</f>
        <v>-4.9199300382807394</v>
      </c>
      <c r="AQ52" s="14">
        <f t="shared" ref="AQ52:AQ63" si="104">+(M4/E4)*+FactMaj3</f>
        <v>3.9640843812740547</v>
      </c>
      <c r="AR52" s="14">
        <f t="shared" ref="AR52:AR63" si="105">+(N4/E4)*+FactMin7</f>
        <v>-10.106763886643749</v>
      </c>
      <c r="AS52" s="14">
        <f t="shared" ref="AS52:AS63" si="106">+(R4/E4)*+FactMin7</f>
        <v>11.914588890685017</v>
      </c>
      <c r="AU52" t="s">
        <v>138</v>
      </c>
    </row>
    <row r="53" spans="1:47" x14ac:dyDescent="0.25">
      <c r="B53" s="66">
        <v>19</v>
      </c>
      <c r="C53" s="62" t="s">
        <v>139</v>
      </c>
      <c r="D53" s="62">
        <f>+SC</f>
        <v>1.0125</v>
      </c>
      <c r="E53" s="94">
        <v>0</v>
      </c>
      <c r="F53" s="94">
        <v>-2</v>
      </c>
      <c r="G53" s="94">
        <v>-0.5714285714285714</v>
      </c>
      <c r="H53" s="94">
        <v>0.8571428571428571</v>
      </c>
      <c r="I53" s="94">
        <v>-1.1428571428571428</v>
      </c>
      <c r="J53" s="94">
        <v>0.2857142857142857</v>
      </c>
      <c r="K53" s="94">
        <v>-1.7142857142857142</v>
      </c>
      <c r="L53" s="94">
        <v>-0.2857142857142857</v>
      </c>
      <c r="M53" s="94">
        <v>-2.2857142857142856</v>
      </c>
      <c r="N53" s="94">
        <v>-0.8571428571428571</v>
      </c>
      <c r="O53" s="94">
        <v>0.5714285714285714</v>
      </c>
      <c r="P53" s="94">
        <v>-1.4285714285714286</v>
      </c>
      <c r="Q53" s="95">
        <f t="shared" si="95"/>
        <v>-8.5714285714285712</v>
      </c>
      <c r="AN53" s="14">
        <f t="shared" si="101"/>
        <v>11.111111111111132</v>
      </c>
      <c r="AO53" s="14">
        <f t="shared" si="102"/>
        <v>-11.326039647577508</v>
      </c>
      <c r="AP53" s="14">
        <f t="shared" si="103"/>
        <v>-7.2810254877283977</v>
      </c>
      <c r="AQ53" s="14">
        <f t="shared" si="104"/>
        <v>6.3529888131202474</v>
      </c>
      <c r="AR53" s="14">
        <f t="shared" si="105"/>
        <v>-11.111111111111214</v>
      </c>
      <c r="AS53" s="14">
        <f t="shared" si="106"/>
        <v>11.11111111111105</v>
      </c>
      <c r="AU53" t="s">
        <v>140</v>
      </c>
    </row>
    <row r="54" spans="1:47" x14ac:dyDescent="0.25">
      <c r="B54" s="66">
        <v>20</v>
      </c>
      <c r="C54" s="62" t="s">
        <v>141</v>
      </c>
      <c r="D54" s="62">
        <f>+SC</f>
        <v>1.0125</v>
      </c>
      <c r="E54" s="94">
        <v>0</v>
      </c>
      <c r="F54" s="94">
        <v>-1.5555555555555556</v>
      </c>
      <c r="G54" s="94">
        <v>-0.44444444444444442</v>
      </c>
      <c r="H54" s="94">
        <v>0.66666666666666663</v>
      </c>
      <c r="I54" s="94">
        <v>-0.88888888888888884</v>
      </c>
      <c r="J54" s="94">
        <v>0.22222222222222221</v>
      </c>
      <c r="K54" s="94">
        <v>-1.3333333333333333</v>
      </c>
      <c r="L54" s="94">
        <v>-0.22222222222222221</v>
      </c>
      <c r="M54" s="94">
        <v>-1.7777777777777777</v>
      </c>
      <c r="N54" s="94">
        <v>-0.66666666666666663</v>
      </c>
      <c r="O54" s="94">
        <v>0.44444444444444442</v>
      </c>
      <c r="P54" s="94">
        <v>-1.1111111111111112</v>
      </c>
      <c r="Q54" s="95">
        <f t="shared" si="95"/>
        <v>-6.6666666666666661</v>
      </c>
      <c r="AN54" s="14">
        <f t="shared" si="101"/>
        <v>15.945615951379228</v>
      </c>
      <c r="AO54" s="14">
        <f t="shared" si="102"/>
        <v>-7.5637509227399997</v>
      </c>
      <c r="AP54" s="14">
        <f t="shared" si="103"/>
        <v>-3.3102499273329693</v>
      </c>
      <c r="AQ54" s="14">
        <f t="shared" si="104"/>
        <v>5.5557879411288047</v>
      </c>
      <c r="AR54" s="14">
        <f t="shared" si="105"/>
        <v>-7.0869082678877664</v>
      </c>
      <c r="AS54" s="14">
        <f t="shared" si="106"/>
        <v>14.330473385689682</v>
      </c>
      <c r="AU54" t="s">
        <v>142</v>
      </c>
    </row>
    <row r="55" spans="1:47" x14ac:dyDescent="0.25">
      <c r="B55" s="66">
        <v>21</v>
      </c>
      <c r="C55" s="62" t="s">
        <v>143</v>
      </c>
      <c r="D55" s="62">
        <f>+SC</f>
        <v>1.0125</v>
      </c>
      <c r="E55" s="94">
        <v>0</v>
      </c>
      <c r="F55" s="94">
        <v>-1.25</v>
      </c>
      <c r="G55" s="94">
        <v>-0.5</v>
      </c>
      <c r="H55" s="94">
        <v>0.25</v>
      </c>
      <c r="I55" s="94">
        <v>-1</v>
      </c>
      <c r="J55" s="94">
        <v>0.25</v>
      </c>
      <c r="K55" s="94">
        <v>-1.25</v>
      </c>
      <c r="L55" s="94">
        <v>-0.25</v>
      </c>
      <c r="M55" s="94">
        <v>-1.25</v>
      </c>
      <c r="N55" s="94">
        <v>-0.75</v>
      </c>
      <c r="O55" s="94">
        <v>0.25</v>
      </c>
      <c r="P55" s="94">
        <v>-1.25</v>
      </c>
      <c r="Q55" s="95">
        <f t="shared" si="95"/>
        <v>-6.75</v>
      </c>
      <c r="AN55" s="14">
        <f t="shared" si="101"/>
        <v>12.718974512271419</v>
      </c>
      <c r="AO55" s="14">
        <f t="shared" si="102"/>
        <v>-11.326039647578</v>
      </c>
      <c r="AP55" s="14">
        <f t="shared" si="103"/>
        <v>-6.5035642307790971</v>
      </c>
      <c r="AQ55" s="14">
        <f t="shared" si="104"/>
        <v>7.1510904349049618</v>
      </c>
      <c r="AR55" s="14">
        <f t="shared" si="105"/>
        <v>-9.1012818596606913</v>
      </c>
      <c r="AS55" s="14">
        <f t="shared" si="106"/>
        <v>12.718974512271419</v>
      </c>
    </row>
    <row r="56" spans="1:47" x14ac:dyDescent="0.25">
      <c r="B56" s="66">
        <v>22</v>
      </c>
      <c r="C56" s="62" t="s">
        <v>195</v>
      </c>
      <c r="D56" s="62">
        <f>+DC</f>
        <v>1.0136432647705078</v>
      </c>
      <c r="E56" s="94">
        <v>0</v>
      </c>
      <c r="F56" s="94">
        <v>-1</v>
      </c>
      <c r="G56" s="94">
        <v>0</v>
      </c>
      <c r="H56" s="94">
        <v>0</v>
      </c>
      <c r="I56" s="94">
        <v>-1</v>
      </c>
      <c r="J56" s="94">
        <v>0</v>
      </c>
      <c r="K56" s="94">
        <v>-1</v>
      </c>
      <c r="L56" s="94">
        <v>0</v>
      </c>
      <c r="M56" s="94">
        <v>-1</v>
      </c>
      <c r="N56" s="94">
        <v>-0.5</v>
      </c>
      <c r="O56" s="94">
        <v>0</v>
      </c>
      <c r="P56" s="94">
        <v>-1</v>
      </c>
      <c r="Q56" s="95">
        <f t="shared" si="95"/>
        <v>-5.5</v>
      </c>
      <c r="AN56" s="14">
        <f t="shared" si="101"/>
        <v>15.945615951379406</v>
      </c>
      <c r="AO56" s="14">
        <f t="shared" si="102"/>
        <v>-3.7886948587607918</v>
      </c>
      <c r="AP56" s="14">
        <f t="shared" si="103"/>
        <v>-0.88890297758613634</v>
      </c>
      <c r="AQ56" s="14">
        <f t="shared" si="104"/>
        <v>8.749999999999952</v>
      </c>
      <c r="AR56" s="14">
        <f t="shared" si="105"/>
        <v>-7.0869082678877202</v>
      </c>
      <c r="AS56" s="14">
        <f t="shared" si="106"/>
        <v>14.330473385689796</v>
      </c>
    </row>
    <row r="57" spans="1:47" x14ac:dyDescent="0.25">
      <c r="B57" s="66">
        <v>23</v>
      </c>
      <c r="C57" s="62" t="s">
        <v>144</v>
      </c>
      <c r="D57" s="62">
        <f>+LucyC</f>
        <v>1.015042</v>
      </c>
      <c r="E57" s="94">
        <v>0</v>
      </c>
      <c r="F57" s="94">
        <v>-1.75</v>
      </c>
      <c r="G57" s="94">
        <v>-0.5</v>
      </c>
      <c r="H57" s="94">
        <v>0.75</v>
      </c>
      <c r="I57" s="94">
        <v>-1</v>
      </c>
      <c r="J57" s="94">
        <v>0.25</v>
      </c>
      <c r="K57" s="94">
        <v>-1.5</v>
      </c>
      <c r="L57" s="94">
        <v>-0.25</v>
      </c>
      <c r="M57" s="94">
        <v>-2</v>
      </c>
      <c r="N57" s="94">
        <v>-0.75</v>
      </c>
      <c r="O57" s="94">
        <v>0.5</v>
      </c>
      <c r="P57" s="94">
        <v>-1.25</v>
      </c>
      <c r="Q57" s="95">
        <f t="shared" si="95"/>
        <v>-7.5</v>
      </c>
      <c r="AN57" s="14">
        <f t="shared" si="101"/>
        <v>11.91458889068514</v>
      </c>
      <c r="AO57" s="14">
        <f t="shared" si="102"/>
        <v>-11.326039647577568</v>
      </c>
      <c r="AP57" s="14">
        <f t="shared" si="103"/>
        <v>-8.0557925801310297</v>
      </c>
      <c r="AQ57" s="14">
        <f t="shared" si="104"/>
        <v>3.9640843812740778</v>
      </c>
      <c r="AR57" s="14">
        <f t="shared" si="105"/>
        <v>-11.111111111111015</v>
      </c>
      <c r="AS57" s="14">
        <f t="shared" si="106"/>
        <v>11.111111111111276</v>
      </c>
    </row>
    <row r="58" spans="1:47" x14ac:dyDescent="0.25">
      <c r="B58" s="66">
        <v>24</v>
      </c>
      <c r="C58" s="62" t="s">
        <v>145</v>
      </c>
      <c r="D58" s="62">
        <f>+SC</f>
        <v>1.0125</v>
      </c>
      <c r="E58" s="94">
        <v>0</v>
      </c>
      <c r="F58" s="94">
        <f>-7/PI()</f>
        <v>-2.228169203286535</v>
      </c>
      <c r="G58" s="94">
        <f>-2/PI()</f>
        <v>-0.63661977236758138</v>
      </c>
      <c r="H58" s="94">
        <f>3/PI()</f>
        <v>0.95492965855137202</v>
      </c>
      <c r="I58" s="94">
        <f>-4/PI()</f>
        <v>-1.2732395447351628</v>
      </c>
      <c r="J58" s="94">
        <f>1/PI()</f>
        <v>0.31830988618379069</v>
      </c>
      <c r="K58" s="94">
        <f>-6/PI()</f>
        <v>-1.909859317102744</v>
      </c>
      <c r="L58" s="94">
        <f>-1/PI()</f>
        <v>-0.31830988618379069</v>
      </c>
      <c r="M58" s="94">
        <f>-8/PI()</f>
        <v>-2.5464790894703255</v>
      </c>
      <c r="N58" s="94">
        <f>-3/PI()</f>
        <v>-0.95492965855137202</v>
      </c>
      <c r="O58" s="94">
        <f>2/PI()</f>
        <v>0.63661977236758138</v>
      </c>
      <c r="P58" s="94">
        <f>-5/PI()</f>
        <v>-1.5915494309189535</v>
      </c>
      <c r="Q58" s="95">
        <f t="shared" si="95"/>
        <v>-9.5492965855137193</v>
      </c>
      <c r="AN58" s="14">
        <f t="shared" si="101"/>
        <v>12.718974512271467</v>
      </c>
      <c r="AO58" s="14">
        <f t="shared" si="102"/>
        <v>-8.8192636222602747</v>
      </c>
      <c r="AP58" s="14">
        <f t="shared" si="103"/>
        <v>-5.6695266143100662</v>
      </c>
      <c r="AQ58" s="14">
        <f t="shared" si="104"/>
        <v>7.1510904349050035</v>
      </c>
      <c r="AR58" s="14">
        <f t="shared" si="105"/>
        <v>-11.11111111111105</v>
      </c>
      <c r="AS58" s="14">
        <f t="shared" si="106"/>
        <v>11.11111111111105</v>
      </c>
    </row>
    <row r="59" spans="1:47" x14ac:dyDescent="0.25">
      <c r="A59">
        <v>3.4544999999999999</v>
      </c>
      <c r="B59" s="66">
        <v>25</v>
      </c>
      <c r="C59" s="62" t="s">
        <v>146</v>
      </c>
      <c r="D59" s="62">
        <f>+SC</f>
        <v>1.0125</v>
      </c>
      <c r="E59" s="94">
        <v>0</v>
      </c>
      <c r="F59" s="94">
        <f>-7/A59</f>
        <v>-2.0263424518743669</v>
      </c>
      <c r="G59" s="94">
        <f>-2/A59</f>
        <v>-0.57895498624981911</v>
      </c>
      <c r="H59" s="94">
        <f>3/A59</f>
        <v>0.86843247937472867</v>
      </c>
      <c r="I59" s="94">
        <f>-4/A59</f>
        <v>-1.1579099724996382</v>
      </c>
      <c r="J59" s="94">
        <f>1/A59</f>
        <v>0.28947749312490956</v>
      </c>
      <c r="K59" s="94">
        <f>-6/A59</f>
        <v>-1.7368649587494573</v>
      </c>
      <c r="L59" s="94">
        <f>-1/A59</f>
        <v>-0.28947749312490956</v>
      </c>
      <c r="M59" s="94">
        <f>-8/A59</f>
        <v>-2.3158199449992765</v>
      </c>
      <c r="N59" s="94">
        <f>-3/A59</f>
        <v>-0.86843247937472867</v>
      </c>
      <c r="O59" s="94">
        <f>2/A59</f>
        <v>0.57895498624981911</v>
      </c>
      <c r="P59" s="94">
        <f>-5/A59</f>
        <v>-1.4473874656245478</v>
      </c>
      <c r="Q59" s="95">
        <f t="shared" si="95"/>
        <v>-8.6843247937472867</v>
      </c>
      <c r="R59" s="1" t="s">
        <v>147</v>
      </c>
      <c r="S59" s="1" t="s">
        <v>148</v>
      </c>
      <c r="T59" s="4" t="str">
        <f>VLOOKUP(Temper_Choice,$B$33:$P$150,2)</f>
        <v>Bach 1722 (Lehman, from title page of WTC)</v>
      </c>
      <c r="U59" s="2" t="s">
        <v>149</v>
      </c>
      <c r="V59" s="2" t="s">
        <v>150</v>
      </c>
      <c r="W59" s="2" t="s">
        <v>151</v>
      </c>
      <c r="X59" s="2" t="s">
        <v>152</v>
      </c>
      <c r="Z59" s="29" t="s">
        <v>153</v>
      </c>
      <c r="AA59" t="s">
        <v>154</v>
      </c>
      <c r="AC59" t="s">
        <v>155</v>
      </c>
      <c r="AD59" t="s">
        <v>156</v>
      </c>
      <c r="AH59" t="s">
        <v>157</v>
      </c>
      <c r="AI59" t="s">
        <v>158</v>
      </c>
      <c r="AJ59" t="s">
        <v>89</v>
      </c>
      <c r="AN59" s="14">
        <f t="shared" si="101"/>
        <v>13.524269001632666</v>
      </c>
      <c r="AO59" s="14">
        <f t="shared" si="102"/>
        <v>-8.8192636222603831</v>
      </c>
      <c r="AP59" s="14">
        <f>+AQ27+AO20</f>
        <v>-4.1155444166941866</v>
      </c>
      <c r="AQ59" s="14">
        <f t="shared" si="104"/>
        <v>3.9640843812739446</v>
      </c>
      <c r="AR59" s="14">
        <f t="shared" si="105"/>
        <v>-7.0869082678879831</v>
      </c>
      <c r="AS59" s="14">
        <f t="shared" si="106"/>
        <v>14.330473385689638</v>
      </c>
    </row>
    <row r="60" spans="1:47" x14ac:dyDescent="0.25">
      <c r="A60">
        <v>3.4</v>
      </c>
      <c r="B60" s="66">
        <v>26</v>
      </c>
      <c r="C60" s="62" t="s">
        <v>159</v>
      </c>
      <c r="D60" s="62">
        <f>+SC</f>
        <v>1.0125</v>
      </c>
      <c r="E60" s="94">
        <v>0</v>
      </c>
      <c r="F60" s="94">
        <f>-7/A60</f>
        <v>-2.0588235294117649</v>
      </c>
      <c r="G60" s="94">
        <f>-2/A60</f>
        <v>-0.58823529411764708</v>
      </c>
      <c r="H60" s="94">
        <f>3/A60</f>
        <v>0.88235294117647056</v>
      </c>
      <c r="I60" s="94">
        <f>-4/A60</f>
        <v>-1.1764705882352942</v>
      </c>
      <c r="J60" s="94">
        <f>1/A60</f>
        <v>0.29411764705882354</v>
      </c>
      <c r="K60" s="94">
        <f>-6/A60</f>
        <v>-1.7647058823529411</v>
      </c>
      <c r="L60" s="94">
        <f>-1/A60</f>
        <v>-0.29411764705882354</v>
      </c>
      <c r="M60" s="94">
        <f>-8/A60</f>
        <v>-2.3529411764705883</v>
      </c>
      <c r="N60" s="94">
        <f>-3/A60</f>
        <v>-0.88235294117647056</v>
      </c>
      <c r="O60" s="94">
        <f>2/A60</f>
        <v>0.58823529411764708</v>
      </c>
      <c r="P60" s="94">
        <f>-5/A60</f>
        <v>-1.4705882352941178</v>
      </c>
      <c r="Q60" s="95">
        <f t="shared" si="95"/>
        <v>-8.8235294117647065</v>
      </c>
      <c r="R60" s="27">
        <f>81/80</f>
        <v>1.0125</v>
      </c>
      <c r="S60" s="1" t="s">
        <v>107</v>
      </c>
      <c r="T60" s="10">
        <f>VLOOKUP(Temper_Choice,$B$33:$P$150,13)</f>
        <v>-0.5</v>
      </c>
      <c r="U60">
        <f>+RefA</f>
        <v>440</v>
      </c>
      <c r="V60">
        <f>+CalcC*(27/32)*(+CommaUsed^+T60)</f>
        <v>438.5109608958353</v>
      </c>
      <c r="W60" s="10">
        <f>(1200*LOG(+V60/$V$63)/LOG(2))+1200</f>
        <v>894.13499740383793</v>
      </c>
      <c r="X60" s="10">
        <f>+W60-$W$60</f>
        <v>0</v>
      </c>
      <c r="Y60" s="29" t="str">
        <f>+S63</f>
        <v>C</v>
      </c>
      <c r="Z60" s="29">
        <f>+T63</f>
        <v>0</v>
      </c>
      <c r="AA60">
        <f t="shared" ref="AA60:AA71" si="107">IF(AC60=0,Z61-Z60,Z61-($T$75+Z60))</f>
        <v>-0.16666666666666666</v>
      </c>
      <c r="AB60">
        <f t="shared" ref="AB60:AB71" si="108">IF(AA60&lt;0.25,AA60,999)</f>
        <v>-0.16666666666666666</v>
      </c>
      <c r="AC60" s="34">
        <f>IF(AND(Y60="C",Y61="G"),0,1)</f>
        <v>0</v>
      </c>
      <c r="AD60" s="34">
        <f t="shared" ref="AD60:AD71" si="109">SUM(AC60:AC63)</f>
        <v>0</v>
      </c>
      <c r="AE60" s="30" t="str">
        <f t="shared" ref="AE60:AE71" si="110">IF(AC60=0,TRIM(CONCATENATE("(",IF(AB60=TRUNC(AB60),TEXT(AB60,"0"),TEXT(AB60,"?????/?????")),")")),"(...)")</f>
        <v>(- 1/6 )</v>
      </c>
      <c r="AF60" s="32">
        <f t="shared" ref="AF60:AF71" si="111">IF(AD60=0,Z64-Z60,Z64-($T$75+Z60))</f>
        <v>-0.66666666666666663</v>
      </c>
      <c r="AG60" s="32">
        <f t="shared" ref="AG60:AG71" si="112">IF(AF60&lt;0.5,AF60,999)</f>
        <v>-0.66666666666666663</v>
      </c>
      <c r="AH60" s="33">
        <f t="shared" ref="AH60:AH71" si="113">IF(ABS($T$74+AG60)&lt;800,$T$74+AG60,"wolf")</f>
        <v>0.33446248372395837</v>
      </c>
      <c r="AI60" s="33">
        <f t="shared" ref="AI60:AI71" si="114">IF($T$74*AB60&gt;800,"wolf",IF(ABS($T$74*AB60)&lt;0.6,$T$74*AB60,"wolf"))</f>
        <v>-0.1668548583984375</v>
      </c>
      <c r="AJ60" t="str">
        <f t="shared" ref="AJ60:AJ71" si="115">IF(AD60=0,TRIM(CONCATENATE("(",IF($T$74=1,IF(AH60=TRUNC(AH60),TEXT(AH60,"0"),TEXT(AH60,"?????/?????")),IF(AH60=TRUNC(AH60),TEXT(AH60,"0"),TEXT(ROUND(AH60,2),"?????/?????"))),")")),"(...)")</f>
        <v>( 33/100 )</v>
      </c>
      <c r="AN60" s="14">
        <f t="shared" si="101"/>
        <v>11.914588890684824</v>
      </c>
      <c r="AO60" s="14">
        <f t="shared" si="102"/>
        <v>-12.577306170045574</v>
      </c>
      <c r="AP60" s="14">
        <f>+AQ28+AO21</f>
        <v>-7.3070420103528644</v>
      </c>
      <c r="AQ60" s="14">
        <f t="shared" si="104"/>
        <v>7.9500938242320274</v>
      </c>
      <c r="AR60" s="14">
        <f t="shared" si="105"/>
        <v>-10.10676388664371</v>
      </c>
      <c r="AS60" s="14">
        <f t="shared" si="106"/>
        <v>11.914588890684934</v>
      </c>
    </row>
    <row r="61" spans="1:47" x14ac:dyDescent="0.25">
      <c r="B61" s="66">
        <v>27</v>
      </c>
      <c r="C61" s="62" t="s">
        <v>196</v>
      </c>
      <c r="D61" s="62">
        <f>+DC</f>
        <v>1.0136432647705078</v>
      </c>
      <c r="E61" s="94">
        <v>0</v>
      </c>
      <c r="F61" s="94">
        <v>-1.75</v>
      </c>
      <c r="G61" s="94">
        <v>-0.5</v>
      </c>
      <c r="H61" s="94">
        <v>0.75</v>
      </c>
      <c r="I61" s="94">
        <v>-1</v>
      </c>
      <c r="J61" s="94">
        <v>0.25</v>
      </c>
      <c r="K61" s="94">
        <v>-1.5</v>
      </c>
      <c r="L61" s="94">
        <v>-0.25</v>
      </c>
      <c r="M61" s="94">
        <v>-2</v>
      </c>
      <c r="N61" s="94">
        <v>-0.75</v>
      </c>
      <c r="O61" s="94">
        <v>0.5</v>
      </c>
      <c r="P61" s="94">
        <v>-1.25</v>
      </c>
      <c r="Q61" s="95">
        <f t="shared" si="95"/>
        <v>-7.5</v>
      </c>
      <c r="R61" s="27">
        <f>+((3/2)^12)/(2^7)</f>
        <v>1.0136432647705078</v>
      </c>
      <c r="S61" s="1" t="str">
        <f>IF(+T61&lt;0,"A#","Bb")</f>
        <v>A#</v>
      </c>
      <c r="T61" s="10">
        <f>VLOOKUP(Temper_Choice,$B$33:$P$150,14)</f>
        <v>-0.91666666666666663</v>
      </c>
      <c r="U61">
        <f t="shared" ref="U61:U71" si="116">+V61/+AdjFromA</f>
        <v>467.21778477743823</v>
      </c>
      <c r="V61">
        <f>IF(+S61="Bb",+CalcC*(8/9)*+CommaUsed^+T61,+CalcC*(59049/65536)*CommaUsed^+T61)</f>
        <v>465.63663579631367</v>
      </c>
      <c r="W61" s="10">
        <f>(1200*LOG(+V61/$V$63)/LOG(2))+1200</f>
        <v>998.04499913461257</v>
      </c>
      <c r="X61" s="10">
        <f>+W61-$W$60</f>
        <v>103.91000173077464</v>
      </c>
      <c r="Y61" s="29" t="str">
        <f>+S70</f>
        <v>G</v>
      </c>
      <c r="Z61" s="29">
        <f>+T70</f>
        <v>-0.16666666666666666</v>
      </c>
      <c r="AA61">
        <f t="shared" si="107"/>
        <v>-0.16666666666666666</v>
      </c>
      <c r="AB61">
        <f t="shared" si="108"/>
        <v>-0.16666666666666666</v>
      </c>
      <c r="AC61" s="34">
        <f>IF(AND(Y61="G",Y62="D"),0,1)</f>
        <v>0</v>
      </c>
      <c r="AD61" s="34">
        <f t="shared" si="109"/>
        <v>0</v>
      </c>
      <c r="AE61" s="30" t="str">
        <f t="shared" si="110"/>
        <v>(- 1/6 )</v>
      </c>
      <c r="AF61" s="32">
        <f t="shared" si="111"/>
        <v>-0.5</v>
      </c>
      <c r="AG61" s="32">
        <f t="shared" si="112"/>
        <v>-0.5</v>
      </c>
      <c r="AH61" s="33">
        <f t="shared" si="113"/>
        <v>0.501129150390625</v>
      </c>
      <c r="AI61" s="33">
        <f t="shared" si="114"/>
        <v>-0.1668548583984375</v>
      </c>
      <c r="AJ61" t="str">
        <f t="shared" si="115"/>
        <v>( 1/2 )</v>
      </c>
      <c r="AN61" s="14">
        <f t="shared" si="101"/>
        <v>15.945615951379343</v>
      </c>
      <c r="AO61" s="14">
        <f t="shared" si="102"/>
        <v>-3.788694858761116</v>
      </c>
      <c r="AP61" s="14">
        <f>+AQ29+AO22</f>
        <v>-0.88890297758651959</v>
      </c>
      <c r="AQ61" s="14">
        <f t="shared" si="104"/>
        <v>7.1510904349048223</v>
      </c>
      <c r="AR61" s="14">
        <f t="shared" si="105"/>
        <v>-7.0869082678879076</v>
      </c>
      <c r="AS61" s="14">
        <f t="shared" si="106"/>
        <v>14.330473385689768</v>
      </c>
    </row>
    <row r="62" spans="1:47" x14ac:dyDescent="0.25">
      <c r="B62" s="66">
        <v>28</v>
      </c>
      <c r="C62" s="62" t="s">
        <v>160</v>
      </c>
      <c r="D62" s="62">
        <f>+SC</f>
        <v>1.0125</v>
      </c>
      <c r="E62" s="94">
        <v>0</v>
      </c>
      <c r="F62" s="94">
        <v>-1.25</v>
      </c>
      <c r="G62" s="94">
        <v>-0.5</v>
      </c>
      <c r="H62" s="94">
        <v>-1</v>
      </c>
      <c r="I62" s="94">
        <v>-1</v>
      </c>
      <c r="J62" s="94">
        <v>0.25</v>
      </c>
      <c r="K62" s="94">
        <v>-1.25</v>
      </c>
      <c r="L62" s="94">
        <v>-0.25</v>
      </c>
      <c r="M62" s="94">
        <v>-1.25</v>
      </c>
      <c r="N62" s="94">
        <v>-0.75</v>
      </c>
      <c r="O62" s="94">
        <v>-0.66666666666666663</v>
      </c>
      <c r="P62" s="94">
        <v>-1.25</v>
      </c>
      <c r="Q62" s="95">
        <f t="shared" si="95"/>
        <v>-8.9166666666666679</v>
      </c>
      <c r="R62" s="27">
        <f>+DC/SC</f>
        <v>1.001129150390625</v>
      </c>
      <c r="S62" s="1" t="s">
        <v>109</v>
      </c>
      <c r="T62" s="10">
        <f>VLOOKUP(Temper_Choice,$B$33:$P$150,15)</f>
        <v>-0.66666666666666663</v>
      </c>
      <c r="U62">
        <f t="shared" si="116"/>
        <v>493.88330125612401</v>
      </c>
      <c r="V62">
        <f>+CalcC*(243/256)*(+CommaUsed^+T62)</f>
        <v>492.21191137325053</v>
      </c>
      <c r="W62" s="10">
        <f>(1200*LOG(+V62/$V$63)/LOG(2))+1200</f>
        <v>1094.1349974038376</v>
      </c>
      <c r="X62" s="10">
        <f>+W62-$W$60</f>
        <v>199.99999999999966</v>
      </c>
      <c r="Y62" s="29" t="str">
        <f>+S65</f>
        <v>D</v>
      </c>
      <c r="Z62" s="29">
        <f>+T65</f>
        <v>-0.33333333333333331</v>
      </c>
      <c r="AA62">
        <f t="shared" si="107"/>
        <v>-0.16666666666666669</v>
      </c>
      <c r="AB62">
        <f t="shared" si="108"/>
        <v>-0.16666666666666669</v>
      </c>
      <c r="AC62" s="34">
        <f>IF(AND(Y62="D",Y63="A"),0,1)</f>
        <v>0</v>
      </c>
      <c r="AD62" s="34">
        <f t="shared" si="109"/>
        <v>0</v>
      </c>
      <c r="AE62" s="30" t="str">
        <f t="shared" si="110"/>
        <v>(- 1/6 )</v>
      </c>
      <c r="AF62" s="32">
        <f t="shared" si="111"/>
        <v>-0.33333333333333331</v>
      </c>
      <c r="AG62" s="32">
        <f t="shared" si="112"/>
        <v>-0.33333333333333331</v>
      </c>
      <c r="AH62" s="33">
        <f t="shared" si="113"/>
        <v>0.66779581705729174</v>
      </c>
      <c r="AI62" s="33">
        <f t="shared" si="114"/>
        <v>-0.16685485839843753</v>
      </c>
      <c r="AJ62" t="str">
        <f t="shared" si="115"/>
        <v>( 67/100 )</v>
      </c>
      <c r="AN62" s="14">
        <f t="shared" si="101"/>
        <v>13.524269001632597</v>
      </c>
      <c r="AO62" s="14">
        <f t="shared" si="102"/>
        <v>-10.073359330793721</v>
      </c>
      <c r="AP62" s="14">
        <f>+AQ30+AO23</f>
        <v>-5.6991786091925114</v>
      </c>
      <c r="AQ62" s="14">
        <f t="shared" si="104"/>
        <v>6.3529888131202368</v>
      </c>
      <c r="AR62" s="14">
        <f t="shared" si="105"/>
        <v>-9.1012818596608618</v>
      </c>
      <c r="AS62" s="14">
        <f t="shared" si="106"/>
        <v>12.718974512271455</v>
      </c>
    </row>
    <row r="63" spans="1:47" x14ac:dyDescent="0.25">
      <c r="B63" s="66">
        <v>29</v>
      </c>
      <c r="C63" s="62" t="s">
        <v>197</v>
      </c>
      <c r="D63" s="120">
        <f>+DC</f>
        <v>1.0136432647705078</v>
      </c>
      <c r="E63" s="94">
        <v>0</v>
      </c>
      <c r="F63" s="94">
        <v>-0.66666666666666663</v>
      </c>
      <c r="G63" s="94">
        <v>-0.33333333333333331</v>
      </c>
      <c r="H63" s="94">
        <v>-0.83333333333333337</v>
      </c>
      <c r="I63" s="94">
        <v>-0.66666666666666663</v>
      </c>
      <c r="J63" s="94">
        <v>0.16666666666666666</v>
      </c>
      <c r="K63" s="94">
        <v>-0.66666666666666663</v>
      </c>
      <c r="L63" s="94">
        <v>-0.16666666666666666</v>
      </c>
      <c r="M63" s="94">
        <v>-0.75</v>
      </c>
      <c r="N63" s="94">
        <v>-0.5</v>
      </c>
      <c r="O63" s="94">
        <v>-0.91666666666666663</v>
      </c>
      <c r="P63" s="94">
        <v>-0.66666666666666663</v>
      </c>
      <c r="Q63" s="95">
        <f t="shared" si="95"/>
        <v>-6</v>
      </c>
      <c r="R63" s="27">
        <v>1.015042</v>
      </c>
      <c r="S63" s="1" t="s">
        <v>98</v>
      </c>
      <c r="T63" s="10">
        <f>VLOOKUP(Temper_Choice,$B$33:$P$150,4)</f>
        <v>0</v>
      </c>
      <c r="U63">
        <f t="shared" si="116"/>
        <v>525.02678503101151</v>
      </c>
      <c r="V63">
        <f>+RefC</f>
        <v>523.25</v>
      </c>
      <c r="W63" s="10">
        <f t="shared" ref="W63:W71" si="117">1200*LOG(+V63/$V$63)/LOG(2)</f>
        <v>0</v>
      </c>
      <c r="X63" s="10">
        <f t="shared" ref="X63:X71" si="118">1200+W63-$W$60</f>
        <v>305.86500259616207</v>
      </c>
      <c r="Y63" s="29" t="str">
        <f>+S60</f>
        <v>A</v>
      </c>
      <c r="Z63" s="29">
        <f>+T60</f>
        <v>-0.5</v>
      </c>
      <c r="AA63">
        <f t="shared" si="107"/>
        <v>-0.16666666666666663</v>
      </c>
      <c r="AB63">
        <f t="shared" si="108"/>
        <v>-0.16666666666666663</v>
      </c>
      <c r="AC63" s="34">
        <f>IF(AND(Y63="A",Y64="E"),0,1)</f>
        <v>0</v>
      </c>
      <c r="AD63" s="34">
        <f t="shared" si="109"/>
        <v>0</v>
      </c>
      <c r="AE63" s="30" t="str">
        <f t="shared" si="110"/>
        <v>(- 1/6 )</v>
      </c>
      <c r="AF63" s="32">
        <f t="shared" si="111"/>
        <v>-0.16666666666666663</v>
      </c>
      <c r="AG63" s="32">
        <f t="shared" si="112"/>
        <v>-0.16666666666666663</v>
      </c>
      <c r="AH63" s="33">
        <f t="shared" si="113"/>
        <v>0.83446248372395837</v>
      </c>
      <c r="AI63" s="33">
        <f t="shared" si="114"/>
        <v>-0.16685485839843747</v>
      </c>
      <c r="AJ63" t="str">
        <f t="shared" si="115"/>
        <v>( 83/100 )</v>
      </c>
      <c r="AN63" s="14">
        <f t="shared" si="101"/>
        <v>14.330473385689842</v>
      </c>
      <c r="AO63" s="14">
        <f t="shared" si="102"/>
        <v>-6.306819631187464</v>
      </c>
      <c r="AP63" s="14">
        <f>+AQ31+AO24</f>
        <v>-4.0543840486205962</v>
      </c>
      <c r="AQ63" s="14">
        <f t="shared" si="104"/>
        <v>7.9500938242321446</v>
      </c>
      <c r="AR63" s="14">
        <f t="shared" si="105"/>
        <v>-9.1012818596603129</v>
      </c>
      <c r="AS63" s="14">
        <f t="shared" si="106"/>
        <v>12.718974512271622</v>
      </c>
    </row>
    <row r="64" spans="1:47" x14ac:dyDescent="0.25">
      <c r="B64" s="66">
        <v>30</v>
      </c>
      <c r="C64" s="62" t="s">
        <v>200</v>
      </c>
      <c r="D64" s="62">
        <f>+DC</f>
        <v>1.0136432647705078</v>
      </c>
      <c r="E64" s="94">
        <v>0</v>
      </c>
      <c r="F64" s="94">
        <v>0.16666666666666666</v>
      </c>
      <c r="G64" s="94">
        <v>-0.33333333333333331</v>
      </c>
      <c r="H64" s="94">
        <v>0.16666666666666666</v>
      </c>
      <c r="I64" s="94">
        <v>-0.66666666666666663</v>
      </c>
      <c r="J64" s="94">
        <v>0.16666666666666666</v>
      </c>
      <c r="K64" s="94">
        <v>0.16666666666666666</v>
      </c>
      <c r="L64" s="94">
        <v>-0.16666666666666666</v>
      </c>
      <c r="M64" s="94">
        <v>0.16666666666666666</v>
      </c>
      <c r="N64" s="94">
        <v>-0.5</v>
      </c>
      <c r="O64" s="94">
        <v>0.16666666666666666</v>
      </c>
      <c r="P64" s="94">
        <v>-0.83333333333333337</v>
      </c>
      <c r="Q64" s="95">
        <f t="shared" si="95"/>
        <v>-1.5</v>
      </c>
      <c r="R64" s="27">
        <f>7/6</f>
        <v>1.1666666666666667</v>
      </c>
      <c r="S64" s="1" t="str">
        <f>IF(+T64&lt;0,"C#","Db")</f>
        <v>C#</v>
      </c>
      <c r="T64" s="10">
        <f>VLOOKUP(Temper_Choice,$B$33:$P$150,5)</f>
        <v>-0.66666666666666663</v>
      </c>
      <c r="U64">
        <f t="shared" si="116"/>
        <v>555.61871391313957</v>
      </c>
      <c r="V64">
        <f>IF(+S64="C#",+CalcC*(2187/2048)*+CommaUsed^+T64,+CalcC*(256/243)*CommaUsed^+T64)</f>
        <v>553.73840029490691</v>
      </c>
      <c r="W64" s="10">
        <f t="shared" si="117"/>
        <v>98.044999134612695</v>
      </c>
      <c r="X64" s="10">
        <f t="shared" si="118"/>
        <v>403.91000173077475</v>
      </c>
      <c r="Y64" s="29" t="str">
        <f>+S67</f>
        <v>E</v>
      </c>
      <c r="Z64" s="29">
        <f>+T67</f>
        <v>-0.66666666666666663</v>
      </c>
      <c r="AA64">
        <f t="shared" si="107"/>
        <v>0</v>
      </c>
      <c r="AB64">
        <f t="shared" si="108"/>
        <v>0</v>
      </c>
      <c r="AC64" s="34">
        <f>IF(AND(Y64="E",Y65="B"),0,1)</f>
        <v>0</v>
      </c>
      <c r="AD64" s="34">
        <f t="shared" si="109"/>
        <v>0</v>
      </c>
      <c r="AE64" s="30" t="str">
        <f t="shared" si="110"/>
        <v>(0)</v>
      </c>
      <c r="AF64" s="32">
        <f t="shared" si="111"/>
        <v>-8.333333333333337E-2</v>
      </c>
      <c r="AG64" s="32">
        <f t="shared" si="112"/>
        <v>-8.333333333333337E-2</v>
      </c>
      <c r="AH64" s="33">
        <f t="shared" si="113"/>
        <v>0.91779581705729163</v>
      </c>
      <c r="AI64" s="33">
        <f t="shared" si="114"/>
        <v>0</v>
      </c>
      <c r="AJ64" t="str">
        <f t="shared" si="115"/>
        <v>( 23/25 )</v>
      </c>
      <c r="AN64" s="14">
        <f t="shared" ref="AN64:AN75" si="119">(H4/E4)*+FactMin3</f>
        <v>-7.281025487728539</v>
      </c>
      <c r="AO64" s="14">
        <f t="shared" ref="AO64:AO75" si="120">+IF(ABS(+AP64)&lt;ABS(+AP52),+AP64,+AP52)</f>
        <v>-4.9199300382807394</v>
      </c>
      <c r="AP64" s="14">
        <f t="shared" ref="AP64:AP75" si="121">+(P4/E4)*+FactMaj3</f>
        <v>37.867953204571265</v>
      </c>
      <c r="AQ64" s="14">
        <f>+AO29</f>
        <v>-4.0543840486207072</v>
      </c>
      <c r="AR64" s="14">
        <f t="shared" ref="AR64:AR75" si="122">+IF(ABS(+AS52)&lt;ABS(+AS64),+AS52,+AS64)</f>
        <v>1.8078250040413548</v>
      </c>
      <c r="AS64" s="14">
        <f t="shared" ref="AS64:AS75" si="123">+(S4/E4)*+FactMin7</f>
        <v>1.8078250040413548</v>
      </c>
    </row>
    <row r="65" spans="2:45" x14ac:dyDescent="0.25">
      <c r="B65" s="66">
        <v>31</v>
      </c>
      <c r="C65" s="62" t="s">
        <v>199</v>
      </c>
      <c r="D65" s="62">
        <f>+DC</f>
        <v>1.0136432647705078</v>
      </c>
      <c r="E65" s="94">
        <v>0</v>
      </c>
      <c r="F65" s="94">
        <v>-1.1666666666666667</v>
      </c>
      <c r="G65" s="94">
        <v>-0.33333333333333331</v>
      </c>
      <c r="H65" s="94">
        <v>0.5</v>
      </c>
      <c r="I65" s="94">
        <v>-0.66666666666666663</v>
      </c>
      <c r="J65" s="94">
        <v>0.16666666666666666</v>
      </c>
      <c r="K65" s="94">
        <v>-1</v>
      </c>
      <c r="L65" s="94">
        <v>-0.16666666666666666</v>
      </c>
      <c r="M65" s="94">
        <v>-1.3333333333333333</v>
      </c>
      <c r="N65" s="94">
        <v>-0.5</v>
      </c>
      <c r="O65" s="94">
        <v>0.33333333333333331</v>
      </c>
      <c r="P65" s="94">
        <v>-0.83333333333333337</v>
      </c>
      <c r="Q65" s="95">
        <f t="shared" si="95"/>
        <v>-5</v>
      </c>
      <c r="R65" s="27">
        <f>6/5</f>
        <v>1.2</v>
      </c>
      <c r="S65" s="1" t="s">
        <v>100</v>
      </c>
      <c r="T65" s="10">
        <f>VLOOKUP(Temper_Choice,$B$33:$P$150,6)</f>
        <v>-0.33333333333333331</v>
      </c>
      <c r="U65">
        <f t="shared" si="116"/>
        <v>587.99315397262387</v>
      </c>
      <c r="V65">
        <f>+CalcC*(9/8)*(+CommaUsed^+T65)</f>
        <v>586.00327942888214</v>
      </c>
      <c r="W65" s="10">
        <f t="shared" si="117"/>
        <v>196.08999826922513</v>
      </c>
      <c r="X65" s="10">
        <f t="shared" si="118"/>
        <v>501.95500086538721</v>
      </c>
      <c r="Y65" s="29" t="str">
        <f>+S62</f>
        <v>B</v>
      </c>
      <c r="Z65" s="29">
        <f>+T62</f>
        <v>-0.66666666666666663</v>
      </c>
      <c r="AA65">
        <f t="shared" si="107"/>
        <v>0</v>
      </c>
      <c r="AB65">
        <f t="shared" si="108"/>
        <v>0</v>
      </c>
      <c r="AC65" s="34">
        <f>IF(OR(AND(Y65="B",Y66="F#"),AND(Y65="Cb",Y66="Gb")),0,1)</f>
        <v>0</v>
      </c>
      <c r="AD65" s="34">
        <f t="shared" si="109"/>
        <v>0</v>
      </c>
      <c r="AE65" s="30" t="str">
        <f t="shared" si="110"/>
        <v>(0)</v>
      </c>
      <c r="AF65" s="32">
        <f t="shared" si="111"/>
        <v>-0.16666666666666674</v>
      </c>
      <c r="AG65" s="32">
        <f t="shared" si="112"/>
        <v>-0.16666666666666674</v>
      </c>
      <c r="AH65" s="33">
        <f t="shared" si="113"/>
        <v>0.83446248372395826</v>
      </c>
      <c r="AI65" s="33">
        <f t="shared" si="114"/>
        <v>0</v>
      </c>
      <c r="AJ65" t="str">
        <f t="shared" si="115"/>
        <v>( 83/100 )</v>
      </c>
      <c r="AN65" s="14">
        <f t="shared" si="119"/>
        <v>-8.8888888888888395</v>
      </c>
      <c r="AO65" s="14">
        <f t="shared" si="120"/>
        <v>-7.2810254877283977</v>
      </c>
      <c r="AP65" s="14">
        <f t="shared" si="121"/>
        <v>35.61312863436045</v>
      </c>
      <c r="AQ65" s="14">
        <f>+AO30</f>
        <v>-6.4757309983673919</v>
      </c>
      <c r="AR65" s="14">
        <f t="shared" si="122"/>
        <v>0</v>
      </c>
      <c r="AS65" s="14">
        <f t="shared" si="123"/>
        <v>0</v>
      </c>
    </row>
    <row r="66" spans="2:45" x14ac:dyDescent="0.25">
      <c r="B66" s="66">
        <v>32</v>
      </c>
      <c r="C66" s="62"/>
      <c r="D66" s="62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5">
        <f t="shared" si="95"/>
        <v>0</v>
      </c>
      <c r="R66" s="27">
        <f>5/4</f>
        <v>1.25</v>
      </c>
      <c r="S66" s="1" t="str">
        <f>IF(+T66&lt;0,"D#","Eb")</f>
        <v>D#</v>
      </c>
      <c r="T66" s="10">
        <f>VLOOKUP(Temper_Choice,$B$33:$P$150,7)</f>
        <v>-0.83333333333333337</v>
      </c>
      <c r="U66">
        <f t="shared" si="116"/>
        <v>623.66091969796219</v>
      </c>
      <c r="V66">
        <f>IF(+S66="Eb",+CalcC*(32/27)*+CommaUsed^+T66,+CalcC*(19683/16384)*CommaUsed^+T66)</f>
        <v>621.55033902257674</v>
      </c>
      <c r="W66" s="10">
        <f t="shared" si="117"/>
        <v>298.04499913461279</v>
      </c>
      <c r="X66" s="10">
        <f t="shared" si="118"/>
        <v>603.91000173077475</v>
      </c>
      <c r="Y66" s="29" t="str">
        <f>+S69</f>
        <v>F#</v>
      </c>
      <c r="Z66" s="29">
        <f>+T69</f>
        <v>-0.66666666666666663</v>
      </c>
      <c r="AA66">
        <f t="shared" si="107"/>
        <v>0</v>
      </c>
      <c r="AB66">
        <f t="shared" si="108"/>
        <v>0</v>
      </c>
      <c r="AC66" s="34">
        <f>IF(OR(AND(Y66="F#",Y67="C#"),AND(Y66="Gb",Y67="Db")),0,1)</f>
        <v>0</v>
      </c>
      <c r="AD66" s="34">
        <f t="shared" si="109"/>
        <v>0</v>
      </c>
      <c r="AE66" s="30" t="str">
        <f t="shared" si="110"/>
        <v>(0)</v>
      </c>
      <c r="AF66" s="32">
        <f t="shared" si="111"/>
        <v>-0.25</v>
      </c>
      <c r="AG66" s="32">
        <f t="shared" si="112"/>
        <v>-0.25</v>
      </c>
      <c r="AH66" s="33">
        <f t="shared" si="113"/>
        <v>0.751129150390625</v>
      </c>
      <c r="AI66" s="33">
        <f t="shared" si="114"/>
        <v>0</v>
      </c>
      <c r="AJ66" t="str">
        <f t="shared" si="115"/>
        <v>( 3/4 )</v>
      </c>
      <c r="AN66" s="14">
        <f t="shared" si="119"/>
        <v>-4.0543840486207312</v>
      </c>
      <c r="AO66" s="14">
        <f t="shared" si="120"/>
        <v>-3.3102499273329693</v>
      </c>
      <c r="AP66" s="14">
        <f t="shared" si="121"/>
        <v>42.385248339067964</v>
      </c>
      <c r="AQ66" s="14">
        <f>+AO31</f>
        <v>-5.6695266143100662</v>
      </c>
      <c r="AR66" s="14">
        <f t="shared" si="122"/>
        <v>7.243565117801916</v>
      </c>
      <c r="AS66" s="14">
        <f t="shared" si="123"/>
        <v>7.243565117801916</v>
      </c>
    </row>
    <row r="67" spans="2:45" x14ac:dyDescent="0.25">
      <c r="B67" s="66">
        <v>33</v>
      </c>
      <c r="C67" s="62"/>
      <c r="D67" s="62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5"/>
      <c r="R67" s="27">
        <f>4/3</f>
        <v>1.3333333333333333</v>
      </c>
      <c r="S67" s="1" t="s">
        <v>102</v>
      </c>
      <c r="T67" s="10">
        <f>VLOOKUP(Temper_Choice,$B$33:$P$150,8)</f>
        <v>-0.66666666666666663</v>
      </c>
      <c r="U67">
        <f t="shared" si="116"/>
        <v>658.5110683414988</v>
      </c>
      <c r="V67">
        <f>+CalcC*(81/64)*(+CommaUsed^+T67)</f>
        <v>656.28254849766745</v>
      </c>
      <c r="W67" s="10">
        <f t="shared" si="117"/>
        <v>392.17999653845027</v>
      </c>
      <c r="X67" s="10">
        <f t="shared" si="118"/>
        <v>698.04499913461234</v>
      </c>
      <c r="Y67" s="29" t="str">
        <f>+S64</f>
        <v>C#</v>
      </c>
      <c r="Z67" s="29">
        <f>+T64</f>
        <v>-0.66666666666666663</v>
      </c>
      <c r="AA67">
        <f t="shared" si="107"/>
        <v>-8.333333333333337E-2</v>
      </c>
      <c r="AB67">
        <f t="shared" si="108"/>
        <v>-8.333333333333337E-2</v>
      </c>
      <c r="AC67" s="34">
        <f>IF(OR(AND(Y67="C#",Y68="G#"),AND(Y67="Db",Y68="Ab")),0,1)</f>
        <v>0</v>
      </c>
      <c r="AD67" s="34">
        <f t="shared" si="109"/>
        <v>1</v>
      </c>
      <c r="AE67" s="30" t="str">
        <f t="shared" si="110"/>
        <v>(- 1/12 )</v>
      </c>
      <c r="AF67" s="32">
        <f t="shared" si="111"/>
        <v>-0.16666666666666671</v>
      </c>
      <c r="AG67" s="32">
        <f t="shared" si="112"/>
        <v>-0.16666666666666671</v>
      </c>
      <c r="AH67" s="33">
        <f t="shared" si="113"/>
        <v>0.83446248372395826</v>
      </c>
      <c r="AI67" s="33">
        <f t="shared" si="114"/>
        <v>-8.3427429199218792E-2</v>
      </c>
      <c r="AJ67" t="str">
        <f t="shared" si="115"/>
        <v>(...)</v>
      </c>
      <c r="AN67" s="14">
        <f t="shared" si="119"/>
        <v>-7.2810254877285816</v>
      </c>
      <c r="AO67" s="14">
        <f t="shared" si="120"/>
        <v>-6.5035642307790971</v>
      </c>
      <c r="AP67" s="14">
        <f t="shared" si="121"/>
        <v>35.613128634359562</v>
      </c>
      <c r="AQ67" s="14">
        <f t="shared" ref="AQ67:AQ75" si="124">+AO20</f>
        <v>-7.281025487728539</v>
      </c>
      <c r="AR67" s="14">
        <f t="shared" si="122"/>
        <v>3.6176926526105815</v>
      </c>
      <c r="AS67" s="14">
        <f t="shared" si="123"/>
        <v>3.6176926526105815</v>
      </c>
    </row>
    <row r="68" spans="2:45" x14ac:dyDescent="0.25">
      <c r="B68" s="66">
        <v>34</v>
      </c>
      <c r="C68" s="62"/>
      <c r="D68" s="62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R68" s="27">
        <f>3/2</f>
        <v>1.5</v>
      </c>
      <c r="S68" s="1" t="s">
        <v>103</v>
      </c>
      <c r="T68" s="10">
        <f>VLOOKUP(Temper_Choice,$B$33:$P$150,9)</f>
        <v>0.16666666666666666</v>
      </c>
      <c r="U68">
        <f t="shared" si="116"/>
        <v>701.61853466020727</v>
      </c>
      <c r="V68">
        <f>+CalcC*(4/3)*(+CommaUsed^+T68)</f>
        <v>699.24413140039871</v>
      </c>
      <c r="W68" s="10">
        <f t="shared" si="117"/>
        <v>501.95500086538715</v>
      </c>
      <c r="X68" s="10">
        <f t="shared" si="118"/>
        <v>807.82000346154916</v>
      </c>
      <c r="Y68" s="29" t="str">
        <f>+S71</f>
        <v>G#</v>
      </c>
      <c r="Z68" s="29">
        <f>+T71</f>
        <v>-0.75</v>
      </c>
      <c r="AA68">
        <f t="shared" si="107"/>
        <v>-8.333333333333337E-2</v>
      </c>
      <c r="AB68">
        <f t="shared" si="108"/>
        <v>-8.333333333333337E-2</v>
      </c>
      <c r="AC68" s="34">
        <f>IF(OR(AND(Y68="G#",Y69="D#"),AND(Y68="Ab",Y69="Eb")),0,1)</f>
        <v>0</v>
      </c>
      <c r="AD68" s="34">
        <f t="shared" si="109"/>
        <v>1</v>
      </c>
      <c r="AE68" s="30" t="str">
        <f t="shared" si="110"/>
        <v>(- 1/12 )</v>
      </c>
      <c r="AF68" s="32">
        <f t="shared" si="111"/>
        <v>-0.25</v>
      </c>
      <c r="AG68" s="32">
        <f t="shared" si="112"/>
        <v>-0.25</v>
      </c>
      <c r="AH68" s="33">
        <f t="shared" si="113"/>
        <v>0.751129150390625</v>
      </c>
      <c r="AI68" s="33">
        <f t="shared" si="114"/>
        <v>-8.3427429199218792E-2</v>
      </c>
      <c r="AJ68" t="str">
        <f t="shared" si="115"/>
        <v>(...)</v>
      </c>
      <c r="AN68" s="14">
        <f t="shared" si="119"/>
        <v>-4.0543840486205962</v>
      </c>
      <c r="AO68" s="14">
        <f t="shared" si="120"/>
        <v>-0.88890297758613634</v>
      </c>
      <c r="AP68" s="14">
        <f t="shared" si="121"/>
        <v>49.180349254230578</v>
      </c>
      <c r="AQ68" s="14">
        <f t="shared" si="124"/>
        <v>-8.8888888888888395</v>
      </c>
      <c r="AR68" s="14">
        <f t="shared" si="122"/>
        <v>7.2435651178019365</v>
      </c>
      <c r="AS68" s="14">
        <f t="shared" si="123"/>
        <v>7.2435651178019365</v>
      </c>
    </row>
    <row r="69" spans="2:45" x14ac:dyDescent="0.25">
      <c r="B69" s="66">
        <v>35</v>
      </c>
      <c r="C69" s="62"/>
      <c r="D69" s="62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R69" s="27">
        <f>8/5</f>
        <v>1.6</v>
      </c>
      <c r="S69" s="1" t="str">
        <f>IF(+T69&lt;0,"F#","Gb")</f>
        <v>F#</v>
      </c>
      <c r="T69" s="10">
        <f>VLOOKUP(Temper_Choice,$B$33:$P$150,10)</f>
        <v>-0.66666666666666663</v>
      </c>
      <c r="U69">
        <f t="shared" si="116"/>
        <v>740.82495188418613</v>
      </c>
      <c r="V69">
        <f>IF(+S69="F#",+CalcC*(729/512)*+CommaUsed^+T69,+CalcC*(1024/729)*CommaUsed^+T69)</f>
        <v>738.31786705987588</v>
      </c>
      <c r="W69" s="10">
        <f t="shared" si="117"/>
        <v>596.08999826922513</v>
      </c>
      <c r="X69" s="10">
        <f t="shared" si="118"/>
        <v>901.95500086538721</v>
      </c>
      <c r="Y69" s="29" t="str">
        <f>+S66</f>
        <v>D#</v>
      </c>
      <c r="Z69" s="29">
        <f>+T66</f>
        <v>-0.83333333333333337</v>
      </c>
      <c r="AA69">
        <f t="shared" si="107"/>
        <v>-8.3333333333333259E-2</v>
      </c>
      <c r="AB69">
        <f t="shared" si="108"/>
        <v>-8.3333333333333259E-2</v>
      </c>
      <c r="AC69" s="34">
        <f>IF(OR(AND(Y69="D#",Y70="A#"),AND(Y69="Eb",Y70="Bb")),0,1)</f>
        <v>0</v>
      </c>
      <c r="AD69" s="34">
        <f t="shared" si="109"/>
        <v>1</v>
      </c>
      <c r="AE69" s="30" t="str">
        <f t="shared" si="110"/>
        <v>(- 1/12 )</v>
      </c>
      <c r="AF69" s="32">
        <f t="shared" si="111"/>
        <v>-0.33333333333333326</v>
      </c>
      <c r="AG69" s="32">
        <f t="shared" si="112"/>
        <v>-0.33333333333333326</v>
      </c>
      <c r="AH69" s="33">
        <f t="shared" si="113"/>
        <v>0.66779581705729174</v>
      </c>
      <c r="AI69" s="33">
        <f t="shared" si="114"/>
        <v>-8.3427429199218681E-2</v>
      </c>
      <c r="AJ69" t="str">
        <f t="shared" si="115"/>
        <v>(...)</v>
      </c>
      <c r="AN69" s="14">
        <f t="shared" si="119"/>
        <v>-8.0854111093150252</v>
      </c>
      <c r="AO69" s="14">
        <f t="shared" si="120"/>
        <v>-8.0557925801310297</v>
      </c>
      <c r="AP69" s="14">
        <f t="shared" si="121"/>
        <v>35.613128634360294</v>
      </c>
      <c r="AQ69" s="14">
        <f t="shared" si="124"/>
        <v>-4.0543840486207312</v>
      </c>
      <c r="AR69" s="14">
        <f t="shared" si="122"/>
        <v>0</v>
      </c>
      <c r="AS69" s="14">
        <f t="shared" si="123"/>
        <v>0</v>
      </c>
    </row>
    <row r="70" spans="2:45" x14ac:dyDescent="0.25">
      <c r="B70" s="66">
        <v>36</v>
      </c>
      <c r="C70" s="62"/>
      <c r="D70" s="62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R70" s="27">
        <f>5/3</f>
        <v>1.6666666666666667</v>
      </c>
      <c r="S70" s="1" t="s">
        <v>105</v>
      </c>
      <c r="T70" s="10">
        <f>VLOOKUP(Temper_Choice,$B$33:$P$150,11)</f>
        <v>-0.16666666666666666</v>
      </c>
      <c r="U70">
        <f t="shared" si="116"/>
        <v>785.76352072425868</v>
      </c>
      <c r="V70">
        <f>+CalcC*(3/2)*(+CommaUsed^+T70)</f>
        <v>783.10435570383925</v>
      </c>
      <c r="W70" s="10">
        <f t="shared" si="117"/>
        <v>698.04499913461257</v>
      </c>
      <c r="X70" s="10">
        <f t="shared" si="118"/>
        <v>1003.9100017307748</v>
      </c>
      <c r="Y70" s="29" t="str">
        <f>+S61</f>
        <v>A#</v>
      </c>
      <c r="Z70" s="29">
        <f>+T61</f>
        <v>-0.91666666666666663</v>
      </c>
      <c r="AA70">
        <f t="shared" si="107"/>
        <v>8.3333333333333287E-2</v>
      </c>
      <c r="AB70">
        <f t="shared" si="108"/>
        <v>8.3333333333333287E-2</v>
      </c>
      <c r="AC70" s="34">
        <f>IF(OR(AND(Y70="A#",Y71="E#"),AND(Y70="Bb",Y71="F")),0,1)</f>
        <v>1</v>
      </c>
      <c r="AD70" s="34">
        <f t="shared" si="109"/>
        <v>1</v>
      </c>
      <c r="AE70" s="30" t="str">
        <f t="shared" si="110"/>
        <v>(...)</v>
      </c>
      <c r="AF70" s="32">
        <f t="shared" si="111"/>
        <v>-0.41666666666666669</v>
      </c>
      <c r="AG70" s="32">
        <f t="shared" si="112"/>
        <v>-0.41666666666666669</v>
      </c>
      <c r="AH70" s="33">
        <f t="shared" si="113"/>
        <v>0.58446248372395826</v>
      </c>
      <c r="AI70" s="33">
        <f t="shared" si="114"/>
        <v>8.3427429199218708E-2</v>
      </c>
      <c r="AJ70" t="str">
        <f t="shared" si="115"/>
        <v>(...)</v>
      </c>
      <c r="AN70" s="14">
        <f t="shared" si="119"/>
        <v>-7.2810254877283977</v>
      </c>
      <c r="AO70" s="14">
        <f t="shared" si="120"/>
        <v>-5.6695266143100662</v>
      </c>
      <c r="AP70" s="14">
        <f t="shared" si="121"/>
        <v>40.125325479931128</v>
      </c>
      <c r="AQ70" s="14">
        <f t="shared" si="124"/>
        <v>-7.2810254877285816</v>
      </c>
      <c r="AR70" s="14">
        <f t="shared" si="122"/>
        <v>0</v>
      </c>
      <c r="AS70" s="14">
        <f t="shared" si="123"/>
        <v>0</v>
      </c>
    </row>
    <row r="71" spans="2:45" x14ac:dyDescent="0.25">
      <c r="B71" s="66">
        <v>37</v>
      </c>
      <c r="C71" s="62"/>
      <c r="D71" s="62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R71" s="27">
        <f>9/5</f>
        <v>1.8</v>
      </c>
      <c r="S71" s="1" t="str">
        <f>IF(+T71&lt;0,"G#","Ab")</f>
        <v>G#</v>
      </c>
      <c r="T71" s="10">
        <f>VLOOKUP(Temper_Choice,$B$33:$P$150,12)</f>
        <v>-0.75</v>
      </c>
      <c r="U71">
        <f t="shared" si="116"/>
        <v>832.48745110117727</v>
      </c>
      <c r="V71">
        <f>IF(+S71="G#",+CalcC*(6561/4096)*+CommaUsed^+T71,+CalcC*(128/81)*CommaUsed^+T71)</f>
        <v>829.67016390023173</v>
      </c>
      <c r="W71" s="10">
        <f t="shared" si="117"/>
        <v>798.04499913461257</v>
      </c>
      <c r="X71" s="10">
        <f t="shared" si="118"/>
        <v>1103.9100017307746</v>
      </c>
      <c r="Y71" s="29" t="str">
        <f>+S68</f>
        <v>F</v>
      </c>
      <c r="Z71" s="29">
        <f>+T68</f>
        <v>0.16666666666666666</v>
      </c>
      <c r="AA71">
        <f t="shared" si="107"/>
        <v>-0.16666666666666666</v>
      </c>
      <c r="AB71">
        <f t="shared" si="108"/>
        <v>-0.16666666666666666</v>
      </c>
      <c r="AC71" s="34">
        <f>IF(OR(AND(Y71="E#",Y72="B#"),AND(Y71="F",Y72="C")),0,1)</f>
        <v>0</v>
      </c>
      <c r="AD71" s="34">
        <f t="shared" si="109"/>
        <v>0</v>
      </c>
      <c r="AE71" s="30" t="str">
        <f t="shared" si="110"/>
        <v>(- 1/6 )</v>
      </c>
      <c r="AF71" s="32">
        <f t="shared" si="111"/>
        <v>-0.66666666666666663</v>
      </c>
      <c r="AG71" s="32">
        <f t="shared" si="112"/>
        <v>-0.66666666666666663</v>
      </c>
      <c r="AH71" s="33">
        <f t="shared" si="113"/>
        <v>0.33446248372395837</v>
      </c>
      <c r="AI71" s="33">
        <f t="shared" si="114"/>
        <v>-0.1668548583984375</v>
      </c>
      <c r="AJ71" t="str">
        <f t="shared" si="115"/>
        <v>( 33/100 )</v>
      </c>
      <c r="AN71" s="14">
        <f t="shared" si="119"/>
        <v>-6.4757309983673812</v>
      </c>
      <c r="AO71" s="14">
        <f t="shared" si="120"/>
        <v>-4.1155444166941866</v>
      </c>
      <c r="AP71" s="14">
        <f t="shared" si="121"/>
        <v>40.125325479931313</v>
      </c>
      <c r="AQ71" s="14">
        <f t="shared" si="124"/>
        <v>-4.0543840486205962</v>
      </c>
      <c r="AR71" s="14">
        <f t="shared" si="122"/>
        <v>7.2435651178017704</v>
      </c>
      <c r="AS71" s="14">
        <f t="shared" si="123"/>
        <v>7.2435651178017704</v>
      </c>
    </row>
    <row r="72" spans="2:45" x14ac:dyDescent="0.25">
      <c r="B72" s="66">
        <v>38</v>
      </c>
      <c r="C72" s="62"/>
      <c r="D72" s="62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R72" s="27">
        <f>15/8</f>
        <v>1.875</v>
      </c>
      <c r="T72" s="10">
        <f>VLOOKUP(Temper_Choice,$B$33:$P$150,3)</f>
        <v>1.0136432647705078</v>
      </c>
      <c r="U72">
        <f>+V60/+U60</f>
        <v>0.99661582021780748</v>
      </c>
      <c r="V72" t="s">
        <v>161</v>
      </c>
      <c r="Y72" s="29" t="str">
        <f>+S63</f>
        <v>C</v>
      </c>
      <c r="Z72" s="29">
        <f>Z60</f>
        <v>0</v>
      </c>
      <c r="AA72">
        <f>+AA60</f>
        <v>-0.16666666666666666</v>
      </c>
      <c r="AC72" s="34">
        <f>AC60</f>
        <v>0</v>
      </c>
      <c r="AN72" s="14">
        <f t="shared" si="119"/>
        <v>-8.0854111093151424</v>
      </c>
      <c r="AO72" s="14">
        <f t="shared" si="120"/>
        <v>-7.3070420103528644</v>
      </c>
      <c r="AP72" s="14">
        <f t="shared" si="121"/>
        <v>33.360848893917812</v>
      </c>
      <c r="AQ72" s="14">
        <f t="shared" si="124"/>
        <v>-8.0854111093150252</v>
      </c>
      <c r="AR72" s="14">
        <f t="shared" si="122"/>
        <v>1.8078250040411141</v>
      </c>
      <c r="AS72" s="14">
        <f t="shared" si="123"/>
        <v>1.8078250040411141</v>
      </c>
    </row>
    <row r="73" spans="2:45" x14ac:dyDescent="0.25">
      <c r="B73" s="66">
        <v>39</v>
      </c>
      <c r="C73" s="62"/>
      <c r="D73" s="62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R73" s="27">
        <f>7/4</f>
        <v>1.75</v>
      </c>
      <c r="T73" s="10"/>
      <c r="Z73" s="29">
        <f>Z61</f>
        <v>-0.16666666666666666</v>
      </c>
      <c r="AA73">
        <f>+AA61</f>
        <v>-0.16666666666666666</v>
      </c>
      <c r="AC73" s="34">
        <f>AC61</f>
        <v>0</v>
      </c>
      <c r="AD73" s="2" t="str">
        <f>CONCATENATE(T76,": ",Y60," ",AE60," ",Y61," ",AE61," ",Y62," ",AE62," ",Y63," ",AE63)</f>
        <v>DC: C (- 1/6 ) G (- 1/6 ) D (- 1/6 ) A (- 1/6 )</v>
      </c>
      <c r="AN73" s="14">
        <f t="shared" si="119"/>
        <v>-4.0543840486207072</v>
      </c>
      <c r="AO73" s="14">
        <f t="shared" si="120"/>
        <v>-0.88890297758651959</v>
      </c>
      <c r="AP73" s="14">
        <f t="shared" si="121"/>
        <v>49.180349254230308</v>
      </c>
      <c r="AQ73" s="14">
        <f t="shared" si="124"/>
        <v>-7.2810254877283977</v>
      </c>
      <c r="AR73" s="14">
        <f t="shared" si="122"/>
        <v>7.2435651178018592</v>
      </c>
      <c r="AS73" s="14">
        <f t="shared" si="123"/>
        <v>7.2435651178018592</v>
      </c>
    </row>
    <row r="74" spans="2:45" x14ac:dyDescent="0.25">
      <c r="B74" s="66">
        <v>40</v>
      </c>
      <c r="C74" s="62"/>
      <c r="D74" s="62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R74" s="28">
        <f>14/9</f>
        <v>1.5555555555555556</v>
      </c>
      <c r="T74" s="10">
        <f>T72/SC</f>
        <v>1.001129150390625</v>
      </c>
      <c r="Z74" s="29">
        <f>Z62</f>
        <v>-0.33333333333333331</v>
      </c>
      <c r="AA74">
        <f>+AA62</f>
        <v>-0.16666666666666669</v>
      </c>
      <c r="AC74" s="34">
        <f>AC62</f>
        <v>0</v>
      </c>
      <c r="AD74" s="2" t="str">
        <f>CONCATENATE(" ",Y64," ",AE64," ",Y65," ",AE65," ",Y66," ",AE66," ",Y67," ",AE67," ",Y68," ",AE68)</f>
        <v xml:space="preserve"> E (0) B (0) F# (0) C# (- 1/12 ) G# (- 1/12 )</v>
      </c>
      <c r="AN74" s="14">
        <f t="shared" si="119"/>
        <v>-6.4757309983673919</v>
      </c>
      <c r="AO74" s="14">
        <f t="shared" si="120"/>
        <v>-5.6991786091925114</v>
      </c>
      <c r="AP74" s="14">
        <f t="shared" si="121"/>
        <v>37.867953204571272</v>
      </c>
      <c r="AQ74" s="14">
        <f t="shared" si="124"/>
        <v>-6.4757309983673812</v>
      </c>
      <c r="AR74" s="14">
        <f t="shared" si="122"/>
        <v>3.6176926526105935</v>
      </c>
      <c r="AS74" s="14">
        <f t="shared" si="123"/>
        <v>3.6176926526105935</v>
      </c>
    </row>
    <row r="75" spans="2:45" x14ac:dyDescent="0.25">
      <c r="B75" s="66">
        <v>41</v>
      </c>
      <c r="C75" s="62"/>
      <c r="D75" s="62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R75" s="28">
        <f>16/9</f>
        <v>1.7777777777777777</v>
      </c>
      <c r="T75" s="10">
        <f>T72/DC</f>
        <v>1</v>
      </c>
      <c r="Z75" s="29">
        <f>Z63</f>
        <v>-0.5</v>
      </c>
      <c r="AA75">
        <f>+AA63</f>
        <v>-0.16666666666666663</v>
      </c>
      <c r="AC75" s="34">
        <f>AC63</f>
        <v>0</v>
      </c>
      <c r="AD75" s="2" t="str">
        <f>CONCATENATE(" ",Y69," ",AE69," ",Y70," ",AE70," ",Y71," ",AE71," ",Y72)</f>
        <v xml:space="preserve"> D# (- 1/12 ) A# (...) F (- 1/6 ) C</v>
      </c>
      <c r="AN75" s="14">
        <f t="shared" si="119"/>
        <v>-5.6695266143100662</v>
      </c>
      <c r="AO75" s="14">
        <f t="shared" si="120"/>
        <v>-4.0543840486205962</v>
      </c>
      <c r="AP75" s="14">
        <f t="shared" si="121"/>
        <v>44.647724663862597</v>
      </c>
      <c r="AQ75" s="14">
        <f t="shared" si="124"/>
        <v>-8.0854111093151424</v>
      </c>
      <c r="AR75" s="14">
        <f t="shared" si="122"/>
        <v>3.6176926526112161</v>
      </c>
      <c r="AS75" s="14">
        <f t="shared" si="123"/>
        <v>3.6176926526112161</v>
      </c>
    </row>
    <row r="76" spans="2:45" x14ac:dyDescent="0.25">
      <c r="B76" s="66">
        <v>42</v>
      </c>
      <c r="C76" s="62"/>
      <c r="D76" s="62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R76" s="24">
        <v>500</v>
      </c>
      <c r="T76" s="92" t="str">
        <f>IF(T72=SC,"SC",IF(T72=DC,"DC","Other"))</f>
        <v>DC</v>
      </c>
      <c r="Z76" s="29">
        <f>Z64</f>
        <v>-0.66666666666666663</v>
      </c>
      <c r="AA76">
        <f>+AA64</f>
        <v>0</v>
      </c>
      <c r="AC76" s="34">
        <f>AC64</f>
        <v>0</v>
      </c>
      <c r="AJ76" s="28"/>
      <c r="AN76" s="14"/>
      <c r="AO76" s="14"/>
      <c r="AP76" s="14"/>
      <c r="AQ76" s="14" t="s">
        <v>162</v>
      </c>
      <c r="AR76" s="9"/>
      <c r="AS76" s="9"/>
    </row>
    <row r="77" spans="2:45" x14ac:dyDescent="0.25">
      <c r="B77" s="66">
        <v>43</v>
      </c>
      <c r="C77" s="62"/>
      <c r="D77" s="62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R77" s="24">
        <v>140</v>
      </c>
      <c r="Z77" s="31"/>
      <c r="AD77" s="2" t="s">
        <v>163</v>
      </c>
      <c r="AJ77" s="28"/>
    </row>
    <row r="78" spans="2:45" x14ac:dyDescent="0.25">
      <c r="B78" s="66">
        <v>44</v>
      </c>
      <c r="C78" s="62"/>
      <c r="D78" s="62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R78" s="24">
        <v>100</v>
      </c>
      <c r="Z78" s="31"/>
      <c r="AD78" s="2" t="str">
        <f>CONCATENATE(Y60," ",AJ60," ",Y64," ",AJ64," ",Y68," ",AJ68," ",Y60)</f>
        <v>C ( 33/100 ) E ( 23/25 ) G# (...) C</v>
      </c>
      <c r="AJ78" s="28"/>
    </row>
    <row r="79" spans="2:45" x14ac:dyDescent="0.25">
      <c r="B79" s="66">
        <v>45</v>
      </c>
      <c r="C79" s="62"/>
      <c r="D79" s="62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R79" s="24">
        <v>100</v>
      </c>
      <c r="Z79" s="31"/>
      <c r="AB79" s="30"/>
      <c r="AC79" s="30"/>
      <c r="AD79" s="2" t="str">
        <f>CONCATENATE(Y61," ",AJ61," ",Y65," ",AJ65," ",Y69," ",AJ69," ",Y61)</f>
        <v>G ( 1/2 ) B ( 83/100 ) D# (...) G</v>
      </c>
      <c r="AJ79" s="28"/>
    </row>
    <row r="80" spans="2:45" x14ac:dyDescent="0.25">
      <c r="B80" s="66">
        <v>46</v>
      </c>
      <c r="C80" s="62"/>
      <c r="D80" s="62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R80" s="24">
        <v>350</v>
      </c>
      <c r="Z80" s="31"/>
      <c r="AB80" s="30"/>
      <c r="AC80" s="30"/>
      <c r="AD80" s="2" t="str">
        <f>CONCATENATE(Y62," ",AJ62," ",Y66," ",AJ66," ",Y70," ",AJ70," ",Y62)</f>
        <v>D ( 67/100 ) F# ( 3/4 ) A# (...) D</v>
      </c>
      <c r="AJ80" s="28"/>
    </row>
    <row r="81" spans="2:47" x14ac:dyDescent="0.25">
      <c r="B81" s="66">
        <v>47</v>
      </c>
      <c r="C81" s="62"/>
      <c r="D81" s="62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R81" s="24">
        <v>120</v>
      </c>
      <c r="Z81" s="31"/>
      <c r="AB81" s="28"/>
      <c r="AC81" s="28"/>
      <c r="AD81" s="2" t="str">
        <f>CONCATENATE(Y63," ",AJ63," ",Y67," ",AJ67," ",Y71," ",AJ71," ",Y63)</f>
        <v>A ( 83/100 ) C# (...) F ( 33/100 ) A</v>
      </c>
      <c r="AJ81" s="28"/>
    </row>
    <row r="82" spans="2:47" x14ac:dyDescent="0.25">
      <c r="B82" s="66">
        <v>48</v>
      </c>
      <c r="C82" s="62"/>
      <c r="D82" s="62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Z82" s="31"/>
      <c r="AH82" t="s">
        <v>164</v>
      </c>
      <c r="AJ82" s="28"/>
      <c r="AL82" t="s">
        <v>165</v>
      </c>
    </row>
    <row r="83" spans="2:47" x14ac:dyDescent="0.25">
      <c r="B83" s="66">
        <v>49</v>
      </c>
      <c r="C83" s="62"/>
      <c r="D83" s="62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Z83" s="31"/>
      <c r="AE83" t="s">
        <v>82</v>
      </c>
      <c r="AF83" t="s">
        <v>84</v>
      </c>
      <c r="AH83" t="s">
        <v>82</v>
      </c>
      <c r="AI83" t="s">
        <v>84</v>
      </c>
      <c r="AJ83" s="28"/>
      <c r="AM83" t="s">
        <v>166</v>
      </c>
      <c r="AN83" t="s">
        <v>167</v>
      </c>
      <c r="AO83" t="s">
        <v>168</v>
      </c>
      <c r="AP83" t="s">
        <v>169</v>
      </c>
      <c r="AQ83" t="s">
        <v>170</v>
      </c>
      <c r="AR83" t="s">
        <v>171</v>
      </c>
      <c r="AS83" t="s">
        <v>172</v>
      </c>
      <c r="AT83" t="s">
        <v>173</v>
      </c>
    </row>
    <row r="84" spans="2:47" x14ac:dyDescent="0.25">
      <c r="B84" s="66">
        <v>50</v>
      </c>
      <c r="C84" s="62"/>
      <c r="D84" s="62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Z84" s="31"/>
      <c r="AD84" t="str">
        <f>Y60</f>
        <v>C</v>
      </c>
      <c r="AE84" t="str">
        <f>AJ60</f>
        <v>( 33/100 )</v>
      </c>
      <c r="AF84" t="str">
        <f>AE60</f>
        <v>(- 1/6 )</v>
      </c>
      <c r="AH84">
        <f>AU84</f>
        <v>240</v>
      </c>
      <c r="AI84">
        <f>AS84</f>
        <v>-119.99999999999093</v>
      </c>
      <c r="AJ84" s="28"/>
      <c r="AL84" t="str">
        <f t="shared" ref="AL84:AL96" si="125">Y60</f>
        <v>C</v>
      </c>
      <c r="AM84">
        <f>V63</f>
        <v>523.25</v>
      </c>
      <c r="AO84">
        <f>LOG(AM84)</f>
        <v>2.718709237010724</v>
      </c>
      <c r="AP84">
        <f t="shared" ref="AP84:AP95" si="126">LOG(AN85)</f>
        <v>2.8948004960664053</v>
      </c>
      <c r="AQ84">
        <f t="shared" ref="AQ84:AQ95" si="127">AO85-AP84</f>
        <v>-9.8085650338441965E-4</v>
      </c>
      <c r="AR84">
        <f t="shared" ref="AR84:AR95" si="128">AQ84*100000</f>
        <v>-98.085650338441965</v>
      </c>
      <c r="AS84">
        <f t="shared" ref="AS84:AS95" si="129">-720*AR84/$AR$97</f>
        <v>-119.99999999999093</v>
      </c>
      <c r="AT84">
        <f>SUM(AS84:AS87)</f>
        <v>-479.99999999990939</v>
      </c>
      <c r="AU84">
        <f t="shared" ref="AU84:AU95" si="130">ROUND(AT84+720,0)</f>
        <v>240</v>
      </c>
    </row>
    <row r="85" spans="2:47" x14ac:dyDescent="0.25">
      <c r="B85" s="66"/>
      <c r="C85" s="62"/>
      <c r="D85" s="62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R85" s="2" t="s">
        <v>174</v>
      </c>
      <c r="Z85" s="31"/>
      <c r="AD85" t="str">
        <f>Y67</f>
        <v>C#</v>
      </c>
      <c r="AE85" t="str">
        <f>AJ67</f>
        <v>(...)</v>
      </c>
      <c r="AF85" t="str">
        <f>AE67</f>
        <v>(- 1/12 )</v>
      </c>
      <c r="AH85">
        <f>AU91</f>
        <v>600</v>
      </c>
      <c r="AI85">
        <f>AS91</f>
        <v>-60.000000000076966</v>
      </c>
      <c r="AJ85" s="28"/>
      <c r="AL85" t="str">
        <f t="shared" si="125"/>
        <v>G</v>
      </c>
      <c r="AM85">
        <f>V70</f>
        <v>783.10435570383925</v>
      </c>
      <c r="AN85">
        <f t="shared" ref="AN85:AN96" si="131">AM84*3/2</f>
        <v>784.875</v>
      </c>
      <c r="AO85">
        <f t="shared" ref="AO85:AO96" si="132">LOG(AM85)</f>
        <v>2.8938196395630209</v>
      </c>
      <c r="AP85">
        <f t="shared" si="126"/>
        <v>3.0699108986187023</v>
      </c>
      <c r="AQ85">
        <f t="shared" si="127"/>
        <v>-9.8085650338441965E-4</v>
      </c>
      <c r="AR85">
        <f t="shared" si="128"/>
        <v>-98.085650338441965</v>
      </c>
      <c r="AS85">
        <f t="shared" si="129"/>
        <v>-119.99999999999093</v>
      </c>
      <c r="AT85">
        <f t="shared" ref="AT85:AT95" si="133">SUM(AS85:AS88)</f>
        <v>-359.99999999991849</v>
      </c>
      <c r="AU85">
        <f t="shared" si="130"/>
        <v>360</v>
      </c>
    </row>
    <row r="86" spans="2:47" x14ac:dyDescent="0.25">
      <c r="B86" s="66"/>
      <c r="C86" s="62"/>
      <c r="D86" s="62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R86" t="s">
        <v>175</v>
      </c>
      <c r="Z86" s="31"/>
      <c r="AD86" t="str">
        <f>Y62</f>
        <v>D</v>
      </c>
      <c r="AE86" t="str">
        <f>AJ62</f>
        <v>( 67/100 )</v>
      </c>
      <c r="AF86" t="str">
        <f>AE62</f>
        <v>(- 1/6 )</v>
      </c>
      <c r="AH86">
        <f>AU86</f>
        <v>480</v>
      </c>
      <c r="AI86">
        <f>AS86</f>
        <v>-119.99999999993661</v>
      </c>
      <c r="AJ86" s="28"/>
      <c r="AL86" t="str">
        <f t="shared" si="125"/>
        <v>D</v>
      </c>
      <c r="AM86">
        <f>V65*2</f>
        <v>1172.0065588577643</v>
      </c>
      <c r="AN86">
        <f t="shared" si="131"/>
        <v>1174.6565335557589</v>
      </c>
      <c r="AO86">
        <f t="shared" si="132"/>
        <v>3.0689300421153178</v>
      </c>
      <c r="AP86">
        <f t="shared" si="126"/>
        <v>3.2450213011709987</v>
      </c>
      <c r="AQ86">
        <f t="shared" si="127"/>
        <v>-9.8085650338397556E-4</v>
      </c>
      <c r="AR86">
        <f t="shared" si="128"/>
        <v>-98.085650338397556</v>
      </c>
      <c r="AS86">
        <f t="shared" si="129"/>
        <v>-119.99999999993661</v>
      </c>
      <c r="AT86">
        <f t="shared" si="133"/>
        <v>-239.99999999992752</v>
      </c>
      <c r="AU86">
        <f t="shared" si="130"/>
        <v>480</v>
      </c>
    </row>
    <row r="87" spans="2:47" x14ac:dyDescent="0.25">
      <c r="B87" s="66"/>
      <c r="C87" s="62"/>
      <c r="D87" s="62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R87" t="s">
        <v>176</v>
      </c>
      <c r="Z87" s="31"/>
      <c r="AD87" t="str">
        <f>Y69</f>
        <v>D#</v>
      </c>
      <c r="AE87" t="str">
        <f>AJ69</f>
        <v>(...)</v>
      </c>
      <c r="AF87" t="str">
        <f>AE69</f>
        <v>(- 1/12 )</v>
      </c>
      <c r="AH87">
        <f>AU93</f>
        <v>480</v>
      </c>
      <c r="AI87">
        <f>AS93</f>
        <v>-59.999999999968303</v>
      </c>
      <c r="AJ87" s="28"/>
      <c r="AL87" t="str">
        <f t="shared" si="125"/>
        <v>A</v>
      </c>
      <c r="AM87">
        <f>V60*4</f>
        <v>1754.0438435833412</v>
      </c>
      <c r="AN87">
        <f t="shared" si="131"/>
        <v>1758.0098382866463</v>
      </c>
      <c r="AO87">
        <f t="shared" si="132"/>
        <v>3.2440404446676148</v>
      </c>
      <c r="AP87">
        <f t="shared" si="126"/>
        <v>3.4201317037232957</v>
      </c>
      <c r="AQ87">
        <f t="shared" si="127"/>
        <v>-9.8085650338441965E-4</v>
      </c>
      <c r="AR87">
        <f t="shared" si="128"/>
        <v>-98.085650338441965</v>
      </c>
      <c r="AS87">
        <f t="shared" si="129"/>
        <v>-119.99999999999093</v>
      </c>
      <c r="AT87">
        <f t="shared" si="133"/>
        <v>-119.99999999999093</v>
      </c>
      <c r="AU87">
        <f t="shared" si="130"/>
        <v>600</v>
      </c>
    </row>
    <row r="88" spans="2:47" x14ac:dyDescent="0.25">
      <c r="B88" s="66"/>
      <c r="C88" s="62"/>
      <c r="D88" s="62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R88" t="s">
        <v>177</v>
      </c>
      <c r="AD88" t="str">
        <f>Y64</f>
        <v>E</v>
      </c>
      <c r="AE88" t="str">
        <f>AJ64</f>
        <v>( 23/25 )</v>
      </c>
      <c r="AF88" t="str">
        <f>AE64</f>
        <v>(0)</v>
      </c>
      <c r="AH88">
        <f>AU88</f>
        <v>660</v>
      </c>
      <c r="AI88">
        <f>AS88</f>
        <v>0</v>
      </c>
      <c r="AL88" t="str">
        <f t="shared" si="125"/>
        <v>E</v>
      </c>
      <c r="AM88">
        <f>V67*4</f>
        <v>2625.1301939906698</v>
      </c>
      <c r="AN88">
        <f t="shared" si="131"/>
        <v>2631.0657653750118</v>
      </c>
      <c r="AO88">
        <f t="shared" si="132"/>
        <v>3.4191508472199112</v>
      </c>
      <c r="AP88">
        <f t="shared" si="126"/>
        <v>3.5952421062755926</v>
      </c>
      <c r="AQ88">
        <f t="shared" si="127"/>
        <v>0</v>
      </c>
      <c r="AR88">
        <f t="shared" si="128"/>
        <v>0</v>
      </c>
      <c r="AS88">
        <f t="shared" si="129"/>
        <v>0</v>
      </c>
      <c r="AT88">
        <f t="shared" si="133"/>
        <v>-60.000000000076966</v>
      </c>
      <c r="AU88">
        <f t="shared" si="130"/>
        <v>660</v>
      </c>
    </row>
    <row r="89" spans="2:47" x14ac:dyDescent="0.25">
      <c r="B89" s="66"/>
      <c r="C89" s="62"/>
      <c r="D89" s="62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R89" t="s">
        <v>178</v>
      </c>
      <c r="AD89" t="str">
        <f>Y71</f>
        <v>F</v>
      </c>
      <c r="AE89" t="str">
        <f>AJ71</f>
        <v>( 33/100 )</v>
      </c>
      <c r="AF89" t="str">
        <f>AE71</f>
        <v>(- 1/6 )</v>
      </c>
      <c r="AH89">
        <f>AU95</f>
        <v>240</v>
      </c>
      <c r="AI89">
        <f>AS95</f>
        <v>-120.00000000004525</v>
      </c>
      <c r="AL89" t="str">
        <f t="shared" si="125"/>
        <v>B</v>
      </c>
      <c r="AM89">
        <f>V62*8</f>
        <v>3937.6952909860042</v>
      </c>
      <c r="AN89">
        <f t="shared" si="131"/>
        <v>3937.6952909860047</v>
      </c>
      <c r="AO89">
        <f t="shared" si="132"/>
        <v>3.5952421062755926</v>
      </c>
      <c r="AP89">
        <f t="shared" si="126"/>
        <v>3.7713333653312739</v>
      </c>
      <c r="AQ89">
        <f t="shared" si="127"/>
        <v>0</v>
      </c>
      <c r="AR89">
        <f t="shared" si="128"/>
        <v>0</v>
      </c>
      <c r="AS89">
        <f t="shared" si="129"/>
        <v>0</v>
      </c>
      <c r="AT89">
        <f t="shared" si="133"/>
        <v>-120.00000000004528</v>
      </c>
      <c r="AU89">
        <f t="shared" si="130"/>
        <v>600</v>
      </c>
    </row>
    <row r="90" spans="2:47" x14ac:dyDescent="0.25">
      <c r="B90" s="66"/>
      <c r="C90" s="62"/>
      <c r="D90" s="62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R90" t="s">
        <v>179</v>
      </c>
      <c r="AD90" t="str">
        <f>Y66</f>
        <v>F#</v>
      </c>
      <c r="AE90" t="str">
        <f>AJ66</f>
        <v>( 3/4 )</v>
      </c>
      <c r="AF90" t="str">
        <f>AE66</f>
        <v>(0)</v>
      </c>
      <c r="AH90">
        <f>AU90</f>
        <v>540</v>
      </c>
      <c r="AI90">
        <f>AS90</f>
        <v>0</v>
      </c>
      <c r="AL90" t="str">
        <f t="shared" si="125"/>
        <v>F#</v>
      </c>
      <c r="AM90">
        <f>V69*8</f>
        <v>5906.542936479007</v>
      </c>
      <c r="AN90">
        <f t="shared" si="131"/>
        <v>5906.5429364790061</v>
      </c>
      <c r="AO90">
        <f t="shared" si="132"/>
        <v>3.7713333653312739</v>
      </c>
      <c r="AP90">
        <f t="shared" si="126"/>
        <v>3.9474246243869553</v>
      </c>
      <c r="AQ90">
        <f t="shared" si="127"/>
        <v>0</v>
      </c>
      <c r="AR90">
        <f t="shared" si="128"/>
        <v>0</v>
      </c>
      <c r="AS90">
        <f t="shared" si="129"/>
        <v>0</v>
      </c>
      <c r="AT90">
        <f t="shared" si="133"/>
        <v>-180.00000000001359</v>
      </c>
      <c r="AU90">
        <f t="shared" si="130"/>
        <v>540</v>
      </c>
    </row>
    <row r="91" spans="2:47" x14ac:dyDescent="0.25">
      <c r="B91" s="66"/>
      <c r="C91" s="62"/>
      <c r="D91" s="62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R91" s="8" t="s">
        <v>180</v>
      </c>
      <c r="S91" s="7"/>
      <c r="T91" s="11" t="str">
        <f>+G1</f>
        <v>Bach 1722 (Lehman, from title page of WTC), set from C=523.25</v>
      </c>
      <c r="U91" s="7"/>
      <c r="V91" s="7"/>
      <c r="W91" s="7"/>
      <c r="X91" s="7"/>
      <c r="Y91" s="7"/>
      <c r="Z91" s="7"/>
      <c r="AA91" s="7"/>
      <c r="AD91" t="str">
        <f>Y61</f>
        <v>G</v>
      </c>
      <c r="AE91" t="str">
        <f>AJ61</f>
        <v>( 1/2 )</v>
      </c>
      <c r="AF91" t="str">
        <f>AE61</f>
        <v>(- 1/6 )</v>
      </c>
      <c r="AH91">
        <f>AU85</f>
        <v>360</v>
      </c>
      <c r="AI91">
        <f>AS85</f>
        <v>-119.99999999999093</v>
      </c>
      <c r="AL91" t="str">
        <f t="shared" si="125"/>
        <v>C#</v>
      </c>
      <c r="AM91">
        <f>V64*16</f>
        <v>8859.8144047185106</v>
      </c>
      <c r="AN91">
        <f t="shared" si="131"/>
        <v>8859.8144047185106</v>
      </c>
      <c r="AO91">
        <f t="shared" si="132"/>
        <v>3.9474246243869553</v>
      </c>
      <c r="AP91">
        <f t="shared" si="126"/>
        <v>4.1235158834426366</v>
      </c>
      <c r="AQ91">
        <f t="shared" si="127"/>
        <v>-4.9042825169287596E-4</v>
      </c>
      <c r="AR91">
        <f t="shared" si="128"/>
        <v>-49.042825169287596</v>
      </c>
      <c r="AS91">
        <f t="shared" si="129"/>
        <v>-60.000000000076966</v>
      </c>
      <c r="AT91">
        <f t="shared" si="133"/>
        <v>-120.00000000004528</v>
      </c>
      <c r="AU91">
        <f t="shared" si="130"/>
        <v>600</v>
      </c>
    </row>
    <row r="92" spans="2:47" x14ac:dyDescent="0.25">
      <c r="B92" s="66"/>
      <c r="C92" s="62"/>
      <c r="D92" s="62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R92" s="7"/>
      <c r="S92" s="7"/>
      <c r="T92" s="7"/>
      <c r="U92" s="7"/>
      <c r="V92" s="7"/>
      <c r="W92" s="7"/>
      <c r="X92" s="7"/>
      <c r="Y92" s="7"/>
      <c r="Z92" s="7"/>
      <c r="AA92" s="7"/>
      <c r="AD92" t="str">
        <f>Y68</f>
        <v>G#</v>
      </c>
      <c r="AE92" t="str">
        <f>AJ68</f>
        <v>(...)</v>
      </c>
      <c r="AF92" t="str">
        <f>AE68</f>
        <v>(- 1/12 )</v>
      </c>
      <c r="AH92">
        <f>AU92</f>
        <v>540</v>
      </c>
      <c r="AI92">
        <f>AS92</f>
        <v>-59.999999999968303</v>
      </c>
      <c r="AL92" t="str">
        <f t="shared" si="125"/>
        <v>G#</v>
      </c>
      <c r="AM92">
        <f>V71*16</f>
        <v>13274.722622403708</v>
      </c>
      <c r="AN92">
        <f t="shared" si="131"/>
        <v>13289.721607077765</v>
      </c>
      <c r="AO92">
        <f t="shared" si="132"/>
        <v>4.1230254551909438</v>
      </c>
      <c r="AP92">
        <f t="shared" si="126"/>
        <v>4.2991167142466251</v>
      </c>
      <c r="AQ92">
        <f t="shared" si="127"/>
        <v>-4.9042825169198778E-4</v>
      </c>
      <c r="AR92">
        <f t="shared" si="128"/>
        <v>-49.042825169198778</v>
      </c>
      <c r="AS92">
        <f t="shared" si="129"/>
        <v>-59.999999999968303</v>
      </c>
      <c r="AT92">
        <f t="shared" si="133"/>
        <v>-180.00000000001356</v>
      </c>
      <c r="AU92">
        <f t="shared" si="130"/>
        <v>540</v>
      </c>
    </row>
    <row r="93" spans="2:47" x14ac:dyDescent="0.25">
      <c r="B93" s="66"/>
      <c r="C93" s="62"/>
      <c r="D93" s="62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R93" s="5" t="s">
        <v>56</v>
      </c>
      <c r="S93" s="6" t="s">
        <v>23</v>
      </c>
      <c r="T93" s="6" t="s">
        <v>24</v>
      </c>
      <c r="U93" s="6" t="s">
        <v>25</v>
      </c>
      <c r="V93" s="6" t="s">
        <v>26</v>
      </c>
      <c r="W93" s="6" t="s">
        <v>27</v>
      </c>
      <c r="X93" s="6" t="s">
        <v>28</v>
      </c>
      <c r="Y93" s="6" t="s">
        <v>29</v>
      </c>
      <c r="Z93" s="6" t="s">
        <v>30</v>
      </c>
      <c r="AA93" s="6" t="s">
        <v>31</v>
      </c>
      <c r="AD93" t="str">
        <f>Y63</f>
        <v>A</v>
      </c>
      <c r="AE93" t="str">
        <f>AJ63</f>
        <v>( 83/100 )</v>
      </c>
      <c r="AF93" t="str">
        <f>AE63</f>
        <v>(- 1/6 )</v>
      </c>
      <c r="AH93">
        <f>AU87</f>
        <v>600</v>
      </c>
      <c r="AI93">
        <f>AS87</f>
        <v>-119.99999999999093</v>
      </c>
      <c r="AL93" t="str">
        <f t="shared" si="125"/>
        <v>D#</v>
      </c>
      <c r="AM93">
        <f>V66*32</f>
        <v>19889.610848722456</v>
      </c>
      <c r="AN93">
        <f t="shared" si="131"/>
        <v>19912.083933605561</v>
      </c>
      <c r="AO93">
        <f t="shared" si="132"/>
        <v>4.2986262859949331</v>
      </c>
      <c r="AP93">
        <f t="shared" si="126"/>
        <v>4.4747175450506145</v>
      </c>
      <c r="AQ93">
        <f t="shared" si="127"/>
        <v>-4.9042825169198778E-4</v>
      </c>
      <c r="AR93">
        <f t="shared" si="128"/>
        <v>-49.042825169198778</v>
      </c>
      <c r="AS93">
        <f t="shared" si="129"/>
        <v>-59.999999999968303</v>
      </c>
      <c r="AT93">
        <f t="shared" si="133"/>
        <v>-240.00000000003618</v>
      </c>
      <c r="AU93">
        <f t="shared" si="130"/>
        <v>480</v>
      </c>
    </row>
    <row r="94" spans="2:47" x14ac:dyDescent="0.25">
      <c r="B94" s="66"/>
      <c r="C94" s="62"/>
      <c r="D94" s="62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R94" s="6" t="str">
        <f t="shared" ref="R94:R118" si="134">+D4</f>
        <v>C</v>
      </c>
      <c r="S94" s="12">
        <f t="shared" ref="S94:AA103" si="135">+G4*60</f>
        <v>998.28051203190626</v>
      </c>
      <c r="T94" s="12">
        <f t="shared" si="135"/>
        <v>-476.22457330674479</v>
      </c>
      <c r="U94" s="12">
        <f t="shared" si="135"/>
        <v>133.20290986004693</v>
      </c>
      <c r="V94" s="12">
        <f t="shared" si="135"/>
        <v>70.985913017943858</v>
      </c>
      <c r="W94" s="93">
        <f t="shared" si="135"/>
        <v>-53.119328884822608</v>
      </c>
      <c r="X94" s="12">
        <f t="shared" si="135"/>
        <v>-564.73770748262723</v>
      </c>
      <c r="Y94" s="12">
        <f t="shared" si="135"/>
        <v>222.23648062517668</v>
      </c>
      <c r="Z94" s="12">
        <f t="shared" si="135"/>
        <v>-793.25463055295131</v>
      </c>
      <c r="AA94" s="12">
        <f t="shared" si="135"/>
        <v>399.60872958012715</v>
      </c>
      <c r="AD94" t="str">
        <f>Y70</f>
        <v>A#</v>
      </c>
      <c r="AE94" t="str">
        <f>AJ70</f>
        <v>(...)</v>
      </c>
      <c r="AF94" t="str">
        <f>AE70</f>
        <v>(...)</v>
      </c>
      <c r="AH94">
        <f>AU94</f>
        <v>420</v>
      </c>
      <c r="AI94">
        <f>AS94</f>
        <v>59.999999999968303</v>
      </c>
      <c r="AL94" t="str">
        <f t="shared" si="125"/>
        <v>A#</v>
      </c>
      <c r="AM94">
        <f>V61*64</f>
        <v>29800.744690964075</v>
      </c>
      <c r="AN94">
        <f t="shared" si="131"/>
        <v>29834.416273083683</v>
      </c>
      <c r="AO94">
        <f t="shared" si="132"/>
        <v>4.4742271167989225</v>
      </c>
      <c r="AP94">
        <f t="shared" si="126"/>
        <v>4.6503183758546038</v>
      </c>
      <c r="AQ94">
        <f t="shared" si="127"/>
        <v>4.9042825169198778E-4</v>
      </c>
      <c r="AR94">
        <f t="shared" si="128"/>
        <v>49.042825169198778</v>
      </c>
      <c r="AS94">
        <f t="shared" si="129"/>
        <v>59.999999999968303</v>
      </c>
      <c r="AT94">
        <f t="shared" si="133"/>
        <v>-300.00000000005878</v>
      </c>
      <c r="AU94">
        <f t="shared" si="130"/>
        <v>420</v>
      </c>
    </row>
    <row r="95" spans="2:47" x14ac:dyDescent="0.25">
      <c r="B95" s="66"/>
      <c r="C95" s="62"/>
      <c r="D95" s="62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R95" s="6" t="str">
        <f t="shared" si="134"/>
        <v>C#</v>
      </c>
      <c r="S95" s="12">
        <f t="shared" si="135"/>
        <v>922.89733382484656</v>
      </c>
      <c r="T95" s="12">
        <f t="shared" si="135"/>
        <v>-615.26488921655982</v>
      </c>
      <c r="U95" s="12">
        <f t="shared" si="135"/>
        <v>424.26786190590292</v>
      </c>
      <c r="V95" s="12">
        <f t="shared" si="135"/>
        <v>0</v>
      </c>
      <c r="W95" s="93">
        <f t="shared" si="135"/>
        <v>-28.123096263857406</v>
      </c>
      <c r="X95" s="12">
        <f t="shared" si="135"/>
        <v>-671.9639010135279</v>
      </c>
      <c r="Y95" s="12">
        <f t="shared" si="135"/>
        <v>376.91719955021199</v>
      </c>
      <c r="Z95" s="12">
        <f t="shared" si="135"/>
        <v>-922.89733382485338</v>
      </c>
      <c r="AA95" s="12">
        <f t="shared" si="135"/>
        <v>988.85993364595379</v>
      </c>
      <c r="AD95" t="str">
        <f>Y65</f>
        <v>B</v>
      </c>
      <c r="AE95" t="str">
        <f>AJ65</f>
        <v>( 83/100 )</v>
      </c>
      <c r="AF95" t="str">
        <f>AE65</f>
        <v>(0)</v>
      </c>
      <c r="AH95">
        <f>AU89</f>
        <v>600</v>
      </c>
      <c r="AI95">
        <f>AS89</f>
        <v>0</v>
      </c>
      <c r="AL95" t="str">
        <f t="shared" si="125"/>
        <v>F</v>
      </c>
      <c r="AM95">
        <f>V68*64</f>
        <v>44751.624409625518</v>
      </c>
      <c r="AN95">
        <f t="shared" si="131"/>
        <v>44701.117036446114</v>
      </c>
      <c r="AO95">
        <f t="shared" si="132"/>
        <v>4.6508088041062958</v>
      </c>
      <c r="AP95">
        <f t="shared" si="126"/>
        <v>4.8269000631619772</v>
      </c>
      <c r="AQ95">
        <f t="shared" si="127"/>
        <v>-9.8085650338486374E-4</v>
      </c>
      <c r="AR95">
        <f t="shared" si="128"/>
        <v>-98.085650338486374</v>
      </c>
      <c r="AS95">
        <f t="shared" si="129"/>
        <v>-120.00000000004525</v>
      </c>
      <c r="AT95">
        <f t="shared" si="133"/>
        <v>-479.99999999996373</v>
      </c>
      <c r="AU95">
        <f t="shared" si="130"/>
        <v>240</v>
      </c>
    </row>
    <row r="96" spans="2:47" x14ac:dyDescent="0.25">
      <c r="B96" s="66"/>
      <c r="C96" s="62"/>
      <c r="D96" s="62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R96" s="6" t="str">
        <f t="shared" si="134"/>
        <v>D</v>
      </c>
      <c r="S96" s="12">
        <f t="shared" si="135"/>
        <v>1401.6274860032581</v>
      </c>
      <c r="T96" s="12">
        <f t="shared" si="135"/>
        <v>-296.98529356948711</v>
      </c>
      <c r="U96" s="12">
        <f t="shared" si="135"/>
        <v>348.82606642639075</v>
      </c>
      <c r="V96" s="12">
        <f t="shared" si="135"/>
        <v>79.499240939837819</v>
      </c>
      <c r="W96" s="93">
        <f t="shared" si="135"/>
        <v>-59.489920549576709</v>
      </c>
      <c r="X96" s="12">
        <f t="shared" si="135"/>
        <v>-474.89816201880785</v>
      </c>
      <c r="Y96" s="12">
        <f t="shared" si="135"/>
        <v>348.82606642638393</v>
      </c>
      <c r="Z96" s="12">
        <f t="shared" si="135"/>
        <v>-622.94272289908349</v>
      </c>
      <c r="AA96" s="12">
        <f t="shared" si="135"/>
        <v>1046.4781992791723</v>
      </c>
      <c r="AL96" t="str">
        <f t="shared" si="125"/>
        <v>C</v>
      </c>
      <c r="AM96">
        <f>V63*128</f>
        <v>66976</v>
      </c>
      <c r="AN96">
        <f t="shared" si="131"/>
        <v>67127.43661443828</v>
      </c>
      <c r="AO96">
        <f t="shared" si="132"/>
        <v>4.8259192066585923</v>
      </c>
      <c r="AS96">
        <f>AS84</f>
        <v>-119.99999999999093</v>
      </c>
    </row>
    <row r="97" spans="2:45" x14ac:dyDescent="0.25">
      <c r="B97" s="66"/>
      <c r="C97" s="62"/>
      <c r="D97" s="62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R97" s="6" t="str">
        <f t="shared" si="134"/>
        <v>D#</v>
      </c>
      <c r="S97" s="12">
        <f t="shared" si="135"/>
        <v>1185.8224380182719</v>
      </c>
      <c r="T97" s="12">
        <f t="shared" si="135"/>
        <v>-565.69048254121526</v>
      </c>
      <c r="U97" s="12">
        <f t="shared" si="135"/>
        <v>369.98591553709957</v>
      </c>
      <c r="V97" s="12">
        <f t="shared" si="135"/>
        <v>42.137034155823585</v>
      </c>
      <c r="W97" s="93">
        <f t="shared" si="135"/>
        <v>-31.56710823713297</v>
      </c>
      <c r="X97" s="12">
        <f t="shared" si="135"/>
        <v>-754.25397672163399</v>
      </c>
      <c r="Y97" s="12">
        <f t="shared" si="135"/>
        <v>476.22457330674479</v>
      </c>
      <c r="Z97" s="12">
        <f t="shared" si="135"/>
        <v>-848.53572381181948</v>
      </c>
      <c r="AA97" s="12">
        <f t="shared" si="135"/>
        <v>791.96078285194744</v>
      </c>
      <c r="AR97">
        <f>SUM(AR84:AR95)</f>
        <v>-588.51390203069627</v>
      </c>
      <c r="AS97">
        <f>AS85</f>
        <v>-119.99999999999093</v>
      </c>
    </row>
    <row r="98" spans="2:45" x14ac:dyDescent="0.25">
      <c r="B98" s="66"/>
      <c r="C98" s="62"/>
      <c r="D98" s="62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R98" s="6" t="str">
        <f t="shared" si="134"/>
        <v>E</v>
      </c>
      <c r="S98" s="12">
        <f t="shared" si="135"/>
        <v>1569.7244210904501</v>
      </c>
      <c r="T98" s="12">
        <f t="shared" si="135"/>
        <v>-332.60268700212691</v>
      </c>
      <c r="U98" s="12">
        <f t="shared" si="135"/>
        <v>559.01869668884501</v>
      </c>
      <c r="V98" s="12">
        <f t="shared" si="135"/>
        <v>89.033570765129753</v>
      </c>
      <c r="W98" s="93">
        <f t="shared" si="135"/>
        <v>0</v>
      </c>
      <c r="X98" s="12">
        <f t="shared" si="135"/>
        <v>-266.40581972009386</v>
      </c>
      <c r="Y98" s="12">
        <f t="shared" si="135"/>
        <v>615.26488921655982</v>
      </c>
      <c r="Z98" s="12">
        <f t="shared" si="135"/>
        <v>-697.65213285278151</v>
      </c>
      <c r="AA98" s="12">
        <f t="shared" si="135"/>
        <v>1508.5079534432407</v>
      </c>
      <c r="AS98">
        <f>AS86</f>
        <v>-119.99999999993661</v>
      </c>
    </row>
    <row r="99" spans="2:45" x14ac:dyDescent="0.25">
      <c r="B99" s="66"/>
      <c r="C99" s="62"/>
      <c r="D99" s="62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R99" s="6" t="str">
        <f t="shared" si="134"/>
        <v>F</v>
      </c>
      <c r="S99" s="12">
        <f t="shared" si="135"/>
        <v>1249.6809539789956</v>
      </c>
      <c r="T99" s="12">
        <f t="shared" si="135"/>
        <v>-706.70953351851495</v>
      </c>
      <c r="U99" s="12">
        <f t="shared" si="135"/>
        <v>178.00545247033369</v>
      </c>
      <c r="V99" s="12">
        <f t="shared" si="135"/>
        <v>-47.350662355690929</v>
      </c>
      <c r="W99" s="93">
        <f t="shared" si="135"/>
        <v>-70.985913017943858</v>
      </c>
      <c r="X99" s="12">
        <f t="shared" si="135"/>
        <v>-848.53572381180584</v>
      </c>
      <c r="Y99" s="12">
        <f t="shared" si="135"/>
        <v>296.98529356948711</v>
      </c>
      <c r="Z99" s="12">
        <f t="shared" si="135"/>
        <v>-1165.4068856673211</v>
      </c>
      <c r="AA99" s="12">
        <f t="shared" si="135"/>
        <v>177.88207435048207</v>
      </c>
      <c r="AS99">
        <f>AS87</f>
        <v>-119.99999999999093</v>
      </c>
    </row>
    <row r="100" spans="2:45" x14ac:dyDescent="0.25">
      <c r="B100" s="66"/>
      <c r="C100" s="62"/>
      <c r="D100" s="62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R100" s="6" t="str">
        <f t="shared" si="134"/>
        <v>F#</v>
      </c>
      <c r="S100" s="12">
        <f t="shared" si="135"/>
        <v>1408.5969199633792</v>
      </c>
      <c r="T100" s="12">
        <f t="shared" si="135"/>
        <v>-671.9639010135279</v>
      </c>
      <c r="U100" s="12">
        <f t="shared" si="135"/>
        <v>502.55626606694932</v>
      </c>
      <c r="V100" s="12">
        <f t="shared" si="135"/>
        <v>0</v>
      </c>
      <c r="W100" s="93">
        <f t="shared" si="135"/>
        <v>0</v>
      </c>
      <c r="X100" s="12">
        <f t="shared" si="135"/>
        <v>-697.65213285278151</v>
      </c>
      <c r="Y100" s="12">
        <f t="shared" si="135"/>
        <v>565.69048254121526</v>
      </c>
      <c r="Z100" s="12">
        <f t="shared" si="135"/>
        <v>-1230.5297784331196</v>
      </c>
      <c r="AA100" s="12">
        <f t="shared" si="135"/>
        <v>1697.0714476236117</v>
      </c>
    </row>
    <row r="101" spans="2:45" x14ac:dyDescent="0.25">
      <c r="B101" s="66"/>
      <c r="C101" s="62"/>
      <c r="D101" s="62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R101" s="6" t="str">
        <f t="shared" si="134"/>
        <v>G</v>
      </c>
      <c r="S101" s="12">
        <f t="shared" si="135"/>
        <v>1588.637094433343</v>
      </c>
      <c r="T101" s="12">
        <f t="shared" si="135"/>
        <v>-633.89664389848349</v>
      </c>
      <c r="U101" s="12">
        <f t="shared" si="135"/>
        <v>332.60268700212009</v>
      </c>
      <c r="V101" s="12">
        <f t="shared" si="135"/>
        <v>106.23865776964522</v>
      </c>
      <c r="W101" s="93">
        <f t="shared" si="135"/>
        <v>-79.499240939837819</v>
      </c>
      <c r="X101" s="12">
        <f t="shared" si="135"/>
        <v>-739.97183107419914</v>
      </c>
      <c r="Y101" s="12">
        <f t="shared" si="135"/>
        <v>332.60268700212691</v>
      </c>
      <c r="Z101" s="12">
        <f t="shared" si="135"/>
        <v>-832.4683099584945</v>
      </c>
      <c r="AA101" s="12">
        <f t="shared" si="135"/>
        <v>997.80806100638074</v>
      </c>
    </row>
    <row r="102" spans="2:45" x14ac:dyDescent="0.25">
      <c r="B102" s="66"/>
      <c r="C102" s="62"/>
      <c r="D102" s="62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R102" s="6" t="str">
        <f t="shared" si="134"/>
        <v>G#</v>
      </c>
      <c r="S102" s="12">
        <f t="shared" si="135"/>
        <v>1482.7768376607537</v>
      </c>
      <c r="T102" s="12">
        <f t="shared" si="135"/>
        <v>-838.52804503328116</v>
      </c>
      <c r="U102" s="12">
        <f t="shared" si="135"/>
        <v>564.73770748262723</v>
      </c>
      <c r="V102" s="12">
        <f t="shared" si="135"/>
        <v>56.246192527714811</v>
      </c>
      <c r="W102" s="93">
        <f t="shared" si="135"/>
        <v>-42.137034155823585</v>
      </c>
      <c r="X102" s="12">
        <f t="shared" si="135"/>
        <v>-1118.03739337769</v>
      </c>
      <c r="Y102" s="12">
        <f t="shared" si="135"/>
        <v>706.70953351851495</v>
      </c>
      <c r="Z102" s="12">
        <f t="shared" si="135"/>
        <v>-1257.7920675498945</v>
      </c>
      <c r="AA102" s="12">
        <f t="shared" si="135"/>
        <v>1269.2584913692735</v>
      </c>
    </row>
    <row r="103" spans="2:45" x14ac:dyDescent="0.25">
      <c r="B103" s="66"/>
      <c r="C103" s="62"/>
      <c r="D103" s="62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R103" s="6" t="str">
        <f t="shared" si="134"/>
        <v>A</v>
      </c>
      <c r="S103" s="12">
        <f t="shared" si="135"/>
        <v>2097.6982118745946</v>
      </c>
      <c r="T103" s="12">
        <f t="shared" si="135"/>
        <v>-444.47296125035336</v>
      </c>
      <c r="U103" s="12">
        <f t="shared" si="135"/>
        <v>671.9639010135279</v>
      </c>
      <c r="V103" s="12">
        <f t="shared" si="135"/>
        <v>118.97984109915342</v>
      </c>
      <c r="W103" s="93">
        <f t="shared" si="135"/>
        <v>-89.033570765129753</v>
      </c>
      <c r="X103" s="12">
        <f t="shared" si="135"/>
        <v>-356.01090494066739</v>
      </c>
      <c r="Y103" s="12">
        <f t="shared" si="135"/>
        <v>671.9639010135279</v>
      </c>
      <c r="Z103" s="12">
        <f t="shared" si="135"/>
        <v>-932.30608629964991</v>
      </c>
      <c r="AA103" s="12">
        <f t="shared" si="135"/>
        <v>1790.9069329297381</v>
      </c>
      <c r="AD103" s="89" t="s">
        <v>82</v>
      </c>
      <c r="AE103" s="89" t="s">
        <v>181</v>
      </c>
      <c r="AF103" s="89" t="s">
        <v>182</v>
      </c>
      <c r="AG103" s="89"/>
      <c r="AH103" s="89" t="s">
        <v>84</v>
      </c>
      <c r="AI103" s="89" t="s">
        <v>181</v>
      </c>
      <c r="AJ103" s="89" t="s">
        <v>182</v>
      </c>
    </row>
    <row r="104" spans="2:45" x14ac:dyDescent="0.25">
      <c r="B104" s="66"/>
      <c r="C104" s="62"/>
      <c r="D104" s="62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R104" s="6" t="str">
        <f t="shared" si="134"/>
        <v>A#</v>
      </c>
      <c r="S104" s="12">
        <f t="shared" ref="S104:AA118" si="136">+G14*60</f>
        <v>1889.2185358573715</v>
      </c>
      <c r="T104" s="12">
        <f t="shared" si="136"/>
        <v>-753.83439910042398</v>
      </c>
      <c r="U104" s="12">
        <f t="shared" si="136"/>
        <v>474.89816201880785</v>
      </c>
      <c r="V104" s="12">
        <f t="shared" si="136"/>
        <v>63.134216474265941</v>
      </c>
      <c r="W104" s="93">
        <f t="shared" si="136"/>
        <v>47.350662355690929</v>
      </c>
      <c r="X104" s="12">
        <f t="shared" si="136"/>
        <v>-1005.1125321338986</v>
      </c>
      <c r="Y104" s="12">
        <f t="shared" si="136"/>
        <v>633.89664389848349</v>
      </c>
      <c r="Z104" s="12">
        <f t="shared" si="136"/>
        <v>-1271.3670799699503</v>
      </c>
      <c r="AA104" s="12">
        <f t="shared" si="136"/>
        <v>948.7751216597826</v>
      </c>
      <c r="AD104" t="str">
        <f t="shared" ref="AD104:AD115" si="137">AD84</f>
        <v>C</v>
      </c>
      <c r="AE104">
        <f t="shared" ref="AE104:AE115" si="138">AH84</f>
        <v>240</v>
      </c>
      <c r="AF104" s="90">
        <f t="shared" ref="AF104:AF115" si="139">100*AE104/AE$116</f>
        <v>4.166666666666667</v>
      </c>
      <c r="AH104" t="str">
        <f t="shared" ref="AH104:AH115" si="140">AD84</f>
        <v>C</v>
      </c>
      <c r="AI104">
        <f t="shared" ref="AI104:AI115" si="141">AI84</f>
        <v>-119.99999999999093</v>
      </c>
      <c r="AJ104" s="90">
        <f t="shared" ref="AJ104:AJ115" si="142">100*AI104/AI$116</f>
        <v>16.66666666666541</v>
      </c>
      <c r="AM104" t="str">
        <f>AD104</f>
        <v>C</v>
      </c>
      <c r="AN104">
        <f t="shared" ref="AN104:AS104" si="143">AE104</f>
        <v>240</v>
      </c>
      <c r="AO104">
        <f t="shared" si="143"/>
        <v>4.166666666666667</v>
      </c>
      <c r="AQ104" t="str">
        <f t="shared" si="143"/>
        <v>C</v>
      </c>
      <c r="AR104">
        <f t="shared" si="143"/>
        <v>-119.99999999999093</v>
      </c>
      <c r="AS104">
        <f t="shared" si="143"/>
        <v>16.66666666666541</v>
      </c>
    </row>
    <row r="105" spans="2:45" x14ac:dyDescent="0.25">
      <c r="B105" s="66"/>
      <c r="C105" s="62"/>
      <c r="D105" s="62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R105" s="6" t="str">
        <f t="shared" si="134"/>
        <v>B</v>
      </c>
      <c r="S105" s="12">
        <f t="shared" si="136"/>
        <v>2116.0889088161684</v>
      </c>
      <c r="T105" s="12">
        <f t="shared" si="136"/>
        <v>-697.65213285276786</v>
      </c>
      <c r="U105" s="12">
        <f t="shared" si="136"/>
        <v>754.25397672163399</v>
      </c>
      <c r="V105" s="12">
        <f t="shared" si="136"/>
        <v>0</v>
      </c>
      <c r="W105" s="93">
        <f t="shared" si="136"/>
        <v>0</v>
      </c>
      <c r="X105" s="12">
        <f t="shared" si="136"/>
        <v>-665.20537400424018</v>
      </c>
      <c r="Y105" s="12">
        <f t="shared" si="136"/>
        <v>838.52804503328116</v>
      </c>
      <c r="Z105" s="12">
        <f t="shared" si="136"/>
        <v>-1343.9278020270285</v>
      </c>
      <c r="AA105" s="12">
        <f t="shared" si="136"/>
        <v>2010.2250642678246</v>
      </c>
      <c r="AD105" t="str">
        <f t="shared" si="137"/>
        <v>C#</v>
      </c>
      <c r="AE105">
        <f t="shared" si="138"/>
        <v>600</v>
      </c>
      <c r="AF105" s="90">
        <f t="shared" si="139"/>
        <v>10.416666666666666</v>
      </c>
      <c r="AH105" t="str">
        <f t="shared" si="140"/>
        <v>C#</v>
      </c>
      <c r="AI105">
        <f t="shared" si="141"/>
        <v>-60.000000000076966</v>
      </c>
      <c r="AJ105" s="90">
        <f t="shared" si="142"/>
        <v>8.333333333344024</v>
      </c>
      <c r="AM105" t="str">
        <f>AD111</f>
        <v>G</v>
      </c>
      <c r="AN105">
        <f t="shared" ref="AN105:AS105" si="144">AE111</f>
        <v>360</v>
      </c>
      <c r="AO105">
        <f t="shared" si="144"/>
        <v>6.25</v>
      </c>
      <c r="AQ105" t="str">
        <f t="shared" si="144"/>
        <v>G</v>
      </c>
      <c r="AR105">
        <f t="shared" si="144"/>
        <v>-119.99999999999093</v>
      </c>
      <c r="AS105">
        <f t="shared" si="144"/>
        <v>16.66666666666541</v>
      </c>
    </row>
    <row r="106" spans="2:45" x14ac:dyDescent="0.25">
      <c r="B106" s="66"/>
      <c r="C106" s="62"/>
      <c r="D106" s="62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R106" s="6" t="str">
        <f t="shared" si="134"/>
        <v>Middle C</v>
      </c>
      <c r="S106" s="12">
        <f t="shared" si="136"/>
        <v>1996.5610240638125</v>
      </c>
      <c r="T106" s="12">
        <f t="shared" si="136"/>
        <v>-952.44914661348957</v>
      </c>
      <c r="U106" s="12">
        <f t="shared" si="136"/>
        <v>266.40581972009386</v>
      </c>
      <c r="V106" s="12">
        <f t="shared" si="136"/>
        <v>141.97182603588772</v>
      </c>
      <c r="W106" s="12">
        <f t="shared" si="136"/>
        <v>-106.23865776964522</v>
      </c>
      <c r="X106" s="12">
        <f t="shared" si="136"/>
        <v>-1129.4754149652545</v>
      </c>
      <c r="Y106" s="12">
        <f t="shared" si="136"/>
        <v>444.47296125035336</v>
      </c>
      <c r="Z106" s="12">
        <f t="shared" si="136"/>
        <v>-1586.5092611059026</v>
      </c>
      <c r="AA106" s="12">
        <f t="shared" si="136"/>
        <v>799.21745916025429</v>
      </c>
      <c r="AD106" t="str">
        <f t="shared" si="137"/>
        <v>D</v>
      </c>
      <c r="AE106">
        <f t="shared" si="138"/>
        <v>480</v>
      </c>
      <c r="AF106" s="90">
        <f t="shared" si="139"/>
        <v>8.3333333333333339</v>
      </c>
      <c r="AH106" t="str">
        <f t="shared" si="140"/>
        <v>D</v>
      </c>
      <c r="AI106">
        <f t="shared" si="141"/>
        <v>-119.99999999993661</v>
      </c>
      <c r="AJ106" s="90">
        <f t="shared" si="142"/>
        <v>16.666666666657864</v>
      </c>
      <c r="AM106" t="str">
        <f>AD106</f>
        <v>D</v>
      </c>
      <c r="AN106">
        <f t="shared" ref="AN106:AS106" si="145">AE106</f>
        <v>480</v>
      </c>
      <c r="AO106">
        <f t="shared" si="145"/>
        <v>8.3333333333333339</v>
      </c>
      <c r="AQ106" t="str">
        <f t="shared" si="145"/>
        <v>D</v>
      </c>
      <c r="AR106">
        <f t="shared" si="145"/>
        <v>-119.99999999993661</v>
      </c>
      <c r="AS106">
        <f t="shared" si="145"/>
        <v>16.666666666657864</v>
      </c>
    </row>
    <row r="107" spans="2:45" x14ac:dyDescent="0.25">
      <c r="B107" s="66"/>
      <c r="C107" s="62"/>
      <c r="D107" s="62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R107" s="6" t="str">
        <f t="shared" si="134"/>
        <v>C#</v>
      </c>
      <c r="S107" s="12">
        <f t="shared" si="136"/>
        <v>1845.7946676496931</v>
      </c>
      <c r="T107" s="12">
        <f t="shared" si="136"/>
        <v>-1230.5297784331196</v>
      </c>
      <c r="U107" s="12">
        <f t="shared" si="136"/>
        <v>848.53572381180584</v>
      </c>
      <c r="V107" s="12">
        <f t="shared" si="136"/>
        <v>0</v>
      </c>
      <c r="W107" s="12">
        <f t="shared" si="136"/>
        <v>-56.246192527714811</v>
      </c>
      <c r="X107" s="12">
        <f t="shared" si="136"/>
        <v>-1343.9278020270558</v>
      </c>
      <c r="Y107" s="12">
        <f t="shared" si="136"/>
        <v>753.83439910042398</v>
      </c>
      <c r="Z107" s="12">
        <f t="shared" si="136"/>
        <v>-1845.7946676497068</v>
      </c>
      <c r="AA107" s="12">
        <f t="shared" si="136"/>
        <v>1977.7198672919076</v>
      </c>
      <c r="AD107" t="str">
        <f t="shared" si="137"/>
        <v>D#</v>
      </c>
      <c r="AE107">
        <f t="shared" si="138"/>
        <v>480</v>
      </c>
      <c r="AF107" s="90">
        <f t="shared" si="139"/>
        <v>8.3333333333333339</v>
      </c>
      <c r="AH107" t="str">
        <f t="shared" si="140"/>
        <v>D#</v>
      </c>
      <c r="AI107">
        <f t="shared" si="141"/>
        <v>-59.999999999968303</v>
      </c>
      <c r="AJ107" s="90">
        <f t="shared" si="142"/>
        <v>8.3333333333289321</v>
      </c>
      <c r="AM107" t="str">
        <f>AD113</f>
        <v>A</v>
      </c>
      <c r="AN107">
        <f t="shared" ref="AN107:AS107" si="146">AE113</f>
        <v>600</v>
      </c>
      <c r="AO107">
        <f t="shared" si="146"/>
        <v>10.416666666666666</v>
      </c>
      <c r="AQ107" t="str">
        <f t="shared" si="146"/>
        <v>A</v>
      </c>
      <c r="AR107">
        <f t="shared" si="146"/>
        <v>-119.99999999999093</v>
      </c>
      <c r="AS107">
        <f t="shared" si="146"/>
        <v>16.66666666666541</v>
      </c>
    </row>
    <row r="108" spans="2:45" x14ac:dyDescent="0.25">
      <c r="B108" s="66"/>
      <c r="C108" s="62"/>
      <c r="D108" s="62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R108" s="6" t="str">
        <f t="shared" si="134"/>
        <v>D</v>
      </c>
      <c r="S108" s="12">
        <f t="shared" si="136"/>
        <v>2803.2549720065163</v>
      </c>
      <c r="T108" s="12">
        <f t="shared" si="136"/>
        <v>-593.97058713897422</v>
      </c>
      <c r="U108" s="12">
        <f t="shared" si="136"/>
        <v>697.65213285278151</v>
      </c>
      <c r="V108" s="12">
        <f t="shared" si="136"/>
        <v>158.99848187967564</v>
      </c>
      <c r="W108" s="12">
        <f t="shared" si="136"/>
        <v>-118.97984109915342</v>
      </c>
      <c r="X108" s="12">
        <f t="shared" si="136"/>
        <v>-949.7963240376157</v>
      </c>
      <c r="Y108" s="12">
        <f t="shared" si="136"/>
        <v>697.65213285276786</v>
      </c>
      <c r="Z108" s="12">
        <f t="shared" si="136"/>
        <v>-1245.885445798167</v>
      </c>
      <c r="AA108" s="12">
        <f t="shared" si="136"/>
        <v>2092.9563985583445</v>
      </c>
      <c r="AD108" t="str">
        <f t="shared" si="137"/>
        <v>E</v>
      </c>
      <c r="AE108">
        <f t="shared" si="138"/>
        <v>660</v>
      </c>
      <c r="AF108" s="90">
        <f t="shared" si="139"/>
        <v>11.458333333333334</v>
      </c>
      <c r="AH108" t="str">
        <f t="shared" si="140"/>
        <v>E</v>
      </c>
      <c r="AI108">
        <f t="shared" si="141"/>
        <v>0</v>
      </c>
      <c r="AJ108" s="90">
        <f t="shared" si="142"/>
        <v>0</v>
      </c>
      <c r="AM108" t="str">
        <f>AD108</f>
        <v>E</v>
      </c>
      <c r="AN108">
        <f t="shared" ref="AN108:AS108" si="147">AE108</f>
        <v>660</v>
      </c>
      <c r="AO108">
        <f t="shared" si="147"/>
        <v>11.458333333333334</v>
      </c>
      <c r="AQ108" t="str">
        <f t="shared" si="147"/>
        <v>E</v>
      </c>
      <c r="AR108">
        <f t="shared" si="147"/>
        <v>0</v>
      </c>
      <c r="AS108">
        <f t="shared" si="147"/>
        <v>0</v>
      </c>
    </row>
    <row r="109" spans="2:45" x14ac:dyDescent="0.25">
      <c r="B109" s="66"/>
      <c r="C109" s="62"/>
      <c r="D109" s="62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R109" s="6" t="str">
        <f t="shared" si="134"/>
        <v>D#</v>
      </c>
      <c r="S109" s="12">
        <f t="shared" si="136"/>
        <v>2371.6448760365438</v>
      </c>
      <c r="T109" s="12">
        <f t="shared" si="136"/>
        <v>-1131.3809650824305</v>
      </c>
      <c r="U109" s="12">
        <f t="shared" si="136"/>
        <v>739.97183107419914</v>
      </c>
      <c r="V109" s="12">
        <f t="shared" si="136"/>
        <v>84.27406831164717</v>
      </c>
      <c r="W109" s="12">
        <f t="shared" si="136"/>
        <v>-63.134216474265941</v>
      </c>
      <c r="X109" s="12">
        <f t="shared" si="136"/>
        <v>-1508.507953443268</v>
      </c>
      <c r="Y109" s="12">
        <f t="shared" si="136"/>
        <v>952.44914661348957</v>
      </c>
      <c r="Z109" s="12">
        <f t="shared" si="136"/>
        <v>-1697.071447623639</v>
      </c>
      <c r="AA109" s="12">
        <f t="shared" si="136"/>
        <v>1583.9215657038949</v>
      </c>
      <c r="AD109" t="str">
        <f t="shared" si="137"/>
        <v>F</v>
      </c>
      <c r="AE109">
        <f t="shared" si="138"/>
        <v>240</v>
      </c>
      <c r="AF109" s="90">
        <f t="shared" si="139"/>
        <v>4.166666666666667</v>
      </c>
      <c r="AH109" t="str">
        <f t="shared" si="140"/>
        <v>F</v>
      </c>
      <c r="AI109">
        <f t="shared" si="141"/>
        <v>-120.00000000004525</v>
      </c>
      <c r="AJ109" s="90">
        <f t="shared" si="142"/>
        <v>16.666666666672956</v>
      </c>
      <c r="AM109" t="str">
        <f>AD115</f>
        <v>B</v>
      </c>
      <c r="AN109">
        <f t="shared" ref="AN109:AS109" si="148">AE115</f>
        <v>600</v>
      </c>
      <c r="AO109">
        <f t="shared" si="148"/>
        <v>10.416666666666666</v>
      </c>
      <c r="AQ109" t="str">
        <f t="shared" si="148"/>
        <v>B</v>
      </c>
      <c r="AR109">
        <f t="shared" si="148"/>
        <v>0</v>
      </c>
      <c r="AS109">
        <f t="shared" si="148"/>
        <v>0</v>
      </c>
    </row>
    <row r="110" spans="2:45" x14ac:dyDescent="0.25">
      <c r="B110" s="66"/>
      <c r="C110" s="62"/>
      <c r="D110" s="62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R110" s="6" t="str">
        <f t="shared" si="134"/>
        <v>E</v>
      </c>
      <c r="S110" s="12">
        <f t="shared" si="136"/>
        <v>3139.4488421809001</v>
      </c>
      <c r="T110" s="12">
        <f t="shared" si="136"/>
        <v>-665.20537400425383</v>
      </c>
      <c r="U110" s="12">
        <f t="shared" si="136"/>
        <v>1118.03739337769</v>
      </c>
      <c r="V110" s="12">
        <f t="shared" si="136"/>
        <v>178.06714153025951</v>
      </c>
      <c r="W110" s="12">
        <f t="shared" si="136"/>
        <v>0</v>
      </c>
      <c r="X110" s="12">
        <f t="shared" si="136"/>
        <v>-532.81163944018772</v>
      </c>
      <c r="Y110" s="12">
        <f t="shared" si="136"/>
        <v>1230.5297784331196</v>
      </c>
      <c r="Z110" s="12">
        <f t="shared" si="136"/>
        <v>-1395.304265705563</v>
      </c>
      <c r="AA110" s="12">
        <f t="shared" si="136"/>
        <v>3017.0159068864814</v>
      </c>
      <c r="AD110" t="str">
        <f t="shared" si="137"/>
        <v>F#</v>
      </c>
      <c r="AE110">
        <f t="shared" si="138"/>
        <v>540</v>
      </c>
      <c r="AF110" s="90">
        <f t="shared" si="139"/>
        <v>9.375</v>
      </c>
      <c r="AH110" t="str">
        <f t="shared" si="140"/>
        <v>F#</v>
      </c>
      <c r="AI110">
        <f t="shared" si="141"/>
        <v>0</v>
      </c>
      <c r="AJ110" s="90">
        <f t="shared" si="142"/>
        <v>0</v>
      </c>
      <c r="AM110" t="str">
        <f>AD110</f>
        <v>F#</v>
      </c>
      <c r="AN110">
        <f t="shared" ref="AN110:AS110" si="149">AE110</f>
        <v>540</v>
      </c>
      <c r="AO110">
        <f t="shared" si="149"/>
        <v>9.375</v>
      </c>
      <c r="AQ110" t="str">
        <f t="shared" si="149"/>
        <v>F#</v>
      </c>
      <c r="AR110">
        <f t="shared" si="149"/>
        <v>0</v>
      </c>
      <c r="AS110">
        <f t="shared" si="149"/>
        <v>0</v>
      </c>
    </row>
    <row r="111" spans="2:45" x14ac:dyDescent="0.25">
      <c r="B111" s="66"/>
      <c r="C111" s="62"/>
      <c r="D111" s="62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R111" s="6" t="str">
        <f t="shared" si="134"/>
        <v>F</v>
      </c>
      <c r="S111" s="12">
        <f t="shared" si="136"/>
        <v>2499.3619079579912</v>
      </c>
      <c r="T111" s="12">
        <f t="shared" si="136"/>
        <v>-1413.4190670370299</v>
      </c>
      <c r="U111" s="12">
        <f t="shared" si="136"/>
        <v>356.01090494066739</v>
      </c>
      <c r="V111" s="12">
        <f t="shared" si="136"/>
        <v>-94.701324711381858</v>
      </c>
      <c r="W111" s="12">
        <f t="shared" si="136"/>
        <v>-141.97182603588772</v>
      </c>
      <c r="X111" s="12">
        <f t="shared" si="136"/>
        <v>-1697.0714476236117</v>
      </c>
      <c r="Y111" s="12">
        <f t="shared" si="136"/>
        <v>593.97058713897422</v>
      </c>
      <c r="Z111" s="12">
        <f t="shared" si="136"/>
        <v>-2330.8137713346423</v>
      </c>
      <c r="AA111" s="12">
        <f t="shared" si="136"/>
        <v>355.76414870096414</v>
      </c>
      <c r="AD111" t="str">
        <f t="shared" si="137"/>
        <v>G</v>
      </c>
      <c r="AE111">
        <f t="shared" si="138"/>
        <v>360</v>
      </c>
      <c r="AF111" s="90">
        <f t="shared" si="139"/>
        <v>6.25</v>
      </c>
      <c r="AH111" t="str">
        <f t="shared" si="140"/>
        <v>G</v>
      </c>
      <c r="AI111">
        <f t="shared" si="141"/>
        <v>-119.99999999999093</v>
      </c>
      <c r="AJ111" s="90">
        <f t="shared" si="142"/>
        <v>16.66666666666541</v>
      </c>
      <c r="AM111" t="str">
        <f>AD105</f>
        <v>C#</v>
      </c>
      <c r="AN111">
        <f t="shared" ref="AN111:AS111" si="150">AE105</f>
        <v>600</v>
      </c>
      <c r="AO111">
        <f t="shared" si="150"/>
        <v>10.416666666666666</v>
      </c>
      <c r="AQ111" t="str">
        <f t="shared" si="150"/>
        <v>C#</v>
      </c>
      <c r="AR111">
        <f t="shared" si="150"/>
        <v>-60.000000000076966</v>
      </c>
      <c r="AS111">
        <f t="shared" si="150"/>
        <v>8.333333333344024</v>
      </c>
    </row>
    <row r="112" spans="2:45" x14ac:dyDescent="0.25">
      <c r="B112" s="66"/>
      <c r="C112" s="62"/>
      <c r="D112" s="62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R112" s="6" t="str">
        <f t="shared" si="134"/>
        <v>F#</v>
      </c>
      <c r="S112" s="12">
        <f t="shared" si="136"/>
        <v>2817.1938399267583</v>
      </c>
      <c r="T112" s="12">
        <f t="shared" si="136"/>
        <v>-1343.9278020270558</v>
      </c>
      <c r="U112" s="12">
        <f t="shared" si="136"/>
        <v>1005.1125321338986</v>
      </c>
      <c r="V112" s="12">
        <f t="shared" si="136"/>
        <v>0</v>
      </c>
      <c r="W112" s="12">
        <f t="shared" si="136"/>
        <v>0</v>
      </c>
      <c r="X112" s="12">
        <f t="shared" si="136"/>
        <v>-1395.304265705563</v>
      </c>
      <c r="Y112" s="12">
        <f t="shared" si="136"/>
        <v>1131.3809650824305</v>
      </c>
      <c r="Z112" s="12">
        <f t="shared" si="136"/>
        <v>-2461.0595568662393</v>
      </c>
      <c r="AA112" s="12">
        <f t="shared" si="136"/>
        <v>3394.1428952472234</v>
      </c>
      <c r="AD112" t="str">
        <f t="shared" si="137"/>
        <v>G#</v>
      </c>
      <c r="AE112">
        <f t="shared" si="138"/>
        <v>540</v>
      </c>
      <c r="AF112" s="90">
        <f t="shared" si="139"/>
        <v>9.375</v>
      </c>
      <c r="AH112" t="str">
        <f t="shared" si="140"/>
        <v>G#</v>
      </c>
      <c r="AI112">
        <f t="shared" si="141"/>
        <v>-59.999999999968303</v>
      </c>
      <c r="AJ112" s="90">
        <f t="shared" si="142"/>
        <v>8.3333333333289321</v>
      </c>
      <c r="AM112" t="str">
        <f>AD112</f>
        <v>G#</v>
      </c>
      <c r="AN112">
        <f t="shared" ref="AN112:AS112" si="151">AE112</f>
        <v>540</v>
      </c>
      <c r="AO112">
        <f t="shared" si="151"/>
        <v>9.375</v>
      </c>
      <c r="AQ112" t="str">
        <f t="shared" si="151"/>
        <v>G#</v>
      </c>
      <c r="AR112">
        <f t="shared" si="151"/>
        <v>-59.999999999968303</v>
      </c>
      <c r="AS112">
        <f t="shared" si="151"/>
        <v>8.3333333333289321</v>
      </c>
    </row>
    <row r="113" spans="2:45" x14ac:dyDescent="0.25">
      <c r="B113" s="66"/>
      <c r="C113" s="62"/>
      <c r="D113" s="62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R113" s="6" t="str">
        <f t="shared" si="134"/>
        <v>G</v>
      </c>
      <c r="S113" s="12">
        <f t="shared" si="136"/>
        <v>3177.274188866686</v>
      </c>
      <c r="T113" s="12">
        <f t="shared" si="136"/>
        <v>-1267.793287796967</v>
      </c>
      <c r="U113" s="12">
        <f t="shared" si="136"/>
        <v>665.20537400424018</v>
      </c>
      <c r="V113" s="12">
        <f t="shared" si="136"/>
        <v>212.47731553929043</v>
      </c>
      <c r="W113" s="12">
        <f t="shared" si="136"/>
        <v>-158.99848187967564</v>
      </c>
      <c r="X113" s="12">
        <f t="shared" si="136"/>
        <v>-1479.9436621483983</v>
      </c>
      <c r="Y113" s="12">
        <f t="shared" si="136"/>
        <v>665.20537400425383</v>
      </c>
      <c r="Z113" s="12">
        <f t="shared" si="136"/>
        <v>-1664.936619916989</v>
      </c>
      <c r="AA113" s="12">
        <f t="shared" si="136"/>
        <v>1995.6161220127615</v>
      </c>
      <c r="AD113" t="str">
        <f t="shared" si="137"/>
        <v>A</v>
      </c>
      <c r="AE113">
        <f t="shared" si="138"/>
        <v>600</v>
      </c>
      <c r="AF113" s="90">
        <f t="shared" si="139"/>
        <v>10.416666666666666</v>
      </c>
      <c r="AH113" t="str">
        <f t="shared" si="140"/>
        <v>A</v>
      </c>
      <c r="AI113">
        <f t="shared" si="141"/>
        <v>-119.99999999999093</v>
      </c>
      <c r="AJ113" s="90">
        <f t="shared" si="142"/>
        <v>16.66666666666541</v>
      </c>
      <c r="AM113" t="str">
        <f>AD107</f>
        <v>D#</v>
      </c>
      <c r="AN113">
        <f t="shared" ref="AN113:AS113" si="152">AE107</f>
        <v>480</v>
      </c>
      <c r="AO113">
        <f t="shared" si="152"/>
        <v>8.3333333333333339</v>
      </c>
      <c r="AQ113" t="str">
        <f t="shared" si="152"/>
        <v>D#</v>
      </c>
      <c r="AR113">
        <f t="shared" si="152"/>
        <v>-59.999999999968303</v>
      </c>
      <c r="AS113">
        <f t="shared" si="152"/>
        <v>8.3333333333289321</v>
      </c>
    </row>
    <row r="114" spans="2:45" x14ac:dyDescent="0.25">
      <c r="B114" s="66"/>
      <c r="C114" s="62"/>
      <c r="D114" s="62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R114" s="6" t="str">
        <f t="shared" si="134"/>
        <v>G#</v>
      </c>
      <c r="S114" s="12">
        <f t="shared" si="136"/>
        <v>2965.5536753215074</v>
      </c>
      <c r="T114" s="12">
        <f t="shared" si="136"/>
        <v>-1677.0560900665623</v>
      </c>
      <c r="U114" s="12">
        <f t="shared" si="136"/>
        <v>1129.4754149652545</v>
      </c>
      <c r="V114" s="12">
        <f t="shared" si="136"/>
        <v>112.49238505542962</v>
      </c>
      <c r="W114" s="12">
        <f t="shared" si="136"/>
        <v>-84.27406831164717</v>
      </c>
      <c r="X114" s="12">
        <f t="shared" si="136"/>
        <v>-2236.07478675538</v>
      </c>
      <c r="Y114" s="12">
        <f t="shared" si="136"/>
        <v>1413.4190670370299</v>
      </c>
      <c r="Z114" s="12">
        <f t="shared" si="136"/>
        <v>-2515.5841350997889</v>
      </c>
      <c r="AA114" s="12">
        <f t="shared" si="136"/>
        <v>2538.5169827385471</v>
      </c>
      <c r="AD114" t="str">
        <f t="shared" si="137"/>
        <v>A#</v>
      </c>
      <c r="AE114">
        <f t="shared" si="138"/>
        <v>420</v>
      </c>
      <c r="AF114" s="90">
        <f t="shared" si="139"/>
        <v>7.291666666666667</v>
      </c>
      <c r="AH114" t="str">
        <f t="shared" si="140"/>
        <v>A#</v>
      </c>
      <c r="AI114">
        <f t="shared" si="141"/>
        <v>59.999999999968303</v>
      </c>
      <c r="AJ114" s="90">
        <f t="shared" si="142"/>
        <v>-8.3333333333289321</v>
      </c>
      <c r="AM114" t="str">
        <f>AD114</f>
        <v>A#</v>
      </c>
      <c r="AN114">
        <f t="shared" ref="AN114:AS114" si="153">AE114</f>
        <v>420</v>
      </c>
      <c r="AO114">
        <f t="shared" si="153"/>
        <v>7.291666666666667</v>
      </c>
      <c r="AQ114" t="str">
        <f t="shared" si="153"/>
        <v>A#</v>
      </c>
      <c r="AR114">
        <f t="shared" si="153"/>
        <v>59.999999999968303</v>
      </c>
      <c r="AS114">
        <f t="shared" si="153"/>
        <v>-8.3333333333289321</v>
      </c>
    </row>
    <row r="115" spans="2:45" x14ac:dyDescent="0.25">
      <c r="B115" s="66"/>
      <c r="C115" s="62"/>
      <c r="D115" s="62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R115" s="6" t="str">
        <f t="shared" si="134"/>
        <v>A</v>
      </c>
      <c r="S115" s="12">
        <f t="shared" si="136"/>
        <v>4195.3964237491891</v>
      </c>
      <c r="T115" s="12">
        <f t="shared" si="136"/>
        <v>-888.94592250070673</v>
      </c>
      <c r="U115" s="12">
        <f t="shared" si="136"/>
        <v>1343.9278020270558</v>
      </c>
      <c r="V115" s="12">
        <f t="shared" si="136"/>
        <v>237.95968219830684</v>
      </c>
      <c r="W115" s="12">
        <f t="shared" si="136"/>
        <v>-178.06714153025951</v>
      </c>
      <c r="X115" s="12">
        <f t="shared" si="136"/>
        <v>-712.02180988133478</v>
      </c>
      <c r="Y115" s="12">
        <f t="shared" si="136"/>
        <v>1343.9278020270558</v>
      </c>
      <c r="Z115" s="12">
        <f t="shared" si="136"/>
        <v>-1864.6121725992998</v>
      </c>
      <c r="AA115" s="12">
        <f t="shared" si="136"/>
        <v>3581.8138658594762</v>
      </c>
      <c r="AD115" t="str">
        <f t="shared" si="137"/>
        <v>B</v>
      </c>
      <c r="AE115">
        <f t="shared" si="138"/>
        <v>600</v>
      </c>
      <c r="AF115" s="90">
        <f t="shared" si="139"/>
        <v>10.416666666666666</v>
      </c>
      <c r="AH115" t="str">
        <f t="shared" si="140"/>
        <v>B</v>
      </c>
      <c r="AI115">
        <f t="shared" si="141"/>
        <v>0</v>
      </c>
      <c r="AJ115" s="90">
        <f t="shared" si="142"/>
        <v>0</v>
      </c>
      <c r="AM115" t="str">
        <f>AD109</f>
        <v>F</v>
      </c>
      <c r="AN115">
        <f t="shared" ref="AN115:AS115" si="154">AE109</f>
        <v>240</v>
      </c>
      <c r="AO115">
        <f t="shared" si="154"/>
        <v>4.166666666666667</v>
      </c>
      <c r="AQ115" t="str">
        <f t="shared" si="154"/>
        <v>F</v>
      </c>
      <c r="AR115">
        <f t="shared" si="154"/>
        <v>-120.00000000004525</v>
      </c>
      <c r="AS115">
        <f t="shared" si="154"/>
        <v>16.666666666672956</v>
      </c>
    </row>
    <row r="116" spans="2:45" x14ac:dyDescent="0.25">
      <c r="B116" s="66"/>
      <c r="C116" s="62"/>
      <c r="D116" s="62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R116" s="6" t="str">
        <f t="shared" si="134"/>
        <v>A#</v>
      </c>
      <c r="S116" s="12">
        <f t="shared" si="136"/>
        <v>3778.4370717147431</v>
      </c>
      <c r="T116" s="12">
        <f t="shared" si="136"/>
        <v>-1507.668798200848</v>
      </c>
      <c r="U116" s="12">
        <f t="shared" si="136"/>
        <v>949.7963240376157</v>
      </c>
      <c r="V116" s="12">
        <f t="shared" si="136"/>
        <v>126.26843294853188</v>
      </c>
      <c r="W116" s="12">
        <f t="shared" si="136"/>
        <v>94.701324711381858</v>
      </c>
      <c r="X116" s="12">
        <f t="shared" si="136"/>
        <v>-2010.2250642677973</v>
      </c>
      <c r="Y116" s="12">
        <f t="shared" si="136"/>
        <v>1267.793287796967</v>
      </c>
      <c r="Z116" s="12">
        <f t="shared" si="136"/>
        <v>-2542.7341599399006</v>
      </c>
      <c r="AA116" s="12">
        <f t="shared" si="136"/>
        <v>1897.5502433195652</v>
      </c>
      <c r="AD116" t="s">
        <v>183</v>
      </c>
      <c r="AE116">
        <f>SUM(AE104:AE115)</f>
        <v>5760</v>
      </c>
      <c r="AH116" t="s">
        <v>183</v>
      </c>
      <c r="AI116">
        <f>SUM(AI104:AI115)</f>
        <v>-719.99999999999989</v>
      </c>
    </row>
    <row r="117" spans="2:45" x14ac:dyDescent="0.25">
      <c r="B117" s="66"/>
      <c r="C117" s="62"/>
      <c r="D117" s="62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R117" s="6" t="str">
        <f t="shared" si="134"/>
        <v>B</v>
      </c>
      <c r="S117" s="12">
        <f t="shared" si="136"/>
        <v>4232.1778176323369</v>
      </c>
      <c r="T117" s="12">
        <f t="shared" si="136"/>
        <v>-1395.3042657055357</v>
      </c>
      <c r="U117" s="12">
        <f t="shared" si="136"/>
        <v>1508.507953443268</v>
      </c>
      <c r="V117" s="12">
        <f t="shared" si="136"/>
        <v>0</v>
      </c>
      <c r="W117" s="12">
        <f t="shared" si="136"/>
        <v>0</v>
      </c>
      <c r="X117" s="12">
        <f t="shared" si="136"/>
        <v>-1330.4107480084804</v>
      </c>
      <c r="Y117" s="12">
        <f t="shared" si="136"/>
        <v>1677.0560900665623</v>
      </c>
      <c r="Z117" s="12">
        <f t="shared" si="136"/>
        <v>-2687.855604054057</v>
      </c>
      <c r="AA117" s="12">
        <f t="shared" si="136"/>
        <v>4020.4501285356491</v>
      </c>
    </row>
    <row r="118" spans="2:45" x14ac:dyDescent="0.25">
      <c r="B118" s="66"/>
      <c r="C118" s="62"/>
      <c r="D118" s="62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R118" s="6" t="str">
        <f t="shared" si="134"/>
        <v>C</v>
      </c>
      <c r="S118" s="12">
        <f t="shared" si="136"/>
        <v>3993.122048127625</v>
      </c>
      <c r="T118" s="12">
        <f t="shared" si="136"/>
        <v>-1904.8982932269791</v>
      </c>
      <c r="U118" s="12">
        <f t="shared" si="136"/>
        <v>532.81163944018772</v>
      </c>
      <c r="V118" s="12">
        <f t="shared" si="136"/>
        <v>283.94365207177543</v>
      </c>
      <c r="W118" s="12">
        <f t="shared" si="136"/>
        <v>-212.47731553929043</v>
      </c>
      <c r="X118" s="12">
        <f t="shared" si="136"/>
        <v>-2258.9508299305089</v>
      </c>
      <c r="Y118" s="12">
        <f t="shared" si="136"/>
        <v>888.94592250070673</v>
      </c>
      <c r="Z118" s="12">
        <f t="shared" si="136"/>
        <v>-3173.0185222118052</v>
      </c>
      <c r="AA118" s="12">
        <f t="shared" si="136"/>
        <v>1598.4349183205086</v>
      </c>
    </row>
    <row r="119" spans="2:45" x14ac:dyDescent="0.25">
      <c r="B119" s="66"/>
      <c r="C119" s="62"/>
      <c r="D119" s="62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</row>
    <row r="120" spans="2:45" x14ac:dyDescent="0.25">
      <c r="B120" s="66"/>
      <c r="C120" s="62"/>
      <c r="D120" s="62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</row>
    <row r="121" spans="2:45" x14ac:dyDescent="0.25">
      <c r="B121" s="66"/>
      <c r="C121" s="62"/>
      <c r="D121" s="62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</row>
    <row r="122" spans="2:45" x14ac:dyDescent="0.25">
      <c r="B122" s="66"/>
      <c r="C122" s="62"/>
      <c r="D122" s="62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</row>
    <row r="123" spans="2:45" x14ac:dyDescent="0.25">
      <c r="B123" s="66"/>
      <c r="C123" s="62"/>
      <c r="D123" s="62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</row>
    <row r="124" spans="2:45" x14ac:dyDescent="0.25">
      <c r="B124" s="66"/>
      <c r="C124" s="62"/>
      <c r="D124" s="62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</row>
    <row r="125" spans="2:45" x14ac:dyDescent="0.25">
      <c r="B125" s="66"/>
      <c r="C125" s="62"/>
      <c r="D125" s="62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</row>
    <row r="126" spans="2:45" x14ac:dyDescent="0.25">
      <c r="B126" s="25"/>
      <c r="C126" s="25"/>
      <c r="D126" s="25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</row>
    <row r="127" spans="2:45" x14ac:dyDescent="0.25">
      <c r="B127" s="25"/>
      <c r="C127" s="25"/>
      <c r="D127" s="25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</row>
    <row r="128" spans="2:45" x14ac:dyDescent="0.25">
      <c r="B128" s="25"/>
      <c r="C128" s="25"/>
      <c r="D128" s="25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</row>
    <row r="129" spans="2:16" x14ac:dyDescent="0.25">
      <c r="B129" s="25"/>
      <c r="C129" s="25"/>
      <c r="D129" s="25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</row>
    <row r="130" spans="2:16" x14ac:dyDescent="0.25">
      <c r="B130" s="25"/>
      <c r="C130" s="25"/>
      <c r="D130" s="25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</row>
    <row r="131" spans="2:16" x14ac:dyDescent="0.25">
      <c r="B131" s="25"/>
      <c r="C131" s="25"/>
      <c r="D131" s="25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</row>
    <row r="132" spans="2:16" x14ac:dyDescent="0.25">
      <c r="B132" s="25"/>
      <c r="C132" s="25"/>
      <c r="D132" s="25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</row>
    <row r="133" spans="2:16" x14ac:dyDescent="0.25">
      <c r="B133" s="25"/>
      <c r="C133" s="25"/>
      <c r="D133" s="25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</row>
    <row r="134" spans="2:16" x14ac:dyDescent="0.25">
      <c r="B134" s="25"/>
      <c r="C134" s="25"/>
      <c r="D134" s="25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</row>
    <row r="135" spans="2:16" x14ac:dyDescent="0.25">
      <c r="B135" s="25"/>
      <c r="C135" s="25"/>
      <c r="D135" s="25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</row>
    <row r="136" spans="2:16" x14ac:dyDescent="0.25">
      <c r="B136" s="25"/>
      <c r="C136" s="25"/>
      <c r="D136" s="25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2:16" x14ac:dyDescent="0.25"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</row>
    <row r="138" spans="2:16" x14ac:dyDescent="0.25"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</row>
    <row r="139" spans="2:16" x14ac:dyDescent="0.25"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</row>
    <row r="140" spans="2:16" x14ac:dyDescent="0.25"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</row>
    <row r="141" spans="2:16" x14ac:dyDescent="0.25"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</row>
    <row r="142" spans="2:16" x14ac:dyDescent="0.25"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</row>
    <row r="143" spans="2:16" x14ac:dyDescent="0.25"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</row>
    <row r="144" spans="2:16" x14ac:dyDescent="0.25"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</row>
    <row r="145" spans="5:16" x14ac:dyDescent="0.25"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</row>
    <row r="146" spans="5:16" x14ac:dyDescent="0.25"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</row>
    <row r="147" spans="5:16" x14ac:dyDescent="0.25"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</row>
    <row r="148" spans="5:16" x14ac:dyDescent="0.25"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</row>
    <row r="149" spans="5:16" x14ac:dyDescent="0.25"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</row>
    <row r="150" spans="5:16" x14ac:dyDescent="0.25"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</row>
    <row r="151" spans="5:16" x14ac:dyDescent="0.25"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</row>
    <row r="152" spans="5:16" x14ac:dyDescent="0.25"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</row>
    <row r="153" spans="5:16" x14ac:dyDescent="0.25"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</row>
    <row r="154" spans="5:16" x14ac:dyDescent="0.25"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</row>
  </sheetData>
  <phoneticPr fontId="25" type="noConversion"/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74" r:id="rId4" name="Drop Down 26">
              <controlPr defaultSize="0" autoLine="0" autoPict="0">
                <anchor moveWithCells="1">
                  <from>
                    <xdr:col>0</xdr:col>
                    <xdr:colOff>0</xdr:colOff>
                    <xdr:row>5</xdr:row>
                    <xdr:rowOff>160020</xdr:rowOff>
                  </from>
                  <to>
                    <xdr:col>2</xdr:col>
                    <xdr:colOff>60960</xdr:colOff>
                    <xdr:row>7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25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25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25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25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25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25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25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P37"/>
  <sheetViews>
    <sheetView workbookViewId="0">
      <selection activeCell="R37" sqref="R37"/>
    </sheetView>
  </sheetViews>
  <sheetFormatPr defaultRowHeight="13.2" x14ac:dyDescent="0.25"/>
  <cols>
    <col min="1" max="1" width="6.33203125" customWidth="1"/>
    <col min="2" max="2" width="4.44140625" customWidth="1"/>
    <col min="3" max="3" width="4.88671875" customWidth="1"/>
    <col min="4" max="4" width="2" customWidth="1"/>
    <col min="8" max="8" width="3.109375" customWidth="1"/>
    <col min="9" max="9" width="1.88671875" customWidth="1"/>
    <col min="10" max="10" width="5.33203125" customWidth="1"/>
    <col min="11" max="11" width="5.5546875" customWidth="1"/>
    <col min="12" max="12" width="3.5546875" customWidth="1"/>
  </cols>
  <sheetData>
    <row r="5" spans="1:16" x14ac:dyDescent="0.25">
      <c r="A5" s="127"/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</row>
    <row r="6" spans="1:16" ht="22.8" x14ac:dyDescent="0.4">
      <c r="A6" s="127"/>
      <c r="B6" s="125" t="str">
        <f>+Temper_Choice_Name</f>
        <v>Bach 1722 (Lehman, from title page of WTC)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27"/>
    </row>
    <row r="7" spans="1:16" x14ac:dyDescent="0.25">
      <c r="A7" s="127"/>
      <c r="B7" s="91" t="s">
        <v>188</v>
      </c>
      <c r="C7" s="91"/>
      <c r="D7" s="91"/>
      <c r="E7" s="91"/>
      <c r="F7" s="91"/>
      <c r="G7" s="91"/>
      <c r="H7" s="91"/>
      <c r="I7" s="15"/>
      <c r="J7" s="3" t="s">
        <v>189</v>
      </c>
      <c r="K7" s="3"/>
      <c r="L7" s="3"/>
      <c r="M7" s="3"/>
      <c r="N7" s="3"/>
      <c r="O7" s="3"/>
      <c r="P7" s="127"/>
    </row>
    <row r="8" spans="1:16" x14ac:dyDescent="0.25">
      <c r="A8" s="127"/>
      <c r="B8" s="91"/>
      <c r="C8" s="91"/>
      <c r="D8" s="123" t="s">
        <v>190</v>
      </c>
      <c r="E8" s="91"/>
      <c r="F8" s="91"/>
      <c r="G8" s="91"/>
      <c r="H8" s="91"/>
      <c r="I8" s="15"/>
      <c r="J8" s="3"/>
      <c r="K8" s="3"/>
      <c r="L8" s="124" t="str">
        <f>D8</f>
        <v>Chromatically</v>
      </c>
      <c r="M8" s="3"/>
      <c r="N8" s="3"/>
      <c r="O8" s="3"/>
      <c r="P8" s="127"/>
    </row>
    <row r="9" spans="1:16" x14ac:dyDescent="0.25">
      <c r="A9" s="127"/>
      <c r="B9" s="91" t="str">
        <f>Data!U21</f>
        <v>Root</v>
      </c>
      <c r="C9" s="121" t="str">
        <f>Data!AH21</f>
        <v>TUs</v>
      </c>
      <c r="D9" s="91"/>
      <c r="E9" s="91"/>
      <c r="F9" s="91"/>
      <c r="G9" s="91"/>
      <c r="H9" s="91"/>
      <c r="I9" s="15"/>
      <c r="J9" s="3" t="str">
        <f>Data!U21</f>
        <v>Root</v>
      </c>
      <c r="K9" s="122" t="str">
        <f>Data!AK21</f>
        <v>TUs</v>
      </c>
      <c r="L9" s="3"/>
      <c r="M9" s="3"/>
      <c r="N9" s="3"/>
      <c r="O9" s="3"/>
      <c r="P9" s="127"/>
    </row>
    <row r="10" spans="1:16" x14ac:dyDescent="0.25">
      <c r="A10" s="127"/>
      <c r="B10" s="91" t="str">
        <f>Data!U22</f>
        <v>C</v>
      </c>
      <c r="C10" s="91">
        <f>Data!AH22</f>
        <v>240</v>
      </c>
      <c r="D10" s="91"/>
      <c r="E10" s="91"/>
      <c r="F10" s="91"/>
      <c r="G10" s="91"/>
      <c r="H10" s="91"/>
      <c r="I10" s="15"/>
      <c r="J10" s="3" t="str">
        <f>Data!U22</f>
        <v>C</v>
      </c>
      <c r="K10" s="3">
        <f>Data!AK22</f>
        <v>-120</v>
      </c>
      <c r="L10" s="3"/>
      <c r="M10" s="3"/>
      <c r="N10" s="3"/>
      <c r="O10" s="3"/>
      <c r="P10" s="127"/>
    </row>
    <row r="11" spans="1:16" x14ac:dyDescent="0.25">
      <c r="A11" s="127"/>
      <c r="B11" s="91" t="str">
        <f>Data!U23</f>
        <v>C#</v>
      </c>
      <c r="C11" s="91">
        <f>Data!AH23</f>
        <v>600</v>
      </c>
      <c r="D11" s="91"/>
      <c r="E11" s="91"/>
      <c r="F11" s="91"/>
      <c r="G11" s="91"/>
      <c r="H11" s="91"/>
      <c r="I11" s="15"/>
      <c r="J11" s="3" t="str">
        <f>Data!U23</f>
        <v>C#</v>
      </c>
      <c r="K11" s="3">
        <f>Data!AK23</f>
        <v>-60</v>
      </c>
      <c r="L11" s="3"/>
      <c r="M11" s="3"/>
      <c r="N11" s="3"/>
      <c r="O11" s="3"/>
      <c r="P11" s="127"/>
    </row>
    <row r="12" spans="1:16" x14ac:dyDescent="0.25">
      <c r="A12" s="127"/>
      <c r="B12" s="91" t="str">
        <f>Data!U24</f>
        <v>D</v>
      </c>
      <c r="C12" s="91">
        <f>Data!AH24</f>
        <v>480</v>
      </c>
      <c r="D12" s="91"/>
      <c r="E12" s="91"/>
      <c r="F12" s="91"/>
      <c r="G12" s="91"/>
      <c r="H12" s="91"/>
      <c r="I12" s="15"/>
      <c r="J12" s="3" t="str">
        <f>Data!U24</f>
        <v>D</v>
      </c>
      <c r="K12" s="3">
        <f>Data!AK24</f>
        <v>-120</v>
      </c>
      <c r="L12" s="3"/>
      <c r="M12" s="3"/>
      <c r="N12" s="3"/>
      <c r="O12" s="3"/>
      <c r="P12" s="127"/>
    </row>
    <row r="13" spans="1:16" x14ac:dyDescent="0.25">
      <c r="A13" s="127"/>
      <c r="B13" s="91" t="str">
        <f>Data!U25</f>
        <v>D#</v>
      </c>
      <c r="C13" s="91">
        <f>Data!AH25</f>
        <v>480</v>
      </c>
      <c r="D13" s="91"/>
      <c r="E13" s="91"/>
      <c r="F13" s="91"/>
      <c r="G13" s="91"/>
      <c r="H13" s="91"/>
      <c r="I13" s="15"/>
      <c r="J13" s="3" t="str">
        <f>Data!U25</f>
        <v>D#</v>
      </c>
      <c r="K13" s="3">
        <f>Data!AK25</f>
        <v>-60</v>
      </c>
      <c r="L13" s="3"/>
      <c r="M13" s="3"/>
      <c r="N13" s="3"/>
      <c r="O13" s="3"/>
      <c r="P13" s="127"/>
    </row>
    <row r="14" spans="1:16" x14ac:dyDescent="0.25">
      <c r="A14" s="127"/>
      <c r="B14" s="91" t="str">
        <f>Data!U26</f>
        <v>E</v>
      </c>
      <c r="C14" s="91">
        <f>Data!AH26</f>
        <v>660</v>
      </c>
      <c r="D14" s="91"/>
      <c r="E14" s="91"/>
      <c r="F14" s="91"/>
      <c r="G14" s="91"/>
      <c r="H14" s="91"/>
      <c r="I14" s="15"/>
      <c r="J14" s="3" t="str">
        <f>Data!U26</f>
        <v>E</v>
      </c>
      <c r="K14" s="3">
        <f>Data!AK26</f>
        <v>0</v>
      </c>
      <c r="L14" s="3"/>
      <c r="M14" s="3"/>
      <c r="N14" s="3"/>
      <c r="O14" s="3"/>
      <c r="P14" s="127"/>
    </row>
    <row r="15" spans="1:16" x14ac:dyDescent="0.25">
      <c r="A15" s="127"/>
      <c r="B15" s="91" t="str">
        <f>Data!U27</f>
        <v>F</v>
      </c>
      <c r="C15" s="91">
        <f>Data!AH27</f>
        <v>240</v>
      </c>
      <c r="D15" s="91"/>
      <c r="E15" s="91"/>
      <c r="F15" s="91"/>
      <c r="G15" s="91"/>
      <c r="H15" s="91"/>
      <c r="I15" s="15"/>
      <c r="J15" s="3" t="str">
        <f>Data!U27</f>
        <v>F</v>
      </c>
      <c r="K15" s="3">
        <f>Data!AK27</f>
        <v>-120</v>
      </c>
      <c r="L15" s="3"/>
      <c r="M15" s="3"/>
      <c r="N15" s="3"/>
      <c r="O15" s="3"/>
      <c r="P15" s="127"/>
    </row>
    <row r="16" spans="1:16" x14ac:dyDescent="0.25">
      <c r="A16" s="127"/>
      <c r="B16" s="91" t="str">
        <f>Data!U28</f>
        <v>F#</v>
      </c>
      <c r="C16" s="91">
        <f>Data!AH28</f>
        <v>540</v>
      </c>
      <c r="D16" s="91"/>
      <c r="E16" s="91"/>
      <c r="F16" s="91"/>
      <c r="G16" s="91"/>
      <c r="H16" s="91"/>
      <c r="I16" s="15"/>
      <c r="J16" s="3" t="str">
        <f>Data!U28</f>
        <v>F#</v>
      </c>
      <c r="K16" s="3">
        <f>Data!AK28</f>
        <v>0</v>
      </c>
      <c r="L16" s="3"/>
      <c r="M16" s="3"/>
      <c r="N16" s="3"/>
      <c r="O16" s="3"/>
      <c r="P16" s="127"/>
    </row>
    <row r="17" spans="1:16" x14ac:dyDescent="0.25">
      <c r="A17" s="127"/>
      <c r="B17" s="91" t="str">
        <f>Data!U29</f>
        <v>G</v>
      </c>
      <c r="C17" s="91">
        <f>Data!AH29</f>
        <v>360</v>
      </c>
      <c r="D17" s="91"/>
      <c r="E17" s="91"/>
      <c r="F17" s="91"/>
      <c r="G17" s="91"/>
      <c r="H17" s="91"/>
      <c r="I17" s="15"/>
      <c r="J17" s="3" t="str">
        <f>Data!U29</f>
        <v>G</v>
      </c>
      <c r="K17" s="3">
        <f>Data!AK29</f>
        <v>-120</v>
      </c>
      <c r="L17" s="3"/>
      <c r="M17" s="3"/>
      <c r="N17" s="3"/>
      <c r="O17" s="3"/>
      <c r="P17" s="127"/>
    </row>
    <row r="18" spans="1:16" x14ac:dyDescent="0.25">
      <c r="A18" s="127"/>
      <c r="B18" s="91" t="str">
        <f>Data!U30</f>
        <v>G#</v>
      </c>
      <c r="C18" s="91">
        <f>Data!AH30</f>
        <v>540</v>
      </c>
      <c r="D18" s="91"/>
      <c r="E18" s="91"/>
      <c r="F18" s="91"/>
      <c r="G18" s="91"/>
      <c r="H18" s="91"/>
      <c r="I18" s="15"/>
      <c r="J18" s="3" t="str">
        <f>Data!U30</f>
        <v>G#</v>
      </c>
      <c r="K18" s="3">
        <f>Data!AK30</f>
        <v>-60</v>
      </c>
      <c r="L18" s="3"/>
      <c r="M18" s="3"/>
      <c r="N18" s="3"/>
      <c r="O18" s="3"/>
      <c r="P18" s="127"/>
    </row>
    <row r="19" spans="1:16" x14ac:dyDescent="0.25">
      <c r="A19" s="127"/>
      <c r="B19" s="91" t="str">
        <f>Data!U31</f>
        <v>A</v>
      </c>
      <c r="C19" s="91">
        <f>Data!AH31</f>
        <v>600</v>
      </c>
      <c r="D19" s="91"/>
      <c r="E19" s="91"/>
      <c r="F19" s="91"/>
      <c r="G19" s="91"/>
      <c r="H19" s="91"/>
      <c r="I19" s="15"/>
      <c r="J19" s="3" t="str">
        <f>Data!U31</f>
        <v>A</v>
      </c>
      <c r="K19" s="3">
        <f>Data!AK31</f>
        <v>-120</v>
      </c>
      <c r="L19" s="3"/>
      <c r="M19" s="3"/>
      <c r="N19" s="3"/>
      <c r="O19" s="3"/>
      <c r="P19" s="127"/>
    </row>
    <row r="20" spans="1:16" x14ac:dyDescent="0.25">
      <c r="A20" s="127"/>
      <c r="B20" s="91" t="str">
        <f>Data!U32</f>
        <v>A#</v>
      </c>
      <c r="C20" s="91">
        <f>Data!AH32</f>
        <v>420</v>
      </c>
      <c r="D20" s="91"/>
      <c r="E20" s="91"/>
      <c r="F20" s="91"/>
      <c r="G20" s="91"/>
      <c r="H20" s="91"/>
      <c r="I20" s="15"/>
      <c r="J20" s="3" t="str">
        <f>Data!U32</f>
        <v>A#</v>
      </c>
      <c r="K20" s="3">
        <f>Data!AK32</f>
        <v>60</v>
      </c>
      <c r="L20" s="3"/>
      <c r="M20" s="3"/>
      <c r="N20" s="3"/>
      <c r="O20" s="3"/>
      <c r="P20" s="127"/>
    </row>
    <row r="21" spans="1:16" x14ac:dyDescent="0.25">
      <c r="A21" s="127"/>
      <c r="B21" s="91" t="str">
        <f>Data!U33</f>
        <v>B</v>
      </c>
      <c r="C21" s="91">
        <f>Data!AH33</f>
        <v>600</v>
      </c>
      <c r="D21" s="91"/>
      <c r="E21" s="91"/>
      <c r="F21" s="91"/>
      <c r="G21" s="91"/>
      <c r="H21" s="91"/>
      <c r="I21" s="15"/>
      <c r="J21" s="3" t="str">
        <f>Data!U33</f>
        <v>B</v>
      </c>
      <c r="K21" s="3">
        <f>Data!AK33</f>
        <v>0</v>
      </c>
      <c r="L21" s="3"/>
      <c r="M21" s="3"/>
      <c r="N21" s="3"/>
      <c r="O21" s="3"/>
      <c r="P21" s="127"/>
    </row>
    <row r="22" spans="1:16" x14ac:dyDescent="0.25">
      <c r="A22" s="127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27"/>
    </row>
    <row r="23" spans="1:16" x14ac:dyDescent="0.25">
      <c r="A23" s="127"/>
      <c r="B23" s="3"/>
      <c r="C23" s="3"/>
      <c r="D23" s="124" t="s">
        <v>191</v>
      </c>
      <c r="E23" s="3"/>
      <c r="F23" s="3"/>
      <c r="G23" s="3"/>
      <c r="H23" s="3"/>
      <c r="I23" s="15"/>
      <c r="J23" s="91"/>
      <c r="K23" s="91"/>
      <c r="L23" s="123" t="str">
        <f>D23</f>
        <v>Circle of 5ths</v>
      </c>
      <c r="M23" s="91"/>
      <c r="N23" s="91"/>
      <c r="O23" s="91"/>
      <c r="P23" s="127"/>
    </row>
    <row r="24" spans="1:16" x14ac:dyDescent="0.25">
      <c r="A24" s="127"/>
      <c r="B24" s="3" t="str">
        <f>B9</f>
        <v>Root</v>
      </c>
      <c r="C24" s="122" t="str">
        <f>C9</f>
        <v>TUs</v>
      </c>
      <c r="D24" s="3"/>
      <c r="E24" s="3"/>
      <c r="F24" s="3"/>
      <c r="G24" s="3"/>
      <c r="H24" s="3"/>
      <c r="I24" s="15"/>
      <c r="J24" s="91" t="str">
        <f>J9</f>
        <v>Root</v>
      </c>
      <c r="K24" s="121" t="str">
        <f>K9</f>
        <v>TUs</v>
      </c>
      <c r="L24" s="91"/>
      <c r="M24" s="91"/>
      <c r="N24" s="91"/>
      <c r="O24" s="91"/>
      <c r="P24" s="127"/>
    </row>
    <row r="25" spans="1:16" x14ac:dyDescent="0.25">
      <c r="A25" s="127"/>
      <c r="B25" s="3" t="str">
        <f>B15</f>
        <v>F</v>
      </c>
      <c r="C25" s="3">
        <f>C15</f>
        <v>240</v>
      </c>
      <c r="D25" s="3"/>
      <c r="E25" s="3"/>
      <c r="F25" s="3"/>
      <c r="G25" s="3"/>
      <c r="H25" s="3"/>
      <c r="I25" s="15"/>
      <c r="J25" s="91" t="str">
        <f t="shared" ref="J25:J36" si="0">B25</f>
        <v>F</v>
      </c>
      <c r="K25" s="91">
        <f>K15</f>
        <v>-120</v>
      </c>
      <c r="L25" s="91"/>
      <c r="M25" s="91"/>
      <c r="N25" s="91"/>
      <c r="O25" s="91"/>
      <c r="P25" s="127"/>
    </row>
    <row r="26" spans="1:16" x14ac:dyDescent="0.25">
      <c r="A26" s="127"/>
      <c r="B26" s="3" t="str">
        <f>B10</f>
        <v>C</v>
      </c>
      <c r="C26" s="3">
        <f>C10</f>
        <v>240</v>
      </c>
      <c r="D26" s="3"/>
      <c r="E26" s="3"/>
      <c r="F26" s="3"/>
      <c r="G26" s="3"/>
      <c r="H26" s="3"/>
      <c r="I26" s="15"/>
      <c r="J26" s="91" t="str">
        <f t="shared" si="0"/>
        <v>C</v>
      </c>
      <c r="K26" s="91">
        <f>K10</f>
        <v>-120</v>
      </c>
      <c r="L26" s="91"/>
      <c r="M26" s="91"/>
      <c r="N26" s="91"/>
      <c r="O26" s="91"/>
      <c r="P26" s="127"/>
    </row>
    <row r="27" spans="1:16" x14ac:dyDescent="0.25">
      <c r="A27" s="127"/>
      <c r="B27" s="3" t="str">
        <f>B17</f>
        <v>G</v>
      </c>
      <c r="C27" s="3">
        <f>C17</f>
        <v>360</v>
      </c>
      <c r="D27" s="3"/>
      <c r="E27" s="3"/>
      <c r="F27" s="3"/>
      <c r="G27" s="3"/>
      <c r="H27" s="3"/>
      <c r="I27" s="15"/>
      <c r="J27" s="91" t="str">
        <f t="shared" si="0"/>
        <v>G</v>
      </c>
      <c r="K27" s="91">
        <f>K17</f>
        <v>-120</v>
      </c>
      <c r="L27" s="91"/>
      <c r="M27" s="91"/>
      <c r="N27" s="91"/>
      <c r="O27" s="91"/>
      <c r="P27" s="127"/>
    </row>
    <row r="28" spans="1:16" x14ac:dyDescent="0.25">
      <c r="A28" s="127"/>
      <c r="B28" s="3" t="str">
        <f>B12</f>
        <v>D</v>
      </c>
      <c r="C28" s="3">
        <f>C12</f>
        <v>480</v>
      </c>
      <c r="D28" s="3"/>
      <c r="E28" s="3"/>
      <c r="F28" s="3"/>
      <c r="G28" s="3"/>
      <c r="H28" s="3"/>
      <c r="I28" s="15"/>
      <c r="J28" s="91" t="str">
        <f t="shared" si="0"/>
        <v>D</v>
      </c>
      <c r="K28" s="91">
        <f>K12</f>
        <v>-120</v>
      </c>
      <c r="L28" s="91"/>
      <c r="M28" s="91"/>
      <c r="N28" s="91"/>
      <c r="O28" s="91"/>
      <c r="P28" s="127"/>
    </row>
    <row r="29" spans="1:16" x14ac:dyDescent="0.25">
      <c r="A29" s="127"/>
      <c r="B29" s="3" t="str">
        <f>B19</f>
        <v>A</v>
      </c>
      <c r="C29" s="3">
        <f>C19</f>
        <v>600</v>
      </c>
      <c r="D29" s="3"/>
      <c r="E29" s="3"/>
      <c r="F29" s="3"/>
      <c r="G29" s="3"/>
      <c r="H29" s="3"/>
      <c r="I29" s="15"/>
      <c r="J29" s="91" t="str">
        <f t="shared" si="0"/>
        <v>A</v>
      </c>
      <c r="K29" s="91">
        <f>K19</f>
        <v>-120</v>
      </c>
      <c r="L29" s="91"/>
      <c r="M29" s="91"/>
      <c r="N29" s="91"/>
      <c r="O29" s="91"/>
      <c r="P29" s="127"/>
    </row>
    <row r="30" spans="1:16" x14ac:dyDescent="0.25">
      <c r="A30" s="127"/>
      <c r="B30" s="3" t="str">
        <f>B14</f>
        <v>E</v>
      </c>
      <c r="C30" s="3">
        <f>C14</f>
        <v>660</v>
      </c>
      <c r="D30" s="3"/>
      <c r="E30" s="3"/>
      <c r="F30" s="3"/>
      <c r="G30" s="3"/>
      <c r="H30" s="3"/>
      <c r="I30" s="15"/>
      <c r="J30" s="91" t="str">
        <f t="shared" si="0"/>
        <v>E</v>
      </c>
      <c r="K30" s="91">
        <f>K14</f>
        <v>0</v>
      </c>
      <c r="L30" s="91"/>
      <c r="M30" s="91"/>
      <c r="N30" s="91"/>
      <c r="O30" s="91"/>
      <c r="P30" s="127"/>
    </row>
    <row r="31" spans="1:16" x14ac:dyDescent="0.25">
      <c r="A31" s="127"/>
      <c r="B31" s="3" t="str">
        <f>B21</f>
        <v>B</v>
      </c>
      <c r="C31" s="3">
        <f>C21</f>
        <v>600</v>
      </c>
      <c r="D31" s="3"/>
      <c r="E31" s="3"/>
      <c r="F31" s="3"/>
      <c r="G31" s="3"/>
      <c r="H31" s="3"/>
      <c r="I31" s="15"/>
      <c r="J31" s="91" t="str">
        <f t="shared" si="0"/>
        <v>B</v>
      </c>
      <c r="K31" s="91">
        <f>K21</f>
        <v>0</v>
      </c>
      <c r="L31" s="91"/>
      <c r="M31" s="91"/>
      <c r="N31" s="91"/>
      <c r="O31" s="91"/>
      <c r="P31" s="127"/>
    </row>
    <row r="32" spans="1:16" x14ac:dyDescent="0.25">
      <c r="A32" s="127"/>
      <c r="B32" s="3" t="str">
        <f>B16</f>
        <v>F#</v>
      </c>
      <c r="C32" s="3">
        <f>C16</f>
        <v>540</v>
      </c>
      <c r="D32" s="3"/>
      <c r="E32" s="3"/>
      <c r="F32" s="3"/>
      <c r="G32" s="3"/>
      <c r="H32" s="3"/>
      <c r="I32" s="15"/>
      <c r="J32" s="91" t="str">
        <f t="shared" si="0"/>
        <v>F#</v>
      </c>
      <c r="K32" s="91">
        <f>K16</f>
        <v>0</v>
      </c>
      <c r="L32" s="91"/>
      <c r="M32" s="91"/>
      <c r="N32" s="91"/>
      <c r="O32" s="91"/>
      <c r="P32" s="127"/>
    </row>
    <row r="33" spans="1:16" x14ac:dyDescent="0.25">
      <c r="A33" s="127"/>
      <c r="B33" s="3" t="str">
        <f>B11</f>
        <v>C#</v>
      </c>
      <c r="C33" s="3">
        <f>C11</f>
        <v>600</v>
      </c>
      <c r="D33" s="3"/>
      <c r="E33" s="3"/>
      <c r="F33" s="3"/>
      <c r="G33" s="3"/>
      <c r="H33" s="3"/>
      <c r="I33" s="15"/>
      <c r="J33" s="91" t="str">
        <f t="shared" si="0"/>
        <v>C#</v>
      </c>
      <c r="K33" s="91">
        <f>K11</f>
        <v>-60</v>
      </c>
      <c r="L33" s="91"/>
      <c r="M33" s="91"/>
      <c r="N33" s="91"/>
      <c r="O33" s="91"/>
      <c r="P33" s="127"/>
    </row>
    <row r="34" spans="1:16" x14ac:dyDescent="0.25">
      <c r="A34" s="127"/>
      <c r="B34" s="3" t="str">
        <f>B18</f>
        <v>G#</v>
      </c>
      <c r="C34" s="3">
        <f>C18</f>
        <v>540</v>
      </c>
      <c r="D34" s="3"/>
      <c r="E34" s="3"/>
      <c r="F34" s="3"/>
      <c r="G34" s="3"/>
      <c r="H34" s="3"/>
      <c r="I34" s="15"/>
      <c r="J34" s="91" t="str">
        <f t="shared" si="0"/>
        <v>G#</v>
      </c>
      <c r="K34" s="91">
        <f>K18</f>
        <v>-60</v>
      </c>
      <c r="L34" s="91"/>
      <c r="M34" s="91"/>
      <c r="N34" s="91"/>
      <c r="O34" s="91"/>
      <c r="P34" s="127"/>
    </row>
    <row r="35" spans="1:16" x14ac:dyDescent="0.25">
      <c r="A35" s="127"/>
      <c r="B35" s="3" t="str">
        <f>B13</f>
        <v>D#</v>
      </c>
      <c r="C35" s="3">
        <f>C13</f>
        <v>480</v>
      </c>
      <c r="D35" s="3"/>
      <c r="E35" s="3"/>
      <c r="F35" s="3"/>
      <c r="G35" s="3"/>
      <c r="H35" s="3"/>
      <c r="I35" s="15"/>
      <c r="J35" s="91" t="str">
        <f t="shared" si="0"/>
        <v>D#</v>
      </c>
      <c r="K35" s="91">
        <f>K13</f>
        <v>-60</v>
      </c>
      <c r="L35" s="91"/>
      <c r="M35" s="91"/>
      <c r="N35" s="91"/>
      <c r="O35" s="91"/>
      <c r="P35" s="127"/>
    </row>
    <row r="36" spans="1:16" x14ac:dyDescent="0.25">
      <c r="A36" s="127"/>
      <c r="B36" s="3" t="str">
        <f>B20</f>
        <v>A#</v>
      </c>
      <c r="C36" s="3">
        <f>C20</f>
        <v>420</v>
      </c>
      <c r="D36" s="3"/>
      <c r="E36" s="3"/>
      <c r="F36" s="3"/>
      <c r="G36" s="3"/>
      <c r="H36" s="3"/>
      <c r="I36" s="15"/>
      <c r="J36" s="91" t="str">
        <f t="shared" si="0"/>
        <v>A#</v>
      </c>
      <c r="K36" s="91">
        <f>K20</f>
        <v>60</v>
      </c>
      <c r="L36" s="91"/>
      <c r="M36" s="91"/>
      <c r="N36" s="91"/>
      <c r="O36" s="91"/>
      <c r="P36" s="127"/>
    </row>
    <row r="37" spans="1:16" x14ac:dyDescent="0.25">
      <c r="A37" s="127"/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</row>
  </sheetData>
  <phoneticPr fontId="25" type="noConversion"/>
  <printOptions gridLines="1" gridLinesSet="0"/>
  <pageMargins left="0.75" right="0.75" top="1" bottom="1" header="0.5" footer="0.5"/>
  <pageSetup orientation="portrait" verticalDpi="0" r:id="rId1"/>
  <headerFooter alignWithMargins="0">
    <oddHeader>&amp;A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25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25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25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25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25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25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25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36</vt:i4>
      </vt:variant>
    </vt:vector>
  </HeadingPairs>
  <TitlesOfParts>
    <vt:vector size="52" baseType="lpstr">
      <vt:lpstr>Data</vt:lpstr>
      <vt:lpstr>Pie Charts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AdjFromA</vt:lpstr>
      <vt:lpstr>CalcA</vt:lpstr>
      <vt:lpstr>CalcC</vt:lpstr>
      <vt:lpstr>CommaUsed</vt:lpstr>
      <vt:lpstr>DC</vt:lpstr>
      <vt:lpstr>Ditonic_Comma</vt:lpstr>
      <vt:lpstr>FactMaj3</vt:lpstr>
      <vt:lpstr>FactMin3</vt:lpstr>
      <vt:lpstr>FactMin7</vt:lpstr>
      <vt:lpstr>FactPer4</vt:lpstr>
      <vt:lpstr>FactPer5</vt:lpstr>
      <vt:lpstr>FactSmm3</vt:lpstr>
      <vt:lpstr>LucyC</vt:lpstr>
      <vt:lpstr>Maj3</vt:lpstr>
      <vt:lpstr>Maj6</vt:lpstr>
      <vt:lpstr>Maj7</vt:lpstr>
      <vt:lpstr>Min3</vt:lpstr>
      <vt:lpstr>Min6</vt:lpstr>
      <vt:lpstr>Min6Alt1</vt:lpstr>
      <vt:lpstr>Min7</vt:lpstr>
      <vt:lpstr>Min7Alt1</vt:lpstr>
      <vt:lpstr>Min7Alt2</vt:lpstr>
      <vt:lpstr>Per4</vt:lpstr>
      <vt:lpstr>Per5</vt:lpstr>
      <vt:lpstr>Data!Print_Area</vt:lpstr>
      <vt:lpstr>'Pie Charts'!Print_Area</vt:lpstr>
      <vt:lpstr>Recipe</vt:lpstr>
      <vt:lpstr>RefA</vt:lpstr>
      <vt:lpstr>RefC</vt:lpstr>
      <vt:lpstr>SC</vt:lpstr>
      <vt:lpstr>Schisma</vt:lpstr>
      <vt:lpstr>Smm3</vt:lpstr>
      <vt:lpstr>Syntonic_Comma</vt:lpstr>
      <vt:lpstr>Temper_Choice</vt:lpstr>
      <vt:lpstr>Temper_Choice_Name</vt:lpstr>
      <vt:lpstr>UseA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Temperament Beat Analyzer</dc:title>
  <dc:creator>Bradley Lehman</dc:creator>
  <cp:lastModifiedBy>Currier, Matthew</cp:lastModifiedBy>
  <cp:lastPrinted>2004-04-10T19:34:16Z</cp:lastPrinted>
  <dcterms:created xsi:type="dcterms:W3CDTF">1997-06-17T20:54:41Z</dcterms:created>
  <dcterms:modified xsi:type="dcterms:W3CDTF">2016-03-15T21:23:45Z</dcterms:modified>
</cp:coreProperties>
</file>