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mno\Google Drive\Dugouts\2018\"/>
    </mc:Choice>
  </mc:AlternateContent>
  <xr:revisionPtr revIDLastSave="0" documentId="13_ncr:1_{3E21621C-CA68-407C-927D-5156C2CA1FB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Water" sheetId="2" r:id="rId2"/>
    <sheet name="Raw" sheetId="6" r:id="rId3"/>
    <sheet name="Assumptions" sheetId="3" r:id="rId4"/>
    <sheet name="Wind" sheetId="4" r:id="rId5"/>
    <sheet name="Atm" sheetId="5" r:id="rId6"/>
  </sheets>
  <definedNames>
    <definedName name="_xlnm._FilterDatabase" localSheetId="5" hidden="1">Atm!$A$1:$A$105</definedName>
    <definedName name="_xlnm._FilterDatabase" localSheetId="2" hidden="1">Raw!$A$1:$A$440</definedName>
    <definedName name="_xlnm._FilterDatabase" localSheetId="0" hidden="1">Sheet1!$AU$1:$AU$353</definedName>
    <definedName name="_xlnm._FilterDatabase" localSheetId="1" hidden="1">Water!$A$1:$A$91</definedName>
    <definedName name="_xlnm._FilterDatabase" localSheetId="4" hidden="1">Wind!$E$1:$E$66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4" l="1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BL178" i="1" l="1"/>
  <c r="BM178" i="1"/>
  <c r="BN178" i="1" s="1"/>
  <c r="CB178" i="1"/>
  <c r="CP178" i="1"/>
  <c r="CQ178" i="1" s="1"/>
  <c r="CR178" i="1" s="1"/>
  <c r="BL179" i="1"/>
  <c r="BM179" i="1"/>
  <c r="BN179" i="1" s="1"/>
  <c r="CB179" i="1"/>
  <c r="CP179" i="1"/>
  <c r="CQ179" i="1" s="1"/>
  <c r="CR179" i="1" s="1"/>
  <c r="BL180" i="1"/>
  <c r="BM180" i="1"/>
  <c r="BN180" i="1" s="1"/>
  <c r="CB180" i="1"/>
  <c r="CP180" i="1"/>
  <c r="CQ180" i="1" s="1"/>
  <c r="CR180" i="1" s="1"/>
  <c r="BL181" i="1"/>
  <c r="BM181" i="1"/>
  <c r="BN181" i="1" s="1"/>
  <c r="CB181" i="1"/>
  <c r="CP181" i="1"/>
  <c r="CQ181" i="1" s="1"/>
  <c r="CR181" i="1" s="1"/>
  <c r="BL182" i="1"/>
  <c r="BM182" i="1"/>
  <c r="BN182" i="1" s="1"/>
  <c r="CB182" i="1"/>
  <c r="CP182" i="1"/>
  <c r="CQ182" i="1" s="1"/>
  <c r="CR182" i="1" s="1"/>
  <c r="BL183" i="1"/>
  <c r="BM183" i="1"/>
  <c r="BN183" i="1" s="1"/>
  <c r="CB183" i="1"/>
  <c r="CP183" i="1"/>
  <c r="BL184" i="1"/>
  <c r="BM184" i="1"/>
  <c r="BN184" i="1" s="1"/>
  <c r="CB184" i="1"/>
  <c r="CP184" i="1"/>
  <c r="CQ184" i="1" s="1"/>
  <c r="CR184" i="1" s="1"/>
  <c r="BL185" i="1"/>
  <c r="BM185" i="1"/>
  <c r="BN185" i="1" s="1"/>
  <c r="CB185" i="1"/>
  <c r="CP185" i="1"/>
  <c r="CQ185" i="1" s="1"/>
  <c r="CR185" i="1" s="1"/>
  <c r="BL186" i="1"/>
  <c r="BM186" i="1"/>
  <c r="CB186" i="1"/>
  <c r="CP186" i="1"/>
  <c r="BL187" i="1"/>
  <c r="BM187" i="1"/>
  <c r="BN187" i="1" s="1"/>
  <c r="CB187" i="1"/>
  <c r="CP187" i="1"/>
  <c r="CQ187" i="1" s="1"/>
  <c r="CR187" i="1" s="1"/>
  <c r="BL188" i="1"/>
  <c r="BM188" i="1"/>
  <c r="BN188" i="1" s="1"/>
  <c r="CB188" i="1"/>
  <c r="CP188" i="1"/>
  <c r="CQ188" i="1" s="1"/>
  <c r="CR188" i="1" s="1"/>
  <c r="BL189" i="1"/>
  <c r="BM189" i="1"/>
  <c r="BU189" i="1" s="1"/>
  <c r="CB189" i="1"/>
  <c r="CP189" i="1"/>
  <c r="CQ189" i="1" s="1"/>
  <c r="CR189" i="1" s="1"/>
  <c r="BL190" i="1"/>
  <c r="BM190" i="1"/>
  <c r="CB190" i="1"/>
  <c r="CP190" i="1"/>
  <c r="CQ190" i="1" s="1"/>
  <c r="CR190" i="1" s="1"/>
  <c r="BL191" i="1"/>
  <c r="BM191" i="1"/>
  <c r="CB191" i="1"/>
  <c r="CP191" i="1"/>
  <c r="CQ191" i="1" s="1"/>
  <c r="CR191" i="1" s="1"/>
  <c r="BL192" i="1"/>
  <c r="BM192" i="1"/>
  <c r="CB192" i="1"/>
  <c r="CP192" i="1"/>
  <c r="CQ192" i="1" s="1"/>
  <c r="CR192" i="1" s="1"/>
  <c r="BL193" i="1"/>
  <c r="BM193" i="1"/>
  <c r="BN193" i="1" s="1"/>
  <c r="CB193" i="1"/>
  <c r="CP193" i="1"/>
  <c r="CQ193" i="1" s="1"/>
  <c r="CR193" i="1" s="1"/>
  <c r="BL194" i="1"/>
  <c r="BM194" i="1"/>
  <c r="BN194" i="1" s="1"/>
  <c r="CB194" i="1"/>
  <c r="CP194" i="1"/>
  <c r="CQ194" i="1" s="1"/>
  <c r="CR194" i="1" s="1"/>
  <c r="BL195" i="1"/>
  <c r="BM195" i="1"/>
  <c r="BN195" i="1" s="1"/>
  <c r="CB195" i="1"/>
  <c r="CP195" i="1"/>
  <c r="CQ195" i="1" s="1"/>
  <c r="CR195" i="1" s="1"/>
  <c r="BL196" i="1"/>
  <c r="BM196" i="1"/>
  <c r="BN196" i="1" s="1"/>
  <c r="CB196" i="1"/>
  <c r="CP196" i="1"/>
  <c r="CQ196" i="1" s="1"/>
  <c r="CR196" i="1" s="1"/>
  <c r="BL197" i="1"/>
  <c r="BM197" i="1"/>
  <c r="BN197" i="1" s="1"/>
  <c r="CB197" i="1"/>
  <c r="CP197" i="1"/>
  <c r="CQ197" i="1" s="1"/>
  <c r="CR197" i="1" s="1"/>
  <c r="BL198" i="1"/>
  <c r="BM198" i="1"/>
  <c r="BU198" i="1" s="1"/>
  <c r="CB198" i="1"/>
  <c r="CP198" i="1"/>
  <c r="CQ198" i="1" s="1"/>
  <c r="CR198" i="1" s="1"/>
  <c r="BL199" i="1"/>
  <c r="BM199" i="1"/>
  <c r="BN199" i="1" s="1"/>
  <c r="CB199" i="1"/>
  <c r="CP199" i="1"/>
  <c r="CQ199" i="1" s="1"/>
  <c r="CR199" i="1" s="1"/>
  <c r="BL200" i="1"/>
  <c r="BM200" i="1"/>
  <c r="BN200" i="1" s="1"/>
  <c r="CB200" i="1"/>
  <c r="CP200" i="1"/>
  <c r="CQ200" i="1" s="1"/>
  <c r="CR200" i="1" s="1"/>
  <c r="BL201" i="1"/>
  <c r="BM201" i="1"/>
  <c r="BN201" i="1" s="1"/>
  <c r="CB201" i="1"/>
  <c r="CP201" i="1"/>
  <c r="CQ201" i="1" s="1"/>
  <c r="CR201" i="1" s="1"/>
  <c r="BL202" i="1"/>
  <c r="BM202" i="1"/>
  <c r="BN202" i="1" s="1"/>
  <c r="CB202" i="1"/>
  <c r="CP202" i="1"/>
  <c r="CQ202" i="1" s="1"/>
  <c r="CR202" i="1" s="1"/>
  <c r="BL203" i="1"/>
  <c r="BM203" i="1"/>
  <c r="BN203" i="1" s="1"/>
  <c r="CB203" i="1"/>
  <c r="CP203" i="1"/>
  <c r="CQ203" i="1" s="1"/>
  <c r="CR203" i="1" s="1"/>
  <c r="BL204" i="1"/>
  <c r="BM204" i="1"/>
  <c r="BN204" i="1" s="1"/>
  <c r="CB204" i="1"/>
  <c r="CP204" i="1"/>
  <c r="CQ204" i="1" s="1"/>
  <c r="CR204" i="1" s="1"/>
  <c r="BL205" i="1"/>
  <c r="BM205" i="1"/>
  <c r="BN205" i="1" s="1"/>
  <c r="CB205" i="1"/>
  <c r="CP205" i="1"/>
  <c r="CQ205" i="1"/>
  <c r="CR205" i="1" s="1"/>
  <c r="BL206" i="1"/>
  <c r="BM206" i="1"/>
  <c r="BN206" i="1" s="1"/>
  <c r="CB206" i="1"/>
  <c r="CP206" i="1"/>
  <c r="CQ206" i="1" s="1"/>
  <c r="CR206" i="1" s="1"/>
  <c r="BL207" i="1"/>
  <c r="BM207" i="1"/>
  <c r="BU207" i="1" s="1"/>
  <c r="CB207" i="1"/>
  <c r="CP207" i="1"/>
  <c r="CQ207" i="1" s="1"/>
  <c r="CR207" i="1" s="1"/>
  <c r="BL208" i="1"/>
  <c r="BM208" i="1"/>
  <c r="BN208" i="1" s="1"/>
  <c r="CB208" i="1"/>
  <c r="CP208" i="1"/>
  <c r="CQ208" i="1" s="1"/>
  <c r="CR208" i="1" s="1"/>
  <c r="BL209" i="1"/>
  <c r="BM209" i="1"/>
  <c r="BU209" i="1" s="1"/>
  <c r="CB209" i="1"/>
  <c r="CP209" i="1"/>
  <c r="CQ209" i="1" s="1"/>
  <c r="CR209" i="1" s="1"/>
  <c r="BL210" i="1"/>
  <c r="BM210" i="1"/>
  <c r="CB210" i="1"/>
  <c r="CP210" i="1"/>
  <c r="BL211" i="1"/>
  <c r="BM211" i="1"/>
  <c r="CB211" i="1"/>
  <c r="CP211" i="1"/>
  <c r="CQ211" i="1" s="1"/>
  <c r="CR211" i="1" s="1"/>
  <c r="BL212" i="1"/>
  <c r="BM212" i="1"/>
  <c r="CB212" i="1"/>
  <c r="CP212" i="1"/>
  <c r="CQ212" i="1" s="1"/>
  <c r="CR212" i="1" s="1"/>
  <c r="BL213" i="1"/>
  <c r="BM213" i="1"/>
  <c r="BN213" i="1" s="1"/>
  <c r="CB213" i="1"/>
  <c r="CP213" i="1"/>
  <c r="CQ213" i="1" s="1"/>
  <c r="CR213" i="1" s="1"/>
  <c r="BL214" i="1"/>
  <c r="BM214" i="1"/>
  <c r="BN214" i="1" s="1"/>
  <c r="BU214" i="1"/>
  <c r="CB214" i="1"/>
  <c r="CP214" i="1"/>
  <c r="CQ214" i="1" s="1"/>
  <c r="CR214" i="1" s="1"/>
  <c r="BL215" i="1"/>
  <c r="BM215" i="1"/>
  <c r="BU215" i="1" s="1"/>
  <c r="CB215" i="1"/>
  <c r="CP215" i="1"/>
  <c r="CQ215" i="1" s="1"/>
  <c r="CR215" i="1" s="1"/>
  <c r="BL216" i="1"/>
  <c r="BM216" i="1"/>
  <c r="BN216" i="1" s="1"/>
  <c r="CB216" i="1"/>
  <c r="CP216" i="1"/>
  <c r="CQ216" i="1" s="1"/>
  <c r="CR216" i="1" s="1"/>
  <c r="BL217" i="1"/>
  <c r="BM217" i="1"/>
  <c r="BN217" i="1"/>
  <c r="BU217" i="1"/>
  <c r="CB217" i="1"/>
  <c r="CP217" i="1"/>
  <c r="CQ217" i="1" s="1"/>
  <c r="CR217" i="1" s="1"/>
  <c r="BL218" i="1"/>
  <c r="BM218" i="1"/>
  <c r="BN218" i="1" s="1"/>
  <c r="BU218" i="1"/>
  <c r="CB218" i="1"/>
  <c r="CP218" i="1"/>
  <c r="CQ218" i="1" s="1"/>
  <c r="CR218" i="1" s="1"/>
  <c r="BL219" i="1"/>
  <c r="BM219" i="1"/>
  <c r="BN219" i="1" s="1"/>
  <c r="CB219" i="1"/>
  <c r="CP219" i="1"/>
  <c r="CQ219" i="1" s="1"/>
  <c r="CR219" i="1" s="1"/>
  <c r="BL220" i="1"/>
  <c r="BM220" i="1"/>
  <c r="BU220" i="1" s="1"/>
  <c r="CB220" i="1"/>
  <c r="CP220" i="1"/>
  <c r="CQ220" i="1" s="1"/>
  <c r="CR220" i="1" s="1"/>
  <c r="BL221" i="1"/>
  <c r="BM221" i="1"/>
  <c r="BU221" i="1" s="1"/>
  <c r="CB221" i="1"/>
  <c r="CP221" i="1"/>
  <c r="CQ221" i="1" s="1"/>
  <c r="CR221" i="1" s="1"/>
  <c r="BL222" i="1"/>
  <c r="BM222" i="1"/>
  <c r="CB222" i="1"/>
  <c r="CP222" i="1"/>
  <c r="CQ222" i="1" s="1"/>
  <c r="CR222" i="1" s="1"/>
  <c r="BL223" i="1"/>
  <c r="BM223" i="1"/>
  <c r="BN223" i="1" s="1"/>
  <c r="CB223" i="1"/>
  <c r="CP223" i="1"/>
  <c r="CQ223" i="1" s="1"/>
  <c r="CR223" i="1" s="1"/>
  <c r="BL224" i="1"/>
  <c r="BM224" i="1"/>
  <c r="BN224" i="1" s="1"/>
  <c r="CB224" i="1"/>
  <c r="CP224" i="1"/>
  <c r="CQ224" i="1" s="1"/>
  <c r="CR224" i="1" s="1"/>
  <c r="BL225" i="1"/>
  <c r="BM225" i="1"/>
  <c r="BN225" i="1" s="1"/>
  <c r="CB225" i="1"/>
  <c r="CP225" i="1"/>
  <c r="CQ225" i="1" s="1"/>
  <c r="CR225" i="1" s="1"/>
  <c r="BL226" i="1"/>
  <c r="BM226" i="1"/>
  <c r="CB226" i="1"/>
  <c r="CP226" i="1"/>
  <c r="CQ226" i="1"/>
  <c r="CR226" i="1" s="1"/>
  <c r="BL227" i="1"/>
  <c r="BM227" i="1"/>
  <c r="BN227" i="1" s="1"/>
  <c r="CB227" i="1"/>
  <c r="CP227" i="1"/>
  <c r="CQ227" i="1" s="1"/>
  <c r="CR227" i="1" s="1"/>
  <c r="BL228" i="1"/>
  <c r="BM228" i="1"/>
  <c r="BN228" i="1" s="1"/>
  <c r="CB228" i="1"/>
  <c r="CP228" i="1"/>
  <c r="CQ228" i="1" s="1"/>
  <c r="CR228" i="1" s="1"/>
  <c r="BL229" i="1"/>
  <c r="BM229" i="1"/>
  <c r="BN229" i="1" s="1"/>
  <c r="CB229" i="1"/>
  <c r="CP229" i="1"/>
  <c r="CQ229" i="1" s="1"/>
  <c r="CR229" i="1" s="1"/>
  <c r="BL230" i="1"/>
  <c r="BM230" i="1"/>
  <c r="CB230" i="1"/>
  <c r="CP230" i="1"/>
  <c r="CQ230" i="1" s="1"/>
  <c r="CR230" i="1" s="1"/>
  <c r="BL231" i="1"/>
  <c r="BM231" i="1"/>
  <c r="CB231" i="1"/>
  <c r="CP231" i="1"/>
  <c r="CQ231" i="1" s="1"/>
  <c r="CR231" i="1" s="1"/>
  <c r="BL232" i="1"/>
  <c r="BM232" i="1"/>
  <c r="BN232" i="1" s="1"/>
  <c r="CB232" i="1"/>
  <c r="CP232" i="1"/>
  <c r="CQ232" i="1" s="1"/>
  <c r="CR232" i="1" s="1"/>
  <c r="BL233" i="1"/>
  <c r="BM233" i="1"/>
  <c r="BN233" i="1" s="1"/>
  <c r="BU233" i="1"/>
  <c r="CB233" i="1"/>
  <c r="CP233" i="1"/>
  <c r="CQ233" i="1" s="1"/>
  <c r="CR233" i="1" s="1"/>
  <c r="BL234" i="1"/>
  <c r="BM234" i="1"/>
  <c r="BN234" i="1" s="1"/>
  <c r="CB234" i="1"/>
  <c r="CP234" i="1"/>
  <c r="CQ234" i="1" s="1"/>
  <c r="CR234" i="1" s="1"/>
  <c r="BL235" i="1"/>
  <c r="BM235" i="1"/>
  <c r="BN235" i="1" s="1"/>
  <c r="CB235" i="1"/>
  <c r="CP235" i="1"/>
  <c r="CQ235" i="1" s="1"/>
  <c r="CR235" i="1" s="1"/>
  <c r="BL236" i="1"/>
  <c r="BM236" i="1"/>
  <c r="CB236" i="1"/>
  <c r="CP236" i="1"/>
  <c r="BL237" i="1"/>
  <c r="BM237" i="1"/>
  <c r="BN237" i="1" s="1"/>
  <c r="CB237" i="1"/>
  <c r="CP237" i="1"/>
  <c r="CQ237" i="1" s="1"/>
  <c r="CR237" i="1" s="1"/>
  <c r="BL238" i="1"/>
  <c r="BM238" i="1"/>
  <c r="BN238" i="1" s="1"/>
  <c r="CB238" i="1"/>
  <c r="CP238" i="1"/>
  <c r="CQ238" i="1" s="1"/>
  <c r="CR238" i="1" s="1"/>
  <c r="BL239" i="1"/>
  <c r="BM239" i="1"/>
  <c r="BN239" i="1" s="1"/>
  <c r="CB239" i="1"/>
  <c r="CP239" i="1"/>
  <c r="CQ239" i="1" s="1"/>
  <c r="CR239" i="1" s="1"/>
  <c r="BL240" i="1"/>
  <c r="BM240" i="1"/>
  <c r="BN240" i="1" s="1"/>
  <c r="CB240" i="1"/>
  <c r="CP240" i="1"/>
  <c r="CQ240" i="1" s="1"/>
  <c r="CR240" i="1" s="1"/>
  <c r="BL241" i="1"/>
  <c r="BM241" i="1"/>
  <c r="BN241" i="1" s="1"/>
  <c r="CB241" i="1"/>
  <c r="CP241" i="1"/>
  <c r="CQ241" i="1" s="1"/>
  <c r="CR241" i="1" s="1"/>
  <c r="BL242" i="1"/>
  <c r="BM242" i="1"/>
  <c r="BN242" i="1" s="1"/>
  <c r="CB242" i="1"/>
  <c r="CP242" i="1"/>
  <c r="CQ242" i="1" s="1"/>
  <c r="CR242" i="1" s="1"/>
  <c r="BL243" i="1"/>
  <c r="BM243" i="1"/>
  <c r="BN243" i="1" s="1"/>
  <c r="CB243" i="1"/>
  <c r="CP243" i="1"/>
  <c r="CQ243" i="1" s="1"/>
  <c r="CR243" i="1" s="1"/>
  <c r="BL244" i="1"/>
  <c r="BM244" i="1"/>
  <c r="BN244" i="1" s="1"/>
  <c r="CB244" i="1"/>
  <c r="CP244" i="1"/>
  <c r="CQ244" i="1" s="1"/>
  <c r="CR244" i="1" s="1"/>
  <c r="BL245" i="1"/>
  <c r="BM245" i="1"/>
  <c r="BN245" i="1"/>
  <c r="BU245" i="1"/>
  <c r="CB245" i="1"/>
  <c r="CP245" i="1"/>
  <c r="CQ245" i="1" s="1"/>
  <c r="CR245" i="1" s="1"/>
  <c r="BL246" i="1"/>
  <c r="BM246" i="1"/>
  <c r="BN246" i="1" s="1"/>
  <c r="CB246" i="1"/>
  <c r="CP246" i="1"/>
  <c r="CQ246" i="1" s="1"/>
  <c r="CR246" i="1" s="1"/>
  <c r="BL247" i="1"/>
  <c r="BM247" i="1"/>
  <c r="BN247" i="1" s="1"/>
  <c r="CB247" i="1"/>
  <c r="CP247" i="1"/>
  <c r="CQ247" i="1" s="1"/>
  <c r="CR247" i="1" s="1"/>
  <c r="BL248" i="1"/>
  <c r="BM248" i="1"/>
  <c r="BN248" i="1" s="1"/>
  <c r="CB248" i="1"/>
  <c r="CP248" i="1"/>
  <c r="CQ248" i="1" s="1"/>
  <c r="CR248" i="1" s="1"/>
  <c r="BL249" i="1"/>
  <c r="BM249" i="1"/>
  <c r="BN249" i="1" s="1"/>
  <c r="CB249" i="1"/>
  <c r="CP249" i="1"/>
  <c r="CQ249" i="1" s="1"/>
  <c r="CR249" i="1" s="1"/>
  <c r="BL250" i="1"/>
  <c r="BM250" i="1"/>
  <c r="BN250" i="1" s="1"/>
  <c r="CB250" i="1"/>
  <c r="CP250" i="1"/>
  <c r="CQ250" i="1" s="1"/>
  <c r="CR250" i="1" s="1"/>
  <c r="BL251" i="1"/>
  <c r="BM251" i="1"/>
  <c r="BN251" i="1" s="1"/>
  <c r="CB251" i="1"/>
  <c r="CP251" i="1"/>
  <c r="CQ251" i="1" s="1"/>
  <c r="CR251" i="1" s="1"/>
  <c r="BL252" i="1"/>
  <c r="BM252" i="1"/>
  <c r="BN252" i="1" s="1"/>
  <c r="CB252" i="1"/>
  <c r="CP252" i="1"/>
  <c r="CQ252" i="1" s="1"/>
  <c r="CR252" i="1" s="1"/>
  <c r="BL253" i="1"/>
  <c r="BM253" i="1"/>
  <c r="BU253" i="1" s="1"/>
  <c r="CB253" i="1"/>
  <c r="CP253" i="1"/>
  <c r="CQ253" i="1"/>
  <c r="CR253" i="1" s="1"/>
  <c r="BL254" i="1"/>
  <c r="BM254" i="1"/>
  <c r="BN254" i="1" s="1"/>
  <c r="CB254" i="1"/>
  <c r="CP254" i="1"/>
  <c r="BL255" i="1"/>
  <c r="BM255" i="1"/>
  <c r="BN255" i="1" s="1"/>
  <c r="CB255" i="1"/>
  <c r="CP255" i="1"/>
  <c r="CQ255" i="1" s="1"/>
  <c r="CR255" i="1" s="1"/>
  <c r="BL256" i="1"/>
  <c r="BM256" i="1"/>
  <c r="BN256" i="1" s="1"/>
  <c r="CB256" i="1"/>
  <c r="CP256" i="1"/>
  <c r="BL257" i="1"/>
  <c r="BM257" i="1"/>
  <c r="BU257" i="1" s="1"/>
  <c r="BN257" i="1"/>
  <c r="CB257" i="1"/>
  <c r="CP257" i="1"/>
  <c r="CQ257" i="1"/>
  <c r="CR257" i="1" s="1"/>
  <c r="BL258" i="1"/>
  <c r="BM258" i="1"/>
  <c r="BU258" i="1" s="1"/>
  <c r="CB258" i="1"/>
  <c r="CP258" i="1"/>
  <c r="CQ258" i="1" s="1"/>
  <c r="CR258" i="1" s="1"/>
  <c r="BL259" i="1"/>
  <c r="BM259" i="1"/>
  <c r="CB259" i="1"/>
  <c r="CP259" i="1"/>
  <c r="CQ259" i="1" s="1"/>
  <c r="CR259" i="1" s="1"/>
  <c r="BL260" i="1"/>
  <c r="BM260" i="1"/>
  <c r="BN260" i="1" s="1"/>
  <c r="CB260" i="1"/>
  <c r="CP260" i="1"/>
  <c r="CQ260" i="1" s="1"/>
  <c r="CR260" i="1" s="1"/>
  <c r="BL261" i="1"/>
  <c r="BM261" i="1"/>
  <c r="CB261" i="1"/>
  <c r="CP261" i="1"/>
  <c r="CQ261" i="1" s="1"/>
  <c r="CR261" i="1" s="1"/>
  <c r="BL262" i="1"/>
  <c r="BM262" i="1"/>
  <c r="BN262" i="1" s="1"/>
  <c r="CB262" i="1"/>
  <c r="CP262" i="1"/>
  <c r="CQ262" i="1" s="1"/>
  <c r="CR262" i="1" s="1"/>
  <c r="BL263" i="1"/>
  <c r="BM263" i="1"/>
  <c r="CB263" i="1"/>
  <c r="CP263" i="1"/>
  <c r="CQ263" i="1" s="1"/>
  <c r="CR263" i="1" s="1"/>
  <c r="BL264" i="1"/>
  <c r="BM264" i="1"/>
  <c r="BN264" i="1" s="1"/>
  <c r="BU264" i="1"/>
  <c r="CB264" i="1"/>
  <c r="CP264" i="1"/>
  <c r="BL265" i="1"/>
  <c r="BM265" i="1"/>
  <c r="CB265" i="1"/>
  <c r="CP265" i="1"/>
  <c r="CQ265" i="1" s="1"/>
  <c r="CR265" i="1" s="1"/>
  <c r="BL266" i="1"/>
  <c r="BM266" i="1"/>
  <c r="BN266" i="1" s="1"/>
  <c r="CB266" i="1"/>
  <c r="CP266" i="1"/>
  <c r="CQ266" i="1" s="1"/>
  <c r="CR266" i="1" s="1"/>
  <c r="BL267" i="1"/>
  <c r="BM267" i="1"/>
  <c r="CB267" i="1"/>
  <c r="CP267" i="1"/>
  <c r="CQ267" i="1" s="1"/>
  <c r="CR267" i="1" s="1"/>
  <c r="BL268" i="1"/>
  <c r="BM268" i="1"/>
  <c r="CB268" i="1"/>
  <c r="CP268" i="1"/>
  <c r="CQ268" i="1" s="1"/>
  <c r="CR268" i="1" s="1"/>
  <c r="BL269" i="1"/>
  <c r="BM269" i="1"/>
  <c r="BN269" i="1" s="1"/>
  <c r="CB269" i="1"/>
  <c r="CP269" i="1"/>
  <c r="CQ269" i="1" s="1"/>
  <c r="CR269" i="1" s="1"/>
  <c r="BL270" i="1"/>
  <c r="BM270" i="1"/>
  <c r="BN270" i="1" s="1"/>
  <c r="CB270" i="1"/>
  <c r="CP270" i="1"/>
  <c r="CQ270" i="1" s="1"/>
  <c r="CR270" i="1" s="1"/>
  <c r="BL271" i="1"/>
  <c r="BM271" i="1"/>
  <c r="CB271" i="1"/>
  <c r="CP271" i="1"/>
  <c r="CQ271" i="1" s="1"/>
  <c r="CR271" i="1" s="1"/>
  <c r="BL272" i="1"/>
  <c r="BM272" i="1"/>
  <c r="CB272" i="1"/>
  <c r="CP272" i="1"/>
  <c r="CQ272" i="1" s="1"/>
  <c r="CR272" i="1" s="1"/>
  <c r="BL273" i="1"/>
  <c r="BM273" i="1"/>
  <c r="BU273" i="1" s="1"/>
  <c r="CB273" i="1"/>
  <c r="CP273" i="1"/>
  <c r="CQ273" i="1" s="1"/>
  <c r="CR273" i="1" s="1"/>
  <c r="BL274" i="1"/>
  <c r="BM274" i="1"/>
  <c r="BN274" i="1" s="1"/>
  <c r="CB274" i="1"/>
  <c r="CP274" i="1"/>
  <c r="CQ274" i="1" s="1"/>
  <c r="CR274" i="1" s="1"/>
  <c r="BL275" i="1"/>
  <c r="BM275" i="1"/>
  <c r="BN275" i="1" s="1"/>
  <c r="CB275" i="1"/>
  <c r="CP275" i="1"/>
  <c r="CQ275" i="1" s="1"/>
  <c r="CR275" i="1" s="1"/>
  <c r="BL276" i="1"/>
  <c r="BM276" i="1"/>
  <c r="BN276" i="1" s="1"/>
  <c r="CB276" i="1"/>
  <c r="CP276" i="1"/>
  <c r="CQ276" i="1" s="1"/>
  <c r="CR276" i="1" s="1"/>
  <c r="BL277" i="1"/>
  <c r="BM277" i="1"/>
  <c r="BU277" i="1" s="1"/>
  <c r="CB277" i="1"/>
  <c r="CP277" i="1"/>
  <c r="CQ277" i="1" s="1"/>
  <c r="CR277" i="1" s="1"/>
  <c r="BL278" i="1"/>
  <c r="BM278" i="1"/>
  <c r="BN278" i="1" s="1"/>
  <c r="CB278" i="1"/>
  <c r="CP278" i="1"/>
  <c r="CQ278" i="1" s="1"/>
  <c r="CR278" i="1" s="1"/>
  <c r="BL279" i="1"/>
  <c r="BM279" i="1"/>
  <c r="BN279" i="1" s="1"/>
  <c r="CB279" i="1"/>
  <c r="CP279" i="1"/>
  <c r="CQ279" i="1" s="1"/>
  <c r="CR279" i="1" s="1"/>
  <c r="BL280" i="1"/>
  <c r="BM280" i="1"/>
  <c r="BN280" i="1" s="1"/>
  <c r="CB280" i="1"/>
  <c r="CP280" i="1"/>
  <c r="CQ280" i="1" s="1"/>
  <c r="CR280" i="1"/>
  <c r="BL281" i="1"/>
  <c r="BM281" i="1"/>
  <c r="BN281" i="1" s="1"/>
  <c r="CB281" i="1"/>
  <c r="CP281" i="1"/>
  <c r="CQ281" i="1" s="1"/>
  <c r="CR281" i="1" s="1"/>
  <c r="BL282" i="1"/>
  <c r="BM282" i="1"/>
  <c r="BN282" i="1" s="1"/>
  <c r="CB282" i="1"/>
  <c r="CP282" i="1"/>
  <c r="CQ282" i="1" s="1"/>
  <c r="CR282" i="1" s="1"/>
  <c r="BL283" i="1"/>
  <c r="BM283" i="1"/>
  <c r="BN283" i="1" s="1"/>
  <c r="CB283" i="1"/>
  <c r="CP283" i="1"/>
  <c r="CQ283" i="1" s="1"/>
  <c r="CR283" i="1" s="1"/>
  <c r="BL284" i="1"/>
  <c r="BM284" i="1"/>
  <c r="BN284" i="1" s="1"/>
  <c r="CB284" i="1"/>
  <c r="CP284" i="1"/>
  <c r="CQ284" i="1" s="1"/>
  <c r="CR284" i="1" s="1"/>
  <c r="BL285" i="1"/>
  <c r="BM285" i="1"/>
  <c r="BN285" i="1"/>
  <c r="BU285" i="1"/>
  <c r="CB285" i="1"/>
  <c r="CP285" i="1"/>
  <c r="CQ285" i="1" s="1"/>
  <c r="CR285" i="1" s="1"/>
  <c r="BL286" i="1"/>
  <c r="BM286" i="1"/>
  <c r="BU286" i="1" s="1"/>
  <c r="CB286" i="1"/>
  <c r="CP286" i="1"/>
  <c r="CQ286" i="1" s="1"/>
  <c r="CR286" i="1" s="1"/>
  <c r="BL287" i="1"/>
  <c r="BM287" i="1"/>
  <c r="CB287" i="1"/>
  <c r="CP287" i="1"/>
  <c r="CQ287" i="1"/>
  <c r="CR287" i="1" s="1"/>
  <c r="BL288" i="1"/>
  <c r="BM288" i="1"/>
  <c r="BN288" i="1" s="1"/>
  <c r="CB288" i="1"/>
  <c r="CP288" i="1"/>
  <c r="BL289" i="1"/>
  <c r="BM289" i="1"/>
  <c r="BN289" i="1" s="1"/>
  <c r="CB289" i="1"/>
  <c r="CP289" i="1"/>
  <c r="CQ289" i="1" s="1"/>
  <c r="CR289" i="1" s="1"/>
  <c r="BL290" i="1"/>
  <c r="BM290" i="1"/>
  <c r="BN290" i="1" s="1"/>
  <c r="CB290" i="1"/>
  <c r="CP290" i="1"/>
  <c r="CQ290" i="1" s="1"/>
  <c r="CR290" i="1" s="1"/>
  <c r="BL291" i="1"/>
  <c r="BM291" i="1"/>
  <c r="BN291" i="1" s="1"/>
  <c r="CB291" i="1"/>
  <c r="CP291" i="1"/>
  <c r="CQ291" i="1" s="1"/>
  <c r="CR291" i="1" s="1"/>
  <c r="BL292" i="1"/>
  <c r="BM292" i="1"/>
  <c r="BU292" i="1" s="1"/>
  <c r="CB292" i="1"/>
  <c r="CP292" i="1"/>
  <c r="CQ292" i="1" s="1"/>
  <c r="CR292" i="1" s="1"/>
  <c r="BL293" i="1"/>
  <c r="BM293" i="1"/>
  <c r="BN293" i="1" s="1"/>
  <c r="CB293" i="1"/>
  <c r="CP293" i="1"/>
  <c r="CQ293" i="1" s="1"/>
  <c r="CR293" i="1" s="1"/>
  <c r="BL294" i="1"/>
  <c r="BM294" i="1"/>
  <c r="BN294" i="1" s="1"/>
  <c r="CB294" i="1"/>
  <c r="CP294" i="1"/>
  <c r="CQ294" i="1" s="1"/>
  <c r="CR294" i="1" s="1"/>
  <c r="BL295" i="1"/>
  <c r="BM295" i="1"/>
  <c r="CB295" i="1"/>
  <c r="CP295" i="1"/>
  <c r="CQ295" i="1" s="1"/>
  <c r="CR295" i="1" s="1"/>
  <c r="BL296" i="1"/>
  <c r="BM296" i="1"/>
  <c r="BN296" i="1" s="1"/>
  <c r="CB296" i="1"/>
  <c r="CP296" i="1"/>
  <c r="CQ296" i="1" s="1"/>
  <c r="CR296" i="1" s="1"/>
  <c r="BL297" i="1"/>
  <c r="BM297" i="1"/>
  <c r="BN297" i="1" s="1"/>
  <c r="CB297" i="1"/>
  <c r="CP297" i="1"/>
  <c r="CQ297" i="1" s="1"/>
  <c r="CR297" i="1" s="1"/>
  <c r="BL298" i="1"/>
  <c r="BM298" i="1"/>
  <c r="BN298" i="1" s="1"/>
  <c r="CB298" i="1"/>
  <c r="CP298" i="1"/>
  <c r="CQ298" i="1" s="1"/>
  <c r="CR298" i="1" s="1"/>
  <c r="BL299" i="1"/>
  <c r="BM299" i="1"/>
  <c r="BN299" i="1" s="1"/>
  <c r="CB299" i="1"/>
  <c r="CP299" i="1"/>
  <c r="CQ299" i="1" s="1"/>
  <c r="CR299" i="1" s="1"/>
  <c r="BL300" i="1"/>
  <c r="BM300" i="1"/>
  <c r="BN300" i="1"/>
  <c r="BU300" i="1"/>
  <c r="CB300" i="1"/>
  <c r="CP300" i="1"/>
  <c r="CQ300" i="1" s="1"/>
  <c r="CR300" i="1" s="1"/>
  <c r="BL301" i="1"/>
  <c r="BM301" i="1"/>
  <c r="BN301" i="1" s="1"/>
  <c r="CB301" i="1"/>
  <c r="CP301" i="1"/>
  <c r="CQ301" i="1" s="1"/>
  <c r="CR301" i="1" s="1"/>
  <c r="BL302" i="1"/>
  <c r="BM302" i="1"/>
  <c r="BN302" i="1" s="1"/>
  <c r="CB302" i="1"/>
  <c r="CP302" i="1"/>
  <c r="CQ302" i="1"/>
  <c r="CR302" i="1" s="1"/>
  <c r="BL303" i="1"/>
  <c r="BM303" i="1"/>
  <c r="BN303" i="1" s="1"/>
  <c r="CB303" i="1"/>
  <c r="CP303" i="1"/>
  <c r="CQ303" i="1" s="1"/>
  <c r="CR303" i="1" s="1"/>
  <c r="BL304" i="1"/>
  <c r="BM304" i="1"/>
  <c r="BN304" i="1" s="1"/>
  <c r="CB304" i="1"/>
  <c r="CP304" i="1"/>
  <c r="CQ304" i="1" s="1"/>
  <c r="CR304" i="1" s="1"/>
  <c r="BL305" i="1"/>
  <c r="BM305" i="1"/>
  <c r="BN305" i="1" s="1"/>
  <c r="CB305" i="1"/>
  <c r="CP305" i="1"/>
  <c r="CQ305" i="1" s="1"/>
  <c r="CR305" i="1" s="1"/>
  <c r="BL306" i="1"/>
  <c r="BM306" i="1"/>
  <c r="BN306" i="1" s="1"/>
  <c r="CB306" i="1"/>
  <c r="CP306" i="1"/>
  <c r="CQ306" i="1" s="1"/>
  <c r="CR306" i="1" s="1"/>
  <c r="BL307" i="1"/>
  <c r="BM307" i="1"/>
  <c r="BU307" i="1" s="1"/>
  <c r="CB307" i="1"/>
  <c r="CP307" i="1"/>
  <c r="CQ307" i="1" s="1"/>
  <c r="CR307" i="1" s="1"/>
  <c r="BL308" i="1"/>
  <c r="BM308" i="1"/>
  <c r="BU308" i="1" s="1"/>
  <c r="CB308" i="1"/>
  <c r="CP308" i="1"/>
  <c r="CQ308" i="1" s="1"/>
  <c r="CR308" i="1" s="1"/>
  <c r="BL309" i="1"/>
  <c r="BM309" i="1"/>
  <c r="BN309" i="1" s="1"/>
  <c r="CB309" i="1"/>
  <c r="CP309" i="1"/>
  <c r="CQ309" i="1" s="1"/>
  <c r="CR309" i="1" s="1"/>
  <c r="BL310" i="1"/>
  <c r="BM310" i="1"/>
  <c r="BU310" i="1" s="1"/>
  <c r="BN310" i="1"/>
  <c r="CB310" i="1"/>
  <c r="CP310" i="1"/>
  <c r="CQ310" i="1" s="1"/>
  <c r="CR310" i="1" s="1"/>
  <c r="BL311" i="1"/>
  <c r="BM311" i="1"/>
  <c r="CB311" i="1"/>
  <c r="CP311" i="1"/>
  <c r="CQ311" i="1"/>
  <c r="CR311" i="1" s="1"/>
  <c r="BL312" i="1"/>
  <c r="BM312" i="1"/>
  <c r="BN312" i="1" s="1"/>
  <c r="CB312" i="1"/>
  <c r="CP312" i="1"/>
  <c r="CQ312" i="1" s="1"/>
  <c r="CR312" i="1" s="1"/>
  <c r="BL313" i="1"/>
  <c r="BM313" i="1"/>
  <c r="BN313" i="1" s="1"/>
  <c r="CB313" i="1"/>
  <c r="CP313" i="1"/>
  <c r="CQ313" i="1" s="1"/>
  <c r="CR313" i="1" s="1"/>
  <c r="BL314" i="1"/>
  <c r="BM314" i="1"/>
  <c r="BU314" i="1" s="1"/>
  <c r="CB314" i="1"/>
  <c r="CP314" i="1"/>
  <c r="CQ314" i="1" s="1"/>
  <c r="CR314" i="1" s="1"/>
  <c r="BL315" i="1"/>
  <c r="BM315" i="1"/>
  <c r="BN315" i="1" s="1"/>
  <c r="CB315" i="1"/>
  <c r="CP315" i="1"/>
  <c r="CQ315" i="1"/>
  <c r="CR315" i="1" s="1"/>
  <c r="BL316" i="1"/>
  <c r="BM316" i="1"/>
  <c r="CB316" i="1"/>
  <c r="CP316" i="1"/>
  <c r="BL317" i="1"/>
  <c r="BM317" i="1"/>
  <c r="BN317" i="1" s="1"/>
  <c r="BU317" i="1"/>
  <c r="CB317" i="1"/>
  <c r="CP317" i="1"/>
  <c r="CQ317" i="1" s="1"/>
  <c r="CR317" i="1" s="1"/>
  <c r="BL318" i="1"/>
  <c r="BM318" i="1"/>
  <c r="CB318" i="1"/>
  <c r="CP318" i="1"/>
  <c r="CQ318" i="1" s="1"/>
  <c r="CR318" i="1" s="1"/>
  <c r="BL319" i="1"/>
  <c r="BM319" i="1"/>
  <c r="CB319" i="1"/>
  <c r="CP319" i="1"/>
  <c r="CQ319" i="1" s="1"/>
  <c r="CR319" i="1" s="1"/>
  <c r="BL320" i="1"/>
  <c r="BM320" i="1"/>
  <c r="BU320" i="1" s="1"/>
  <c r="CB320" i="1"/>
  <c r="CP320" i="1"/>
  <c r="CQ320" i="1" s="1"/>
  <c r="CR320" i="1" s="1"/>
  <c r="BL321" i="1"/>
  <c r="BM321" i="1"/>
  <c r="BN321" i="1" s="1"/>
  <c r="CB321" i="1"/>
  <c r="CP321" i="1"/>
  <c r="BL322" i="1"/>
  <c r="BM322" i="1"/>
  <c r="CB322" i="1"/>
  <c r="CP322" i="1"/>
  <c r="CQ322" i="1" s="1"/>
  <c r="CR322" i="1" s="1"/>
  <c r="BL323" i="1"/>
  <c r="BM323" i="1"/>
  <c r="BN323" i="1" s="1"/>
  <c r="CB323" i="1"/>
  <c r="CP323" i="1"/>
  <c r="CQ323" i="1" s="1"/>
  <c r="CR323" i="1" s="1"/>
  <c r="BL324" i="1"/>
  <c r="BM324" i="1"/>
  <c r="CB324" i="1"/>
  <c r="CP324" i="1"/>
  <c r="CQ324" i="1" s="1"/>
  <c r="CR324" i="1" s="1"/>
  <c r="BL325" i="1"/>
  <c r="BM325" i="1"/>
  <c r="BN325" i="1" s="1"/>
  <c r="CB325" i="1"/>
  <c r="CP325" i="1"/>
  <c r="CQ325" i="1" s="1"/>
  <c r="CR325" i="1" s="1"/>
  <c r="BL326" i="1"/>
  <c r="BM326" i="1"/>
  <c r="BN326" i="1" s="1"/>
  <c r="CB326" i="1"/>
  <c r="CP326" i="1"/>
  <c r="CQ326" i="1" s="1"/>
  <c r="CR326" i="1" s="1"/>
  <c r="BL327" i="1"/>
  <c r="BM327" i="1"/>
  <c r="BN327" i="1" s="1"/>
  <c r="CB327" i="1"/>
  <c r="CP327" i="1"/>
  <c r="CQ327" i="1" s="1"/>
  <c r="CR327" i="1" s="1"/>
  <c r="BL328" i="1"/>
  <c r="BM328" i="1"/>
  <c r="CB328" i="1"/>
  <c r="CP328" i="1"/>
  <c r="CQ328" i="1" s="1"/>
  <c r="CR328" i="1" s="1"/>
  <c r="BL329" i="1"/>
  <c r="BM329" i="1"/>
  <c r="BN329" i="1" s="1"/>
  <c r="CB329" i="1"/>
  <c r="CP329" i="1"/>
  <c r="CQ329" i="1" s="1"/>
  <c r="CR329" i="1" s="1"/>
  <c r="BL330" i="1"/>
  <c r="BM330" i="1"/>
  <c r="BN330" i="1" s="1"/>
  <c r="CB330" i="1"/>
  <c r="CP330" i="1"/>
  <c r="CQ330" i="1" s="1"/>
  <c r="CR330" i="1" s="1"/>
  <c r="BL331" i="1"/>
  <c r="BM331" i="1"/>
  <c r="BN331" i="1" s="1"/>
  <c r="CB331" i="1"/>
  <c r="CP331" i="1"/>
  <c r="CQ331" i="1" s="1"/>
  <c r="CR331" i="1" s="1"/>
  <c r="BL332" i="1"/>
  <c r="BM332" i="1"/>
  <c r="BN332" i="1" s="1"/>
  <c r="CB332" i="1"/>
  <c r="CP332" i="1"/>
  <c r="CQ332" i="1" s="1"/>
  <c r="CR332" i="1" s="1"/>
  <c r="BL333" i="1"/>
  <c r="BM333" i="1"/>
  <c r="BN333" i="1" s="1"/>
  <c r="CB333" i="1"/>
  <c r="CP333" i="1"/>
  <c r="CQ333" i="1" s="1"/>
  <c r="CR333" i="1" s="1"/>
  <c r="BL334" i="1"/>
  <c r="BM334" i="1"/>
  <c r="CB334" i="1"/>
  <c r="CP334" i="1"/>
  <c r="CQ334" i="1" s="1"/>
  <c r="CR334" i="1" s="1"/>
  <c r="BL335" i="1"/>
  <c r="BM335" i="1"/>
  <c r="BN335" i="1" s="1"/>
  <c r="CB335" i="1"/>
  <c r="CP335" i="1"/>
  <c r="CQ335" i="1" s="1"/>
  <c r="CR335" i="1" s="1"/>
  <c r="BL336" i="1"/>
  <c r="BM336" i="1"/>
  <c r="BU336" i="1" s="1"/>
  <c r="CB336" i="1"/>
  <c r="CP336" i="1"/>
  <c r="CQ336" i="1" s="1"/>
  <c r="CR336" i="1" s="1"/>
  <c r="BL337" i="1"/>
  <c r="BM337" i="1"/>
  <c r="BN337" i="1" s="1"/>
  <c r="CB337" i="1"/>
  <c r="CP337" i="1"/>
  <c r="CQ337" i="1" s="1"/>
  <c r="CR337" i="1" s="1"/>
  <c r="BL338" i="1"/>
  <c r="BM338" i="1"/>
  <c r="BN338" i="1" s="1"/>
  <c r="BU338" i="1"/>
  <c r="CB338" i="1"/>
  <c r="CP338" i="1"/>
  <c r="CQ338" i="1" s="1"/>
  <c r="CR338" i="1" s="1"/>
  <c r="BL339" i="1"/>
  <c r="BM339" i="1"/>
  <c r="CB339" i="1"/>
  <c r="CP339" i="1"/>
  <c r="CQ339" i="1" s="1"/>
  <c r="CR339" i="1" s="1"/>
  <c r="BL340" i="1"/>
  <c r="BM340" i="1"/>
  <c r="BN340" i="1" s="1"/>
  <c r="CB340" i="1"/>
  <c r="CP340" i="1"/>
  <c r="CQ340" i="1" s="1"/>
  <c r="CR340" i="1" s="1"/>
  <c r="BL341" i="1"/>
  <c r="BM341" i="1"/>
  <c r="BN341" i="1" s="1"/>
  <c r="CB341" i="1"/>
  <c r="CP341" i="1"/>
  <c r="CQ341" i="1" s="1"/>
  <c r="CR341" i="1" s="1"/>
  <c r="BL342" i="1"/>
  <c r="BM342" i="1"/>
  <c r="CB342" i="1"/>
  <c r="CP342" i="1"/>
  <c r="CQ342" i="1" s="1"/>
  <c r="CR342" i="1" s="1"/>
  <c r="BL343" i="1"/>
  <c r="BM343" i="1"/>
  <c r="BN343" i="1" s="1"/>
  <c r="CB343" i="1"/>
  <c r="CP343" i="1"/>
  <c r="CQ343" i="1" s="1"/>
  <c r="CR343" i="1"/>
  <c r="BL344" i="1"/>
  <c r="BM344" i="1"/>
  <c r="BN344" i="1" s="1"/>
  <c r="BU344" i="1"/>
  <c r="CB344" i="1"/>
  <c r="CP344" i="1"/>
  <c r="CQ344" i="1"/>
  <c r="CR344" i="1" s="1"/>
  <c r="BL345" i="1"/>
  <c r="BM345" i="1"/>
  <c r="BN345" i="1" s="1"/>
  <c r="CB345" i="1"/>
  <c r="CP345" i="1"/>
  <c r="CQ345" i="1" s="1"/>
  <c r="CR345" i="1" s="1"/>
  <c r="BL346" i="1"/>
  <c r="BM346" i="1"/>
  <c r="CB346" i="1"/>
  <c r="CP346" i="1"/>
  <c r="CQ346" i="1" s="1"/>
  <c r="CR346" i="1" s="1"/>
  <c r="BL347" i="1"/>
  <c r="BM347" i="1"/>
  <c r="BN347" i="1" s="1"/>
  <c r="CB347" i="1"/>
  <c r="CP347" i="1"/>
  <c r="CQ347" i="1"/>
  <c r="CR347" i="1" s="1"/>
  <c r="BL348" i="1"/>
  <c r="BM348" i="1"/>
  <c r="BU348" i="1" s="1"/>
  <c r="CB348" i="1"/>
  <c r="CP348" i="1"/>
  <c r="BL349" i="1"/>
  <c r="BM349" i="1"/>
  <c r="BN349" i="1" s="1"/>
  <c r="CB349" i="1"/>
  <c r="CP349" i="1"/>
  <c r="CQ349" i="1" s="1"/>
  <c r="CR349" i="1" s="1"/>
  <c r="BL350" i="1"/>
  <c r="BM350" i="1"/>
  <c r="BN350" i="1" s="1"/>
  <c r="BU350" i="1"/>
  <c r="CB350" i="1"/>
  <c r="CP350" i="1"/>
  <c r="CQ350" i="1" s="1"/>
  <c r="CR350" i="1" s="1"/>
  <c r="BL351" i="1"/>
  <c r="BM351" i="1"/>
  <c r="BN351" i="1" s="1"/>
  <c r="CB351" i="1"/>
  <c r="CP351" i="1"/>
  <c r="CQ351" i="1" s="1"/>
  <c r="CR351" i="1" s="1"/>
  <c r="BL352" i="1"/>
  <c r="BM352" i="1"/>
  <c r="BN352" i="1" s="1"/>
  <c r="BU352" i="1"/>
  <c r="CB352" i="1"/>
  <c r="CP352" i="1"/>
  <c r="CQ352" i="1" s="1"/>
  <c r="CR352" i="1" s="1"/>
  <c r="BL353" i="1"/>
  <c r="BM353" i="1"/>
  <c r="BN353" i="1" s="1"/>
  <c r="CB353" i="1"/>
  <c r="CP353" i="1"/>
  <c r="CQ353" i="1" s="1"/>
  <c r="CR353" i="1" s="1"/>
  <c r="E233" i="1"/>
  <c r="BU227" i="1" l="1"/>
  <c r="BU208" i="1"/>
  <c r="BU216" i="1"/>
  <c r="BU182" i="1"/>
  <c r="BN336" i="1"/>
  <c r="BU196" i="1"/>
  <c r="BU201" i="1"/>
  <c r="BU181" i="1"/>
  <c r="BU335" i="1"/>
  <c r="BU301" i="1"/>
  <c r="BU242" i="1"/>
  <c r="BU238" i="1"/>
  <c r="BU304" i="1"/>
  <c r="BU302" i="1"/>
  <c r="BU294" i="1"/>
  <c r="BU237" i="1"/>
  <c r="BU351" i="1"/>
  <c r="BN253" i="1"/>
  <c r="BU234" i="1"/>
  <c r="BN348" i="1"/>
  <c r="BU303" i="1"/>
  <c r="BU205" i="1"/>
  <c r="BU327" i="1"/>
  <c r="BU345" i="1"/>
  <c r="BU298" i="1"/>
  <c r="BN207" i="1"/>
  <c r="BN346" i="1"/>
  <c r="BU346" i="1"/>
  <c r="BN318" i="1"/>
  <c r="BU318" i="1"/>
  <c r="BN295" i="1"/>
  <c r="BU295" i="1"/>
  <c r="BN324" i="1"/>
  <c r="BU324" i="1"/>
  <c r="BU287" i="1"/>
  <c r="BN287" i="1"/>
  <c r="BU347" i="1"/>
  <c r="CQ348" i="1"/>
  <c r="CR348" i="1" s="1"/>
  <c r="BU305" i="1"/>
  <c r="BU343" i="1"/>
  <c r="BU332" i="1"/>
  <c r="BU340" i="1"/>
  <c r="BU330" i="1"/>
  <c r="BU315" i="1"/>
  <c r="BU306" i="1"/>
  <c r="BN261" i="1"/>
  <c r="BU261" i="1"/>
  <c r="BU299" i="1"/>
  <c r="BU291" i="1"/>
  <c r="BU274" i="1"/>
  <c r="BU279" i="1"/>
  <c r="BU275" i="1"/>
  <c r="BU252" i="1"/>
  <c r="BU254" i="1"/>
  <c r="BU251" i="1"/>
  <c r="BU249" i="1"/>
  <c r="BU266" i="1"/>
  <c r="BU250" i="1"/>
  <c r="BU239" i="1"/>
  <c r="BU211" i="1"/>
  <c r="BN211" i="1"/>
  <c r="BN226" i="1"/>
  <c r="BU226" i="1"/>
  <c r="BU247" i="1"/>
  <c r="BN212" i="1"/>
  <c r="BU212" i="1"/>
  <c r="BN209" i="1"/>
  <c r="BN189" i="1"/>
  <c r="BU185" i="1"/>
  <c r="BU219" i="1"/>
  <c r="BN198" i="1"/>
  <c r="BU183" i="1"/>
  <c r="BU197" i="1"/>
  <c r="BU187" i="1"/>
  <c r="BU193" i="1"/>
  <c r="BU184" i="1"/>
  <c r="BN215" i="1"/>
  <c r="BN334" i="1"/>
  <c r="BU334" i="1"/>
  <c r="BN322" i="1"/>
  <c r="BU322" i="1"/>
  <c r="BN328" i="1"/>
  <c r="BU328" i="1"/>
  <c r="BN319" i="1"/>
  <c r="BU319" i="1"/>
  <c r="BN316" i="1"/>
  <c r="BU316" i="1"/>
  <c r="BU349" i="1"/>
  <c r="BN311" i="1"/>
  <c r="BU311" i="1"/>
  <c r="BN342" i="1"/>
  <c r="BU342" i="1"/>
  <c r="BN339" i="1"/>
  <c r="BU339" i="1"/>
  <c r="BU331" i="1"/>
  <c r="BU326" i="1"/>
  <c r="BU323" i="1"/>
  <c r="BN320" i="1"/>
  <c r="BN314" i="1"/>
  <c r="BU312" i="1"/>
  <c r="BN308" i="1"/>
  <c r="BU297" i="1"/>
  <c r="BU296" i="1"/>
  <c r="BN292" i="1"/>
  <c r="BU289" i="1"/>
  <c r="BU284" i="1"/>
  <c r="BU281" i="1"/>
  <c r="BN277" i="1"/>
  <c r="BN273" i="1"/>
  <c r="BU269" i="1"/>
  <c r="BU259" i="1"/>
  <c r="BN259" i="1"/>
  <c r="BN307" i="1"/>
  <c r="BN286" i="1"/>
  <c r="BN271" i="1"/>
  <c r="BU271" i="1"/>
  <c r="BN267" i="1"/>
  <c r="BU267" i="1"/>
  <c r="BN265" i="1"/>
  <c r="BU265" i="1"/>
  <c r="BN272" i="1"/>
  <c r="BU272" i="1"/>
  <c r="BU309" i="1"/>
  <c r="BU290" i="1"/>
  <c r="BU283" i="1"/>
  <c r="BU280" i="1"/>
  <c r="BN268" i="1"/>
  <c r="BU268" i="1"/>
  <c r="BN263" i="1"/>
  <c r="BU263" i="1"/>
  <c r="BU241" i="1"/>
  <c r="BU228" i="1"/>
  <c r="BU225" i="1"/>
  <c r="BU223" i="1"/>
  <c r="BN221" i="1"/>
  <c r="BU178" i="1"/>
  <c r="BU276" i="1"/>
  <c r="BU262" i="1"/>
  <c r="BN258" i="1"/>
  <c r="BU255" i="1"/>
  <c r="BU246" i="1"/>
  <c r="BU244" i="1"/>
  <c r="BU243" i="1"/>
  <c r="BU235" i="1"/>
  <c r="BU229" i="1"/>
  <c r="BU213" i="1"/>
  <c r="BU203" i="1"/>
  <c r="BU202" i="1"/>
  <c r="BU194" i="1"/>
  <c r="BU188" i="1"/>
  <c r="BU180" i="1"/>
  <c r="BU179" i="1"/>
  <c r="BU256" i="1"/>
  <c r="BU240" i="1"/>
  <c r="BU224" i="1"/>
  <c r="BN220" i="1"/>
  <c r="BU204" i="1"/>
  <c r="BU195" i="1"/>
  <c r="BU353" i="1"/>
  <c r="BU341" i="1"/>
  <c r="BU337" i="1"/>
  <c r="BU333" i="1"/>
  <c r="BU329" i="1"/>
  <c r="BU325" i="1"/>
  <c r="BU321" i="1"/>
  <c r="BU313" i="1"/>
  <c r="CQ321" i="1"/>
  <c r="CR321" i="1" s="1"/>
  <c r="CQ316" i="1"/>
  <c r="CR316" i="1" s="1"/>
  <c r="BU293" i="1"/>
  <c r="CQ256" i="1"/>
  <c r="CR256" i="1" s="1"/>
  <c r="CQ288" i="1"/>
  <c r="CR288" i="1" s="1"/>
  <c r="BU288" i="1"/>
  <c r="BU282" i="1"/>
  <c r="BU278" i="1"/>
  <c r="CQ264" i="1"/>
  <c r="CR264" i="1" s="1"/>
  <c r="BU270" i="1"/>
  <c r="CQ254" i="1"/>
  <c r="CR254" i="1" s="1"/>
  <c r="CQ236" i="1"/>
  <c r="CR236" i="1" s="1"/>
  <c r="BN236" i="1"/>
  <c r="BU236" i="1"/>
  <c r="BU260" i="1"/>
  <c r="BU248" i="1"/>
  <c r="BU232" i="1"/>
  <c r="BN230" i="1"/>
  <c r="BU230" i="1"/>
  <c r="BN231" i="1"/>
  <c r="BU231" i="1"/>
  <c r="BN190" i="1"/>
  <c r="BU190" i="1"/>
  <c r="BN222" i="1"/>
  <c r="BU222" i="1"/>
  <c r="CQ210" i="1"/>
  <c r="CR210" i="1" s="1"/>
  <c r="BN210" i="1"/>
  <c r="BU210" i="1"/>
  <c r="BU206" i="1"/>
  <c r="BN192" i="1"/>
  <c r="BU192" i="1"/>
  <c r="BU199" i="1"/>
  <c r="BN191" i="1"/>
  <c r="BU191" i="1"/>
  <c r="BU200" i="1"/>
  <c r="CQ186" i="1"/>
  <c r="CR186" i="1" s="1"/>
  <c r="BU186" i="1"/>
  <c r="BN186" i="1"/>
  <c r="CQ183" i="1"/>
  <c r="CR183" i="1" s="1"/>
  <c r="O178" i="1"/>
  <c r="N178" i="1"/>
  <c r="E178" i="1"/>
  <c r="E281" i="1"/>
  <c r="O274" i="1"/>
  <c r="E274" i="1"/>
  <c r="E266" i="1"/>
  <c r="P210" i="1"/>
  <c r="E210" i="1"/>
  <c r="C3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P211" i="1"/>
  <c r="E211" i="1"/>
  <c r="P212" i="1"/>
  <c r="E212" i="1"/>
  <c r="K212" i="1" s="1"/>
  <c r="P213" i="1"/>
  <c r="E213" i="1"/>
  <c r="P214" i="1"/>
  <c r="E214" i="1"/>
  <c r="P215" i="1"/>
  <c r="E215" i="1"/>
  <c r="M215" i="1" s="1"/>
  <c r="P216" i="1"/>
  <c r="E216" i="1"/>
  <c r="P217" i="1"/>
  <c r="E217" i="1"/>
  <c r="P218" i="1"/>
  <c r="E218" i="1"/>
  <c r="L218" i="1" s="1"/>
  <c r="P219" i="1"/>
  <c r="E219" i="1"/>
  <c r="P220" i="1"/>
  <c r="E220" i="1"/>
  <c r="P221" i="1"/>
  <c r="E221" i="1"/>
  <c r="P222" i="1"/>
  <c r="E222" i="1"/>
  <c r="P223" i="1"/>
  <c r="E223" i="1"/>
  <c r="P224" i="1"/>
  <c r="E224" i="1"/>
  <c r="L224" i="1" s="1"/>
  <c r="P225" i="1"/>
  <c r="E225" i="1"/>
  <c r="P226" i="1"/>
  <c r="E226" i="1"/>
  <c r="P227" i="1"/>
  <c r="E227" i="1"/>
  <c r="P228" i="1"/>
  <c r="E228" i="1"/>
  <c r="P229" i="1"/>
  <c r="E229" i="1"/>
  <c r="P230" i="1"/>
  <c r="E230" i="1"/>
  <c r="L230" i="1" s="1"/>
  <c r="AZ230" i="1"/>
  <c r="P231" i="1"/>
  <c r="E231" i="1"/>
  <c r="AZ231" i="1"/>
  <c r="P232" i="1"/>
  <c r="E232" i="1"/>
  <c r="AZ232" i="1"/>
  <c r="P233" i="1"/>
  <c r="AZ233" i="1"/>
  <c r="P234" i="1"/>
  <c r="E234" i="1"/>
  <c r="P235" i="1"/>
  <c r="E235" i="1"/>
  <c r="P236" i="1"/>
  <c r="E236" i="1"/>
  <c r="P237" i="1"/>
  <c r="E237" i="1"/>
  <c r="P238" i="1"/>
  <c r="E238" i="1"/>
  <c r="P239" i="1"/>
  <c r="E239" i="1"/>
  <c r="P240" i="1"/>
  <c r="E240" i="1"/>
  <c r="P241" i="1"/>
  <c r="E241" i="1"/>
  <c r="P242" i="1"/>
  <c r="E242" i="1"/>
  <c r="P243" i="1"/>
  <c r="E243" i="1"/>
  <c r="P244" i="1"/>
  <c r="E244" i="1"/>
  <c r="P245" i="1"/>
  <c r="E245" i="1"/>
  <c r="P246" i="1"/>
  <c r="E246" i="1"/>
  <c r="P247" i="1"/>
  <c r="E247" i="1"/>
  <c r="P248" i="1"/>
  <c r="E248" i="1"/>
  <c r="P249" i="1"/>
  <c r="E249" i="1"/>
  <c r="M249" i="1" s="1"/>
  <c r="P250" i="1"/>
  <c r="E250" i="1"/>
  <c r="P251" i="1"/>
  <c r="E251" i="1"/>
  <c r="P252" i="1"/>
  <c r="E252" i="1"/>
  <c r="P253" i="1"/>
  <c r="E253" i="1"/>
  <c r="P254" i="1"/>
  <c r="E254" i="1"/>
  <c r="P255" i="1"/>
  <c r="E255" i="1"/>
  <c r="P256" i="1"/>
  <c r="E256" i="1"/>
  <c r="P257" i="1"/>
  <c r="E257" i="1"/>
  <c r="M257" i="1" s="1"/>
  <c r="P258" i="1"/>
  <c r="E258" i="1"/>
  <c r="P259" i="1"/>
  <c r="E259" i="1"/>
  <c r="P260" i="1"/>
  <c r="E260" i="1"/>
  <c r="P261" i="1"/>
  <c r="E261" i="1"/>
  <c r="P262" i="1"/>
  <c r="E262" i="1"/>
  <c r="P263" i="1"/>
  <c r="E263" i="1"/>
  <c r="P264" i="1"/>
  <c r="E264" i="1"/>
  <c r="P265" i="1"/>
  <c r="E265" i="1"/>
  <c r="E3" i="1"/>
  <c r="E4" i="1"/>
  <c r="E5" i="1"/>
  <c r="E6" i="1"/>
  <c r="E7" i="1"/>
  <c r="E8" i="1"/>
  <c r="E9" i="1"/>
  <c r="E10" i="1"/>
  <c r="E11" i="1"/>
  <c r="E12" i="1"/>
  <c r="E13" i="1"/>
  <c r="K13" i="1" s="1"/>
  <c r="E14" i="1"/>
  <c r="E15" i="1"/>
  <c r="E16" i="1"/>
  <c r="E17" i="1"/>
  <c r="E18" i="1"/>
  <c r="E19" i="1"/>
  <c r="E20" i="1"/>
  <c r="E21" i="1"/>
  <c r="E22" i="1"/>
  <c r="E23" i="1"/>
  <c r="E24" i="1"/>
  <c r="E25" i="1"/>
  <c r="M25" i="1" s="1"/>
  <c r="E26" i="1"/>
  <c r="E27" i="1"/>
  <c r="E28" i="1"/>
  <c r="E29" i="1"/>
  <c r="E30" i="1"/>
  <c r="E31" i="1"/>
  <c r="E32" i="1"/>
  <c r="E33" i="1"/>
  <c r="E34" i="1"/>
  <c r="E35" i="1"/>
  <c r="E36" i="1"/>
  <c r="E37" i="1"/>
  <c r="K37" i="1" s="1"/>
  <c r="E38" i="1"/>
  <c r="E39" i="1"/>
  <c r="E40" i="1"/>
  <c r="E41" i="1"/>
  <c r="E42" i="1"/>
  <c r="E43" i="1"/>
  <c r="E44" i="1"/>
  <c r="E45" i="1"/>
  <c r="E46" i="1"/>
  <c r="E47" i="1"/>
  <c r="E48" i="1"/>
  <c r="E49" i="1"/>
  <c r="K49" i="1" s="1"/>
  <c r="E50" i="1"/>
  <c r="E51" i="1"/>
  <c r="E52" i="1"/>
  <c r="E53" i="1"/>
  <c r="E54" i="1"/>
  <c r="E55" i="1"/>
  <c r="E56" i="1"/>
  <c r="E57" i="1"/>
  <c r="E58" i="1"/>
  <c r="E59" i="1"/>
  <c r="E60" i="1"/>
  <c r="E61" i="1"/>
  <c r="K61" i="1" s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K85" i="1" s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K121" i="1" s="1"/>
  <c r="E122" i="1"/>
  <c r="E123" i="1"/>
  <c r="E124" i="1"/>
  <c r="E125" i="1"/>
  <c r="E126" i="1"/>
  <c r="E127" i="1"/>
  <c r="E128" i="1"/>
  <c r="E129" i="1"/>
  <c r="E130" i="1"/>
  <c r="E131" i="1"/>
  <c r="E132" i="1"/>
  <c r="E133" i="1"/>
  <c r="K133" i="1" s="1"/>
  <c r="E134" i="1"/>
  <c r="E135" i="1"/>
  <c r="E136" i="1"/>
  <c r="E137" i="1"/>
  <c r="E138" i="1"/>
  <c r="E139" i="1"/>
  <c r="E140" i="1"/>
  <c r="E141" i="1"/>
  <c r="E142" i="1"/>
  <c r="E143" i="1"/>
  <c r="E144" i="1"/>
  <c r="E145" i="1"/>
  <c r="K145" i="1" s="1"/>
  <c r="E146" i="1"/>
  <c r="E147" i="1"/>
  <c r="E148" i="1"/>
  <c r="E149" i="1"/>
  <c r="E150" i="1"/>
  <c r="E151" i="1"/>
  <c r="E152" i="1"/>
  <c r="E153" i="1"/>
  <c r="E154" i="1"/>
  <c r="E155" i="1"/>
  <c r="E156" i="1"/>
  <c r="E157" i="1"/>
  <c r="K157" i="1" s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169" i="1" s="1"/>
  <c r="E170" i="1"/>
  <c r="E171" i="1"/>
  <c r="E172" i="1"/>
  <c r="E173" i="1"/>
  <c r="E174" i="1"/>
  <c r="E175" i="1"/>
  <c r="E176" i="1"/>
  <c r="E177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K194" i="1" s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67" i="1"/>
  <c r="E268" i="1"/>
  <c r="E269" i="1"/>
  <c r="E270" i="1"/>
  <c r="E271" i="1"/>
  <c r="E272" i="1"/>
  <c r="E273" i="1"/>
  <c r="E275" i="1"/>
  <c r="E276" i="1"/>
  <c r="E277" i="1"/>
  <c r="E278" i="1"/>
  <c r="E279" i="1"/>
  <c r="E280" i="1"/>
  <c r="E282" i="1"/>
  <c r="K282" i="1" s="1"/>
  <c r="E283" i="1"/>
  <c r="E284" i="1"/>
  <c r="E285" i="1"/>
  <c r="E286" i="1"/>
  <c r="K286" i="1" s="1"/>
  <c r="E287" i="1"/>
  <c r="E288" i="1"/>
  <c r="E289" i="1"/>
  <c r="L289" i="1" s="1"/>
  <c r="E290" i="1"/>
  <c r="E291" i="1"/>
  <c r="E292" i="1"/>
  <c r="E293" i="1"/>
  <c r="E294" i="1"/>
  <c r="E295" i="1"/>
  <c r="E296" i="1"/>
  <c r="E297" i="1"/>
  <c r="E298" i="1"/>
  <c r="K298" i="1" s="1"/>
  <c r="E299" i="1"/>
  <c r="E300" i="1"/>
  <c r="M300" i="1" s="1"/>
  <c r="E301" i="1"/>
  <c r="K301" i="1" s="1"/>
  <c r="E302" i="1"/>
  <c r="E303" i="1"/>
  <c r="E304" i="1"/>
  <c r="E305" i="1"/>
  <c r="E306" i="1"/>
  <c r="E307" i="1"/>
  <c r="E308" i="1"/>
  <c r="E309" i="1"/>
  <c r="E310" i="1"/>
  <c r="L310" i="1" s="1"/>
  <c r="E311" i="1"/>
  <c r="E312" i="1"/>
  <c r="E313" i="1"/>
  <c r="M313" i="1" s="1"/>
  <c r="E314" i="1"/>
  <c r="E315" i="1"/>
  <c r="E316" i="1"/>
  <c r="E317" i="1"/>
  <c r="E318" i="1"/>
  <c r="E319" i="1"/>
  <c r="E320" i="1"/>
  <c r="E321" i="1"/>
  <c r="E322" i="1"/>
  <c r="M322" i="1" s="1"/>
  <c r="E323" i="1"/>
  <c r="E324" i="1"/>
  <c r="E325" i="1"/>
  <c r="M325" i="1" s="1"/>
  <c r="E326" i="1"/>
  <c r="E327" i="1"/>
  <c r="E328" i="1"/>
  <c r="E329" i="1"/>
  <c r="E330" i="1"/>
  <c r="E331" i="1"/>
  <c r="E332" i="1"/>
  <c r="E333" i="1"/>
  <c r="E334" i="1"/>
  <c r="E335" i="1"/>
  <c r="E336" i="1"/>
  <c r="E337" i="1"/>
  <c r="M337" i="1" s="1"/>
  <c r="E338" i="1"/>
  <c r="E339" i="1"/>
  <c r="E340" i="1"/>
  <c r="E341" i="1"/>
  <c r="E342" i="1"/>
  <c r="E343" i="1"/>
  <c r="E344" i="1"/>
  <c r="E345" i="1"/>
  <c r="E346" i="1"/>
  <c r="E347" i="1"/>
  <c r="E348" i="1"/>
  <c r="M348" i="1" s="1"/>
  <c r="E349" i="1"/>
  <c r="M349" i="1" s="1"/>
  <c r="E350" i="1"/>
  <c r="E351" i="1"/>
  <c r="E352" i="1"/>
  <c r="E353" i="1"/>
  <c r="E2" i="1"/>
  <c r="AY2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K278" i="1"/>
  <c r="N279" i="1"/>
  <c r="O279" i="1"/>
  <c r="P279" i="1"/>
  <c r="N280" i="1"/>
  <c r="O280" i="1"/>
  <c r="P280" i="1"/>
  <c r="N281" i="1"/>
  <c r="O281" i="1"/>
  <c r="P281" i="1"/>
  <c r="K281" i="1"/>
  <c r="N282" i="1"/>
  <c r="O282" i="1"/>
  <c r="P282" i="1"/>
  <c r="N283" i="1"/>
  <c r="O283" i="1"/>
  <c r="P283" i="1"/>
  <c r="K283" i="1"/>
  <c r="N284" i="1"/>
  <c r="O284" i="1"/>
  <c r="P284" i="1"/>
  <c r="K284" i="1"/>
  <c r="N285" i="1"/>
  <c r="O285" i="1"/>
  <c r="P285" i="1"/>
  <c r="N286" i="1"/>
  <c r="O286" i="1"/>
  <c r="P286" i="1"/>
  <c r="N287" i="1"/>
  <c r="O287" i="1"/>
  <c r="P287" i="1"/>
  <c r="K287" i="1"/>
  <c r="M287" i="1"/>
  <c r="N288" i="1"/>
  <c r="O288" i="1"/>
  <c r="P288" i="1"/>
  <c r="K288" i="1"/>
  <c r="N289" i="1"/>
  <c r="O289" i="1"/>
  <c r="P289" i="1"/>
  <c r="N290" i="1"/>
  <c r="O290" i="1"/>
  <c r="P290" i="1"/>
  <c r="K290" i="1"/>
  <c r="N291" i="1"/>
  <c r="O291" i="1"/>
  <c r="P291" i="1"/>
  <c r="K291" i="1"/>
  <c r="M291" i="1"/>
  <c r="N292" i="1"/>
  <c r="O292" i="1"/>
  <c r="P292" i="1"/>
  <c r="K292" i="1"/>
  <c r="N293" i="1"/>
  <c r="O293" i="1"/>
  <c r="P293" i="1"/>
  <c r="K293" i="1"/>
  <c r="M293" i="1"/>
  <c r="N294" i="1"/>
  <c r="O294" i="1"/>
  <c r="L294" i="1"/>
  <c r="P294" i="1"/>
  <c r="K294" i="1"/>
  <c r="N295" i="1"/>
  <c r="O295" i="1"/>
  <c r="P295" i="1"/>
  <c r="K295" i="1"/>
  <c r="M295" i="1"/>
  <c r="N296" i="1"/>
  <c r="O296" i="1"/>
  <c r="L296" i="1"/>
  <c r="P296" i="1"/>
  <c r="K296" i="1"/>
  <c r="N297" i="1"/>
  <c r="O297" i="1"/>
  <c r="P297" i="1"/>
  <c r="K297" i="1"/>
  <c r="M297" i="1"/>
  <c r="N298" i="1"/>
  <c r="O298" i="1"/>
  <c r="L298" i="1"/>
  <c r="P298" i="1"/>
  <c r="N299" i="1"/>
  <c r="O299" i="1"/>
  <c r="P299" i="1"/>
  <c r="K299" i="1"/>
  <c r="M299" i="1"/>
  <c r="N300" i="1"/>
  <c r="O300" i="1"/>
  <c r="L300" i="1"/>
  <c r="P300" i="1"/>
  <c r="K300" i="1"/>
  <c r="N301" i="1"/>
  <c r="O301" i="1"/>
  <c r="P301" i="1"/>
  <c r="N302" i="1"/>
  <c r="O302" i="1"/>
  <c r="L302" i="1"/>
  <c r="P302" i="1"/>
  <c r="K302" i="1"/>
  <c r="N303" i="1"/>
  <c r="O303" i="1"/>
  <c r="L303" i="1"/>
  <c r="P303" i="1"/>
  <c r="K303" i="1"/>
  <c r="M303" i="1"/>
  <c r="N304" i="1"/>
  <c r="O304" i="1"/>
  <c r="L304" i="1"/>
  <c r="P304" i="1"/>
  <c r="K304" i="1"/>
  <c r="M304" i="1"/>
  <c r="N305" i="1"/>
  <c r="O305" i="1"/>
  <c r="L305" i="1"/>
  <c r="P305" i="1"/>
  <c r="K305" i="1"/>
  <c r="M305" i="1"/>
  <c r="N306" i="1"/>
  <c r="O306" i="1"/>
  <c r="L306" i="1"/>
  <c r="P306" i="1"/>
  <c r="K306" i="1"/>
  <c r="M306" i="1"/>
  <c r="N307" i="1"/>
  <c r="O307" i="1"/>
  <c r="L307" i="1"/>
  <c r="P307" i="1"/>
  <c r="K307" i="1"/>
  <c r="M307" i="1"/>
  <c r="N308" i="1"/>
  <c r="O308" i="1"/>
  <c r="L308" i="1"/>
  <c r="P308" i="1"/>
  <c r="K308" i="1"/>
  <c r="M308" i="1"/>
  <c r="N309" i="1"/>
  <c r="O309" i="1"/>
  <c r="L309" i="1"/>
  <c r="P309" i="1"/>
  <c r="K309" i="1"/>
  <c r="M309" i="1"/>
  <c r="N310" i="1"/>
  <c r="O310" i="1"/>
  <c r="P310" i="1"/>
  <c r="N311" i="1"/>
  <c r="O311" i="1"/>
  <c r="L311" i="1"/>
  <c r="P311" i="1"/>
  <c r="K311" i="1"/>
  <c r="M311" i="1"/>
  <c r="N312" i="1"/>
  <c r="O312" i="1"/>
  <c r="L312" i="1"/>
  <c r="P312" i="1"/>
  <c r="K312" i="1"/>
  <c r="M312" i="1"/>
  <c r="N313" i="1"/>
  <c r="O313" i="1"/>
  <c r="P313" i="1"/>
  <c r="K313" i="1"/>
  <c r="N314" i="1"/>
  <c r="O314" i="1"/>
  <c r="L314" i="1"/>
  <c r="P314" i="1"/>
  <c r="K314" i="1"/>
  <c r="M314" i="1"/>
  <c r="N315" i="1"/>
  <c r="O315" i="1"/>
  <c r="L315" i="1"/>
  <c r="P315" i="1"/>
  <c r="K315" i="1"/>
  <c r="M315" i="1"/>
  <c r="N316" i="1"/>
  <c r="O316" i="1"/>
  <c r="L316" i="1"/>
  <c r="P316" i="1"/>
  <c r="K316" i="1"/>
  <c r="M316" i="1"/>
  <c r="N317" i="1"/>
  <c r="O317" i="1"/>
  <c r="L317" i="1"/>
  <c r="P317" i="1"/>
  <c r="K317" i="1"/>
  <c r="M317" i="1"/>
  <c r="N318" i="1"/>
  <c r="O318" i="1"/>
  <c r="L318" i="1"/>
  <c r="P318" i="1"/>
  <c r="K318" i="1"/>
  <c r="M318" i="1"/>
  <c r="N319" i="1"/>
  <c r="O319" i="1"/>
  <c r="L319" i="1"/>
  <c r="P319" i="1"/>
  <c r="K319" i="1"/>
  <c r="M319" i="1"/>
  <c r="N320" i="1"/>
  <c r="O320" i="1"/>
  <c r="L320" i="1"/>
  <c r="P320" i="1"/>
  <c r="K320" i="1"/>
  <c r="M320" i="1"/>
  <c r="N321" i="1"/>
  <c r="O321" i="1"/>
  <c r="L321" i="1"/>
  <c r="P321" i="1"/>
  <c r="K321" i="1"/>
  <c r="M321" i="1"/>
  <c r="N322" i="1"/>
  <c r="O322" i="1"/>
  <c r="L322" i="1"/>
  <c r="P322" i="1"/>
  <c r="K322" i="1"/>
  <c r="N323" i="1"/>
  <c r="O323" i="1"/>
  <c r="L323" i="1"/>
  <c r="P323" i="1"/>
  <c r="K323" i="1"/>
  <c r="M323" i="1"/>
  <c r="N324" i="1"/>
  <c r="O324" i="1"/>
  <c r="L324" i="1"/>
  <c r="P324" i="1"/>
  <c r="K324" i="1"/>
  <c r="M324" i="1"/>
  <c r="N325" i="1"/>
  <c r="O325" i="1"/>
  <c r="P325" i="1"/>
  <c r="K325" i="1"/>
  <c r="N326" i="1"/>
  <c r="O326" i="1"/>
  <c r="L326" i="1"/>
  <c r="P326" i="1"/>
  <c r="K326" i="1"/>
  <c r="M326" i="1"/>
  <c r="N327" i="1"/>
  <c r="O327" i="1"/>
  <c r="L327" i="1"/>
  <c r="P327" i="1"/>
  <c r="K327" i="1"/>
  <c r="M327" i="1"/>
  <c r="N328" i="1"/>
  <c r="O328" i="1"/>
  <c r="L328" i="1"/>
  <c r="P328" i="1"/>
  <c r="K328" i="1"/>
  <c r="M328" i="1"/>
  <c r="N329" i="1"/>
  <c r="O329" i="1"/>
  <c r="L329" i="1"/>
  <c r="P329" i="1"/>
  <c r="K329" i="1"/>
  <c r="M329" i="1"/>
  <c r="N330" i="1"/>
  <c r="O330" i="1"/>
  <c r="L330" i="1"/>
  <c r="P330" i="1"/>
  <c r="K330" i="1"/>
  <c r="M330" i="1"/>
  <c r="N331" i="1"/>
  <c r="O331" i="1"/>
  <c r="L331" i="1"/>
  <c r="P331" i="1"/>
  <c r="K331" i="1"/>
  <c r="M331" i="1"/>
  <c r="N332" i="1"/>
  <c r="O332" i="1"/>
  <c r="L332" i="1"/>
  <c r="P332" i="1"/>
  <c r="K332" i="1"/>
  <c r="M332" i="1"/>
  <c r="N333" i="1"/>
  <c r="O333" i="1"/>
  <c r="L333" i="1"/>
  <c r="P333" i="1"/>
  <c r="K333" i="1"/>
  <c r="M333" i="1"/>
  <c r="N334" i="1"/>
  <c r="O334" i="1"/>
  <c r="L334" i="1"/>
  <c r="P334" i="1"/>
  <c r="K334" i="1"/>
  <c r="M334" i="1"/>
  <c r="N335" i="1"/>
  <c r="O335" i="1"/>
  <c r="L335" i="1"/>
  <c r="P335" i="1"/>
  <c r="K335" i="1"/>
  <c r="M335" i="1"/>
  <c r="N336" i="1"/>
  <c r="O336" i="1"/>
  <c r="L336" i="1"/>
  <c r="P336" i="1"/>
  <c r="K336" i="1"/>
  <c r="M336" i="1"/>
  <c r="N337" i="1"/>
  <c r="O337" i="1"/>
  <c r="P337" i="1"/>
  <c r="K337" i="1"/>
  <c r="N338" i="1"/>
  <c r="O338" i="1"/>
  <c r="L338" i="1"/>
  <c r="P338" i="1"/>
  <c r="K338" i="1"/>
  <c r="M338" i="1"/>
  <c r="N339" i="1"/>
  <c r="O339" i="1"/>
  <c r="L339" i="1"/>
  <c r="P339" i="1"/>
  <c r="K339" i="1"/>
  <c r="M339" i="1"/>
  <c r="N340" i="1"/>
  <c r="O340" i="1"/>
  <c r="L340" i="1"/>
  <c r="P340" i="1"/>
  <c r="K340" i="1"/>
  <c r="M340" i="1"/>
  <c r="N341" i="1"/>
  <c r="O341" i="1"/>
  <c r="L341" i="1"/>
  <c r="P341" i="1"/>
  <c r="K341" i="1"/>
  <c r="M341" i="1"/>
  <c r="N342" i="1"/>
  <c r="O342" i="1"/>
  <c r="L342" i="1"/>
  <c r="P342" i="1"/>
  <c r="K342" i="1"/>
  <c r="M342" i="1"/>
  <c r="N343" i="1"/>
  <c r="O343" i="1"/>
  <c r="L343" i="1"/>
  <c r="P343" i="1"/>
  <c r="K343" i="1"/>
  <c r="M343" i="1"/>
  <c r="N344" i="1"/>
  <c r="O344" i="1"/>
  <c r="L344" i="1"/>
  <c r="P344" i="1"/>
  <c r="K344" i="1"/>
  <c r="M344" i="1"/>
  <c r="N345" i="1"/>
  <c r="O345" i="1"/>
  <c r="L345" i="1"/>
  <c r="P345" i="1"/>
  <c r="K345" i="1"/>
  <c r="M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F5" i="1"/>
  <c r="G5" i="1"/>
  <c r="I139" i="1"/>
  <c r="G190" i="1"/>
  <c r="I215" i="1"/>
  <c r="I263" i="1"/>
  <c r="I2" i="1"/>
  <c r="G2" i="1"/>
  <c r="F2" i="1"/>
  <c r="CV2" i="1" s="1"/>
  <c r="B8" i="3"/>
  <c r="B7" i="3"/>
  <c r="B6" i="3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P2" i="1"/>
  <c r="O2" i="1"/>
  <c r="N2" i="1"/>
  <c r="K217" i="1"/>
  <c r="L220" i="1"/>
  <c r="K222" i="1"/>
  <c r="K230" i="1"/>
  <c r="K233" i="1"/>
  <c r="L249" i="1"/>
  <c r="L252" i="1"/>
  <c r="L257" i="1"/>
  <c r="L210" i="1"/>
  <c r="K210" i="1"/>
  <c r="L211" i="1"/>
  <c r="K211" i="1"/>
  <c r="L213" i="1"/>
  <c r="K213" i="1"/>
  <c r="K214" i="1"/>
  <c r="L214" i="1"/>
  <c r="L215" i="1"/>
  <c r="K215" i="1"/>
  <c r="K216" i="1"/>
  <c r="L216" i="1"/>
  <c r="K218" i="1"/>
  <c r="K219" i="1"/>
  <c r="L219" i="1"/>
  <c r="L222" i="1"/>
  <c r="L232" i="1"/>
  <c r="K232" i="1"/>
  <c r="L233" i="1"/>
  <c r="L234" i="1"/>
  <c r="K234" i="1"/>
  <c r="K235" i="1"/>
  <c r="L235" i="1"/>
  <c r="L236" i="1"/>
  <c r="K236" i="1"/>
  <c r="K238" i="1"/>
  <c r="L238" i="1"/>
  <c r="L240" i="1"/>
  <c r="K240" i="1"/>
  <c r="K241" i="1"/>
  <c r="K246" i="1"/>
  <c r="L246" i="1"/>
  <c r="L248" i="1"/>
  <c r="K248" i="1"/>
  <c r="K250" i="1"/>
  <c r="L250" i="1"/>
  <c r="L251" i="1"/>
  <c r="K251" i="1"/>
  <c r="K252" i="1"/>
  <c r="K253" i="1"/>
  <c r="L254" i="1"/>
  <c r="K254" i="1"/>
  <c r="L255" i="1"/>
  <c r="L256" i="1"/>
  <c r="K256" i="1"/>
  <c r="K257" i="1"/>
  <c r="L195" i="1"/>
  <c r="K196" i="1"/>
  <c r="M196" i="1"/>
  <c r="L197" i="1"/>
  <c r="M198" i="1"/>
  <c r="L199" i="1"/>
  <c r="M200" i="1"/>
  <c r="L201" i="1"/>
  <c r="M202" i="1"/>
  <c r="L202" i="1"/>
  <c r="K203" i="1"/>
  <c r="M203" i="1"/>
  <c r="K255" i="1"/>
  <c r="L239" i="1"/>
  <c r="K239" i="1"/>
  <c r="L223" i="1"/>
  <c r="K223" i="1"/>
  <c r="L253" i="1"/>
  <c r="K247" i="1"/>
  <c r="L247" i="1"/>
  <c r="L237" i="1"/>
  <c r="K237" i="1"/>
  <c r="K231" i="1"/>
  <c r="L231" i="1"/>
  <c r="K221" i="1"/>
  <c r="L221" i="1"/>
  <c r="L225" i="1"/>
  <c r="K249" i="1"/>
  <c r="L241" i="1"/>
  <c r="K225" i="1"/>
  <c r="L212" i="1"/>
  <c r="K220" i="1"/>
  <c r="L217" i="1"/>
  <c r="M204" i="1"/>
  <c r="K204" i="1"/>
  <c r="L204" i="1"/>
  <c r="K205" i="1"/>
  <c r="M205" i="1"/>
  <c r="L205" i="1"/>
  <c r="L203" i="1"/>
  <c r="K202" i="1"/>
  <c r="L200" i="1"/>
  <c r="L198" i="1"/>
  <c r="L196" i="1"/>
  <c r="K201" i="1"/>
  <c r="M201" i="1"/>
  <c r="K200" i="1"/>
  <c r="K198" i="1"/>
  <c r="M199" i="1"/>
  <c r="K199" i="1"/>
  <c r="M197" i="1"/>
  <c r="K197" i="1"/>
  <c r="M195" i="1"/>
  <c r="K195" i="1"/>
  <c r="K3" i="1"/>
  <c r="L3" i="1"/>
  <c r="K4" i="1"/>
  <c r="K5" i="1"/>
  <c r="L5" i="1"/>
  <c r="L7" i="1"/>
  <c r="K7" i="1"/>
  <c r="M7" i="1"/>
  <c r="L9" i="1"/>
  <c r="K9" i="1"/>
  <c r="K11" i="1"/>
  <c r="K12" i="1"/>
  <c r="L12" i="1"/>
  <c r="L13" i="1"/>
  <c r="K14" i="1"/>
  <c r="L14" i="1"/>
  <c r="M14" i="1"/>
  <c r="K15" i="1"/>
  <c r="L15" i="1"/>
  <c r="M16" i="1"/>
  <c r="K18" i="1"/>
  <c r="L18" i="1"/>
  <c r="K19" i="1"/>
  <c r="L19" i="1"/>
  <c r="K21" i="1"/>
  <c r="L21" i="1"/>
  <c r="K22" i="1"/>
  <c r="L22" i="1"/>
  <c r="M22" i="1"/>
  <c r="K23" i="1"/>
  <c r="L23" i="1"/>
  <c r="L26" i="1"/>
  <c r="K28" i="1"/>
  <c r="L28" i="1"/>
  <c r="M28" i="1"/>
  <c r="K29" i="1"/>
  <c r="L29" i="1"/>
  <c r="K30" i="1"/>
  <c r="L30" i="1"/>
  <c r="M30" i="1"/>
  <c r="K31" i="1"/>
  <c r="L31" i="1"/>
  <c r="L32" i="1"/>
  <c r="K34" i="1"/>
  <c r="L34" i="1"/>
  <c r="K36" i="1"/>
  <c r="L36" i="1"/>
  <c r="L38" i="1"/>
  <c r="K39" i="1"/>
  <c r="L39" i="1"/>
  <c r="M39" i="1"/>
  <c r="K40" i="1"/>
  <c r="K41" i="1"/>
  <c r="L41" i="1"/>
  <c r="M41" i="1"/>
  <c r="K43" i="1"/>
  <c r="L43" i="1"/>
  <c r="K44" i="1"/>
  <c r="L44" i="1"/>
  <c r="M45" i="1"/>
  <c r="K47" i="1"/>
  <c r="L47" i="1"/>
  <c r="M47" i="1"/>
  <c r="K50" i="1"/>
  <c r="K51" i="1"/>
  <c r="L51" i="1"/>
  <c r="K52" i="1"/>
  <c r="L52" i="1"/>
  <c r="K59" i="1"/>
  <c r="L59" i="1"/>
  <c r="M59" i="1"/>
  <c r="M60" i="1"/>
  <c r="M62" i="1"/>
  <c r="M63" i="1"/>
  <c r="L65" i="1"/>
  <c r="L67" i="1"/>
  <c r="L68" i="1"/>
  <c r="L69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M84" i="1"/>
  <c r="L86" i="1"/>
  <c r="K87" i="1"/>
  <c r="L87" i="1"/>
  <c r="K88" i="1"/>
  <c r="L88" i="1"/>
  <c r="K89" i="1"/>
  <c r="K90" i="1"/>
  <c r="K91" i="1"/>
  <c r="M91" i="1"/>
  <c r="K93" i="1"/>
  <c r="L93" i="1"/>
  <c r="M93" i="1"/>
  <c r="K98" i="1"/>
  <c r="L98" i="1"/>
  <c r="L101" i="1"/>
  <c r="K102" i="1"/>
  <c r="K103" i="1"/>
  <c r="L103" i="1"/>
  <c r="M103" i="1"/>
  <c r="K104" i="1"/>
  <c r="L104" i="1"/>
  <c r="K105" i="1"/>
  <c r="L110" i="1"/>
  <c r="K111" i="1"/>
  <c r="K113" i="1"/>
  <c r="L113" i="1"/>
  <c r="K114" i="1"/>
  <c r="L115" i="1"/>
  <c r="L116" i="1"/>
  <c r="M116" i="1"/>
  <c r="M117" i="1"/>
  <c r="K118" i="1"/>
  <c r="L118" i="1"/>
  <c r="M118" i="1"/>
  <c r="K119" i="1"/>
  <c r="L119" i="1"/>
  <c r="M120" i="1"/>
  <c r="K124" i="1"/>
  <c r="M124" i="1"/>
  <c r="K125" i="1"/>
  <c r="L125" i="1"/>
  <c r="M126" i="1"/>
  <c r="L127" i="1"/>
  <c r="K128" i="1"/>
  <c r="L128" i="1"/>
  <c r="M128" i="1"/>
  <c r="L129" i="1"/>
  <c r="K130" i="1"/>
  <c r="M130" i="1"/>
  <c r="K132" i="1"/>
  <c r="M132" i="1"/>
  <c r="K135" i="1"/>
  <c r="K136" i="1"/>
  <c r="L137" i="1"/>
  <c r="K138" i="1"/>
  <c r="M139" i="1"/>
  <c r="K141" i="1"/>
  <c r="L144" i="1"/>
  <c r="L146" i="1"/>
  <c r="K154" i="1"/>
  <c r="K156" i="1"/>
  <c r="L156" i="1"/>
  <c r="L157" i="1"/>
  <c r="L165" i="1"/>
  <c r="BM3" i="1"/>
  <c r="BU3" i="1" s="1"/>
  <c r="BM4" i="1"/>
  <c r="BU4" i="1" s="1"/>
  <c r="BM5" i="1"/>
  <c r="BU5" i="1" s="1"/>
  <c r="BM6" i="1"/>
  <c r="BM7" i="1"/>
  <c r="BM8" i="1"/>
  <c r="BM9" i="1"/>
  <c r="BN9" i="1" s="1"/>
  <c r="BM10" i="1"/>
  <c r="BN10" i="1" s="1"/>
  <c r="BM11" i="1"/>
  <c r="BN11" i="1" s="1"/>
  <c r="BM12" i="1"/>
  <c r="BU12" i="1" s="1"/>
  <c r="BN12" i="1"/>
  <c r="BM13" i="1"/>
  <c r="BU13" i="1" s="1"/>
  <c r="BM14" i="1"/>
  <c r="BM15" i="1"/>
  <c r="BU15" i="1" s="1"/>
  <c r="BM16" i="1"/>
  <c r="BM17" i="1"/>
  <c r="BU17" i="1" s="1"/>
  <c r="BM18" i="1"/>
  <c r="BU18" i="1" s="1"/>
  <c r="BM19" i="1"/>
  <c r="BM20" i="1"/>
  <c r="BU20" i="1" s="1"/>
  <c r="BM21" i="1"/>
  <c r="BM22" i="1"/>
  <c r="BU22" i="1" s="1"/>
  <c r="BM23" i="1"/>
  <c r="BU23" i="1" s="1"/>
  <c r="BM24" i="1"/>
  <c r="BU24" i="1" s="1"/>
  <c r="BM25" i="1"/>
  <c r="BU25" i="1" s="1"/>
  <c r="BM26" i="1"/>
  <c r="BN26" i="1" s="1"/>
  <c r="BM27" i="1"/>
  <c r="BM28" i="1"/>
  <c r="BU28" i="1" s="1"/>
  <c r="BM29" i="1"/>
  <c r="BU29" i="1" s="1"/>
  <c r="BM30" i="1"/>
  <c r="BN30" i="1" s="1"/>
  <c r="BM31" i="1"/>
  <c r="BU31" i="1" s="1"/>
  <c r="BM32" i="1"/>
  <c r="BN32" i="1" s="1"/>
  <c r="BM33" i="1"/>
  <c r="BM34" i="1"/>
  <c r="BU34" i="1" s="1"/>
  <c r="BM35" i="1"/>
  <c r="BN35" i="1" s="1"/>
  <c r="BM36" i="1"/>
  <c r="BM37" i="1"/>
  <c r="BU37" i="1" s="1"/>
  <c r="BM38" i="1"/>
  <c r="BU38" i="1" s="1"/>
  <c r="BM39" i="1"/>
  <c r="BU39" i="1" s="1"/>
  <c r="BM40" i="1"/>
  <c r="BM41" i="1"/>
  <c r="BM42" i="1"/>
  <c r="BM43" i="1"/>
  <c r="BN43" i="1" s="1"/>
  <c r="BM44" i="1"/>
  <c r="BN44" i="1" s="1"/>
  <c r="BM45" i="1"/>
  <c r="BU45" i="1" s="1"/>
  <c r="BM46" i="1"/>
  <c r="BU46" i="1" s="1"/>
  <c r="BM47" i="1"/>
  <c r="BU47" i="1"/>
  <c r="BM48" i="1"/>
  <c r="BU48" i="1" s="1"/>
  <c r="BM49" i="1"/>
  <c r="BU49" i="1" s="1"/>
  <c r="BM50" i="1"/>
  <c r="BU50" i="1" s="1"/>
  <c r="BM51" i="1"/>
  <c r="BU51" i="1" s="1"/>
  <c r="BM52" i="1"/>
  <c r="BU52" i="1"/>
  <c r="BM53" i="1"/>
  <c r="BU53" i="1" s="1"/>
  <c r="BM54" i="1"/>
  <c r="BM55" i="1"/>
  <c r="BM56" i="1"/>
  <c r="BU56" i="1" s="1"/>
  <c r="BM57" i="1"/>
  <c r="BN57" i="1" s="1"/>
  <c r="BM58" i="1"/>
  <c r="BU58" i="1" s="1"/>
  <c r="BM59" i="1"/>
  <c r="BN59" i="1" s="1"/>
  <c r="BM60" i="1"/>
  <c r="BU60" i="1"/>
  <c r="BM61" i="1"/>
  <c r="BU61" i="1" s="1"/>
  <c r="BM62" i="1"/>
  <c r="BU62" i="1" s="1"/>
  <c r="BM63" i="1"/>
  <c r="BM64" i="1"/>
  <c r="BN64" i="1" s="1"/>
  <c r="BM65" i="1"/>
  <c r="BM66" i="1"/>
  <c r="BU66" i="1" s="1"/>
  <c r="BM67" i="1"/>
  <c r="BU67" i="1" s="1"/>
  <c r="BM68" i="1"/>
  <c r="BN68" i="1" s="1"/>
  <c r="BU68" i="1"/>
  <c r="BM69" i="1"/>
  <c r="BM70" i="1"/>
  <c r="BM71" i="1"/>
  <c r="BM72" i="1"/>
  <c r="BM73" i="1"/>
  <c r="BM74" i="1"/>
  <c r="BM75" i="1"/>
  <c r="BN75" i="1" s="1"/>
  <c r="BM76" i="1"/>
  <c r="BN76" i="1" s="1"/>
  <c r="BM77" i="1"/>
  <c r="BM78" i="1"/>
  <c r="BU78" i="1" s="1"/>
  <c r="BM79" i="1"/>
  <c r="BU79" i="1" s="1"/>
  <c r="BM80" i="1"/>
  <c r="BU80" i="1" s="1"/>
  <c r="BM81" i="1"/>
  <c r="BM82" i="1"/>
  <c r="BU82" i="1" s="1"/>
  <c r="BM83" i="1"/>
  <c r="BM84" i="1"/>
  <c r="BN84" i="1" s="1"/>
  <c r="BM85" i="1"/>
  <c r="BM86" i="1"/>
  <c r="BM87" i="1"/>
  <c r="BN87" i="1" s="1"/>
  <c r="BM88" i="1"/>
  <c r="BN88" i="1" s="1"/>
  <c r="BM89" i="1"/>
  <c r="BM90" i="1"/>
  <c r="BU90" i="1" s="1"/>
  <c r="BM91" i="1"/>
  <c r="BU91" i="1" s="1"/>
  <c r="BM92" i="1"/>
  <c r="BM93" i="1"/>
  <c r="BU93" i="1" s="1"/>
  <c r="BM94" i="1"/>
  <c r="BM95" i="1"/>
  <c r="BM96" i="1"/>
  <c r="BN96" i="1" s="1"/>
  <c r="BU96" i="1"/>
  <c r="BM97" i="1"/>
  <c r="BU97" i="1" s="1"/>
  <c r="BM98" i="1"/>
  <c r="BN98" i="1" s="1"/>
  <c r="BM99" i="1"/>
  <c r="BN99" i="1" s="1"/>
  <c r="BM100" i="1"/>
  <c r="BN100" i="1" s="1"/>
  <c r="BM101" i="1"/>
  <c r="BU101" i="1" s="1"/>
  <c r="BM102" i="1"/>
  <c r="BU102" i="1" s="1"/>
  <c r="BM103" i="1"/>
  <c r="BU103" i="1" s="1"/>
  <c r="BM104" i="1"/>
  <c r="BU104" i="1" s="1"/>
  <c r="BM105" i="1"/>
  <c r="BN105" i="1" s="1"/>
  <c r="BM106" i="1"/>
  <c r="BM107" i="1"/>
  <c r="BN107" i="1" s="1"/>
  <c r="BM108" i="1"/>
  <c r="BN108" i="1" s="1"/>
  <c r="BU108" i="1"/>
  <c r="BM109" i="1"/>
  <c r="BM110" i="1"/>
  <c r="BU110" i="1" s="1"/>
  <c r="BM111" i="1"/>
  <c r="BU111" i="1" s="1"/>
  <c r="BM112" i="1"/>
  <c r="BU112" i="1" s="1"/>
  <c r="BM113" i="1"/>
  <c r="BU113" i="1" s="1"/>
  <c r="BM114" i="1"/>
  <c r="BM115" i="1"/>
  <c r="BN115" i="1" s="1"/>
  <c r="BM116" i="1"/>
  <c r="BN116" i="1" s="1"/>
  <c r="BU116" i="1"/>
  <c r="BM117" i="1"/>
  <c r="BU117" i="1" s="1"/>
  <c r="BM118" i="1"/>
  <c r="BU118" i="1" s="1"/>
  <c r="BM119" i="1"/>
  <c r="BU119" i="1" s="1"/>
  <c r="BM120" i="1"/>
  <c r="BM121" i="1"/>
  <c r="BU121" i="1" s="1"/>
  <c r="BM122" i="1"/>
  <c r="BU122" i="1" s="1"/>
  <c r="BM123" i="1"/>
  <c r="BU123" i="1" s="1"/>
  <c r="BM124" i="1"/>
  <c r="BN124" i="1" s="1"/>
  <c r="BU124" i="1"/>
  <c r="BM125" i="1"/>
  <c r="BM126" i="1"/>
  <c r="BM127" i="1"/>
  <c r="BN127" i="1" s="1"/>
  <c r="BM128" i="1"/>
  <c r="BM129" i="1"/>
  <c r="BN129" i="1" s="1"/>
  <c r="BM130" i="1"/>
  <c r="BU130" i="1" s="1"/>
  <c r="BM131" i="1"/>
  <c r="BM132" i="1"/>
  <c r="BN132" i="1" s="1"/>
  <c r="BM133" i="1"/>
  <c r="BN133" i="1" s="1"/>
  <c r="BM134" i="1"/>
  <c r="BM135" i="1"/>
  <c r="BN135" i="1" s="1"/>
  <c r="BM136" i="1"/>
  <c r="BU136" i="1" s="1"/>
  <c r="BM137" i="1"/>
  <c r="BM138" i="1"/>
  <c r="BU138" i="1" s="1"/>
  <c r="BM139" i="1"/>
  <c r="BU139" i="1" s="1"/>
  <c r="BM140" i="1"/>
  <c r="BM141" i="1"/>
  <c r="BN141" i="1" s="1"/>
  <c r="BM142" i="1"/>
  <c r="BM143" i="1"/>
  <c r="BN143" i="1" s="1"/>
  <c r="BM144" i="1"/>
  <c r="BU144" i="1" s="1"/>
  <c r="BM145" i="1"/>
  <c r="BN145" i="1" s="1"/>
  <c r="BM146" i="1"/>
  <c r="BU146" i="1" s="1"/>
  <c r="BM147" i="1"/>
  <c r="BU147" i="1" s="1"/>
  <c r="BM148" i="1"/>
  <c r="BM149" i="1"/>
  <c r="BN149" i="1" s="1"/>
  <c r="BM150" i="1"/>
  <c r="BM151" i="1"/>
  <c r="BN151" i="1" s="1"/>
  <c r="BM152" i="1"/>
  <c r="BN152" i="1" s="1"/>
  <c r="BM153" i="1"/>
  <c r="BN153" i="1" s="1"/>
  <c r="BM154" i="1"/>
  <c r="BM155" i="1"/>
  <c r="BU155" i="1" s="1"/>
  <c r="BM156" i="1"/>
  <c r="BU156" i="1" s="1"/>
  <c r="BM157" i="1"/>
  <c r="BM158" i="1"/>
  <c r="BU158" i="1" s="1"/>
  <c r="BM159" i="1"/>
  <c r="BM160" i="1"/>
  <c r="BM161" i="1"/>
  <c r="BU161" i="1" s="1"/>
  <c r="BM162" i="1"/>
  <c r="BU162" i="1" s="1"/>
  <c r="BM163" i="1"/>
  <c r="BU163" i="1" s="1"/>
  <c r="BM164" i="1"/>
  <c r="BM165" i="1"/>
  <c r="BM166" i="1"/>
  <c r="BN166" i="1" s="1"/>
  <c r="BU166" i="1"/>
  <c r="BM167" i="1"/>
  <c r="BU167" i="1" s="1"/>
  <c r="BM168" i="1"/>
  <c r="BU168" i="1" s="1"/>
  <c r="BM169" i="1"/>
  <c r="BU169" i="1" s="1"/>
  <c r="BM170" i="1"/>
  <c r="BM171" i="1"/>
  <c r="BM172" i="1"/>
  <c r="BN172" i="1" s="1"/>
  <c r="BM173" i="1"/>
  <c r="BM174" i="1"/>
  <c r="BU174" i="1" s="1"/>
  <c r="BM175" i="1"/>
  <c r="BU175" i="1" s="1"/>
  <c r="BM176" i="1"/>
  <c r="BN176" i="1" s="1"/>
  <c r="BM177" i="1"/>
  <c r="BN20" i="1"/>
  <c r="BN47" i="1"/>
  <c r="BN174" i="1"/>
  <c r="E2" i="4"/>
  <c r="E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K162" i="1"/>
  <c r="K170" i="1"/>
  <c r="BC5" i="1"/>
  <c r="BC10" i="1"/>
  <c r="BC17" i="1"/>
  <c r="BC18" i="1"/>
  <c r="BC21" i="1"/>
  <c r="BC25" i="1"/>
  <c r="BC26" i="1"/>
  <c r="BC37" i="1"/>
  <c r="BC42" i="1"/>
  <c r="BC49" i="1"/>
  <c r="BC50" i="1"/>
  <c r="BC53" i="1"/>
  <c r="BC57" i="1"/>
  <c r="BC58" i="1"/>
  <c r="BC69" i="1"/>
  <c r="BC74" i="1"/>
  <c r="BC81" i="1"/>
  <c r="BC82" i="1"/>
  <c r="BC85" i="1"/>
  <c r="BC89" i="1"/>
  <c r="BC90" i="1"/>
  <c r="BC101" i="1"/>
  <c r="BC106" i="1"/>
  <c r="BC113" i="1"/>
  <c r="BC114" i="1"/>
  <c r="BC117" i="1"/>
  <c r="BC121" i="1"/>
  <c r="BC122" i="1"/>
  <c r="BC133" i="1"/>
  <c r="BC138" i="1"/>
  <c r="BC145" i="1"/>
  <c r="BC146" i="1"/>
  <c r="BC149" i="1"/>
  <c r="BC153" i="1"/>
  <c r="BC154" i="1"/>
  <c r="BC165" i="1"/>
  <c r="BC170" i="1"/>
  <c r="BC177" i="1"/>
  <c r="BC2" i="1"/>
  <c r="BA4" i="1"/>
  <c r="BA5" i="1"/>
  <c r="BA8" i="1"/>
  <c r="BA13" i="1"/>
  <c r="BA16" i="1"/>
  <c r="BA17" i="1"/>
  <c r="BA20" i="1"/>
  <c r="BA21" i="1"/>
  <c r="BA24" i="1"/>
  <c r="BA25" i="1"/>
  <c r="BA28" i="1"/>
  <c r="BA29" i="1"/>
  <c r="BA32" i="1"/>
  <c r="BA37" i="1"/>
  <c r="BA40" i="1"/>
  <c r="BA41" i="1"/>
  <c r="BA44" i="1"/>
  <c r="BA45" i="1"/>
  <c r="BA48" i="1"/>
  <c r="BA49" i="1"/>
  <c r="BA52" i="1"/>
  <c r="BA53" i="1"/>
  <c r="BA56" i="1"/>
  <c r="BA61" i="1"/>
  <c r="BA64" i="1"/>
  <c r="BA65" i="1"/>
  <c r="BA68" i="1"/>
  <c r="BA69" i="1"/>
  <c r="BA72" i="1"/>
  <c r="BA73" i="1"/>
  <c r="BA76" i="1"/>
  <c r="BA77" i="1"/>
  <c r="BA80" i="1"/>
  <c r="BA85" i="1"/>
  <c r="BA88" i="1"/>
  <c r="BA89" i="1"/>
  <c r="BA92" i="1"/>
  <c r="BA93" i="1"/>
  <c r="BA96" i="1"/>
  <c r="BA97" i="1"/>
  <c r="BA100" i="1"/>
  <c r="BA101" i="1"/>
  <c r="BA104" i="1"/>
  <c r="BA109" i="1"/>
  <c r="BA112" i="1"/>
  <c r="BA113" i="1"/>
  <c r="BA116" i="1"/>
  <c r="BA117" i="1"/>
  <c r="BA120" i="1"/>
  <c r="BA121" i="1"/>
  <c r="BA124" i="1"/>
  <c r="BA125" i="1"/>
  <c r="BA128" i="1"/>
  <c r="BA133" i="1"/>
  <c r="BA136" i="1"/>
  <c r="BA137" i="1"/>
  <c r="BA140" i="1"/>
  <c r="BA141" i="1"/>
  <c r="BA144" i="1"/>
  <c r="BA145" i="1"/>
  <c r="BA148" i="1"/>
  <c r="BA149" i="1"/>
  <c r="BA152" i="1"/>
  <c r="BA157" i="1"/>
  <c r="BA160" i="1"/>
  <c r="BA161" i="1"/>
  <c r="BA164" i="1"/>
  <c r="BA165" i="1"/>
  <c r="BA168" i="1"/>
  <c r="BA169" i="1"/>
  <c r="BA172" i="1"/>
  <c r="BA173" i="1"/>
  <c r="BA176" i="1"/>
  <c r="B3" i="3"/>
  <c r="B4" i="3"/>
  <c r="BC9" i="1" s="1"/>
  <c r="BE6" i="1"/>
  <c r="BE11" i="1"/>
  <c r="BE15" i="1"/>
  <c r="BE22" i="1"/>
  <c r="BE27" i="1"/>
  <c r="BE31" i="1"/>
  <c r="BE38" i="1"/>
  <c r="BE43" i="1"/>
  <c r="BE47" i="1"/>
  <c r="BE63" i="1"/>
  <c r="BE70" i="1"/>
  <c r="BE75" i="1"/>
  <c r="BE79" i="1"/>
  <c r="BE86" i="1"/>
  <c r="BE91" i="1"/>
  <c r="BE95" i="1"/>
  <c r="BE102" i="1"/>
  <c r="BE107" i="1"/>
  <c r="BE111" i="1"/>
  <c r="BE127" i="1"/>
  <c r="BE134" i="1"/>
  <c r="BE139" i="1"/>
  <c r="BE143" i="1"/>
  <c r="BE150" i="1"/>
  <c r="BE155" i="1"/>
  <c r="BE159" i="1"/>
  <c r="BE166" i="1"/>
  <c r="BE171" i="1"/>
  <c r="BE175" i="1"/>
  <c r="B2" i="3"/>
  <c r="BE59" i="1" s="1"/>
  <c r="BM2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CP3" i="1"/>
  <c r="CQ3" i="1" s="1"/>
  <c r="CR3" i="1" s="1"/>
  <c r="CP4" i="1"/>
  <c r="CQ4" i="1" s="1"/>
  <c r="CR4" i="1" s="1"/>
  <c r="CP5" i="1"/>
  <c r="CQ5" i="1" s="1"/>
  <c r="CR5" i="1" s="1"/>
  <c r="CP6" i="1"/>
  <c r="CQ6" i="1" s="1"/>
  <c r="CR6" i="1" s="1"/>
  <c r="CP7" i="1"/>
  <c r="CQ7" i="1"/>
  <c r="CR7" i="1" s="1"/>
  <c r="CP8" i="1"/>
  <c r="CQ8" i="1" s="1"/>
  <c r="CP9" i="1"/>
  <c r="CQ9" i="1" s="1"/>
  <c r="CR9" i="1" s="1"/>
  <c r="CP10" i="1"/>
  <c r="CQ10" i="1" s="1"/>
  <c r="CR10" i="1" s="1"/>
  <c r="CP11" i="1"/>
  <c r="CQ11" i="1" s="1"/>
  <c r="CR11" i="1" s="1"/>
  <c r="CP12" i="1"/>
  <c r="CQ12" i="1" s="1"/>
  <c r="CR12" i="1" s="1"/>
  <c r="CP13" i="1"/>
  <c r="CP14" i="1"/>
  <c r="CQ14" i="1" s="1"/>
  <c r="CR14" i="1" s="1"/>
  <c r="CP15" i="1"/>
  <c r="CQ15" i="1" s="1"/>
  <c r="CR15" i="1"/>
  <c r="CP16" i="1"/>
  <c r="CQ16" i="1" s="1"/>
  <c r="CR16" i="1" s="1"/>
  <c r="CP17" i="1"/>
  <c r="CQ17" i="1" s="1"/>
  <c r="CR17" i="1" s="1"/>
  <c r="CP18" i="1"/>
  <c r="CQ18" i="1" s="1"/>
  <c r="CR18" i="1" s="1"/>
  <c r="CP19" i="1"/>
  <c r="CQ19" i="1" s="1"/>
  <c r="CR19" i="1" s="1"/>
  <c r="CP20" i="1"/>
  <c r="CQ20" i="1" s="1"/>
  <c r="CR20" i="1" s="1"/>
  <c r="CP21" i="1"/>
  <c r="CQ21" i="1" s="1"/>
  <c r="CR21" i="1" s="1"/>
  <c r="CP22" i="1"/>
  <c r="CQ22" i="1" s="1"/>
  <c r="CR22" i="1" s="1"/>
  <c r="CP23" i="1"/>
  <c r="CQ23" i="1" s="1"/>
  <c r="CR23" i="1" s="1"/>
  <c r="CP24" i="1"/>
  <c r="CQ24" i="1" s="1"/>
  <c r="CR24" i="1" s="1"/>
  <c r="CP25" i="1"/>
  <c r="CQ25" i="1" s="1"/>
  <c r="CR25" i="1" s="1"/>
  <c r="CP26" i="1"/>
  <c r="CQ26" i="1" s="1"/>
  <c r="CR26" i="1" s="1"/>
  <c r="CP27" i="1"/>
  <c r="CQ27" i="1" s="1"/>
  <c r="CR27" i="1" s="1"/>
  <c r="CP28" i="1"/>
  <c r="CQ28" i="1" s="1"/>
  <c r="CR28" i="1" s="1"/>
  <c r="CP29" i="1"/>
  <c r="CQ29" i="1" s="1"/>
  <c r="CR29" i="1" s="1"/>
  <c r="CP30" i="1"/>
  <c r="CQ30" i="1" s="1"/>
  <c r="CR30" i="1" s="1"/>
  <c r="CP31" i="1"/>
  <c r="CQ31" i="1" s="1"/>
  <c r="CR31" i="1" s="1"/>
  <c r="CP32" i="1"/>
  <c r="CQ32" i="1" s="1"/>
  <c r="CR32" i="1" s="1"/>
  <c r="CP33" i="1"/>
  <c r="CQ33" i="1" s="1"/>
  <c r="CR33" i="1" s="1"/>
  <c r="CP34" i="1"/>
  <c r="CQ34" i="1" s="1"/>
  <c r="CR34" i="1" s="1"/>
  <c r="CP35" i="1"/>
  <c r="CQ35" i="1" s="1"/>
  <c r="CR35" i="1" s="1"/>
  <c r="CP36" i="1"/>
  <c r="CQ36" i="1" s="1"/>
  <c r="CR36" i="1" s="1"/>
  <c r="CP37" i="1"/>
  <c r="CQ37" i="1" s="1"/>
  <c r="CR37" i="1" s="1"/>
  <c r="CP38" i="1"/>
  <c r="CQ38" i="1" s="1"/>
  <c r="CR38" i="1" s="1"/>
  <c r="CP39" i="1"/>
  <c r="CQ39" i="1" s="1"/>
  <c r="CR39" i="1" s="1"/>
  <c r="CP40" i="1"/>
  <c r="CQ40" i="1" s="1"/>
  <c r="CR40" i="1" s="1"/>
  <c r="CP41" i="1"/>
  <c r="CQ41" i="1" s="1"/>
  <c r="CR41" i="1" s="1"/>
  <c r="CP42" i="1"/>
  <c r="CQ42" i="1" s="1"/>
  <c r="CR42" i="1" s="1"/>
  <c r="CP43" i="1"/>
  <c r="CQ43" i="1" s="1"/>
  <c r="CR43" i="1" s="1"/>
  <c r="CP44" i="1"/>
  <c r="CQ44" i="1" s="1"/>
  <c r="CR44" i="1" s="1"/>
  <c r="CP45" i="1"/>
  <c r="CP46" i="1"/>
  <c r="CQ46" i="1" s="1"/>
  <c r="CR46" i="1" s="1"/>
  <c r="CP47" i="1"/>
  <c r="CQ47" i="1" s="1"/>
  <c r="CR47" i="1" s="1"/>
  <c r="CP48" i="1"/>
  <c r="CQ48" i="1" s="1"/>
  <c r="CR48" i="1" s="1"/>
  <c r="CP49" i="1"/>
  <c r="CQ49" i="1" s="1"/>
  <c r="CR49" i="1" s="1"/>
  <c r="CP50" i="1"/>
  <c r="CQ50" i="1" s="1"/>
  <c r="CR50" i="1" s="1"/>
  <c r="CP51" i="1"/>
  <c r="CQ51" i="1" s="1"/>
  <c r="CR51" i="1" s="1"/>
  <c r="CP52" i="1"/>
  <c r="CQ52" i="1" s="1"/>
  <c r="CR52" i="1" s="1"/>
  <c r="CP53" i="1"/>
  <c r="CQ53" i="1" s="1"/>
  <c r="CR53" i="1" s="1"/>
  <c r="CP54" i="1"/>
  <c r="CQ54" i="1" s="1"/>
  <c r="CR54" i="1" s="1"/>
  <c r="CP55" i="1"/>
  <c r="CQ55" i="1" s="1"/>
  <c r="CR55" i="1" s="1"/>
  <c r="CP56" i="1"/>
  <c r="CQ56" i="1" s="1"/>
  <c r="CR56" i="1" s="1"/>
  <c r="CP57" i="1"/>
  <c r="CQ57" i="1" s="1"/>
  <c r="CR57" i="1" s="1"/>
  <c r="CP58" i="1"/>
  <c r="CQ58" i="1" s="1"/>
  <c r="CR58" i="1" s="1"/>
  <c r="CP59" i="1"/>
  <c r="CQ59" i="1" s="1"/>
  <c r="CR59" i="1" s="1"/>
  <c r="CP60" i="1"/>
  <c r="CQ60" i="1" s="1"/>
  <c r="CR60" i="1" s="1"/>
  <c r="CP61" i="1"/>
  <c r="CQ61" i="1" s="1"/>
  <c r="CR61" i="1" s="1"/>
  <c r="CP62" i="1"/>
  <c r="CQ62" i="1" s="1"/>
  <c r="CR62" i="1" s="1"/>
  <c r="CP63" i="1"/>
  <c r="CQ63" i="1" s="1"/>
  <c r="CR63" i="1" s="1"/>
  <c r="CP64" i="1"/>
  <c r="CQ64" i="1" s="1"/>
  <c r="CR64" i="1" s="1"/>
  <c r="CP65" i="1"/>
  <c r="CQ65" i="1" s="1"/>
  <c r="CR65" i="1" s="1"/>
  <c r="CP66" i="1"/>
  <c r="CQ66" i="1" s="1"/>
  <c r="CR66" i="1" s="1"/>
  <c r="CP67" i="1"/>
  <c r="CQ67" i="1" s="1"/>
  <c r="CR67" i="1" s="1"/>
  <c r="CP68" i="1"/>
  <c r="CQ68" i="1" s="1"/>
  <c r="CR68" i="1" s="1"/>
  <c r="CP69" i="1"/>
  <c r="CQ69" i="1" s="1"/>
  <c r="CR69" i="1" s="1"/>
  <c r="CP70" i="1"/>
  <c r="CQ70" i="1" s="1"/>
  <c r="CR70" i="1" s="1"/>
  <c r="CP71" i="1"/>
  <c r="CQ71" i="1" s="1"/>
  <c r="CR71" i="1" s="1"/>
  <c r="CP72" i="1"/>
  <c r="CQ72" i="1" s="1"/>
  <c r="CR72" i="1" s="1"/>
  <c r="CP73" i="1"/>
  <c r="CQ73" i="1"/>
  <c r="CR73" i="1" s="1"/>
  <c r="CP74" i="1"/>
  <c r="CQ74" i="1" s="1"/>
  <c r="CR74" i="1" s="1"/>
  <c r="CP75" i="1"/>
  <c r="CQ75" i="1" s="1"/>
  <c r="CR75" i="1" s="1"/>
  <c r="CP76" i="1"/>
  <c r="CQ76" i="1" s="1"/>
  <c r="CR76" i="1" s="1"/>
  <c r="CP77" i="1"/>
  <c r="CQ77" i="1" s="1"/>
  <c r="CR77" i="1" s="1"/>
  <c r="CP78" i="1"/>
  <c r="CQ78" i="1" s="1"/>
  <c r="CR78" i="1" s="1"/>
  <c r="CP79" i="1"/>
  <c r="CQ79" i="1" s="1"/>
  <c r="CR79" i="1" s="1"/>
  <c r="CP80" i="1"/>
  <c r="CQ80" i="1" s="1"/>
  <c r="CR80" i="1" s="1"/>
  <c r="CP81" i="1"/>
  <c r="CQ81" i="1" s="1"/>
  <c r="CR81" i="1"/>
  <c r="CP82" i="1"/>
  <c r="CQ82" i="1" s="1"/>
  <c r="CR82" i="1" s="1"/>
  <c r="CP83" i="1"/>
  <c r="CQ83" i="1" s="1"/>
  <c r="CR83" i="1" s="1"/>
  <c r="CP84" i="1"/>
  <c r="CQ84" i="1" s="1"/>
  <c r="CR84" i="1" s="1"/>
  <c r="CP85" i="1"/>
  <c r="CQ85" i="1" s="1"/>
  <c r="CR85" i="1" s="1"/>
  <c r="CP86" i="1"/>
  <c r="CQ86" i="1" s="1"/>
  <c r="CR86" i="1" s="1"/>
  <c r="CP87" i="1"/>
  <c r="CP88" i="1"/>
  <c r="CQ88" i="1" s="1"/>
  <c r="CR88" i="1" s="1"/>
  <c r="CP89" i="1"/>
  <c r="CP90" i="1"/>
  <c r="CQ90" i="1" s="1"/>
  <c r="CR90" i="1" s="1"/>
  <c r="CP91" i="1"/>
  <c r="CQ91" i="1" s="1"/>
  <c r="CR91" i="1" s="1"/>
  <c r="CP92" i="1"/>
  <c r="CQ92" i="1" s="1"/>
  <c r="CR92" i="1" s="1"/>
  <c r="CP93" i="1"/>
  <c r="CQ93" i="1" s="1"/>
  <c r="CR93" i="1" s="1"/>
  <c r="CP94" i="1"/>
  <c r="CQ94" i="1" s="1"/>
  <c r="CR94" i="1" s="1"/>
  <c r="CP95" i="1"/>
  <c r="CQ95" i="1" s="1"/>
  <c r="CR95" i="1" s="1"/>
  <c r="CP96" i="1"/>
  <c r="CQ96" i="1" s="1"/>
  <c r="CR96" i="1" s="1"/>
  <c r="CP97" i="1"/>
  <c r="CP98" i="1"/>
  <c r="CQ98" i="1" s="1"/>
  <c r="CR98" i="1" s="1"/>
  <c r="CP99" i="1"/>
  <c r="CQ99" i="1" s="1"/>
  <c r="CR99" i="1" s="1"/>
  <c r="CP100" i="1"/>
  <c r="CQ100" i="1" s="1"/>
  <c r="CR100" i="1" s="1"/>
  <c r="CP101" i="1"/>
  <c r="CQ101" i="1" s="1"/>
  <c r="CR101" i="1" s="1"/>
  <c r="CP102" i="1"/>
  <c r="CQ102" i="1" s="1"/>
  <c r="CR102" i="1" s="1"/>
  <c r="CP103" i="1"/>
  <c r="CQ103" i="1" s="1"/>
  <c r="CR103" i="1" s="1"/>
  <c r="CP104" i="1"/>
  <c r="CQ104" i="1" s="1"/>
  <c r="CR104" i="1" s="1"/>
  <c r="CP105" i="1"/>
  <c r="CQ105" i="1" s="1"/>
  <c r="CR105" i="1" s="1"/>
  <c r="CP106" i="1"/>
  <c r="CQ106" i="1" s="1"/>
  <c r="CR106" i="1" s="1"/>
  <c r="CP107" i="1"/>
  <c r="CP108" i="1"/>
  <c r="CQ108" i="1" s="1"/>
  <c r="CR108" i="1" s="1"/>
  <c r="CP109" i="1"/>
  <c r="CQ109" i="1" s="1"/>
  <c r="CR109" i="1" s="1"/>
  <c r="CP110" i="1"/>
  <c r="CQ110" i="1" s="1"/>
  <c r="CR110" i="1" s="1"/>
  <c r="CP111" i="1"/>
  <c r="CQ111" i="1" s="1"/>
  <c r="CR111" i="1" s="1"/>
  <c r="CP112" i="1"/>
  <c r="CQ112" i="1" s="1"/>
  <c r="CR112" i="1" s="1"/>
  <c r="CP113" i="1"/>
  <c r="CQ113" i="1" s="1"/>
  <c r="CR113" i="1" s="1"/>
  <c r="CP114" i="1"/>
  <c r="CQ114" i="1" s="1"/>
  <c r="CR114" i="1" s="1"/>
  <c r="CP115" i="1"/>
  <c r="CQ115" i="1" s="1"/>
  <c r="CR115" i="1" s="1"/>
  <c r="CP116" i="1"/>
  <c r="CQ116" i="1" s="1"/>
  <c r="CR116" i="1" s="1"/>
  <c r="CP117" i="1"/>
  <c r="CQ117" i="1" s="1"/>
  <c r="CR117" i="1" s="1"/>
  <c r="CP118" i="1"/>
  <c r="CQ118" i="1" s="1"/>
  <c r="CR118" i="1" s="1"/>
  <c r="CP119" i="1"/>
  <c r="CP120" i="1"/>
  <c r="CP121" i="1"/>
  <c r="CQ121" i="1" s="1"/>
  <c r="CR121" i="1" s="1"/>
  <c r="CP122" i="1"/>
  <c r="CQ122" i="1" s="1"/>
  <c r="CR122" i="1" s="1"/>
  <c r="CP123" i="1"/>
  <c r="CQ123" i="1" s="1"/>
  <c r="CR123" i="1" s="1"/>
  <c r="CP124" i="1"/>
  <c r="CQ124" i="1" s="1"/>
  <c r="CR124" i="1" s="1"/>
  <c r="CP125" i="1"/>
  <c r="CQ125" i="1" s="1"/>
  <c r="CR125" i="1" s="1"/>
  <c r="CP126" i="1"/>
  <c r="CQ126" i="1" s="1"/>
  <c r="CR126" i="1" s="1"/>
  <c r="CP127" i="1"/>
  <c r="CQ127" i="1" s="1"/>
  <c r="CR127" i="1" s="1"/>
  <c r="CP128" i="1"/>
  <c r="CQ128" i="1" s="1"/>
  <c r="CR128" i="1" s="1"/>
  <c r="CP129" i="1"/>
  <c r="CQ129" i="1" s="1"/>
  <c r="CR129" i="1" s="1"/>
  <c r="CP130" i="1"/>
  <c r="CQ130" i="1" s="1"/>
  <c r="CR130" i="1" s="1"/>
  <c r="CP131" i="1"/>
  <c r="CQ131" i="1" s="1"/>
  <c r="CR131" i="1" s="1"/>
  <c r="CP132" i="1"/>
  <c r="CQ132" i="1" s="1"/>
  <c r="CR132" i="1" s="1"/>
  <c r="CP133" i="1"/>
  <c r="CQ133" i="1" s="1"/>
  <c r="CR133" i="1" s="1"/>
  <c r="CP134" i="1"/>
  <c r="CQ134" i="1" s="1"/>
  <c r="CR134" i="1" s="1"/>
  <c r="CP135" i="1"/>
  <c r="CQ135" i="1" s="1"/>
  <c r="CR135" i="1" s="1"/>
  <c r="CP136" i="1"/>
  <c r="CQ136" i="1" s="1"/>
  <c r="CR136" i="1" s="1"/>
  <c r="CP137" i="1"/>
  <c r="CQ137" i="1" s="1"/>
  <c r="CR137" i="1" s="1"/>
  <c r="CP138" i="1"/>
  <c r="CQ138" i="1" s="1"/>
  <c r="CR138" i="1" s="1"/>
  <c r="CP139" i="1"/>
  <c r="CQ139" i="1" s="1"/>
  <c r="CR139" i="1" s="1"/>
  <c r="CP140" i="1"/>
  <c r="CQ140" i="1" s="1"/>
  <c r="CR140" i="1" s="1"/>
  <c r="CP141" i="1"/>
  <c r="CQ141" i="1" s="1"/>
  <c r="CR141" i="1" s="1"/>
  <c r="CP142" i="1"/>
  <c r="CQ142" i="1" s="1"/>
  <c r="CR142" i="1" s="1"/>
  <c r="CP143" i="1"/>
  <c r="CQ143" i="1" s="1"/>
  <c r="CR143" i="1" s="1"/>
  <c r="CP144" i="1"/>
  <c r="CQ144" i="1"/>
  <c r="CR144" i="1" s="1"/>
  <c r="CP145" i="1"/>
  <c r="CQ145" i="1" s="1"/>
  <c r="CR145" i="1" s="1"/>
  <c r="CP146" i="1"/>
  <c r="CQ146" i="1" s="1"/>
  <c r="CR146" i="1" s="1"/>
  <c r="CP147" i="1"/>
  <c r="CQ147" i="1" s="1"/>
  <c r="CR147" i="1" s="1"/>
  <c r="CP148" i="1"/>
  <c r="CQ148" i="1" s="1"/>
  <c r="CR148" i="1" s="1"/>
  <c r="CP149" i="1"/>
  <c r="CQ149" i="1" s="1"/>
  <c r="CR149" i="1" s="1"/>
  <c r="CP150" i="1"/>
  <c r="CQ150" i="1" s="1"/>
  <c r="CR150" i="1" s="1"/>
  <c r="CP151" i="1"/>
  <c r="CQ151" i="1" s="1"/>
  <c r="CR151" i="1" s="1"/>
  <c r="CP152" i="1"/>
  <c r="CQ152" i="1" s="1"/>
  <c r="CR152" i="1" s="1"/>
  <c r="CP153" i="1"/>
  <c r="CQ153" i="1" s="1"/>
  <c r="CR153" i="1" s="1"/>
  <c r="CP154" i="1"/>
  <c r="CQ154" i="1" s="1"/>
  <c r="CR154" i="1" s="1"/>
  <c r="CP155" i="1"/>
  <c r="CQ155" i="1" s="1"/>
  <c r="CR155" i="1" s="1"/>
  <c r="CP156" i="1"/>
  <c r="CQ156" i="1" s="1"/>
  <c r="CR156" i="1" s="1"/>
  <c r="CP157" i="1"/>
  <c r="CQ157" i="1" s="1"/>
  <c r="CR157" i="1" s="1"/>
  <c r="CP158" i="1"/>
  <c r="CQ158" i="1" s="1"/>
  <c r="CR158" i="1" s="1"/>
  <c r="CP159" i="1"/>
  <c r="CQ159" i="1" s="1"/>
  <c r="CR159" i="1" s="1"/>
  <c r="CP160" i="1"/>
  <c r="CQ160" i="1" s="1"/>
  <c r="CR160" i="1" s="1"/>
  <c r="CP161" i="1"/>
  <c r="CQ161" i="1" s="1"/>
  <c r="CR161" i="1" s="1"/>
  <c r="CP162" i="1"/>
  <c r="CQ162" i="1" s="1"/>
  <c r="CR162" i="1" s="1"/>
  <c r="CP163" i="1"/>
  <c r="CQ163" i="1" s="1"/>
  <c r="CR163" i="1" s="1"/>
  <c r="CP164" i="1"/>
  <c r="CQ164" i="1" s="1"/>
  <c r="CR164" i="1" s="1"/>
  <c r="CP165" i="1"/>
  <c r="CQ165" i="1" s="1"/>
  <c r="CR165" i="1" s="1"/>
  <c r="CP166" i="1"/>
  <c r="CQ166" i="1" s="1"/>
  <c r="CR166" i="1" s="1"/>
  <c r="CP167" i="1"/>
  <c r="CQ167" i="1" s="1"/>
  <c r="CR167" i="1" s="1"/>
  <c r="CP168" i="1"/>
  <c r="CQ168" i="1" s="1"/>
  <c r="CR168" i="1" s="1"/>
  <c r="CP169" i="1"/>
  <c r="CQ169" i="1" s="1"/>
  <c r="CR169" i="1" s="1"/>
  <c r="CP170" i="1"/>
  <c r="CQ170" i="1" s="1"/>
  <c r="CR170" i="1" s="1"/>
  <c r="CP171" i="1"/>
  <c r="CQ171" i="1" s="1"/>
  <c r="CR171" i="1" s="1"/>
  <c r="CP172" i="1"/>
  <c r="CQ172" i="1" s="1"/>
  <c r="CR172" i="1" s="1"/>
  <c r="CP173" i="1"/>
  <c r="CQ173" i="1" s="1"/>
  <c r="CR173" i="1" s="1"/>
  <c r="CP174" i="1"/>
  <c r="CQ174" i="1" s="1"/>
  <c r="CR174" i="1" s="1"/>
  <c r="CP175" i="1"/>
  <c r="CQ175" i="1" s="1"/>
  <c r="CR175" i="1" s="1"/>
  <c r="CP176" i="1"/>
  <c r="CQ176" i="1" s="1"/>
  <c r="CR176" i="1" s="1"/>
  <c r="CP177" i="1"/>
  <c r="CQ177" i="1" s="1"/>
  <c r="CR177" i="1" s="1"/>
  <c r="CP2" i="1"/>
  <c r="CQ2" i="1" s="1"/>
  <c r="CR2" i="1" s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2" i="1"/>
  <c r="CR8" i="1"/>
  <c r="BN156" i="1"/>
  <c r="BN112" i="1"/>
  <c r="BN102" i="1"/>
  <c r="BN90" i="1"/>
  <c r="M156" i="1"/>
  <c r="M138" i="1"/>
  <c r="M125" i="1"/>
  <c r="L120" i="1"/>
  <c r="M119" i="1"/>
  <c r="M105" i="1"/>
  <c r="L89" i="1"/>
  <c r="L66" i="1"/>
  <c r="L62" i="1"/>
  <c r="L40" i="1"/>
  <c r="K139" i="1"/>
  <c r="M127" i="1"/>
  <c r="K127" i="1"/>
  <c r="M115" i="1"/>
  <c r="K115" i="1"/>
  <c r="M113" i="1"/>
  <c r="M86" i="1"/>
  <c r="K86" i="1"/>
  <c r="K60" i="1"/>
  <c r="K45" i="1"/>
  <c r="M43" i="1"/>
  <c r="M34" i="1"/>
  <c r="M18" i="1"/>
  <c r="M15" i="1"/>
  <c r="M5" i="1"/>
  <c r="M3" i="1"/>
  <c r="BN60" i="1"/>
  <c r="BN28" i="1"/>
  <c r="BN130" i="1"/>
  <c r="L105" i="1"/>
  <c r="M89" i="1"/>
  <c r="M87" i="1"/>
  <c r="M83" i="1"/>
  <c r="M36" i="1"/>
  <c r="M12" i="1"/>
  <c r="J2" i="1"/>
  <c r="AZ2" i="1"/>
  <c r="K126" i="1"/>
  <c r="L99" i="1"/>
  <c r="M99" i="1"/>
  <c r="K64" i="1"/>
  <c r="M64" i="1"/>
  <c r="M2" i="1"/>
  <c r="L2" i="1"/>
  <c r="BN15" i="1"/>
  <c r="M149" i="1"/>
  <c r="K149" i="1"/>
  <c r="K123" i="1"/>
  <c r="K122" i="1"/>
  <c r="M122" i="1"/>
  <c r="K92" i="1"/>
  <c r="L92" i="1"/>
  <c r="L64" i="1"/>
  <c r="K46" i="1"/>
  <c r="K27" i="1"/>
  <c r="L27" i="1"/>
  <c r="K24" i="1"/>
  <c r="M24" i="1"/>
  <c r="K20" i="1"/>
  <c r="M20" i="1"/>
  <c r="L20" i="1"/>
  <c r="K153" i="1"/>
  <c r="M153" i="1"/>
  <c r="L126" i="1"/>
  <c r="CQ87" i="1"/>
  <c r="CR87" i="1" s="1"/>
  <c r="BU176" i="1"/>
  <c r="BU160" i="1"/>
  <c r="BN160" i="1"/>
  <c r="BU70" i="1"/>
  <c r="BN70" i="1"/>
  <c r="L141" i="1"/>
  <c r="M141" i="1"/>
  <c r="L133" i="1"/>
  <c r="L124" i="1"/>
  <c r="M121" i="1"/>
  <c r="K99" i="1"/>
  <c r="K66" i="1"/>
  <c r="M66" i="1"/>
  <c r="K63" i="1"/>
  <c r="L63" i="1"/>
  <c r="K48" i="1"/>
  <c r="L48" i="1"/>
  <c r="L46" i="1"/>
  <c r="K33" i="1"/>
  <c r="L33" i="1"/>
  <c r="K26" i="1"/>
  <c r="M26" i="1"/>
  <c r="L24" i="1"/>
  <c r="L11" i="1"/>
  <c r="M11" i="1"/>
  <c r="K10" i="1"/>
  <c r="K155" i="1"/>
  <c r="L155" i="1"/>
  <c r="L142" i="1"/>
  <c r="M142" i="1"/>
  <c r="K142" i="1"/>
  <c r="L123" i="1"/>
  <c r="M123" i="1"/>
  <c r="L53" i="1"/>
  <c r="K53" i="1"/>
  <c r="CQ107" i="1"/>
  <c r="CR107" i="1" s="1"/>
  <c r="BN2" i="1"/>
  <c r="BU2" i="1"/>
  <c r="BN3" i="1"/>
  <c r="L153" i="1"/>
  <c r="K140" i="1"/>
  <c r="M140" i="1"/>
  <c r="L140" i="1"/>
  <c r="L122" i="1"/>
  <c r="M90" i="1"/>
  <c r="L90" i="1"/>
  <c r="K65" i="1"/>
  <c r="M65" i="1"/>
  <c r="L49" i="1"/>
  <c r="K35" i="1"/>
  <c r="L35" i="1"/>
  <c r="L6" i="1"/>
  <c r="M6" i="1"/>
  <c r="K6" i="1"/>
  <c r="L151" i="1"/>
  <c r="K150" i="1"/>
  <c r="L143" i="1"/>
  <c r="L130" i="1"/>
  <c r="K120" i="1"/>
  <c r="L117" i="1"/>
  <c r="K69" i="1"/>
  <c r="M69" i="1"/>
  <c r="K67" i="1"/>
  <c r="M67" i="1"/>
  <c r="L16" i="1"/>
  <c r="L4" i="1"/>
  <c r="BN52" i="1"/>
  <c r="M177" i="1"/>
  <c r="L177" i="1"/>
  <c r="K177" i="1"/>
  <c r="L139" i="1"/>
  <c r="M137" i="1"/>
  <c r="K137" i="1"/>
  <c r="M136" i="1"/>
  <c r="M135" i="1"/>
  <c r="M129" i="1"/>
  <c r="K129" i="1"/>
  <c r="K117" i="1"/>
  <c r="K116" i="1"/>
  <c r="M114" i="1"/>
  <c r="L114" i="1"/>
  <c r="M111" i="1"/>
  <c r="L111" i="1"/>
  <c r="L102" i="1"/>
  <c r="K101" i="1"/>
  <c r="M101" i="1"/>
  <c r="K68" i="1"/>
  <c r="M68" i="1"/>
  <c r="K62" i="1"/>
  <c r="K38" i="1"/>
  <c r="M38" i="1"/>
  <c r="K32" i="1"/>
  <c r="M32" i="1"/>
  <c r="K16" i="1"/>
  <c r="M4" i="1"/>
  <c r="M9" i="1"/>
  <c r="L91" i="1"/>
  <c r="M88" i="1"/>
  <c r="M82" i="1"/>
  <c r="M81" i="1"/>
  <c r="M80" i="1"/>
  <c r="M79" i="1"/>
  <c r="M78" i="1"/>
  <c r="L60" i="1"/>
  <c r="L45" i="1"/>
  <c r="M162" i="1"/>
  <c r="L176" i="1"/>
  <c r="M172" i="1"/>
  <c r="L171" i="1"/>
  <c r="K165" i="1"/>
  <c r="L162" i="1"/>
  <c r="K175" i="1"/>
  <c r="L173" i="1"/>
  <c r="L172" i="1"/>
  <c r="K171" i="1"/>
  <c r="M170" i="1"/>
  <c r="K164" i="1"/>
  <c r="M174" i="1"/>
  <c r="K173" i="1"/>
  <c r="L170" i="1"/>
  <c r="K147" i="1"/>
  <c r="K163" i="1"/>
  <c r="L152" i="1"/>
  <c r="K152" i="1"/>
  <c r="K144" i="1"/>
  <c r="L131" i="1"/>
  <c r="L163" i="1"/>
  <c r="K131" i="1"/>
  <c r="L134" i="1"/>
  <c r="K134" i="1"/>
  <c r="K174" i="1"/>
  <c r="L174" i="1"/>
  <c r="M144" i="1"/>
  <c r="M134" i="1"/>
  <c r="M131" i="1"/>
  <c r="L154" i="1"/>
  <c r="M151" i="1"/>
  <c r="L150" i="1"/>
  <c r="L148" i="1"/>
  <c r="K148" i="1"/>
  <c r="M146" i="1"/>
  <c r="K146" i="1"/>
  <c r="M143" i="1"/>
  <c r="L136" i="1"/>
  <c r="L135" i="1"/>
  <c r="M133" i="1"/>
  <c r="M155" i="1"/>
  <c r="K151" i="1"/>
  <c r="M148" i="1"/>
  <c r="K143" i="1"/>
  <c r="L138" i="1"/>
  <c r="L132" i="1"/>
  <c r="M176" i="1"/>
  <c r="M164" i="1"/>
  <c r="K176" i="1"/>
  <c r="K172" i="1"/>
  <c r="L164" i="1"/>
  <c r="BU129" i="1"/>
  <c r="BU9" i="1"/>
  <c r="BU171" i="1"/>
  <c r="BN171" i="1"/>
  <c r="BU149" i="1"/>
  <c r="BU145" i="1"/>
  <c r="BN139" i="1"/>
  <c r="BU81" i="1"/>
  <c r="BN81" i="1"/>
  <c r="BU73" i="1"/>
  <c r="BN73" i="1"/>
  <c r="BU55" i="1"/>
  <c r="BN55" i="1"/>
  <c r="BN39" i="1"/>
  <c r="BU177" i="1"/>
  <c r="BN177" i="1"/>
  <c r="BN121" i="1"/>
  <c r="BN25" i="1"/>
  <c r="BU165" i="1"/>
  <c r="BN165" i="1"/>
  <c r="BU157" i="1"/>
  <c r="BN157" i="1"/>
  <c r="BU151" i="1"/>
  <c r="BU99" i="1"/>
  <c r="BN67" i="1"/>
  <c r="M100" i="1"/>
  <c r="K100" i="1"/>
  <c r="L100" i="1"/>
  <c r="BN167" i="1"/>
  <c r="BU135" i="1"/>
  <c r="BU69" i="1"/>
  <c r="BN69" i="1"/>
  <c r="BN45" i="1"/>
  <c r="BU41" i="1"/>
  <c r="BN41" i="1"/>
  <c r="BU33" i="1"/>
  <c r="BN33" i="1"/>
  <c r="K2" i="1"/>
  <c r="BN50" i="1"/>
  <c r="BU42" i="1"/>
  <c r="BN42" i="1"/>
  <c r="BU30" i="1"/>
  <c r="BN13" i="1"/>
  <c r="BN17" i="1"/>
  <c r="BN5" i="1"/>
  <c r="M171" i="1"/>
  <c r="M165" i="1"/>
  <c r="M163" i="1"/>
  <c r="L147" i="1"/>
  <c r="L175" i="1"/>
  <c r="M173" i="1"/>
  <c r="M175" i="1"/>
  <c r="M147" i="1"/>
  <c r="L149" i="1"/>
  <c r="K112" i="1"/>
  <c r="L112" i="1"/>
  <c r="M112" i="1"/>
  <c r="M110" i="1"/>
  <c r="K110" i="1"/>
  <c r="M154" i="1"/>
  <c r="M152" i="1"/>
  <c r="M150" i="1"/>
  <c r="M102" i="1"/>
  <c r="M98" i="1"/>
  <c r="M104" i="1"/>
  <c r="M92" i="1"/>
  <c r="M58" i="1"/>
  <c r="K58" i="1"/>
  <c r="L58" i="1"/>
  <c r="L50" i="1"/>
  <c r="M50" i="1"/>
  <c r="M42" i="1"/>
  <c r="K42" i="1"/>
  <c r="L42" i="1"/>
  <c r="M52" i="1"/>
  <c r="M53" i="1"/>
  <c r="M51" i="1"/>
  <c r="M48" i="1"/>
  <c r="M46" i="1"/>
  <c r="M44" i="1"/>
  <c r="M17" i="1"/>
  <c r="K17" i="1"/>
  <c r="L17" i="1"/>
  <c r="M40" i="1"/>
  <c r="M27" i="1"/>
  <c r="M37" i="1"/>
  <c r="M35" i="1"/>
  <c r="M33" i="1"/>
  <c r="M31" i="1"/>
  <c r="M29" i="1"/>
  <c r="M19" i="1"/>
  <c r="M21" i="1"/>
  <c r="M23" i="1"/>
  <c r="M8" i="1"/>
  <c r="K8" i="1"/>
  <c r="L8" i="1"/>
  <c r="L10" i="1"/>
  <c r="M10" i="1"/>
  <c r="DB2" i="1"/>
  <c r="DC2" i="1" s="1"/>
  <c r="CS5" i="1"/>
  <c r="CT5" i="1" s="1"/>
  <c r="CU5" i="1" s="1"/>
  <c r="CZ5" i="1"/>
  <c r="BI5" i="1"/>
  <c r="CE5" i="1" s="1"/>
  <c r="CV5" i="1"/>
  <c r="BU132" i="1" l="1"/>
  <c r="BN101" i="1"/>
  <c r="BU100" i="1"/>
  <c r="BU11" i="1"/>
  <c r="BN91" i="1"/>
  <c r="BN155" i="1"/>
  <c r="BN111" i="1"/>
  <c r="BN104" i="1"/>
  <c r="CS169" i="1"/>
  <c r="CT169" i="1" s="1"/>
  <c r="CU169" i="1" s="1"/>
  <c r="BH169" i="1"/>
  <c r="CK169" i="1" s="1"/>
  <c r="CZ169" i="1"/>
  <c r="L145" i="1"/>
  <c r="M49" i="1"/>
  <c r="BN4" i="1"/>
  <c r="L25" i="1"/>
  <c r="L301" i="1"/>
  <c r="BN34" i="1"/>
  <c r="M157" i="1"/>
  <c r="BU43" i="1"/>
  <c r="BU84" i="1"/>
  <c r="BN18" i="1"/>
  <c r="BU10" i="1"/>
  <c r="K25" i="1"/>
  <c r="L337" i="1"/>
  <c r="L325" i="1"/>
  <c r="L313" i="1"/>
  <c r="BN53" i="1"/>
  <c r="L121" i="1"/>
  <c r="BN61" i="1"/>
  <c r="BU64" i="1"/>
  <c r="BN46" i="1"/>
  <c r="BU75" i="1"/>
  <c r="BN175" i="1"/>
  <c r="BN66" i="1"/>
  <c r="M145" i="1"/>
  <c r="M85" i="1"/>
  <c r="L61" i="1"/>
  <c r="K224" i="1"/>
  <c r="M310" i="1"/>
  <c r="BN56" i="1"/>
  <c r="BN22" i="1"/>
  <c r="BN58" i="1"/>
  <c r="M61" i="1"/>
  <c r="L85" i="1"/>
  <c r="K310" i="1"/>
  <c r="L37" i="1"/>
  <c r="BN144" i="1"/>
  <c r="BU105" i="1"/>
  <c r="BU152" i="1"/>
  <c r="BN136" i="1"/>
  <c r="BN110" i="1"/>
  <c r="BU172" i="1"/>
  <c r="M13" i="1"/>
  <c r="M194" i="1"/>
  <c r="L194" i="1"/>
  <c r="K289" i="1"/>
  <c r="CD169" i="1"/>
  <c r="M301" i="1"/>
  <c r="BN169" i="1"/>
  <c r="BN147" i="1"/>
  <c r="BN103" i="1"/>
  <c r="BN168" i="1"/>
  <c r="BN80" i="1"/>
  <c r="BN24" i="1"/>
  <c r="BU127" i="1"/>
  <c r="M253" i="1"/>
  <c r="BQ2" i="1"/>
  <c r="BU107" i="1"/>
  <c r="BU133" i="1"/>
  <c r="BI2" i="1"/>
  <c r="BN23" i="1"/>
  <c r="BN162" i="1"/>
  <c r="H2" i="1"/>
  <c r="BN38" i="1"/>
  <c r="BN37" i="1"/>
  <c r="BU141" i="1"/>
  <c r="BN93" i="1"/>
  <c r="BU35" i="1"/>
  <c r="BU115" i="1"/>
  <c r="BN79" i="1"/>
  <c r="BN78" i="1"/>
  <c r="BE123" i="1"/>
  <c r="BA3" i="1"/>
  <c r="BA180" i="1"/>
  <c r="BA192" i="1"/>
  <c r="BA204" i="1"/>
  <c r="BA216" i="1"/>
  <c r="BA228" i="1"/>
  <c r="BA240" i="1"/>
  <c r="BA252" i="1"/>
  <c r="BA264" i="1"/>
  <c r="BA276" i="1"/>
  <c r="BA288" i="1"/>
  <c r="BA300" i="1"/>
  <c r="BA312" i="1"/>
  <c r="BA324" i="1"/>
  <c r="BA336" i="1"/>
  <c r="BA348" i="1"/>
  <c r="BA195" i="1"/>
  <c r="BA267" i="1"/>
  <c r="BA315" i="1"/>
  <c r="BA220" i="1"/>
  <c r="BA268" i="1"/>
  <c r="BA316" i="1"/>
  <c r="BA352" i="1"/>
  <c r="BA181" i="1"/>
  <c r="BA193" i="1"/>
  <c r="BA205" i="1"/>
  <c r="BA217" i="1"/>
  <c r="BA229" i="1"/>
  <c r="BA241" i="1"/>
  <c r="BA253" i="1"/>
  <c r="BA265" i="1"/>
  <c r="BA277" i="1"/>
  <c r="BA289" i="1"/>
  <c r="BA301" i="1"/>
  <c r="BA313" i="1"/>
  <c r="BA325" i="1"/>
  <c r="BA337" i="1"/>
  <c r="BA349" i="1"/>
  <c r="BA218" i="1"/>
  <c r="BA254" i="1"/>
  <c r="BA278" i="1"/>
  <c r="BA302" i="1"/>
  <c r="BA314" i="1"/>
  <c r="BA338" i="1"/>
  <c r="BA350" i="1"/>
  <c r="BA207" i="1"/>
  <c r="BA243" i="1"/>
  <c r="BA291" i="1"/>
  <c r="BA327" i="1"/>
  <c r="BA196" i="1"/>
  <c r="BA244" i="1"/>
  <c r="BA304" i="1"/>
  <c r="BA182" i="1"/>
  <c r="BA194" i="1"/>
  <c r="BA206" i="1"/>
  <c r="BA230" i="1"/>
  <c r="BA242" i="1"/>
  <c r="BA266" i="1"/>
  <c r="BA290" i="1"/>
  <c r="BA326" i="1"/>
  <c r="BA219" i="1"/>
  <c r="BA255" i="1"/>
  <c r="BA303" i="1"/>
  <c r="BA351" i="1"/>
  <c r="BA208" i="1"/>
  <c r="BA256" i="1"/>
  <c r="BA292" i="1"/>
  <c r="BA340" i="1"/>
  <c r="BA183" i="1"/>
  <c r="BA231" i="1"/>
  <c r="BA279" i="1"/>
  <c r="BA339" i="1"/>
  <c r="BA184" i="1"/>
  <c r="BA232" i="1"/>
  <c r="BA280" i="1"/>
  <c r="BA328" i="1"/>
  <c r="BA185" i="1"/>
  <c r="BA197" i="1"/>
  <c r="BA209" i="1"/>
  <c r="BA221" i="1"/>
  <c r="BA233" i="1"/>
  <c r="BA245" i="1"/>
  <c r="BA257" i="1"/>
  <c r="BA269" i="1"/>
  <c r="BA281" i="1"/>
  <c r="BA293" i="1"/>
  <c r="BA305" i="1"/>
  <c r="BA317" i="1"/>
  <c r="BA329" i="1"/>
  <c r="BA341" i="1"/>
  <c r="BA353" i="1"/>
  <c r="BA320" i="1"/>
  <c r="BA261" i="1"/>
  <c r="BA333" i="1"/>
  <c r="BA186" i="1"/>
  <c r="BA198" i="1"/>
  <c r="BA210" i="1"/>
  <c r="BA222" i="1"/>
  <c r="BA234" i="1"/>
  <c r="BA246" i="1"/>
  <c r="BA258" i="1"/>
  <c r="BA270" i="1"/>
  <c r="BA282" i="1"/>
  <c r="BA294" i="1"/>
  <c r="BA306" i="1"/>
  <c r="BA318" i="1"/>
  <c r="BA330" i="1"/>
  <c r="BA342" i="1"/>
  <c r="BA188" i="1"/>
  <c r="BA224" i="1"/>
  <c r="BA248" i="1"/>
  <c r="BA272" i="1"/>
  <c r="BA296" i="1"/>
  <c r="BA344" i="1"/>
  <c r="BA201" i="1"/>
  <c r="BA249" i="1"/>
  <c r="BA309" i="1"/>
  <c r="BA187" i="1"/>
  <c r="BA199" i="1"/>
  <c r="BA211" i="1"/>
  <c r="BA223" i="1"/>
  <c r="BA235" i="1"/>
  <c r="BA247" i="1"/>
  <c r="BA259" i="1"/>
  <c r="BA271" i="1"/>
  <c r="BA283" i="1"/>
  <c r="BA295" i="1"/>
  <c r="BA307" i="1"/>
  <c r="BA319" i="1"/>
  <c r="BA331" i="1"/>
  <c r="BA343" i="1"/>
  <c r="BA200" i="1"/>
  <c r="BA236" i="1"/>
  <c r="BA260" i="1"/>
  <c r="BA284" i="1"/>
  <c r="BA332" i="1"/>
  <c r="BA189" i="1"/>
  <c r="BA237" i="1"/>
  <c r="BA297" i="1"/>
  <c r="BA212" i="1"/>
  <c r="BA308" i="1"/>
  <c r="BA285" i="1"/>
  <c r="BA321" i="1"/>
  <c r="BA213" i="1"/>
  <c r="BA225" i="1"/>
  <c r="BA273" i="1"/>
  <c r="BA345" i="1"/>
  <c r="BA239" i="1"/>
  <c r="BA311" i="1"/>
  <c r="BA190" i="1"/>
  <c r="BA203" i="1"/>
  <c r="BA286" i="1"/>
  <c r="BA310" i="1"/>
  <c r="BA178" i="1"/>
  <c r="BA250" i="1"/>
  <c r="BA322" i="1"/>
  <c r="BA262" i="1"/>
  <c r="BA202" i="1"/>
  <c r="BA347" i="1"/>
  <c r="BA214" i="1"/>
  <c r="BA238" i="1"/>
  <c r="BA179" i="1"/>
  <c r="BA251" i="1"/>
  <c r="BA323" i="1"/>
  <c r="BA334" i="1"/>
  <c r="BA346" i="1"/>
  <c r="BA298" i="1"/>
  <c r="BA191" i="1"/>
  <c r="BA263" i="1"/>
  <c r="BA335" i="1"/>
  <c r="BA274" i="1"/>
  <c r="BA275" i="1"/>
  <c r="BA226" i="1"/>
  <c r="BA215" i="1"/>
  <c r="BA287" i="1"/>
  <c r="BA227" i="1"/>
  <c r="BA299" i="1"/>
  <c r="BA156" i="1"/>
  <c r="BA132" i="1"/>
  <c r="BA108" i="1"/>
  <c r="BA84" i="1"/>
  <c r="BA60" i="1"/>
  <c r="BA36" i="1"/>
  <c r="BA12" i="1"/>
  <c r="BC161" i="1"/>
  <c r="BC129" i="1"/>
  <c r="BC97" i="1"/>
  <c r="BC65" i="1"/>
  <c r="BC33" i="1"/>
  <c r="BN158" i="1"/>
  <c r="L295" i="1"/>
  <c r="L283" i="1"/>
  <c r="CS2" i="1"/>
  <c r="CT2" i="1" s="1"/>
  <c r="CU2" i="1" s="1"/>
  <c r="CZ2" i="1"/>
  <c r="BU87" i="1"/>
  <c r="BU98" i="1"/>
  <c r="BG2" i="1"/>
  <c r="BN119" i="1"/>
  <c r="BN123" i="1"/>
  <c r="BN62" i="1"/>
  <c r="BE3" i="1"/>
  <c r="BE188" i="1"/>
  <c r="BE200" i="1"/>
  <c r="BE212" i="1"/>
  <c r="BE224" i="1"/>
  <c r="BE236" i="1"/>
  <c r="BE248" i="1"/>
  <c r="BE260" i="1"/>
  <c r="BE272" i="1"/>
  <c r="BE284" i="1"/>
  <c r="BE296" i="1"/>
  <c r="BE308" i="1"/>
  <c r="BE320" i="1"/>
  <c r="BE332" i="1"/>
  <c r="BE344" i="1"/>
  <c r="BE189" i="1"/>
  <c r="BE201" i="1"/>
  <c r="BE213" i="1"/>
  <c r="BE225" i="1"/>
  <c r="BE237" i="1"/>
  <c r="BE249" i="1"/>
  <c r="BE261" i="1"/>
  <c r="BE273" i="1"/>
  <c r="BE285" i="1"/>
  <c r="BE297" i="1"/>
  <c r="BE309" i="1"/>
  <c r="BE321" i="1"/>
  <c r="BE333" i="1"/>
  <c r="BE345" i="1"/>
  <c r="BE178" i="1"/>
  <c r="BE190" i="1"/>
  <c r="BE202" i="1"/>
  <c r="BE214" i="1"/>
  <c r="BE226" i="1"/>
  <c r="BE238" i="1"/>
  <c r="BE250" i="1"/>
  <c r="BE262" i="1"/>
  <c r="BE274" i="1"/>
  <c r="BE286" i="1"/>
  <c r="BE298" i="1"/>
  <c r="BE310" i="1"/>
  <c r="BE322" i="1"/>
  <c r="BE334" i="1"/>
  <c r="BE346" i="1"/>
  <c r="BE179" i="1"/>
  <c r="BE191" i="1"/>
  <c r="BE203" i="1"/>
  <c r="BE215" i="1"/>
  <c r="BE227" i="1"/>
  <c r="BE239" i="1"/>
  <c r="BE251" i="1"/>
  <c r="BE263" i="1"/>
  <c r="BE275" i="1"/>
  <c r="BE287" i="1"/>
  <c r="BE299" i="1"/>
  <c r="BE311" i="1"/>
  <c r="BE323" i="1"/>
  <c r="BE335" i="1"/>
  <c r="BE347" i="1"/>
  <c r="BE180" i="1"/>
  <c r="BE192" i="1"/>
  <c r="BE204" i="1"/>
  <c r="BE216" i="1"/>
  <c r="BE228" i="1"/>
  <c r="BE240" i="1"/>
  <c r="BE252" i="1"/>
  <c r="BE264" i="1"/>
  <c r="BE276" i="1"/>
  <c r="BE288" i="1"/>
  <c r="BE300" i="1"/>
  <c r="BE312" i="1"/>
  <c r="BE324" i="1"/>
  <c r="BE336" i="1"/>
  <c r="BE348" i="1"/>
  <c r="BE182" i="1"/>
  <c r="BE194" i="1"/>
  <c r="BE206" i="1"/>
  <c r="BE218" i="1"/>
  <c r="BE230" i="1"/>
  <c r="BE242" i="1"/>
  <c r="BE254" i="1"/>
  <c r="BE266" i="1"/>
  <c r="BE278" i="1"/>
  <c r="BE290" i="1"/>
  <c r="BE302" i="1"/>
  <c r="BE314" i="1"/>
  <c r="BE326" i="1"/>
  <c r="BE338" i="1"/>
  <c r="BE350" i="1"/>
  <c r="BE183" i="1"/>
  <c r="BE195" i="1"/>
  <c r="BE207" i="1"/>
  <c r="BE219" i="1"/>
  <c r="BE231" i="1"/>
  <c r="BE243" i="1"/>
  <c r="BE255" i="1"/>
  <c r="BE267" i="1"/>
  <c r="BE279" i="1"/>
  <c r="BE291" i="1"/>
  <c r="BE303" i="1"/>
  <c r="BE315" i="1"/>
  <c r="BE327" i="1"/>
  <c r="BE339" i="1"/>
  <c r="BE351" i="1"/>
  <c r="BE184" i="1"/>
  <c r="BE196" i="1"/>
  <c r="BE208" i="1"/>
  <c r="BE220" i="1"/>
  <c r="BE232" i="1"/>
  <c r="BE244" i="1"/>
  <c r="BE256" i="1"/>
  <c r="BE268" i="1"/>
  <c r="BE280" i="1"/>
  <c r="BE292" i="1"/>
  <c r="BE304" i="1"/>
  <c r="BE316" i="1"/>
  <c r="BE328" i="1"/>
  <c r="BE340" i="1"/>
  <c r="BE352" i="1"/>
  <c r="BE185" i="1"/>
  <c r="BE197" i="1"/>
  <c r="BE209" i="1"/>
  <c r="BE221" i="1"/>
  <c r="BE233" i="1"/>
  <c r="BE245" i="1"/>
  <c r="BE257" i="1"/>
  <c r="BE269" i="1"/>
  <c r="BE281" i="1"/>
  <c r="BE293" i="1"/>
  <c r="BE305" i="1"/>
  <c r="BE317" i="1"/>
  <c r="BE329" i="1"/>
  <c r="BE341" i="1"/>
  <c r="BE353" i="1"/>
  <c r="BE211" i="1"/>
  <c r="BE259" i="1"/>
  <c r="BE307" i="1"/>
  <c r="BE229" i="1"/>
  <c r="BE217" i="1"/>
  <c r="BE265" i="1"/>
  <c r="BE313" i="1"/>
  <c r="BE325" i="1"/>
  <c r="BE222" i="1"/>
  <c r="BE270" i="1"/>
  <c r="BE318" i="1"/>
  <c r="BE277" i="1"/>
  <c r="BE223" i="1"/>
  <c r="BE271" i="1"/>
  <c r="BE319" i="1"/>
  <c r="BE181" i="1"/>
  <c r="BE253" i="1"/>
  <c r="BE186" i="1"/>
  <c r="BE234" i="1"/>
  <c r="BE282" i="1"/>
  <c r="BE330" i="1"/>
  <c r="BE349" i="1"/>
  <c r="BE187" i="1"/>
  <c r="BE235" i="1"/>
  <c r="BE283" i="1"/>
  <c r="BE331" i="1"/>
  <c r="BE193" i="1"/>
  <c r="BE241" i="1"/>
  <c r="BE289" i="1"/>
  <c r="BE337" i="1"/>
  <c r="BE205" i="1"/>
  <c r="BE198" i="1"/>
  <c r="BE246" i="1"/>
  <c r="BE294" i="1"/>
  <c r="BE342" i="1"/>
  <c r="BE199" i="1"/>
  <c r="BE247" i="1"/>
  <c r="BE295" i="1"/>
  <c r="BE343" i="1"/>
  <c r="BE301" i="1"/>
  <c r="BE210" i="1"/>
  <c r="BE258" i="1"/>
  <c r="BE306" i="1"/>
  <c r="BE118" i="1"/>
  <c r="BE54" i="1"/>
  <c r="BA177" i="1"/>
  <c r="BA153" i="1"/>
  <c r="BA129" i="1"/>
  <c r="BA105" i="1"/>
  <c r="BA81" i="1"/>
  <c r="BA57" i="1"/>
  <c r="BA33" i="1"/>
  <c r="BA9" i="1"/>
  <c r="BC157" i="1"/>
  <c r="BC125" i="1"/>
  <c r="BC93" i="1"/>
  <c r="BC61" i="1"/>
  <c r="BC29" i="1"/>
  <c r="BN138" i="1"/>
  <c r="BU143" i="1"/>
  <c r="M283" i="1"/>
  <c r="M210" i="1"/>
  <c r="M285" i="1"/>
  <c r="BX5" i="1"/>
  <c r="BN31" i="1"/>
  <c r="BU76" i="1"/>
  <c r="J263" i="1"/>
  <c r="DB263" i="1"/>
  <c r="DC263" i="1" s="1"/>
  <c r="K285" i="1"/>
  <c r="BN49" i="1"/>
  <c r="BU59" i="1"/>
  <c r="BN113" i="1"/>
  <c r="J215" i="1"/>
  <c r="DB215" i="1"/>
  <c r="DC215" i="1" s="1"/>
  <c r="BU153" i="1"/>
  <c r="BN48" i="1"/>
  <c r="BN161" i="1"/>
  <c r="BN82" i="1"/>
  <c r="BH2" i="1"/>
  <c r="BN122" i="1"/>
  <c r="BN146" i="1"/>
  <c r="BC173" i="1"/>
  <c r="BC141" i="1"/>
  <c r="BC109" i="1"/>
  <c r="BC77" i="1"/>
  <c r="BC45" i="1"/>
  <c r="BC13" i="1"/>
  <c r="M288" i="1"/>
  <c r="L288" i="1"/>
  <c r="M298" i="1"/>
  <c r="M302" i="1"/>
  <c r="L297" i="1"/>
  <c r="L299" i="1"/>
  <c r="L290" i="1"/>
  <c r="L292" i="1"/>
  <c r="M240" i="1"/>
  <c r="M234" i="1"/>
  <c r="BN163" i="1"/>
  <c r="BU88" i="1"/>
  <c r="BN118" i="1"/>
  <c r="BC169" i="1"/>
  <c r="BC137" i="1"/>
  <c r="BC105" i="1"/>
  <c r="BC73" i="1"/>
  <c r="BC41" i="1"/>
  <c r="M289" i="1"/>
  <c r="M281" i="1"/>
  <c r="M239" i="1"/>
  <c r="M233" i="1"/>
  <c r="BC184" i="1"/>
  <c r="BC196" i="1"/>
  <c r="BC208" i="1"/>
  <c r="BC220" i="1"/>
  <c r="BC232" i="1"/>
  <c r="BC244" i="1"/>
  <c r="BC256" i="1"/>
  <c r="BC268" i="1"/>
  <c r="BC185" i="1"/>
  <c r="BC197" i="1"/>
  <c r="BC209" i="1"/>
  <c r="BC221" i="1"/>
  <c r="BC233" i="1"/>
  <c r="BC245" i="1"/>
  <c r="BC257" i="1"/>
  <c r="BC269" i="1"/>
  <c r="BC186" i="1"/>
  <c r="BC198" i="1"/>
  <c r="BC210" i="1"/>
  <c r="BC222" i="1"/>
  <c r="BC234" i="1"/>
  <c r="BC246" i="1"/>
  <c r="BC258" i="1"/>
  <c r="BC188" i="1"/>
  <c r="BC200" i="1"/>
  <c r="BC212" i="1"/>
  <c r="BC224" i="1"/>
  <c r="BC236" i="1"/>
  <c r="BC248" i="1"/>
  <c r="BC260" i="1"/>
  <c r="BC178" i="1"/>
  <c r="BC190" i="1"/>
  <c r="BC202" i="1"/>
  <c r="BC214" i="1"/>
  <c r="BC226" i="1"/>
  <c r="BC238" i="1"/>
  <c r="BC250" i="1"/>
  <c r="BC262" i="1"/>
  <c r="BC183" i="1"/>
  <c r="BC205" i="1"/>
  <c r="BC227" i="1"/>
  <c r="BC247" i="1"/>
  <c r="BC266" i="1"/>
  <c r="BC280" i="1"/>
  <c r="BC292" i="1"/>
  <c r="BC304" i="1"/>
  <c r="BC316" i="1"/>
  <c r="BC328" i="1"/>
  <c r="BC340" i="1"/>
  <c r="BC352" i="1"/>
  <c r="BC343" i="1"/>
  <c r="BC253" i="1"/>
  <c r="BC308" i="1"/>
  <c r="BC344" i="1"/>
  <c r="BC187" i="1"/>
  <c r="BC206" i="1"/>
  <c r="BC228" i="1"/>
  <c r="BC249" i="1"/>
  <c r="BC267" i="1"/>
  <c r="BC281" i="1"/>
  <c r="BC293" i="1"/>
  <c r="BC305" i="1"/>
  <c r="BC317" i="1"/>
  <c r="BC329" i="1"/>
  <c r="BC341" i="1"/>
  <c r="BC353" i="1"/>
  <c r="BC192" i="1"/>
  <c r="BC296" i="1"/>
  <c r="BC290" i="1"/>
  <c r="BC189" i="1"/>
  <c r="BC207" i="1"/>
  <c r="BC229" i="1"/>
  <c r="BC251" i="1"/>
  <c r="BC270" i="1"/>
  <c r="BC282" i="1"/>
  <c r="BC294" i="1"/>
  <c r="BC306" i="1"/>
  <c r="BC318" i="1"/>
  <c r="BC330" i="1"/>
  <c r="BC342" i="1"/>
  <c r="BC231" i="1"/>
  <c r="BC272" i="1"/>
  <c r="BC320" i="1"/>
  <c r="BC191" i="1"/>
  <c r="BC211" i="1"/>
  <c r="BC230" i="1"/>
  <c r="BC252" i="1"/>
  <c r="BC271" i="1"/>
  <c r="BC283" i="1"/>
  <c r="BC295" i="1"/>
  <c r="BC307" i="1"/>
  <c r="BC319" i="1"/>
  <c r="BC331" i="1"/>
  <c r="BC213" i="1"/>
  <c r="BC284" i="1"/>
  <c r="BC332" i="1"/>
  <c r="BC264" i="1"/>
  <c r="BC193" i="1"/>
  <c r="BC215" i="1"/>
  <c r="BC235" i="1"/>
  <c r="BC254" i="1"/>
  <c r="BC273" i="1"/>
  <c r="BC285" i="1"/>
  <c r="BC297" i="1"/>
  <c r="BC309" i="1"/>
  <c r="BC321" i="1"/>
  <c r="BC333" i="1"/>
  <c r="BC345" i="1"/>
  <c r="BC223" i="1"/>
  <c r="BC302" i="1"/>
  <c r="BC194" i="1"/>
  <c r="BC216" i="1"/>
  <c r="BC237" i="1"/>
  <c r="BC255" i="1"/>
  <c r="BC274" i="1"/>
  <c r="BC286" i="1"/>
  <c r="BC298" i="1"/>
  <c r="BC310" i="1"/>
  <c r="BC322" i="1"/>
  <c r="BC334" i="1"/>
  <c r="BC346" i="1"/>
  <c r="BC288" i="1"/>
  <c r="BC203" i="1"/>
  <c r="BC278" i="1"/>
  <c r="BC350" i="1"/>
  <c r="BC195" i="1"/>
  <c r="BC217" i="1"/>
  <c r="BC239" i="1"/>
  <c r="BC259" i="1"/>
  <c r="BC275" i="1"/>
  <c r="BC287" i="1"/>
  <c r="BC299" i="1"/>
  <c r="BC311" i="1"/>
  <c r="BC323" i="1"/>
  <c r="BC335" i="1"/>
  <c r="BC347" i="1"/>
  <c r="BC199" i="1"/>
  <c r="BC348" i="1"/>
  <c r="BC181" i="1"/>
  <c r="BC242" i="1"/>
  <c r="BC314" i="1"/>
  <c r="BC179" i="1"/>
  <c r="BC218" i="1"/>
  <c r="BC240" i="1"/>
  <c r="BC261" i="1"/>
  <c r="BC276" i="1"/>
  <c r="BC300" i="1"/>
  <c r="BC312" i="1"/>
  <c r="BC324" i="1"/>
  <c r="BC336" i="1"/>
  <c r="BC180" i="1"/>
  <c r="BC201" i="1"/>
  <c r="BC219" i="1"/>
  <c r="BC241" i="1"/>
  <c r="BC263" i="1"/>
  <c r="BC277" i="1"/>
  <c r="BC289" i="1"/>
  <c r="BC301" i="1"/>
  <c r="BC313" i="1"/>
  <c r="BC325" i="1"/>
  <c r="BC337" i="1"/>
  <c r="BC349" i="1"/>
  <c r="BC338" i="1"/>
  <c r="BC182" i="1"/>
  <c r="BC339" i="1"/>
  <c r="BC225" i="1"/>
  <c r="BC315" i="1"/>
  <c r="BC204" i="1"/>
  <c r="BC351" i="1"/>
  <c r="BC279" i="1"/>
  <c r="BC243" i="1"/>
  <c r="BC265" i="1"/>
  <c r="BC291" i="1"/>
  <c r="BC327" i="1"/>
  <c r="BC303" i="1"/>
  <c r="BC326" i="1"/>
  <c r="BC162" i="1"/>
  <c r="BC130" i="1"/>
  <c r="BC98" i="1"/>
  <c r="BC66" i="1"/>
  <c r="BC34" i="1"/>
  <c r="L286" i="1"/>
  <c r="L284" i="1"/>
  <c r="L282" i="1"/>
  <c r="M351" i="1"/>
  <c r="AY3" i="1"/>
  <c r="AZ3" i="1" s="1"/>
  <c r="M350" i="1"/>
  <c r="G98" i="1"/>
  <c r="M347" i="1"/>
  <c r="M346" i="1"/>
  <c r="M232" i="1"/>
  <c r="L293" i="1"/>
  <c r="L291" i="1"/>
  <c r="L287" i="1"/>
  <c r="L285" i="1"/>
  <c r="L281" i="1"/>
  <c r="L278" i="1"/>
  <c r="M252" i="1"/>
  <c r="M247" i="1"/>
  <c r="M256" i="1"/>
  <c r="M296" i="1"/>
  <c r="M294" i="1"/>
  <c r="M292" i="1"/>
  <c r="M290" i="1"/>
  <c r="M286" i="1"/>
  <c r="M284" i="1"/>
  <c r="M282" i="1"/>
  <c r="M280" i="1"/>
  <c r="M353" i="1"/>
  <c r="M231" i="1"/>
  <c r="M352" i="1"/>
  <c r="AY4" i="1"/>
  <c r="AZ4" i="1" s="1"/>
  <c r="BJ160" i="1"/>
  <c r="BJ155" i="1"/>
  <c r="BJ129" i="1"/>
  <c r="BJ29" i="1"/>
  <c r="BJ123" i="1"/>
  <c r="BJ174" i="1"/>
  <c r="BJ134" i="1"/>
  <c r="BJ152" i="1"/>
  <c r="BJ11" i="1"/>
  <c r="BJ60" i="1"/>
  <c r="BJ141" i="1"/>
  <c r="BJ81" i="1"/>
  <c r="BJ165" i="1"/>
  <c r="BJ77" i="1"/>
  <c r="BJ18" i="1"/>
  <c r="BJ180" i="1"/>
  <c r="BJ179" i="1"/>
  <c r="BJ181" i="1"/>
  <c r="BJ178" i="1"/>
  <c r="BJ110" i="1"/>
  <c r="BJ45" i="1"/>
  <c r="BJ8" i="1"/>
  <c r="BJ116" i="1"/>
  <c r="BJ58" i="1"/>
  <c r="BJ13" i="1"/>
  <c r="BJ162" i="1"/>
  <c r="BJ115" i="1"/>
  <c r="BJ164" i="1"/>
  <c r="BJ131" i="1"/>
  <c r="BJ147" i="1"/>
  <c r="BJ124" i="1"/>
  <c r="BJ154" i="1"/>
  <c r="BJ101" i="1"/>
  <c r="BJ34" i="1"/>
  <c r="BJ3" i="1"/>
  <c r="BJ171" i="1"/>
  <c r="BJ182" i="1"/>
  <c r="BJ186" i="1"/>
  <c r="BJ190" i="1"/>
  <c r="BJ194" i="1"/>
  <c r="BJ198" i="1"/>
  <c r="BJ202" i="1"/>
  <c r="BJ206" i="1"/>
  <c r="BJ210" i="1"/>
  <c r="BJ214" i="1"/>
  <c r="BJ218" i="1"/>
  <c r="BJ222" i="1"/>
  <c r="BJ226" i="1"/>
  <c r="BJ230" i="1"/>
  <c r="BJ234" i="1"/>
  <c r="BJ238" i="1"/>
  <c r="BJ242" i="1"/>
  <c r="BJ246" i="1"/>
  <c r="BJ250" i="1"/>
  <c r="BJ254" i="1"/>
  <c r="BJ258" i="1"/>
  <c r="BJ262" i="1"/>
  <c r="BJ266" i="1"/>
  <c r="BJ270" i="1"/>
  <c r="BJ274" i="1"/>
  <c r="BJ278" i="1"/>
  <c r="BJ282" i="1"/>
  <c r="BJ286" i="1"/>
  <c r="BJ290" i="1"/>
  <c r="BJ294" i="1"/>
  <c r="BJ298" i="1"/>
  <c r="BJ302" i="1"/>
  <c r="BJ306" i="1"/>
  <c r="BJ310" i="1"/>
  <c r="BJ314" i="1"/>
  <c r="BJ318" i="1"/>
  <c r="BJ322" i="1"/>
  <c r="BJ326" i="1"/>
  <c r="BJ330" i="1"/>
  <c r="BJ334" i="1"/>
  <c r="BJ338" i="1"/>
  <c r="BJ342" i="1"/>
  <c r="BJ346" i="1"/>
  <c r="BJ350" i="1"/>
  <c r="BJ347" i="1"/>
  <c r="BJ183" i="1"/>
  <c r="BJ187" i="1"/>
  <c r="BJ191" i="1"/>
  <c r="BJ195" i="1"/>
  <c r="BJ199" i="1"/>
  <c r="BJ203" i="1"/>
  <c r="BJ207" i="1"/>
  <c r="BJ211" i="1"/>
  <c r="BJ215" i="1"/>
  <c r="BJ219" i="1"/>
  <c r="BJ223" i="1"/>
  <c r="BJ227" i="1"/>
  <c r="BJ231" i="1"/>
  <c r="BJ235" i="1"/>
  <c r="BJ239" i="1"/>
  <c r="BJ243" i="1"/>
  <c r="BJ247" i="1"/>
  <c r="BJ251" i="1"/>
  <c r="BJ255" i="1"/>
  <c r="BJ259" i="1"/>
  <c r="BJ263" i="1"/>
  <c r="BJ267" i="1"/>
  <c r="BJ271" i="1"/>
  <c r="BJ275" i="1"/>
  <c r="BJ279" i="1"/>
  <c r="BJ283" i="1"/>
  <c r="BJ287" i="1"/>
  <c r="BJ291" i="1"/>
  <c r="BJ295" i="1"/>
  <c r="BJ299" i="1"/>
  <c r="BJ303" i="1"/>
  <c r="BJ307" i="1"/>
  <c r="BJ311" i="1"/>
  <c r="BJ315" i="1"/>
  <c r="BJ319" i="1"/>
  <c r="BJ323" i="1"/>
  <c r="BJ327" i="1"/>
  <c r="BJ331" i="1"/>
  <c r="BJ335" i="1"/>
  <c r="BJ339" i="1"/>
  <c r="BJ343" i="1"/>
  <c r="BJ351" i="1"/>
  <c r="BJ184" i="1"/>
  <c r="BJ188" i="1"/>
  <c r="BJ192" i="1"/>
  <c r="BJ196" i="1"/>
  <c r="BJ200" i="1"/>
  <c r="BJ204" i="1"/>
  <c r="BJ208" i="1"/>
  <c r="BJ212" i="1"/>
  <c r="BJ216" i="1"/>
  <c r="BJ220" i="1"/>
  <c r="BJ224" i="1"/>
  <c r="BJ228" i="1"/>
  <c r="BJ232" i="1"/>
  <c r="BJ236" i="1"/>
  <c r="BJ240" i="1"/>
  <c r="BJ244" i="1"/>
  <c r="BJ248" i="1"/>
  <c r="BJ252" i="1"/>
  <c r="BJ256" i="1"/>
  <c r="BJ260" i="1"/>
  <c r="BJ264" i="1"/>
  <c r="BJ268" i="1"/>
  <c r="BJ272" i="1"/>
  <c r="BJ276" i="1"/>
  <c r="BJ280" i="1"/>
  <c r="BJ284" i="1"/>
  <c r="BJ288" i="1"/>
  <c r="BJ292" i="1"/>
  <c r="BJ296" i="1"/>
  <c r="BJ300" i="1"/>
  <c r="BJ304" i="1"/>
  <c r="BJ308" i="1"/>
  <c r="BJ312" i="1"/>
  <c r="BJ316" i="1"/>
  <c r="BJ320" i="1"/>
  <c r="BJ324" i="1"/>
  <c r="BJ328" i="1"/>
  <c r="BJ332" i="1"/>
  <c r="BJ336" i="1"/>
  <c r="BJ340" i="1"/>
  <c r="BJ344" i="1"/>
  <c r="BJ348" i="1"/>
  <c r="BJ352" i="1"/>
  <c r="BJ185" i="1"/>
  <c r="BJ189" i="1"/>
  <c r="BJ193" i="1"/>
  <c r="BJ197" i="1"/>
  <c r="BJ201" i="1"/>
  <c r="BJ205" i="1"/>
  <c r="BJ209" i="1"/>
  <c r="BJ213" i="1"/>
  <c r="BJ217" i="1"/>
  <c r="BJ221" i="1"/>
  <c r="BJ225" i="1"/>
  <c r="BJ229" i="1"/>
  <c r="BJ233" i="1"/>
  <c r="BJ237" i="1"/>
  <c r="BJ241" i="1"/>
  <c r="BJ245" i="1"/>
  <c r="BJ249" i="1"/>
  <c r="BJ253" i="1"/>
  <c r="BJ257" i="1"/>
  <c r="BJ261" i="1"/>
  <c r="BJ265" i="1"/>
  <c r="BJ269" i="1"/>
  <c r="BJ273" i="1"/>
  <c r="BJ277" i="1"/>
  <c r="BJ281" i="1"/>
  <c r="BJ285" i="1"/>
  <c r="BJ289" i="1"/>
  <c r="BJ293" i="1"/>
  <c r="BJ297" i="1"/>
  <c r="BJ301" i="1"/>
  <c r="BJ305" i="1"/>
  <c r="BJ309" i="1"/>
  <c r="BJ313" i="1"/>
  <c r="BJ317" i="1"/>
  <c r="BJ321" i="1"/>
  <c r="BJ325" i="1"/>
  <c r="BJ329" i="1"/>
  <c r="BJ333" i="1"/>
  <c r="BJ337" i="1"/>
  <c r="BJ341" i="1"/>
  <c r="BJ345" i="1"/>
  <c r="BJ349" i="1"/>
  <c r="BJ353" i="1"/>
  <c r="BJ74" i="1"/>
  <c r="BJ72" i="1"/>
  <c r="DB139" i="1"/>
  <c r="DC139" i="1" s="1"/>
  <c r="J139" i="1"/>
  <c r="H169" i="1"/>
  <c r="BI169" i="1"/>
  <c r="CV169" i="1"/>
  <c r="CW169" i="1" s="1"/>
  <c r="CX169" i="1" s="1"/>
  <c r="BG169" i="1"/>
  <c r="I223" i="1"/>
  <c r="I171" i="1"/>
  <c r="F280" i="1"/>
  <c r="AY297" i="1"/>
  <c r="AZ297" i="1" s="1"/>
  <c r="G279" i="1"/>
  <c r="AY313" i="1"/>
  <c r="AZ313" i="1" s="1"/>
  <c r="AY115" i="1"/>
  <c r="AZ115" i="1" s="1"/>
  <c r="AY51" i="1"/>
  <c r="AZ51" i="1" s="1"/>
  <c r="F322" i="1"/>
  <c r="F335" i="1"/>
  <c r="F338" i="1"/>
  <c r="F346" i="1"/>
  <c r="I281" i="1"/>
  <c r="I297" i="1"/>
  <c r="I313" i="1"/>
  <c r="I329" i="1"/>
  <c r="I345" i="1"/>
  <c r="F15" i="1"/>
  <c r="F26" i="1"/>
  <c r="F47" i="1"/>
  <c r="F58" i="1"/>
  <c r="G76" i="1"/>
  <c r="G89" i="1"/>
  <c r="G95" i="1"/>
  <c r="F102" i="1"/>
  <c r="F109" i="1"/>
  <c r="F112" i="1"/>
  <c r="I114" i="1"/>
  <c r="G117" i="1"/>
  <c r="F120" i="1"/>
  <c r="I122" i="1"/>
  <c r="G125" i="1"/>
  <c r="F128" i="1"/>
  <c r="I130" i="1"/>
  <c r="G133" i="1"/>
  <c r="F136" i="1"/>
  <c r="I138" i="1"/>
  <c r="G141" i="1"/>
  <c r="F144" i="1"/>
  <c r="I146" i="1"/>
  <c r="G149" i="1"/>
  <c r="I151" i="1"/>
  <c r="G153" i="1"/>
  <c r="F155" i="1"/>
  <c r="F157" i="1"/>
  <c r="I158" i="1"/>
  <c r="G160" i="1"/>
  <c r="F162" i="1"/>
  <c r="G163" i="1"/>
  <c r="I164" i="1"/>
  <c r="F166" i="1"/>
  <c r="G167" i="1"/>
  <c r="I168" i="1"/>
  <c r="F170" i="1"/>
  <c r="G171" i="1"/>
  <c r="I172" i="1"/>
  <c r="F174" i="1"/>
  <c r="G175" i="1"/>
  <c r="I176" i="1"/>
  <c r="F178" i="1"/>
  <c r="G179" i="1"/>
  <c r="I180" i="1"/>
  <c r="F182" i="1"/>
  <c r="G183" i="1"/>
  <c r="I184" i="1"/>
  <c r="F186" i="1"/>
  <c r="G187" i="1"/>
  <c r="I188" i="1"/>
  <c r="F190" i="1"/>
  <c r="G191" i="1"/>
  <c r="I192" i="1"/>
  <c r="F194" i="1"/>
  <c r="G195" i="1"/>
  <c r="I196" i="1"/>
  <c r="F198" i="1"/>
  <c r="G199" i="1"/>
  <c r="I200" i="1"/>
  <c r="F202" i="1"/>
  <c r="G203" i="1"/>
  <c r="I204" i="1"/>
  <c r="F206" i="1"/>
  <c r="G207" i="1"/>
  <c r="I208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F266" i="1"/>
  <c r="G267" i="1"/>
  <c r="I268" i="1"/>
  <c r="I270" i="1"/>
  <c r="I274" i="1"/>
  <c r="AY35" i="1"/>
  <c r="AZ35" i="1" s="1"/>
  <c r="F295" i="1"/>
  <c r="F306" i="1"/>
  <c r="F344" i="1"/>
  <c r="I289" i="1"/>
  <c r="I305" i="1"/>
  <c r="I321" i="1"/>
  <c r="I337" i="1"/>
  <c r="I353" i="1"/>
  <c r="F10" i="1"/>
  <c r="F31" i="1"/>
  <c r="F42" i="1"/>
  <c r="F63" i="1"/>
  <c r="G73" i="1"/>
  <c r="G79" i="1"/>
  <c r="F86" i="1"/>
  <c r="G92" i="1"/>
  <c r="F104" i="1"/>
  <c r="F107" i="1"/>
  <c r="G110" i="1"/>
  <c r="G113" i="1"/>
  <c r="F116" i="1"/>
  <c r="I118" i="1"/>
  <c r="G121" i="1"/>
  <c r="F124" i="1"/>
  <c r="I126" i="1"/>
  <c r="G129" i="1"/>
  <c r="F132" i="1"/>
  <c r="I134" i="1"/>
  <c r="G137" i="1"/>
  <c r="F140" i="1"/>
  <c r="I142" i="1"/>
  <c r="G145" i="1"/>
  <c r="F148" i="1"/>
  <c r="I150" i="1"/>
  <c r="G152" i="1"/>
  <c r="G154" i="1"/>
  <c r="F156" i="1"/>
  <c r="I157" i="1"/>
  <c r="I159" i="1"/>
  <c r="G161" i="1"/>
  <c r="I162" i="1"/>
  <c r="F164" i="1"/>
  <c r="G165" i="1"/>
  <c r="I166" i="1"/>
  <c r="F168" i="1"/>
  <c r="G169" i="1"/>
  <c r="I170" i="1"/>
  <c r="F172" i="1"/>
  <c r="G173" i="1"/>
  <c r="I174" i="1"/>
  <c r="F176" i="1"/>
  <c r="G177" i="1"/>
  <c r="I178" i="1"/>
  <c r="F180" i="1"/>
  <c r="G181" i="1"/>
  <c r="I182" i="1"/>
  <c r="F184" i="1"/>
  <c r="G185" i="1"/>
  <c r="I186" i="1"/>
  <c r="F188" i="1"/>
  <c r="G189" i="1"/>
  <c r="I190" i="1"/>
  <c r="F192" i="1"/>
  <c r="G193" i="1"/>
  <c r="I194" i="1"/>
  <c r="F196" i="1"/>
  <c r="G197" i="1"/>
  <c r="I198" i="1"/>
  <c r="F200" i="1"/>
  <c r="G201" i="1"/>
  <c r="I202" i="1"/>
  <c r="F204" i="1"/>
  <c r="G205" i="1"/>
  <c r="I206" i="1"/>
  <c r="F208" i="1"/>
  <c r="G209" i="1"/>
  <c r="I212" i="1"/>
  <c r="I216" i="1"/>
  <c r="I220" i="1"/>
  <c r="I224" i="1"/>
  <c r="I228" i="1"/>
  <c r="I288" i="1"/>
  <c r="I320" i="1"/>
  <c r="I352" i="1"/>
  <c r="F36" i="1"/>
  <c r="F57" i="1"/>
  <c r="F76" i="1"/>
  <c r="F89" i="1"/>
  <c r="G108" i="1"/>
  <c r="G114" i="1"/>
  <c r="I119" i="1"/>
  <c r="F125" i="1"/>
  <c r="G130" i="1"/>
  <c r="I135" i="1"/>
  <c r="F141" i="1"/>
  <c r="G146" i="1"/>
  <c r="F151" i="1"/>
  <c r="I154" i="1"/>
  <c r="G158" i="1"/>
  <c r="I161" i="1"/>
  <c r="G164" i="1"/>
  <c r="F167" i="1"/>
  <c r="I169" i="1"/>
  <c r="G172" i="1"/>
  <c r="F175" i="1"/>
  <c r="I177" i="1"/>
  <c r="G180" i="1"/>
  <c r="F183" i="1"/>
  <c r="I185" i="1"/>
  <c r="G188" i="1"/>
  <c r="F191" i="1"/>
  <c r="I193" i="1"/>
  <c r="G196" i="1"/>
  <c r="F199" i="1"/>
  <c r="I201" i="1"/>
  <c r="G204" i="1"/>
  <c r="F207" i="1"/>
  <c r="I209" i="1"/>
  <c r="I217" i="1"/>
  <c r="I225" i="1"/>
  <c r="I232" i="1"/>
  <c r="I237" i="1"/>
  <c r="I243" i="1"/>
  <c r="I248" i="1"/>
  <c r="I253" i="1"/>
  <c r="I259" i="1"/>
  <c r="I264" i="1"/>
  <c r="F267" i="1"/>
  <c r="F269" i="1"/>
  <c r="I272" i="1"/>
  <c r="F317" i="1"/>
  <c r="F336" i="1"/>
  <c r="F345" i="1"/>
  <c r="I304" i="1"/>
  <c r="I336" i="1"/>
  <c r="F25" i="1"/>
  <c r="F68" i="1"/>
  <c r="G82" i="1"/>
  <c r="F95" i="1"/>
  <c r="H95" i="1" s="1"/>
  <c r="G105" i="1"/>
  <c r="G111" i="1"/>
  <c r="F117" i="1"/>
  <c r="G122" i="1"/>
  <c r="I127" i="1"/>
  <c r="F133" i="1"/>
  <c r="G138" i="1"/>
  <c r="I143" i="1"/>
  <c r="F149" i="1"/>
  <c r="F153" i="1"/>
  <c r="G156" i="1"/>
  <c r="F160" i="1"/>
  <c r="F163" i="1"/>
  <c r="I165" i="1"/>
  <c r="G168" i="1"/>
  <c r="F171" i="1"/>
  <c r="I173" i="1"/>
  <c r="G176" i="1"/>
  <c r="F179" i="1"/>
  <c r="I181" i="1"/>
  <c r="G184" i="1"/>
  <c r="F187" i="1"/>
  <c r="I189" i="1"/>
  <c r="G192" i="1"/>
  <c r="F195" i="1"/>
  <c r="I197" i="1"/>
  <c r="G200" i="1"/>
  <c r="F203" i="1"/>
  <c r="I205" i="1"/>
  <c r="G208" i="1"/>
  <c r="I213" i="1"/>
  <c r="I221" i="1"/>
  <c r="I229" i="1"/>
  <c r="I235" i="1"/>
  <c r="I240" i="1"/>
  <c r="I245" i="1"/>
  <c r="I251" i="1"/>
  <c r="I256" i="1"/>
  <c r="I261" i="1"/>
  <c r="G266" i="1"/>
  <c r="F268" i="1"/>
  <c r="I269" i="1"/>
  <c r="I275" i="1"/>
  <c r="F353" i="1"/>
  <c r="I280" i="1"/>
  <c r="I344" i="1"/>
  <c r="F20" i="1"/>
  <c r="F92" i="1"/>
  <c r="F110" i="1"/>
  <c r="F121" i="1"/>
  <c r="I131" i="1"/>
  <c r="G142" i="1"/>
  <c r="F152" i="1"/>
  <c r="F159" i="1"/>
  <c r="F165" i="1"/>
  <c r="G170" i="1"/>
  <c r="I175" i="1"/>
  <c r="F181" i="1"/>
  <c r="G186" i="1"/>
  <c r="I191" i="1"/>
  <c r="F197" i="1"/>
  <c r="G202" i="1"/>
  <c r="I207" i="1"/>
  <c r="I219" i="1"/>
  <c r="I233" i="1"/>
  <c r="I244" i="1"/>
  <c r="I255" i="1"/>
  <c r="I265" i="1"/>
  <c r="G269" i="1"/>
  <c r="I312" i="1"/>
  <c r="F41" i="1"/>
  <c r="F79" i="1"/>
  <c r="G103" i="1"/>
  <c r="I115" i="1"/>
  <c r="G126" i="1"/>
  <c r="F137" i="1"/>
  <c r="I147" i="1"/>
  <c r="I155" i="1"/>
  <c r="G162" i="1"/>
  <c r="I167" i="1"/>
  <c r="F173" i="1"/>
  <c r="G178" i="1"/>
  <c r="I183" i="1"/>
  <c r="F189" i="1"/>
  <c r="G194" i="1"/>
  <c r="I199" i="1"/>
  <c r="F205" i="1"/>
  <c r="I211" i="1"/>
  <c r="I227" i="1"/>
  <c r="I239" i="1"/>
  <c r="I249" i="1"/>
  <c r="I260" i="1"/>
  <c r="I267" i="1"/>
  <c r="I273" i="1"/>
  <c r="G342" i="1"/>
  <c r="F73" i="1"/>
  <c r="F113" i="1"/>
  <c r="G134" i="1"/>
  <c r="I153" i="1"/>
  <c r="G166" i="1"/>
  <c r="F177" i="1"/>
  <c r="I187" i="1"/>
  <c r="G198" i="1"/>
  <c r="F209" i="1"/>
  <c r="I236" i="1"/>
  <c r="I257" i="1"/>
  <c r="I271" i="1"/>
  <c r="G304" i="1"/>
  <c r="F52" i="1"/>
  <c r="F129" i="1"/>
  <c r="G150" i="1"/>
  <c r="I163" i="1"/>
  <c r="G174" i="1"/>
  <c r="F185" i="1"/>
  <c r="I195" i="1"/>
  <c r="G206" i="1"/>
  <c r="I231" i="1"/>
  <c r="I252" i="1"/>
  <c r="G268" i="1"/>
  <c r="I328" i="1"/>
  <c r="I123" i="1"/>
  <c r="F161" i="1"/>
  <c r="G182" i="1"/>
  <c r="I203" i="1"/>
  <c r="I247" i="1"/>
  <c r="I296" i="1"/>
  <c r="F9" i="1"/>
  <c r="G118" i="1"/>
  <c r="G157" i="1"/>
  <c r="I179" i="1"/>
  <c r="F201" i="1"/>
  <c r="I241" i="1"/>
  <c r="I276" i="1"/>
  <c r="I266" i="1"/>
  <c r="F193" i="1"/>
  <c r="F145" i="1"/>
  <c r="H5" i="1"/>
  <c r="BG5" i="1"/>
  <c r="BH5" i="1"/>
  <c r="AY99" i="1"/>
  <c r="AZ99" i="1" s="1"/>
  <c r="AY345" i="1"/>
  <c r="AZ345" i="1" s="1"/>
  <c r="F319" i="1"/>
  <c r="G324" i="1"/>
  <c r="G325" i="1"/>
  <c r="F328" i="1"/>
  <c r="F329" i="1"/>
  <c r="F348" i="1"/>
  <c r="G349" i="1"/>
  <c r="F350" i="1"/>
  <c r="G352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G3" i="1"/>
  <c r="I4" i="1"/>
  <c r="F6" i="1"/>
  <c r="F11" i="1"/>
  <c r="F14" i="1"/>
  <c r="F19" i="1"/>
  <c r="F22" i="1"/>
  <c r="F27" i="1"/>
  <c r="F30" i="1"/>
  <c r="F35" i="1"/>
  <c r="F38" i="1"/>
  <c r="F43" i="1"/>
  <c r="F46" i="1"/>
  <c r="F51" i="1"/>
  <c r="F54" i="1"/>
  <c r="F59" i="1"/>
  <c r="F62" i="1"/>
  <c r="F67" i="1"/>
  <c r="F70" i="1"/>
  <c r="G72" i="1"/>
  <c r="F74" i="1"/>
  <c r="G75" i="1"/>
  <c r="G77" i="1"/>
  <c r="G80" i="1"/>
  <c r="F82" i="1"/>
  <c r="G83" i="1"/>
  <c r="G85" i="1"/>
  <c r="G88" i="1"/>
  <c r="F90" i="1"/>
  <c r="G91" i="1"/>
  <c r="G93" i="1"/>
  <c r="G96" i="1"/>
  <c r="F98" i="1"/>
  <c r="G99" i="1"/>
  <c r="G101" i="1"/>
  <c r="AY83" i="1"/>
  <c r="AZ83" i="1" s="1"/>
  <c r="AY329" i="1"/>
  <c r="AZ329" i="1" s="1"/>
  <c r="F316" i="1"/>
  <c r="F320" i="1"/>
  <c r="G321" i="1"/>
  <c r="F324" i="1"/>
  <c r="F325" i="1"/>
  <c r="G330" i="1"/>
  <c r="G335" i="1"/>
  <c r="G336" i="1"/>
  <c r="G347" i="1"/>
  <c r="F349" i="1"/>
  <c r="F352" i="1"/>
  <c r="G353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F3" i="1"/>
  <c r="G4" i="1"/>
  <c r="I5" i="1"/>
  <c r="F8" i="1"/>
  <c r="F13" i="1"/>
  <c r="F16" i="1"/>
  <c r="F21" i="1"/>
  <c r="F24" i="1"/>
  <c r="F29" i="1"/>
  <c r="F32" i="1"/>
  <c r="F37" i="1"/>
  <c r="F40" i="1"/>
  <c r="F45" i="1"/>
  <c r="F48" i="1"/>
  <c r="F53" i="1"/>
  <c r="F56" i="1"/>
  <c r="F61" i="1"/>
  <c r="F64" i="1"/>
  <c r="F69" i="1"/>
  <c r="F72" i="1"/>
  <c r="F75" i="1"/>
  <c r="F77" i="1"/>
  <c r="G78" i="1"/>
  <c r="F80" i="1"/>
  <c r="F83" i="1"/>
  <c r="F85" i="1"/>
  <c r="G86" i="1"/>
  <c r="F88" i="1"/>
  <c r="F91" i="1"/>
  <c r="F93" i="1"/>
  <c r="G94" i="1"/>
  <c r="F96" i="1"/>
  <c r="F99" i="1"/>
  <c r="F101" i="1"/>
  <c r="AY163" i="1"/>
  <c r="AZ163" i="1" s="1"/>
  <c r="AY272" i="1"/>
  <c r="AZ272" i="1" s="1"/>
  <c r="AY281" i="1"/>
  <c r="AZ281" i="1" s="1"/>
  <c r="F318" i="1"/>
  <c r="G328" i="1"/>
  <c r="F342" i="1"/>
  <c r="G351" i="1"/>
  <c r="I285" i="1"/>
  <c r="I293" i="1"/>
  <c r="I301" i="1"/>
  <c r="I309" i="1"/>
  <c r="I317" i="1"/>
  <c r="I325" i="1"/>
  <c r="I333" i="1"/>
  <c r="I341" i="1"/>
  <c r="I349" i="1"/>
  <c r="F4" i="1"/>
  <c r="F7" i="1"/>
  <c r="F18" i="1"/>
  <c r="F23" i="1"/>
  <c r="F34" i="1"/>
  <c r="F39" i="1"/>
  <c r="F50" i="1"/>
  <c r="F55" i="1"/>
  <c r="F66" i="1"/>
  <c r="F71" i="1"/>
  <c r="F78" i="1"/>
  <c r="G81" i="1"/>
  <c r="G84" i="1"/>
  <c r="G87" i="1"/>
  <c r="F94" i="1"/>
  <c r="G97" i="1"/>
  <c r="G100" i="1"/>
  <c r="F103" i="1"/>
  <c r="F105" i="1"/>
  <c r="G106" i="1"/>
  <c r="F108" i="1"/>
  <c r="F111" i="1"/>
  <c r="I112" i="1"/>
  <c r="F114" i="1"/>
  <c r="G115" i="1"/>
  <c r="I116" i="1"/>
  <c r="F118" i="1"/>
  <c r="G119" i="1"/>
  <c r="I120" i="1"/>
  <c r="F122" i="1"/>
  <c r="G123" i="1"/>
  <c r="I124" i="1"/>
  <c r="F126" i="1"/>
  <c r="G127" i="1"/>
  <c r="I128" i="1"/>
  <c r="F130" i="1"/>
  <c r="G131" i="1"/>
  <c r="I132" i="1"/>
  <c r="F134" i="1"/>
  <c r="G135" i="1"/>
  <c r="I136" i="1"/>
  <c r="F138" i="1"/>
  <c r="G139" i="1"/>
  <c r="I140" i="1"/>
  <c r="F142" i="1"/>
  <c r="G143" i="1"/>
  <c r="I144" i="1"/>
  <c r="F146" i="1"/>
  <c r="G147" i="1"/>
  <c r="I148" i="1"/>
  <c r="F150" i="1"/>
  <c r="G151" i="1"/>
  <c r="I152" i="1"/>
  <c r="F154" i="1"/>
  <c r="G155" i="1"/>
  <c r="I156" i="1"/>
  <c r="F158" i="1"/>
  <c r="G159" i="1"/>
  <c r="I160" i="1"/>
  <c r="AY147" i="1"/>
  <c r="AZ147" i="1" s="1"/>
  <c r="F321" i="1"/>
  <c r="G329" i="1"/>
  <c r="F330" i="1"/>
  <c r="G338" i="1"/>
  <c r="G344" i="1"/>
  <c r="G345" i="1"/>
  <c r="G346" i="1"/>
  <c r="F347" i="1"/>
  <c r="G348" i="1"/>
  <c r="G350" i="1"/>
  <c r="F351" i="1"/>
  <c r="I284" i="1"/>
  <c r="I292" i="1"/>
  <c r="I300" i="1"/>
  <c r="I308" i="1"/>
  <c r="I316" i="1"/>
  <c r="I324" i="1"/>
  <c r="I332" i="1"/>
  <c r="I340" i="1"/>
  <c r="I348" i="1"/>
  <c r="I3" i="1"/>
  <c r="F12" i="1"/>
  <c r="F17" i="1"/>
  <c r="F28" i="1"/>
  <c r="F33" i="1"/>
  <c r="F44" i="1"/>
  <c r="F49" i="1"/>
  <c r="F60" i="1"/>
  <c r="F65" i="1"/>
  <c r="G74" i="1"/>
  <c r="F81" i="1"/>
  <c r="F84" i="1"/>
  <c r="F87" i="1"/>
  <c r="G90" i="1"/>
  <c r="F97" i="1"/>
  <c r="F100" i="1"/>
  <c r="G102" i="1"/>
  <c r="G104" i="1"/>
  <c r="F106" i="1"/>
  <c r="G107" i="1"/>
  <c r="G109" i="1"/>
  <c r="G112" i="1"/>
  <c r="I113" i="1"/>
  <c r="F115" i="1"/>
  <c r="G116" i="1"/>
  <c r="I117" i="1"/>
  <c r="F119" i="1"/>
  <c r="G120" i="1"/>
  <c r="I121" i="1"/>
  <c r="F123" i="1"/>
  <c r="G124" i="1"/>
  <c r="I125" i="1"/>
  <c r="F127" i="1"/>
  <c r="G128" i="1"/>
  <c r="I129" i="1"/>
  <c r="F131" i="1"/>
  <c r="G132" i="1"/>
  <c r="I133" i="1"/>
  <c r="F135" i="1"/>
  <c r="G136" i="1"/>
  <c r="I137" i="1"/>
  <c r="F139" i="1"/>
  <c r="G140" i="1"/>
  <c r="I141" i="1"/>
  <c r="F143" i="1"/>
  <c r="G144" i="1"/>
  <c r="I145" i="1"/>
  <c r="F147" i="1"/>
  <c r="G148" i="1"/>
  <c r="I149" i="1"/>
  <c r="AY5" i="1"/>
  <c r="AZ5" i="1" s="1"/>
  <c r="AR5" i="1" s="1"/>
  <c r="BX169" i="1"/>
  <c r="CL169" i="1"/>
  <c r="AR2" i="1"/>
  <c r="U2" i="1"/>
  <c r="BU44" i="1"/>
  <c r="BN117" i="1"/>
  <c r="BN97" i="1"/>
  <c r="CQ120" i="1"/>
  <c r="CR120" i="1" s="1"/>
  <c r="CQ89" i="1"/>
  <c r="CR89" i="1" s="1"/>
  <c r="CQ45" i="1"/>
  <c r="CR45" i="1" s="1"/>
  <c r="BU170" i="1"/>
  <c r="BN170" i="1"/>
  <c r="BU159" i="1"/>
  <c r="BN159" i="1"/>
  <c r="BN72" i="1"/>
  <c r="BU72" i="1"/>
  <c r="BN65" i="1"/>
  <c r="BU65" i="1"/>
  <c r="BU21" i="1"/>
  <c r="BN21" i="1"/>
  <c r="BN7" i="1"/>
  <c r="BU7" i="1"/>
  <c r="BU32" i="1"/>
  <c r="BN51" i="1"/>
  <c r="BU26" i="1"/>
  <c r="BU142" i="1"/>
  <c r="BN142" i="1"/>
  <c r="BU120" i="1"/>
  <c r="BN120" i="1"/>
  <c r="BN114" i="1"/>
  <c r="BU114" i="1"/>
  <c r="BN109" i="1"/>
  <c r="BU109" i="1"/>
  <c r="BU106" i="1"/>
  <c r="BN106" i="1"/>
  <c r="BU94" i="1"/>
  <c r="BN94" i="1"/>
  <c r="BQ5" i="1"/>
  <c r="CQ13" i="1"/>
  <c r="CR13" i="1" s="1"/>
  <c r="BN74" i="1"/>
  <c r="BU74" i="1"/>
  <c r="BU63" i="1"/>
  <c r="BN63" i="1"/>
  <c r="BU54" i="1"/>
  <c r="BN54" i="1"/>
  <c r="BN40" i="1"/>
  <c r="BU40" i="1"/>
  <c r="BN36" i="1"/>
  <c r="BU36" i="1"/>
  <c r="BN14" i="1"/>
  <c r="BU14" i="1"/>
  <c r="W2" i="1"/>
  <c r="CY2" i="1"/>
  <c r="CW5" i="1"/>
  <c r="CX5" i="1" s="1"/>
  <c r="BN29" i="1"/>
  <c r="BU57" i="1"/>
  <c r="BJ38" i="1"/>
  <c r="BJ139" i="1"/>
  <c r="BJ96" i="1"/>
  <c r="BJ64" i="1"/>
  <c r="BJ63" i="1"/>
  <c r="BJ48" i="1"/>
  <c r="BJ35" i="1"/>
  <c r="BJ168" i="1"/>
  <c r="BJ100" i="1"/>
  <c r="BJ42" i="1"/>
  <c r="BJ12" i="1"/>
  <c r="BJ23" i="1"/>
  <c r="BJ41" i="1"/>
  <c r="BJ57" i="1"/>
  <c r="BJ76" i="1"/>
  <c r="BJ93" i="1"/>
  <c r="BJ114" i="1"/>
  <c r="BJ130" i="1"/>
  <c r="BJ113" i="1"/>
  <c r="BJ95" i="1"/>
  <c r="BJ153" i="1"/>
  <c r="BJ106" i="1"/>
  <c r="BJ122" i="1"/>
  <c r="BJ17" i="1"/>
  <c r="BJ32" i="1"/>
  <c r="BJ46" i="1"/>
  <c r="BJ67" i="1"/>
  <c r="BJ85" i="1"/>
  <c r="BJ102" i="1"/>
  <c r="BJ120" i="1"/>
  <c r="BJ151" i="1"/>
  <c r="BJ156" i="1"/>
  <c r="BJ173" i="1"/>
  <c r="BJ133" i="1"/>
  <c r="BJ144" i="1"/>
  <c r="BJ161" i="1"/>
  <c r="BJ128" i="1"/>
  <c r="BJ87" i="1"/>
  <c r="BJ51" i="1"/>
  <c r="BJ22" i="1"/>
  <c r="BN150" i="1"/>
  <c r="BU150" i="1"/>
  <c r="BU140" i="1"/>
  <c r="BN140" i="1"/>
  <c r="BN137" i="1"/>
  <c r="BU137" i="1"/>
  <c r="BN134" i="1"/>
  <c r="BU134" i="1"/>
  <c r="BN131" i="1"/>
  <c r="BU131" i="1"/>
  <c r="BN128" i="1"/>
  <c r="BU128" i="1"/>
  <c r="BN125" i="1"/>
  <c r="BU125" i="1"/>
  <c r="BN92" i="1"/>
  <c r="BU92" i="1"/>
  <c r="BU89" i="1"/>
  <c r="BN89" i="1"/>
  <c r="BN85" i="1"/>
  <c r="BU85" i="1"/>
  <c r="CW2" i="1"/>
  <c r="CX2" i="1" s="1"/>
  <c r="DF2" i="1" s="1"/>
  <c r="AJ2" i="1"/>
  <c r="CQ119" i="1"/>
  <c r="CR119" i="1" s="1"/>
  <c r="BE174" i="1"/>
  <c r="BE163" i="1"/>
  <c r="BE151" i="1"/>
  <c r="BE142" i="1"/>
  <c r="BE131" i="1"/>
  <c r="BE119" i="1"/>
  <c r="BE110" i="1"/>
  <c r="BE99" i="1"/>
  <c r="BE87" i="1"/>
  <c r="BE78" i="1"/>
  <c r="BE67" i="1"/>
  <c r="BE55" i="1"/>
  <c r="BE46" i="1"/>
  <c r="BE35" i="1"/>
  <c r="BE23" i="1"/>
  <c r="BE14" i="1"/>
  <c r="BN164" i="1"/>
  <c r="BU164" i="1"/>
  <c r="BN154" i="1"/>
  <c r="BU154" i="1"/>
  <c r="BN126" i="1"/>
  <c r="BU126" i="1"/>
  <c r="BU86" i="1"/>
  <c r="BN86" i="1"/>
  <c r="BN83" i="1"/>
  <c r="BU83" i="1"/>
  <c r="BU77" i="1"/>
  <c r="BN77" i="1"/>
  <c r="BN71" i="1"/>
  <c r="BU71" i="1"/>
  <c r="BU27" i="1"/>
  <c r="BN27" i="1"/>
  <c r="AY277" i="1"/>
  <c r="AZ277" i="1" s="1"/>
  <c r="F277" i="1"/>
  <c r="G277" i="1"/>
  <c r="I277" i="1"/>
  <c r="BE5" i="1"/>
  <c r="BE9" i="1"/>
  <c r="BE13" i="1"/>
  <c r="BE17" i="1"/>
  <c r="BE21" i="1"/>
  <c r="BE25" i="1"/>
  <c r="BE29" i="1"/>
  <c r="BE33" i="1"/>
  <c r="BE37" i="1"/>
  <c r="BE41" i="1"/>
  <c r="BE45" i="1"/>
  <c r="BE49" i="1"/>
  <c r="BE53" i="1"/>
  <c r="BE57" i="1"/>
  <c r="BE61" i="1"/>
  <c r="BE65" i="1"/>
  <c r="BE69" i="1"/>
  <c r="BE73" i="1"/>
  <c r="BE77" i="1"/>
  <c r="BE81" i="1"/>
  <c r="BE85" i="1"/>
  <c r="BE89" i="1"/>
  <c r="BE93" i="1"/>
  <c r="BE97" i="1"/>
  <c r="BE101" i="1"/>
  <c r="BE105" i="1"/>
  <c r="BE109" i="1"/>
  <c r="BE113" i="1"/>
  <c r="BE117" i="1"/>
  <c r="BE121" i="1"/>
  <c r="BE125" i="1"/>
  <c r="BE129" i="1"/>
  <c r="BE133" i="1"/>
  <c r="BE137" i="1"/>
  <c r="BE141" i="1"/>
  <c r="BE145" i="1"/>
  <c r="BE149" i="1"/>
  <c r="BE153" i="1"/>
  <c r="BE157" i="1"/>
  <c r="BE161" i="1"/>
  <c r="BE165" i="1"/>
  <c r="BE169" i="1"/>
  <c r="BE173" i="1"/>
  <c r="BE177" i="1"/>
  <c r="BE4" i="1"/>
  <c r="BE8" i="1"/>
  <c r="BE12" i="1"/>
  <c r="BE16" i="1"/>
  <c r="BE20" i="1"/>
  <c r="BE24" i="1"/>
  <c r="BE28" i="1"/>
  <c r="BE32" i="1"/>
  <c r="BE36" i="1"/>
  <c r="BE40" i="1"/>
  <c r="BE44" i="1"/>
  <c r="BE48" i="1"/>
  <c r="BE52" i="1"/>
  <c r="BE56" i="1"/>
  <c r="BE60" i="1"/>
  <c r="BE64" i="1"/>
  <c r="BE68" i="1"/>
  <c r="BE72" i="1"/>
  <c r="BE76" i="1"/>
  <c r="BE80" i="1"/>
  <c r="BE84" i="1"/>
  <c r="BE88" i="1"/>
  <c r="BE92" i="1"/>
  <c r="BE96" i="1"/>
  <c r="BE100" i="1"/>
  <c r="BE104" i="1"/>
  <c r="BE108" i="1"/>
  <c r="BE112" i="1"/>
  <c r="BE116" i="1"/>
  <c r="BE120" i="1"/>
  <c r="BE124" i="1"/>
  <c r="BE128" i="1"/>
  <c r="BE132" i="1"/>
  <c r="BE136" i="1"/>
  <c r="BE140" i="1"/>
  <c r="BE144" i="1"/>
  <c r="BE148" i="1"/>
  <c r="BE152" i="1"/>
  <c r="BE156" i="1"/>
  <c r="BE160" i="1"/>
  <c r="BE164" i="1"/>
  <c r="BE168" i="1"/>
  <c r="BE172" i="1"/>
  <c r="BE176" i="1"/>
  <c r="BE10" i="1"/>
  <c r="BE18" i="1"/>
  <c r="BE26" i="1"/>
  <c r="BE34" i="1"/>
  <c r="BE42" i="1"/>
  <c r="BE50" i="1"/>
  <c r="BE58" i="1"/>
  <c r="BE66" i="1"/>
  <c r="BE74" i="1"/>
  <c r="BE82" i="1"/>
  <c r="BE90" i="1"/>
  <c r="BE98" i="1"/>
  <c r="BE106" i="1"/>
  <c r="BE114" i="1"/>
  <c r="BE122" i="1"/>
  <c r="BE130" i="1"/>
  <c r="BE138" i="1"/>
  <c r="BE146" i="1"/>
  <c r="BE154" i="1"/>
  <c r="BE162" i="1"/>
  <c r="BE170" i="1"/>
  <c r="BE2" i="1"/>
  <c r="BE167" i="1"/>
  <c r="BE158" i="1"/>
  <c r="BE147" i="1"/>
  <c r="BE135" i="1"/>
  <c r="BE126" i="1"/>
  <c r="BE115" i="1"/>
  <c r="BE103" i="1"/>
  <c r="BE94" i="1"/>
  <c r="BE83" i="1"/>
  <c r="BE71" i="1"/>
  <c r="BE62" i="1"/>
  <c r="BE51" i="1"/>
  <c r="BE39" i="1"/>
  <c r="BE30" i="1"/>
  <c r="BE19" i="1"/>
  <c r="BE7" i="1"/>
  <c r="BN16" i="1"/>
  <c r="BU16" i="1"/>
  <c r="BU8" i="1"/>
  <c r="BN8" i="1"/>
  <c r="BI103" i="1"/>
  <c r="CQ97" i="1"/>
  <c r="CR97" i="1" s="1"/>
  <c r="BC4" i="1"/>
  <c r="BC8" i="1"/>
  <c r="BC12" i="1"/>
  <c r="BC16" i="1"/>
  <c r="BC20" i="1"/>
  <c r="BC24" i="1"/>
  <c r="BC28" i="1"/>
  <c r="BC32" i="1"/>
  <c r="BC36" i="1"/>
  <c r="BC40" i="1"/>
  <c r="BC44" i="1"/>
  <c r="BC48" i="1"/>
  <c r="BC52" i="1"/>
  <c r="BC56" i="1"/>
  <c r="BC60" i="1"/>
  <c r="BC64" i="1"/>
  <c r="BC68" i="1"/>
  <c r="BC72" i="1"/>
  <c r="BC76" i="1"/>
  <c r="BC80" i="1"/>
  <c r="BC84" i="1"/>
  <c r="BC88" i="1"/>
  <c r="BC92" i="1"/>
  <c r="BC96" i="1"/>
  <c r="BC100" i="1"/>
  <c r="BC104" i="1"/>
  <c r="BC108" i="1"/>
  <c r="BC112" i="1"/>
  <c r="BC116" i="1"/>
  <c r="BC120" i="1"/>
  <c r="BC124" i="1"/>
  <c r="BC128" i="1"/>
  <c r="BC132" i="1"/>
  <c r="BC136" i="1"/>
  <c r="BC140" i="1"/>
  <c r="BC144" i="1"/>
  <c r="BC148" i="1"/>
  <c r="BC152" i="1"/>
  <c r="BC156" i="1"/>
  <c r="BC160" i="1"/>
  <c r="BC164" i="1"/>
  <c r="BC168" i="1"/>
  <c r="BC172" i="1"/>
  <c r="BC176" i="1"/>
  <c r="BC7" i="1"/>
  <c r="BC11" i="1"/>
  <c r="BC15" i="1"/>
  <c r="BC19" i="1"/>
  <c r="BC23" i="1"/>
  <c r="BC27" i="1"/>
  <c r="BC31" i="1"/>
  <c r="BC35" i="1"/>
  <c r="BC39" i="1"/>
  <c r="BC43" i="1"/>
  <c r="BC47" i="1"/>
  <c r="BC51" i="1"/>
  <c r="BC55" i="1"/>
  <c r="BC59" i="1"/>
  <c r="BC63" i="1"/>
  <c r="BC67" i="1"/>
  <c r="BC71" i="1"/>
  <c r="BC75" i="1"/>
  <c r="BC79" i="1"/>
  <c r="BC83" i="1"/>
  <c r="BC87" i="1"/>
  <c r="BC91" i="1"/>
  <c r="BC95" i="1"/>
  <c r="BC99" i="1"/>
  <c r="BC103" i="1"/>
  <c r="BC107" i="1"/>
  <c r="BC111" i="1"/>
  <c r="BC115" i="1"/>
  <c r="BC119" i="1"/>
  <c r="BC123" i="1"/>
  <c r="BC127" i="1"/>
  <c r="BC131" i="1"/>
  <c r="BC135" i="1"/>
  <c r="BC139" i="1"/>
  <c r="BC143" i="1"/>
  <c r="BC147" i="1"/>
  <c r="BC151" i="1"/>
  <c r="BC155" i="1"/>
  <c r="BC159" i="1"/>
  <c r="BC163" i="1"/>
  <c r="BC167" i="1"/>
  <c r="BC171" i="1"/>
  <c r="BC175" i="1"/>
  <c r="BC3" i="1"/>
  <c r="BC174" i="1"/>
  <c r="BC166" i="1"/>
  <c r="BC158" i="1"/>
  <c r="BC150" i="1"/>
  <c r="BC142" i="1"/>
  <c r="BC134" i="1"/>
  <c r="BC126" i="1"/>
  <c r="BC118" i="1"/>
  <c r="BC110" i="1"/>
  <c r="BC102" i="1"/>
  <c r="BC94" i="1"/>
  <c r="BC86" i="1"/>
  <c r="BC78" i="1"/>
  <c r="BC70" i="1"/>
  <c r="BC62" i="1"/>
  <c r="BC54" i="1"/>
  <c r="BC46" i="1"/>
  <c r="BC38" i="1"/>
  <c r="BC30" i="1"/>
  <c r="BC22" i="1"/>
  <c r="BC14" i="1"/>
  <c r="BC6" i="1"/>
  <c r="BJ66" i="1"/>
  <c r="BJ70" i="1"/>
  <c r="BJ98" i="1"/>
  <c r="BJ138" i="1"/>
  <c r="BJ170" i="1"/>
  <c r="BJ6" i="1"/>
  <c r="BJ10" i="1"/>
  <c r="BJ15" i="1"/>
  <c r="BJ21" i="1"/>
  <c r="BJ26" i="1"/>
  <c r="BJ31" i="1"/>
  <c r="BJ37" i="1"/>
  <c r="BJ44" i="1"/>
  <c r="BJ49" i="1"/>
  <c r="BJ56" i="1"/>
  <c r="BJ61" i="1"/>
  <c r="BJ69" i="1"/>
  <c r="BJ79" i="1"/>
  <c r="BJ83" i="1"/>
  <c r="BJ90" i="1"/>
  <c r="BJ97" i="1"/>
  <c r="BJ105" i="1"/>
  <c r="BJ112" i="1"/>
  <c r="BJ118" i="1"/>
  <c r="BJ126" i="1"/>
  <c r="BJ135" i="1"/>
  <c r="BJ150" i="1"/>
  <c r="BJ167" i="1"/>
  <c r="BJ136" i="1"/>
  <c r="BJ62" i="1"/>
  <c r="BJ145" i="1"/>
  <c r="BJ107" i="1"/>
  <c r="BJ99" i="1"/>
  <c r="BJ92" i="1"/>
  <c r="BJ24" i="1"/>
  <c r="BJ20" i="1"/>
  <c r="BJ121" i="1"/>
  <c r="BJ142" i="1"/>
  <c r="BJ158" i="1"/>
  <c r="BJ177" i="1"/>
  <c r="BJ172" i="1"/>
  <c r="BJ53" i="1"/>
  <c r="BJ84" i="1"/>
  <c r="BJ109" i="1"/>
  <c r="BJ127" i="1"/>
  <c r="BJ140" i="1"/>
  <c r="BJ169" i="1"/>
  <c r="BJ4" i="1"/>
  <c r="BJ9" i="1"/>
  <c r="BJ14" i="1"/>
  <c r="BJ19" i="1"/>
  <c r="BJ25" i="1"/>
  <c r="BJ30" i="1"/>
  <c r="BJ36" i="1"/>
  <c r="BJ43" i="1"/>
  <c r="BJ47" i="1"/>
  <c r="BJ52" i="1"/>
  <c r="BJ59" i="1"/>
  <c r="BJ68" i="1"/>
  <c r="BJ78" i="1"/>
  <c r="BJ82" i="1"/>
  <c r="BJ89" i="1"/>
  <c r="BJ94" i="1"/>
  <c r="BJ103" i="1"/>
  <c r="BJ111" i="1"/>
  <c r="BJ117" i="1"/>
  <c r="BJ125" i="1"/>
  <c r="BJ132" i="1"/>
  <c r="BJ143" i="1"/>
  <c r="BJ159" i="1"/>
  <c r="BJ146" i="1"/>
  <c r="BJ104" i="1"/>
  <c r="BJ5" i="1"/>
  <c r="BJ40" i="1"/>
  <c r="BJ166" i="1"/>
  <c r="BJ55" i="1"/>
  <c r="BJ2" i="1"/>
  <c r="BJ54" i="1"/>
  <c r="BJ149" i="1"/>
  <c r="BJ71" i="1"/>
  <c r="BJ27" i="1"/>
  <c r="BJ157" i="1"/>
  <c r="BJ75" i="1"/>
  <c r="BJ148" i="1"/>
  <c r="BJ163" i="1"/>
  <c r="BJ176" i="1"/>
  <c r="BJ175" i="1"/>
  <c r="BJ137" i="1"/>
  <c r="BJ119" i="1"/>
  <c r="BJ108" i="1"/>
  <c r="BJ91" i="1"/>
  <c r="BJ80" i="1"/>
  <c r="BJ65" i="1"/>
  <c r="BJ50" i="1"/>
  <c r="BJ39" i="1"/>
  <c r="BJ28" i="1"/>
  <c r="BJ16" i="1"/>
  <c r="BJ7" i="1"/>
  <c r="BN173" i="1"/>
  <c r="BU173" i="1"/>
  <c r="BU148" i="1"/>
  <c r="BN148" i="1"/>
  <c r="BU95" i="1"/>
  <c r="BN95" i="1"/>
  <c r="BN19" i="1"/>
  <c r="BU19" i="1"/>
  <c r="BU6" i="1"/>
  <c r="BN6" i="1"/>
  <c r="BJ88" i="1"/>
  <c r="BJ86" i="1"/>
  <c r="BJ73" i="1"/>
  <c r="BJ33" i="1"/>
  <c r="BA2" i="1"/>
  <c r="BA174" i="1"/>
  <c r="BA170" i="1"/>
  <c r="BA166" i="1"/>
  <c r="BA162" i="1"/>
  <c r="BA158" i="1"/>
  <c r="BA154" i="1"/>
  <c r="BA150" i="1"/>
  <c r="BA146" i="1"/>
  <c r="BA142" i="1"/>
  <c r="BA138" i="1"/>
  <c r="BA134" i="1"/>
  <c r="BA130" i="1"/>
  <c r="BA126" i="1"/>
  <c r="BA122" i="1"/>
  <c r="BA118" i="1"/>
  <c r="BA114" i="1"/>
  <c r="BA110" i="1"/>
  <c r="BA106" i="1"/>
  <c r="BA102" i="1"/>
  <c r="BA98" i="1"/>
  <c r="BA94" i="1"/>
  <c r="BA90" i="1"/>
  <c r="BA86" i="1"/>
  <c r="BA82" i="1"/>
  <c r="BA78" i="1"/>
  <c r="BA74" i="1"/>
  <c r="BA70" i="1"/>
  <c r="BA66" i="1"/>
  <c r="BA62" i="1"/>
  <c r="BA58" i="1"/>
  <c r="BA54" i="1"/>
  <c r="BA50" i="1"/>
  <c r="BA46" i="1"/>
  <c r="BA42" i="1"/>
  <c r="BA38" i="1"/>
  <c r="BA34" i="1"/>
  <c r="BA30" i="1"/>
  <c r="BA26" i="1"/>
  <c r="BA22" i="1"/>
  <c r="BA18" i="1"/>
  <c r="BA14" i="1"/>
  <c r="BA10" i="1"/>
  <c r="BA6" i="1"/>
  <c r="BA175" i="1"/>
  <c r="BA171" i="1"/>
  <c r="BA167" i="1"/>
  <c r="BA163" i="1"/>
  <c r="BA159" i="1"/>
  <c r="BA155" i="1"/>
  <c r="BA151" i="1"/>
  <c r="BA147" i="1"/>
  <c r="BA143" i="1"/>
  <c r="BA139" i="1"/>
  <c r="BA135" i="1"/>
  <c r="BA131" i="1"/>
  <c r="BA127" i="1"/>
  <c r="BA123" i="1"/>
  <c r="BA119" i="1"/>
  <c r="BA115" i="1"/>
  <c r="BA111" i="1"/>
  <c r="BA107" i="1"/>
  <c r="BA103" i="1"/>
  <c r="BA99" i="1"/>
  <c r="BA95" i="1"/>
  <c r="BA91" i="1"/>
  <c r="BA87" i="1"/>
  <c r="BA83" i="1"/>
  <c r="BA79" i="1"/>
  <c r="BA75" i="1"/>
  <c r="BA71" i="1"/>
  <c r="BA67" i="1"/>
  <c r="BA63" i="1"/>
  <c r="BA59" i="1"/>
  <c r="BA55" i="1"/>
  <c r="BA51" i="1"/>
  <c r="BA47" i="1"/>
  <c r="BA43" i="1"/>
  <c r="BA39" i="1"/>
  <c r="BA35" i="1"/>
  <c r="BA31" i="1"/>
  <c r="BA27" i="1"/>
  <c r="BA23" i="1"/>
  <c r="BA19" i="1"/>
  <c r="BA15" i="1"/>
  <c r="BA11" i="1"/>
  <c r="BA7" i="1"/>
  <c r="G233" i="1"/>
  <c r="AY212" i="1"/>
  <c r="AZ212" i="1" s="1"/>
  <c r="G212" i="1"/>
  <c r="AY217" i="1"/>
  <c r="AZ217" i="1" s="1"/>
  <c r="G217" i="1"/>
  <c r="AY220" i="1"/>
  <c r="AZ220" i="1" s="1"/>
  <c r="G220" i="1"/>
  <c r="AY223" i="1"/>
  <c r="AZ223" i="1" s="1"/>
  <c r="G223" i="1"/>
  <c r="AY227" i="1"/>
  <c r="AZ227" i="1" s="1"/>
  <c r="G227" i="1"/>
  <c r="AY211" i="1"/>
  <c r="AZ211" i="1" s="1"/>
  <c r="F212" i="1"/>
  <c r="AY216" i="1"/>
  <c r="AZ216" i="1" s="1"/>
  <c r="F217" i="1"/>
  <c r="F221" i="1"/>
  <c r="AY225" i="1"/>
  <c r="AZ225" i="1" s="1"/>
  <c r="F228" i="1"/>
  <c r="G232" i="1"/>
  <c r="G234" i="1"/>
  <c r="G235" i="1"/>
  <c r="AY219" i="1"/>
  <c r="AZ219" i="1" s="1"/>
  <c r="F220" i="1"/>
  <c r="AY226" i="1"/>
  <c r="AZ226" i="1" s="1"/>
  <c r="F227" i="1"/>
  <c r="F235" i="1"/>
  <c r="G239" i="1"/>
  <c r="G243" i="1"/>
  <c r="F244" i="1"/>
  <c r="G216" i="1"/>
  <c r="G225" i="1"/>
  <c r="AY235" i="1"/>
  <c r="AZ235" i="1" s="1"/>
  <c r="F239" i="1"/>
  <c r="G240" i="1"/>
  <c r="G244" i="1"/>
  <c r="G247" i="1"/>
  <c r="F249" i="1"/>
  <c r="G253" i="1"/>
  <c r="G211" i="1"/>
  <c r="F218" i="1"/>
  <c r="G219" i="1"/>
  <c r="F223" i="1"/>
  <c r="G226" i="1"/>
  <c r="F232" i="1"/>
  <c r="F234" i="1"/>
  <c r="F240" i="1"/>
  <c r="AY252" i="1"/>
  <c r="AZ252" i="1" s="1"/>
  <c r="F253" i="1"/>
  <c r="AY256" i="1"/>
  <c r="AZ256" i="1" s="1"/>
  <c r="F260" i="1"/>
  <c r="F213" i="1"/>
  <c r="G230" i="1"/>
  <c r="AY240" i="1"/>
  <c r="AZ240" i="1" s="1"/>
  <c r="F247" i="1"/>
  <c r="G249" i="1"/>
  <c r="F256" i="1"/>
  <c r="G259" i="1"/>
  <c r="G260" i="1"/>
  <c r="F261" i="1"/>
  <c r="AY262" i="1"/>
  <c r="AZ262" i="1" s="1"/>
  <c r="F263" i="1"/>
  <c r="AY264" i="1"/>
  <c r="AZ264" i="1" s="1"/>
  <c r="F265" i="1"/>
  <c r="AY178" i="1"/>
  <c r="AZ178" i="1" s="1"/>
  <c r="G270" i="1"/>
  <c r="F271" i="1"/>
  <c r="G272" i="1"/>
  <c r="F273" i="1"/>
  <c r="F281" i="1"/>
  <c r="F282" i="1"/>
  <c r="G284" i="1"/>
  <c r="G285" i="1"/>
  <c r="F287" i="1"/>
  <c r="F289" i="1"/>
  <c r="F290" i="1"/>
  <c r="F291" i="1"/>
  <c r="F292" i="1"/>
  <c r="F294" i="1"/>
  <c r="G296" i="1"/>
  <c r="F210" i="1"/>
  <c r="AY215" i="1"/>
  <c r="AZ215" i="1" s="1"/>
  <c r="AY234" i="1"/>
  <c r="AZ234" i="1" s="1"/>
  <c r="AY239" i="1"/>
  <c r="AZ239" i="1" s="1"/>
  <c r="AY244" i="1"/>
  <c r="AZ244" i="1" s="1"/>
  <c r="G251" i="1"/>
  <c r="G252" i="1"/>
  <c r="AY259" i="1"/>
  <c r="AZ259" i="1" s="1"/>
  <c r="AY260" i="1"/>
  <c r="AZ260" i="1" s="1"/>
  <c r="AY261" i="1"/>
  <c r="AZ261" i="1" s="1"/>
  <c r="F262" i="1"/>
  <c r="AY263" i="1"/>
  <c r="AZ263" i="1" s="1"/>
  <c r="F264" i="1"/>
  <c r="AY265" i="1"/>
  <c r="AZ265" i="1" s="1"/>
  <c r="F270" i="1"/>
  <c r="G271" i="1"/>
  <c r="F272" i="1"/>
  <c r="G273" i="1"/>
  <c r="G281" i="1"/>
  <c r="G282" i="1"/>
  <c r="F284" i="1"/>
  <c r="F285" i="1"/>
  <c r="G287" i="1"/>
  <c r="G289" i="1"/>
  <c r="G290" i="1"/>
  <c r="G291" i="1"/>
  <c r="G292" i="1"/>
  <c r="G237" i="1"/>
  <c r="AY243" i="1"/>
  <c r="AZ243" i="1" s="1"/>
  <c r="F252" i="1"/>
  <c r="AY253" i="1"/>
  <c r="AZ253" i="1" s="1"/>
  <c r="AY255" i="1"/>
  <c r="AZ255" i="1" s="1"/>
  <c r="G256" i="1"/>
  <c r="F257" i="1"/>
  <c r="AY6" i="1"/>
  <c r="AZ6" i="1" s="1"/>
  <c r="AY22" i="1"/>
  <c r="AZ22" i="1" s="1"/>
  <c r="AY282" i="1"/>
  <c r="AZ282" i="1" s="1"/>
  <c r="AY284" i="1"/>
  <c r="AZ284" i="1" s="1"/>
  <c r="AY286" i="1"/>
  <c r="AZ286" i="1" s="1"/>
  <c r="AY288" i="1"/>
  <c r="AZ288" i="1" s="1"/>
  <c r="AY290" i="1"/>
  <c r="AZ290" i="1" s="1"/>
  <c r="AY292" i="1"/>
  <c r="AZ292" i="1" s="1"/>
  <c r="AY294" i="1"/>
  <c r="AZ294" i="1" s="1"/>
  <c r="AY296" i="1"/>
  <c r="AZ296" i="1" s="1"/>
  <c r="AY298" i="1"/>
  <c r="AZ298" i="1" s="1"/>
  <c r="AY300" i="1"/>
  <c r="AZ300" i="1" s="1"/>
  <c r="AY302" i="1"/>
  <c r="AZ302" i="1" s="1"/>
  <c r="AY304" i="1"/>
  <c r="AZ304" i="1" s="1"/>
  <c r="AY306" i="1"/>
  <c r="AZ306" i="1" s="1"/>
  <c r="AY308" i="1"/>
  <c r="AZ308" i="1" s="1"/>
  <c r="AY310" i="1"/>
  <c r="AZ310" i="1" s="1"/>
  <c r="AY312" i="1"/>
  <c r="AZ312" i="1" s="1"/>
  <c r="AY314" i="1"/>
  <c r="AZ314" i="1" s="1"/>
  <c r="AY316" i="1"/>
  <c r="AZ316" i="1" s="1"/>
  <c r="AY318" i="1"/>
  <c r="AZ318" i="1" s="1"/>
  <c r="AY320" i="1"/>
  <c r="AZ320" i="1" s="1"/>
  <c r="AY322" i="1"/>
  <c r="AZ322" i="1" s="1"/>
  <c r="AY324" i="1"/>
  <c r="AZ324" i="1" s="1"/>
  <c r="AY326" i="1"/>
  <c r="AZ326" i="1" s="1"/>
  <c r="AY328" i="1"/>
  <c r="AZ328" i="1" s="1"/>
  <c r="AY330" i="1"/>
  <c r="AZ330" i="1" s="1"/>
  <c r="AY332" i="1"/>
  <c r="AZ332" i="1" s="1"/>
  <c r="AY334" i="1"/>
  <c r="AZ334" i="1" s="1"/>
  <c r="AY336" i="1"/>
  <c r="AZ336" i="1" s="1"/>
  <c r="AY338" i="1"/>
  <c r="AZ338" i="1" s="1"/>
  <c r="AY340" i="1"/>
  <c r="AZ340" i="1" s="1"/>
  <c r="AY342" i="1"/>
  <c r="AZ342" i="1" s="1"/>
  <c r="AY344" i="1"/>
  <c r="AZ344" i="1" s="1"/>
  <c r="AY346" i="1"/>
  <c r="AZ346" i="1" s="1"/>
  <c r="AY348" i="1"/>
  <c r="AZ348" i="1" s="1"/>
  <c r="AY350" i="1"/>
  <c r="AZ350" i="1" s="1"/>
  <c r="AY352" i="1"/>
  <c r="AZ352" i="1" s="1"/>
  <c r="G283" i="1"/>
  <c r="G286" i="1"/>
  <c r="F288" i="1"/>
  <c r="G293" i="1"/>
  <c r="F298" i="1"/>
  <c r="F299" i="1"/>
  <c r="F233" i="1"/>
  <c r="G262" i="1"/>
  <c r="G264" i="1"/>
  <c r="AY18" i="1"/>
  <c r="AZ18" i="1" s="1"/>
  <c r="AY34" i="1"/>
  <c r="AZ34" i="1" s="1"/>
  <c r="AY36" i="1"/>
  <c r="AZ36" i="1" s="1"/>
  <c r="AY38" i="1"/>
  <c r="AZ38" i="1" s="1"/>
  <c r="AY40" i="1"/>
  <c r="AZ40" i="1" s="1"/>
  <c r="AY42" i="1"/>
  <c r="AZ42" i="1" s="1"/>
  <c r="AY44" i="1"/>
  <c r="AZ44" i="1" s="1"/>
  <c r="AY46" i="1"/>
  <c r="AZ46" i="1" s="1"/>
  <c r="AY48" i="1"/>
  <c r="AZ48" i="1" s="1"/>
  <c r="AY50" i="1"/>
  <c r="AZ50" i="1" s="1"/>
  <c r="AY52" i="1"/>
  <c r="AZ52" i="1" s="1"/>
  <c r="AY54" i="1"/>
  <c r="AZ54" i="1" s="1"/>
  <c r="AY56" i="1"/>
  <c r="AZ56" i="1" s="1"/>
  <c r="AY58" i="1"/>
  <c r="AZ58" i="1" s="1"/>
  <c r="AY60" i="1"/>
  <c r="AZ60" i="1" s="1"/>
  <c r="AY62" i="1"/>
  <c r="AZ62" i="1" s="1"/>
  <c r="AY64" i="1"/>
  <c r="AZ64" i="1" s="1"/>
  <c r="AY66" i="1"/>
  <c r="AZ66" i="1" s="1"/>
  <c r="AY68" i="1"/>
  <c r="AZ68" i="1" s="1"/>
  <c r="AY70" i="1"/>
  <c r="AZ70" i="1" s="1"/>
  <c r="AY72" i="1"/>
  <c r="AZ72" i="1" s="1"/>
  <c r="AY74" i="1"/>
  <c r="AZ74" i="1" s="1"/>
  <c r="AY76" i="1"/>
  <c r="AZ76" i="1" s="1"/>
  <c r="AY78" i="1"/>
  <c r="AZ78" i="1" s="1"/>
  <c r="AY80" i="1"/>
  <c r="AZ80" i="1" s="1"/>
  <c r="AY82" i="1"/>
  <c r="AZ82" i="1" s="1"/>
  <c r="AY84" i="1"/>
  <c r="AZ84" i="1" s="1"/>
  <c r="AY86" i="1"/>
  <c r="AZ86" i="1" s="1"/>
  <c r="AY88" i="1"/>
  <c r="AZ88" i="1" s="1"/>
  <c r="AY90" i="1"/>
  <c r="AZ90" i="1" s="1"/>
  <c r="AY92" i="1"/>
  <c r="AZ92" i="1" s="1"/>
  <c r="AY94" i="1"/>
  <c r="AZ94" i="1" s="1"/>
  <c r="AY96" i="1"/>
  <c r="AZ96" i="1" s="1"/>
  <c r="AY98" i="1"/>
  <c r="AZ98" i="1" s="1"/>
  <c r="AY100" i="1"/>
  <c r="AZ100" i="1" s="1"/>
  <c r="AY102" i="1"/>
  <c r="AZ102" i="1" s="1"/>
  <c r="AY104" i="1"/>
  <c r="AZ104" i="1" s="1"/>
  <c r="AY106" i="1"/>
  <c r="AZ106" i="1" s="1"/>
  <c r="AY108" i="1"/>
  <c r="AZ108" i="1" s="1"/>
  <c r="AY110" i="1"/>
  <c r="AZ110" i="1" s="1"/>
  <c r="AY112" i="1"/>
  <c r="AZ112" i="1" s="1"/>
  <c r="AY114" i="1"/>
  <c r="AZ114" i="1" s="1"/>
  <c r="AY116" i="1"/>
  <c r="AZ116" i="1" s="1"/>
  <c r="AY118" i="1"/>
  <c r="AZ118" i="1" s="1"/>
  <c r="AY120" i="1"/>
  <c r="AZ120" i="1" s="1"/>
  <c r="AY122" i="1"/>
  <c r="AZ122" i="1" s="1"/>
  <c r="AY124" i="1"/>
  <c r="AZ124" i="1" s="1"/>
  <c r="AY126" i="1"/>
  <c r="AZ126" i="1" s="1"/>
  <c r="AY128" i="1"/>
  <c r="AZ128" i="1" s="1"/>
  <c r="AY130" i="1"/>
  <c r="AZ130" i="1" s="1"/>
  <c r="AY132" i="1"/>
  <c r="AZ132" i="1" s="1"/>
  <c r="AY134" i="1"/>
  <c r="AZ134" i="1" s="1"/>
  <c r="AY136" i="1"/>
  <c r="AZ136" i="1" s="1"/>
  <c r="AY138" i="1"/>
  <c r="AZ138" i="1" s="1"/>
  <c r="AY140" i="1"/>
  <c r="AZ140" i="1" s="1"/>
  <c r="AY142" i="1"/>
  <c r="AZ142" i="1" s="1"/>
  <c r="AY144" i="1"/>
  <c r="AZ144" i="1" s="1"/>
  <c r="AY146" i="1"/>
  <c r="AZ146" i="1" s="1"/>
  <c r="AY148" i="1"/>
  <c r="AZ148" i="1" s="1"/>
  <c r="AY150" i="1"/>
  <c r="AZ150" i="1" s="1"/>
  <c r="AY152" i="1"/>
  <c r="AZ152" i="1" s="1"/>
  <c r="AY154" i="1"/>
  <c r="AZ154" i="1" s="1"/>
  <c r="AY156" i="1"/>
  <c r="AZ156" i="1" s="1"/>
  <c r="AY158" i="1"/>
  <c r="AZ158" i="1" s="1"/>
  <c r="AY160" i="1"/>
  <c r="AZ160" i="1" s="1"/>
  <c r="AY162" i="1"/>
  <c r="AZ162" i="1" s="1"/>
  <c r="AY164" i="1"/>
  <c r="AZ164" i="1" s="1"/>
  <c r="AY166" i="1"/>
  <c r="AZ166" i="1" s="1"/>
  <c r="AY168" i="1"/>
  <c r="AZ168" i="1" s="1"/>
  <c r="AY170" i="1"/>
  <c r="AZ170" i="1" s="1"/>
  <c r="AY172" i="1"/>
  <c r="AZ172" i="1" s="1"/>
  <c r="AY174" i="1"/>
  <c r="AZ174" i="1" s="1"/>
  <c r="AY176" i="1"/>
  <c r="AZ176" i="1" s="1"/>
  <c r="AY267" i="1"/>
  <c r="AZ267" i="1" s="1"/>
  <c r="AY269" i="1"/>
  <c r="AZ269" i="1" s="1"/>
  <c r="AY271" i="1"/>
  <c r="AZ271" i="1" s="1"/>
  <c r="AY273" i="1"/>
  <c r="AZ273" i="1" s="1"/>
  <c r="F283" i="1"/>
  <c r="F286" i="1"/>
  <c r="F293" i="1"/>
  <c r="G294" i="1"/>
  <c r="G295" i="1"/>
  <c r="F296" i="1"/>
  <c r="G297" i="1"/>
  <c r="G246" i="1"/>
  <c r="G261" i="1"/>
  <c r="G263" i="1"/>
  <c r="G265" i="1"/>
  <c r="AY26" i="1"/>
  <c r="AZ26" i="1" s="1"/>
  <c r="AY41" i="1"/>
  <c r="AZ41" i="1" s="1"/>
  <c r="AY49" i="1"/>
  <c r="AZ49" i="1" s="1"/>
  <c r="AY57" i="1"/>
  <c r="AZ57" i="1" s="1"/>
  <c r="AY65" i="1"/>
  <c r="AZ65" i="1" s="1"/>
  <c r="AY73" i="1"/>
  <c r="AZ73" i="1" s="1"/>
  <c r="AY81" i="1"/>
  <c r="AZ81" i="1" s="1"/>
  <c r="AY89" i="1"/>
  <c r="AZ89" i="1" s="1"/>
  <c r="AY97" i="1"/>
  <c r="AZ97" i="1" s="1"/>
  <c r="AY105" i="1"/>
  <c r="AZ105" i="1" s="1"/>
  <c r="AY113" i="1"/>
  <c r="AZ113" i="1" s="1"/>
  <c r="AY121" i="1"/>
  <c r="AZ121" i="1" s="1"/>
  <c r="AY129" i="1"/>
  <c r="AZ129" i="1" s="1"/>
  <c r="AY137" i="1"/>
  <c r="AZ137" i="1" s="1"/>
  <c r="AY145" i="1"/>
  <c r="AZ145" i="1" s="1"/>
  <c r="AY153" i="1"/>
  <c r="AZ153" i="1" s="1"/>
  <c r="AY161" i="1"/>
  <c r="AZ161" i="1" s="1"/>
  <c r="AY169" i="1"/>
  <c r="AZ169" i="1" s="1"/>
  <c r="AY177" i="1"/>
  <c r="AZ177" i="1" s="1"/>
  <c r="AY266" i="1"/>
  <c r="AZ266" i="1" s="1"/>
  <c r="AY283" i="1"/>
  <c r="AZ283" i="1" s="1"/>
  <c r="AY291" i="1"/>
  <c r="AZ291" i="1" s="1"/>
  <c r="AY299" i="1"/>
  <c r="AZ299" i="1" s="1"/>
  <c r="AY307" i="1"/>
  <c r="AZ307" i="1" s="1"/>
  <c r="AY315" i="1"/>
  <c r="AZ315" i="1" s="1"/>
  <c r="AY323" i="1"/>
  <c r="AZ323" i="1" s="1"/>
  <c r="AY331" i="1"/>
  <c r="AZ331" i="1" s="1"/>
  <c r="AY339" i="1"/>
  <c r="AZ339" i="1" s="1"/>
  <c r="AY347" i="1"/>
  <c r="AZ347" i="1" s="1"/>
  <c r="F301" i="1"/>
  <c r="F302" i="1"/>
  <c r="F303" i="1"/>
  <c r="G305" i="1"/>
  <c r="F307" i="1"/>
  <c r="F313" i="1"/>
  <c r="F315" i="1"/>
  <c r="G242" i="1"/>
  <c r="AY258" i="1"/>
  <c r="AZ258" i="1" s="1"/>
  <c r="AY10" i="1"/>
  <c r="AZ10" i="1" s="1"/>
  <c r="AY37" i="1"/>
  <c r="AZ37" i="1" s="1"/>
  <c r="AY45" i="1"/>
  <c r="AZ45" i="1" s="1"/>
  <c r="AY53" i="1"/>
  <c r="AZ53" i="1" s="1"/>
  <c r="AY61" i="1"/>
  <c r="AZ61" i="1" s="1"/>
  <c r="AY69" i="1"/>
  <c r="AZ69" i="1" s="1"/>
  <c r="AY77" i="1"/>
  <c r="AZ77" i="1" s="1"/>
  <c r="AY85" i="1"/>
  <c r="AZ85" i="1" s="1"/>
  <c r="AY93" i="1"/>
  <c r="AZ93" i="1" s="1"/>
  <c r="AY101" i="1"/>
  <c r="AZ101" i="1" s="1"/>
  <c r="AY109" i="1"/>
  <c r="AZ109" i="1" s="1"/>
  <c r="AY117" i="1"/>
  <c r="AZ117" i="1" s="1"/>
  <c r="AY125" i="1"/>
  <c r="AZ125" i="1" s="1"/>
  <c r="AY133" i="1"/>
  <c r="AZ133" i="1" s="1"/>
  <c r="AY141" i="1"/>
  <c r="AZ141" i="1" s="1"/>
  <c r="AY149" i="1"/>
  <c r="AZ149" i="1" s="1"/>
  <c r="AY157" i="1"/>
  <c r="AZ157" i="1" s="1"/>
  <c r="AY165" i="1"/>
  <c r="AZ165" i="1" s="1"/>
  <c r="AY173" i="1"/>
  <c r="AZ173" i="1" s="1"/>
  <c r="AY270" i="1"/>
  <c r="AZ270" i="1" s="1"/>
  <c r="AY287" i="1"/>
  <c r="AZ287" i="1" s="1"/>
  <c r="AY295" i="1"/>
  <c r="AZ295" i="1" s="1"/>
  <c r="AY303" i="1"/>
  <c r="AZ303" i="1" s="1"/>
  <c r="AY311" i="1"/>
  <c r="AZ311" i="1" s="1"/>
  <c r="AY319" i="1"/>
  <c r="AZ319" i="1" s="1"/>
  <c r="AY327" i="1"/>
  <c r="AZ327" i="1" s="1"/>
  <c r="AY335" i="1"/>
  <c r="AZ335" i="1" s="1"/>
  <c r="AY343" i="1"/>
  <c r="AZ343" i="1" s="1"/>
  <c r="AY351" i="1"/>
  <c r="AZ351" i="1" s="1"/>
  <c r="F279" i="1"/>
  <c r="F297" i="1"/>
  <c r="G301" i="1"/>
  <c r="G302" i="1"/>
  <c r="G303" i="1"/>
  <c r="F305" i="1"/>
  <c r="G307" i="1"/>
  <c r="G313" i="1"/>
  <c r="G315" i="1"/>
  <c r="G323" i="1"/>
  <c r="AY247" i="1"/>
  <c r="AZ247" i="1" s="1"/>
  <c r="AY47" i="1"/>
  <c r="AZ47" i="1" s="1"/>
  <c r="AY63" i="1"/>
  <c r="AZ63" i="1" s="1"/>
  <c r="AY79" i="1"/>
  <c r="AZ79" i="1" s="1"/>
  <c r="AY95" i="1"/>
  <c r="AZ95" i="1" s="1"/>
  <c r="AY111" i="1"/>
  <c r="AZ111" i="1" s="1"/>
  <c r="AY127" i="1"/>
  <c r="AZ127" i="1" s="1"/>
  <c r="AY143" i="1"/>
  <c r="AZ143" i="1" s="1"/>
  <c r="AY159" i="1"/>
  <c r="AZ159" i="1" s="1"/>
  <c r="AY175" i="1"/>
  <c r="AZ175" i="1" s="1"/>
  <c r="AY268" i="1"/>
  <c r="AZ268" i="1" s="1"/>
  <c r="AY293" i="1"/>
  <c r="AZ293" i="1" s="1"/>
  <c r="AY309" i="1"/>
  <c r="AZ309" i="1" s="1"/>
  <c r="AY325" i="1"/>
  <c r="AZ325" i="1" s="1"/>
  <c r="AY341" i="1"/>
  <c r="AZ341" i="1" s="1"/>
  <c r="G288" i="1"/>
  <c r="G300" i="1"/>
  <c r="F304" i="1"/>
  <c r="G314" i="1"/>
  <c r="G326" i="1"/>
  <c r="G327" i="1"/>
  <c r="F331" i="1"/>
  <c r="F332" i="1"/>
  <c r="F333" i="1"/>
  <c r="F334" i="1"/>
  <c r="G337" i="1"/>
  <c r="G339" i="1"/>
  <c r="F340" i="1"/>
  <c r="F341" i="1"/>
  <c r="F34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F241" i="1"/>
  <c r="AY249" i="1"/>
  <c r="AZ249" i="1" s="1"/>
  <c r="AY14" i="1"/>
  <c r="AZ14" i="1" s="1"/>
  <c r="AY39" i="1"/>
  <c r="AZ39" i="1" s="1"/>
  <c r="AY55" i="1"/>
  <c r="AZ55" i="1" s="1"/>
  <c r="AY71" i="1"/>
  <c r="AZ71" i="1" s="1"/>
  <c r="AY87" i="1"/>
  <c r="AZ87" i="1" s="1"/>
  <c r="AY103" i="1"/>
  <c r="AZ103" i="1" s="1"/>
  <c r="AY119" i="1"/>
  <c r="AZ119" i="1" s="1"/>
  <c r="AY135" i="1"/>
  <c r="AZ135" i="1" s="1"/>
  <c r="AY151" i="1"/>
  <c r="AZ151" i="1" s="1"/>
  <c r="AY167" i="1"/>
  <c r="AZ167" i="1" s="1"/>
  <c r="AY285" i="1"/>
  <c r="AZ285" i="1" s="1"/>
  <c r="AY301" i="1"/>
  <c r="AZ301" i="1" s="1"/>
  <c r="AY317" i="1"/>
  <c r="AZ317" i="1" s="1"/>
  <c r="AY333" i="1"/>
  <c r="AZ333" i="1" s="1"/>
  <c r="AY349" i="1"/>
  <c r="AZ349" i="1" s="1"/>
  <c r="G306" i="1"/>
  <c r="F308" i="1"/>
  <c r="F309" i="1"/>
  <c r="F310" i="1"/>
  <c r="F311" i="1"/>
  <c r="F312" i="1"/>
  <c r="G316" i="1"/>
  <c r="G317" i="1"/>
  <c r="G318" i="1"/>
  <c r="G319" i="1"/>
  <c r="G320" i="1"/>
  <c r="G322" i="1"/>
  <c r="F323" i="1"/>
  <c r="F326" i="1"/>
  <c r="F327" i="1"/>
  <c r="G331" i="1"/>
  <c r="G332" i="1"/>
  <c r="G333" i="1"/>
  <c r="G334" i="1"/>
  <c r="F337" i="1"/>
  <c r="F339" i="1"/>
  <c r="G340" i="1"/>
  <c r="G341" i="1"/>
  <c r="G34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AY30" i="1"/>
  <c r="AZ30" i="1" s="1"/>
  <c r="AY43" i="1"/>
  <c r="AZ43" i="1" s="1"/>
  <c r="AY59" i="1"/>
  <c r="AZ59" i="1" s="1"/>
  <c r="AY75" i="1"/>
  <c r="AZ75" i="1" s="1"/>
  <c r="AY91" i="1"/>
  <c r="AZ91" i="1" s="1"/>
  <c r="AY107" i="1"/>
  <c r="AZ107" i="1" s="1"/>
  <c r="AY123" i="1"/>
  <c r="AZ123" i="1" s="1"/>
  <c r="AY139" i="1"/>
  <c r="AZ139" i="1" s="1"/>
  <c r="AY155" i="1"/>
  <c r="AZ155" i="1" s="1"/>
  <c r="AY171" i="1"/>
  <c r="AZ171" i="1" s="1"/>
  <c r="AY289" i="1"/>
  <c r="AZ289" i="1" s="1"/>
  <c r="AY305" i="1"/>
  <c r="AZ305" i="1" s="1"/>
  <c r="AY321" i="1"/>
  <c r="AZ321" i="1" s="1"/>
  <c r="AY337" i="1"/>
  <c r="AZ337" i="1" s="1"/>
  <c r="AY353" i="1"/>
  <c r="AZ353" i="1" s="1"/>
  <c r="G298" i="1"/>
  <c r="G299" i="1"/>
  <c r="F300" i="1"/>
  <c r="G308" i="1"/>
  <c r="G309" i="1"/>
  <c r="G310" i="1"/>
  <c r="G311" i="1"/>
  <c r="G312" i="1"/>
  <c r="F314" i="1"/>
  <c r="G274" i="1"/>
  <c r="AY274" i="1"/>
  <c r="AZ274" i="1" s="1"/>
  <c r="F274" i="1"/>
  <c r="AY131" i="1"/>
  <c r="AZ131" i="1" s="1"/>
  <c r="AY67" i="1"/>
  <c r="AZ67" i="1" s="1"/>
  <c r="G258" i="1"/>
  <c r="AY207" i="1"/>
  <c r="AZ207" i="1" s="1"/>
  <c r="AY203" i="1"/>
  <c r="AZ203" i="1" s="1"/>
  <c r="AY199" i="1"/>
  <c r="AZ199" i="1" s="1"/>
  <c r="AY195" i="1"/>
  <c r="AZ195" i="1" s="1"/>
  <c r="AY191" i="1"/>
  <c r="AZ191" i="1" s="1"/>
  <c r="AY187" i="1"/>
  <c r="AZ187" i="1" s="1"/>
  <c r="AY183" i="1"/>
  <c r="AZ183" i="1" s="1"/>
  <c r="AY179" i="1"/>
  <c r="AZ179" i="1" s="1"/>
  <c r="AY8" i="1"/>
  <c r="AZ8" i="1" s="1"/>
  <c r="F259" i="1"/>
  <c r="F248" i="1"/>
  <c r="M248" i="1"/>
  <c r="AY248" i="1"/>
  <c r="AZ248" i="1" s="1"/>
  <c r="G248" i="1"/>
  <c r="F226" i="1"/>
  <c r="AY224" i="1"/>
  <c r="AZ224" i="1" s="1"/>
  <c r="G224" i="1"/>
  <c r="M224" i="1"/>
  <c r="F224" i="1"/>
  <c r="F222" i="1"/>
  <c r="G222" i="1"/>
  <c r="M222" i="1"/>
  <c r="AY222" i="1"/>
  <c r="AZ222" i="1" s="1"/>
  <c r="AY24" i="1"/>
  <c r="AZ24" i="1" s="1"/>
  <c r="AY20" i="1"/>
  <c r="AZ20" i="1" s="1"/>
  <c r="AY21" i="1"/>
  <c r="AZ21" i="1" s="1"/>
  <c r="AY17" i="1"/>
  <c r="AZ17" i="1" s="1"/>
  <c r="L280" i="1"/>
  <c r="AY280" i="1"/>
  <c r="AZ280" i="1" s="1"/>
  <c r="K280" i="1"/>
  <c r="G280" i="1"/>
  <c r="G276" i="1"/>
  <c r="AY276" i="1"/>
  <c r="AZ276" i="1" s="1"/>
  <c r="F276" i="1"/>
  <c r="AY206" i="1"/>
  <c r="AZ206" i="1" s="1"/>
  <c r="AY202" i="1"/>
  <c r="AZ202" i="1" s="1"/>
  <c r="AY198" i="1"/>
  <c r="AZ198" i="1" s="1"/>
  <c r="AY194" i="1"/>
  <c r="AZ194" i="1" s="1"/>
  <c r="AY190" i="1"/>
  <c r="AZ190" i="1" s="1"/>
  <c r="AY186" i="1"/>
  <c r="AZ186" i="1" s="1"/>
  <c r="AY182" i="1"/>
  <c r="AZ182" i="1" s="1"/>
  <c r="AY33" i="1"/>
  <c r="AZ33" i="1" s="1"/>
  <c r="F238" i="1"/>
  <c r="AY238" i="1"/>
  <c r="AZ238" i="1" s="1"/>
  <c r="G238" i="1"/>
  <c r="M238" i="1"/>
  <c r="G215" i="1"/>
  <c r="G278" i="1"/>
  <c r="M278" i="1"/>
  <c r="AY278" i="1"/>
  <c r="AZ278" i="1" s="1"/>
  <c r="F278" i="1"/>
  <c r="AY208" i="1"/>
  <c r="AZ208" i="1" s="1"/>
  <c r="AY204" i="1"/>
  <c r="AZ204" i="1" s="1"/>
  <c r="AY200" i="1"/>
  <c r="AZ200" i="1" s="1"/>
  <c r="AY196" i="1"/>
  <c r="AZ196" i="1" s="1"/>
  <c r="AY192" i="1"/>
  <c r="AZ192" i="1" s="1"/>
  <c r="AY188" i="1"/>
  <c r="AZ188" i="1" s="1"/>
  <c r="AY184" i="1"/>
  <c r="AZ184" i="1" s="1"/>
  <c r="AY180" i="1"/>
  <c r="AZ180" i="1" s="1"/>
  <c r="AY28" i="1"/>
  <c r="AZ28" i="1" s="1"/>
  <c r="AY25" i="1"/>
  <c r="AZ25" i="1" s="1"/>
  <c r="AY12" i="1"/>
  <c r="AZ12" i="1" s="1"/>
  <c r="AY9" i="1"/>
  <c r="AZ9" i="1" s="1"/>
  <c r="F229" i="1"/>
  <c r="G229" i="1"/>
  <c r="AY229" i="1"/>
  <c r="AZ229" i="1" s="1"/>
  <c r="F219" i="1"/>
  <c r="AY279" i="1"/>
  <c r="AZ279" i="1" s="1"/>
  <c r="L279" i="1"/>
  <c r="M279" i="1"/>
  <c r="K279" i="1"/>
  <c r="AY275" i="1"/>
  <c r="AZ275" i="1" s="1"/>
  <c r="F275" i="1"/>
  <c r="G275" i="1"/>
  <c r="AY209" i="1"/>
  <c r="AZ209" i="1" s="1"/>
  <c r="AY205" i="1"/>
  <c r="AZ205" i="1" s="1"/>
  <c r="AY201" i="1"/>
  <c r="AZ201" i="1" s="1"/>
  <c r="AY197" i="1"/>
  <c r="AZ197" i="1" s="1"/>
  <c r="AY193" i="1"/>
  <c r="AZ193" i="1" s="1"/>
  <c r="AY189" i="1"/>
  <c r="AZ189" i="1" s="1"/>
  <c r="AY185" i="1"/>
  <c r="AZ185" i="1" s="1"/>
  <c r="AY181" i="1"/>
  <c r="AZ181" i="1" s="1"/>
  <c r="AY32" i="1"/>
  <c r="AZ32" i="1" s="1"/>
  <c r="AY29" i="1"/>
  <c r="AZ29" i="1" s="1"/>
  <c r="AY16" i="1"/>
  <c r="AZ16" i="1" s="1"/>
  <c r="AY13" i="1"/>
  <c r="AZ13" i="1" s="1"/>
  <c r="AY254" i="1"/>
  <c r="AZ254" i="1" s="1"/>
  <c r="G254" i="1"/>
  <c r="F254" i="1"/>
  <c r="M254" i="1"/>
  <c r="AY236" i="1"/>
  <c r="AZ236" i="1" s="1"/>
  <c r="G236" i="1"/>
  <c r="M236" i="1"/>
  <c r="F236" i="1"/>
  <c r="AY27" i="1"/>
  <c r="AZ27" i="1" s="1"/>
  <c r="AY19" i="1"/>
  <c r="AZ19" i="1" s="1"/>
  <c r="AY11" i="1"/>
  <c r="AZ11" i="1" s="1"/>
  <c r="F258" i="1"/>
  <c r="F255" i="1"/>
  <c r="M255" i="1"/>
  <c r="F246" i="1"/>
  <c r="M246" i="1"/>
  <c r="AY246" i="1"/>
  <c r="AZ246" i="1" s="1"/>
  <c r="AY214" i="1"/>
  <c r="AZ214" i="1" s="1"/>
  <c r="G214" i="1"/>
  <c r="M214" i="1"/>
  <c r="F214" i="1"/>
  <c r="AY31" i="1"/>
  <c r="AZ31" i="1" s="1"/>
  <c r="AY23" i="1"/>
  <c r="AZ23" i="1" s="1"/>
  <c r="AY15" i="1"/>
  <c r="AZ15" i="1" s="1"/>
  <c r="AY7" i="1"/>
  <c r="AZ7" i="1" s="1"/>
  <c r="G255" i="1"/>
  <c r="F251" i="1"/>
  <c r="M251" i="1"/>
  <c r="AY251" i="1"/>
  <c r="AZ251" i="1" s="1"/>
  <c r="AY250" i="1"/>
  <c r="AZ250" i="1" s="1"/>
  <c r="G250" i="1"/>
  <c r="M250" i="1"/>
  <c r="F250" i="1"/>
  <c r="AY242" i="1"/>
  <c r="AZ242" i="1" s="1"/>
  <c r="F242" i="1"/>
  <c r="AY257" i="1"/>
  <c r="AZ257" i="1" s="1"/>
  <c r="G257" i="1"/>
  <c r="F237" i="1"/>
  <c r="M230" i="1"/>
  <c r="F230" i="1"/>
  <c r="M212" i="1"/>
  <c r="M217" i="1"/>
  <c r="M220" i="1"/>
  <c r="M223" i="1"/>
  <c r="M211" i="1"/>
  <c r="M216" i="1"/>
  <c r="M218" i="1"/>
  <c r="M225" i="1"/>
  <c r="M219" i="1"/>
  <c r="M235" i="1"/>
  <c r="AY245" i="1"/>
  <c r="AZ245" i="1" s="1"/>
  <c r="G245" i="1"/>
  <c r="F245" i="1"/>
  <c r="AY241" i="1"/>
  <c r="AZ241" i="1" s="1"/>
  <c r="G241" i="1"/>
  <c r="M241" i="1"/>
  <c r="M237" i="1"/>
  <c r="AY237" i="1"/>
  <c r="AZ237" i="1" s="1"/>
  <c r="F231" i="1"/>
  <c r="G231" i="1"/>
  <c r="F243" i="1"/>
  <c r="AY228" i="1"/>
  <c r="AZ228" i="1" s="1"/>
  <c r="G228" i="1"/>
  <c r="F225" i="1"/>
  <c r="AY221" i="1"/>
  <c r="AZ221" i="1" s="1"/>
  <c r="G221" i="1"/>
  <c r="M221" i="1"/>
  <c r="F216" i="1"/>
  <c r="F211" i="1"/>
  <c r="AY218" i="1"/>
  <c r="AZ218" i="1" s="1"/>
  <c r="G218" i="1"/>
  <c r="F215" i="1"/>
  <c r="AY213" i="1"/>
  <c r="AZ213" i="1" s="1"/>
  <c r="G213" i="1"/>
  <c r="M213" i="1"/>
  <c r="AY210" i="1"/>
  <c r="AZ210" i="1" s="1"/>
  <c r="G210" i="1"/>
  <c r="BP169" i="1" l="1"/>
  <c r="BW169" i="1"/>
  <c r="J264" i="1"/>
  <c r="DB264" i="1"/>
  <c r="DC264" i="1" s="1"/>
  <c r="J297" i="1"/>
  <c r="DB297" i="1"/>
  <c r="DC297" i="1" s="1"/>
  <c r="H236" i="1"/>
  <c r="CS236" i="1"/>
  <c r="CT236" i="1" s="1"/>
  <c r="CU236" i="1" s="1"/>
  <c r="CV236" i="1"/>
  <c r="CW236" i="1" s="1"/>
  <c r="CX236" i="1" s="1"/>
  <c r="CZ236" i="1"/>
  <c r="BH236" i="1"/>
  <c r="BI236" i="1"/>
  <c r="BG236" i="1"/>
  <c r="H327" i="1"/>
  <c r="CV327" i="1"/>
  <c r="CW327" i="1" s="1"/>
  <c r="CX327" i="1" s="1"/>
  <c r="CZ327" i="1"/>
  <c r="CS327" i="1"/>
  <c r="CT327" i="1" s="1"/>
  <c r="CU327" i="1" s="1"/>
  <c r="BG327" i="1"/>
  <c r="BH327" i="1"/>
  <c r="BI327" i="1"/>
  <c r="H309" i="1"/>
  <c r="CZ309" i="1"/>
  <c r="CS309" i="1"/>
  <c r="CT309" i="1" s="1"/>
  <c r="CU309" i="1" s="1"/>
  <c r="CV309" i="1"/>
  <c r="CW309" i="1" s="1"/>
  <c r="CX309" i="1" s="1"/>
  <c r="BG309" i="1"/>
  <c r="BH309" i="1"/>
  <c r="BI309" i="1"/>
  <c r="H333" i="1"/>
  <c r="CS333" i="1"/>
  <c r="CT333" i="1" s="1"/>
  <c r="CU333" i="1" s="1"/>
  <c r="BG333" i="1"/>
  <c r="BI333" i="1"/>
  <c r="CV333" i="1"/>
  <c r="CW333" i="1" s="1"/>
  <c r="CX333" i="1" s="1"/>
  <c r="CZ333" i="1"/>
  <c r="BH333" i="1"/>
  <c r="H299" i="1"/>
  <c r="CS299" i="1"/>
  <c r="CT299" i="1" s="1"/>
  <c r="CU299" i="1" s="1"/>
  <c r="CZ299" i="1"/>
  <c r="CV299" i="1"/>
  <c r="CW299" i="1" s="1"/>
  <c r="CX299" i="1" s="1"/>
  <c r="BH299" i="1"/>
  <c r="BI299" i="1"/>
  <c r="BG299" i="1"/>
  <c r="H252" i="1"/>
  <c r="CZ252" i="1"/>
  <c r="CS252" i="1"/>
  <c r="CT252" i="1" s="1"/>
  <c r="CU252" i="1" s="1"/>
  <c r="CV252" i="1"/>
  <c r="CW252" i="1" s="1"/>
  <c r="CX252" i="1" s="1"/>
  <c r="BI252" i="1"/>
  <c r="BG252" i="1"/>
  <c r="BH252" i="1"/>
  <c r="H287" i="1"/>
  <c r="CS287" i="1"/>
  <c r="CT287" i="1" s="1"/>
  <c r="CU287" i="1" s="1"/>
  <c r="CV287" i="1"/>
  <c r="CW287" i="1" s="1"/>
  <c r="CX287" i="1" s="1"/>
  <c r="CZ287" i="1"/>
  <c r="BH287" i="1"/>
  <c r="BI287" i="1"/>
  <c r="BG287" i="1"/>
  <c r="H263" i="1"/>
  <c r="CS263" i="1"/>
  <c r="CT263" i="1" s="1"/>
  <c r="CU263" i="1" s="1"/>
  <c r="CZ263" i="1"/>
  <c r="CV263" i="1"/>
  <c r="CW263" i="1" s="1"/>
  <c r="CX263" i="1" s="1"/>
  <c r="BH263" i="1"/>
  <c r="BI263" i="1"/>
  <c r="BG263" i="1"/>
  <c r="H249" i="1"/>
  <c r="CS249" i="1"/>
  <c r="CT249" i="1" s="1"/>
  <c r="CU249" i="1" s="1"/>
  <c r="CV249" i="1"/>
  <c r="CW249" i="1" s="1"/>
  <c r="CX249" i="1" s="1"/>
  <c r="CZ249" i="1"/>
  <c r="BI249" i="1"/>
  <c r="BG249" i="1"/>
  <c r="BH249" i="1"/>
  <c r="H227" i="1"/>
  <c r="CZ227" i="1"/>
  <c r="CS227" i="1"/>
  <c r="CT227" i="1" s="1"/>
  <c r="CU227" i="1" s="1"/>
  <c r="CV227" i="1"/>
  <c r="CW227" i="1" s="1"/>
  <c r="CX227" i="1" s="1"/>
  <c r="BH227" i="1"/>
  <c r="BI227" i="1"/>
  <c r="BG227" i="1"/>
  <c r="H212" i="1"/>
  <c r="CS212" i="1"/>
  <c r="CT212" i="1" s="1"/>
  <c r="CU212" i="1" s="1"/>
  <c r="CV212" i="1"/>
  <c r="CW212" i="1" s="1"/>
  <c r="CX212" i="1" s="1"/>
  <c r="CZ212" i="1"/>
  <c r="BH212" i="1"/>
  <c r="BI212" i="1"/>
  <c r="BG212" i="1"/>
  <c r="H277" i="1"/>
  <c r="AR277" i="1" s="1"/>
  <c r="CS277" i="1"/>
  <c r="CT277" i="1" s="1"/>
  <c r="CU277" i="1" s="1"/>
  <c r="CV277" i="1"/>
  <c r="CW277" i="1" s="1"/>
  <c r="CX277" i="1" s="1"/>
  <c r="CZ277" i="1"/>
  <c r="BG277" i="1"/>
  <c r="BH277" i="1"/>
  <c r="BI277" i="1"/>
  <c r="J284" i="1"/>
  <c r="DB284" i="1"/>
  <c r="DC284" i="1" s="1"/>
  <c r="J349" i="1"/>
  <c r="DB349" i="1"/>
  <c r="DC349" i="1" s="1"/>
  <c r="H318" i="1"/>
  <c r="AJ318" i="1" s="1"/>
  <c r="CV318" i="1"/>
  <c r="CW318" i="1" s="1"/>
  <c r="CX318" i="1" s="1"/>
  <c r="CZ318" i="1"/>
  <c r="CS318" i="1"/>
  <c r="CT318" i="1" s="1"/>
  <c r="CU318" i="1" s="1"/>
  <c r="BG318" i="1"/>
  <c r="BH318" i="1"/>
  <c r="BI318" i="1"/>
  <c r="J310" i="1"/>
  <c r="DB310" i="1"/>
  <c r="DC310" i="1" s="1"/>
  <c r="J343" i="1"/>
  <c r="DB343" i="1"/>
  <c r="DC343" i="1" s="1"/>
  <c r="J295" i="1"/>
  <c r="DB295" i="1"/>
  <c r="DC295" i="1" s="1"/>
  <c r="H201" i="1"/>
  <c r="W201" i="1" s="1"/>
  <c r="CZ201" i="1"/>
  <c r="CV201" i="1"/>
  <c r="CW201" i="1" s="1"/>
  <c r="CX201" i="1" s="1"/>
  <c r="CS201" i="1"/>
  <c r="CT201" i="1" s="1"/>
  <c r="CU201" i="1" s="1"/>
  <c r="BI201" i="1"/>
  <c r="BG201" i="1"/>
  <c r="BH201" i="1"/>
  <c r="J271" i="1"/>
  <c r="DB271" i="1"/>
  <c r="DC271" i="1" s="1"/>
  <c r="J183" i="1"/>
  <c r="DB183" i="1"/>
  <c r="DC183" i="1" s="1"/>
  <c r="J240" i="1"/>
  <c r="DB240" i="1"/>
  <c r="DC240" i="1" s="1"/>
  <c r="J189" i="1"/>
  <c r="DB189" i="1"/>
  <c r="DC189" i="1" s="1"/>
  <c r="J259" i="1"/>
  <c r="DB259" i="1"/>
  <c r="DC259" i="1" s="1"/>
  <c r="H199" i="1"/>
  <c r="CZ199" i="1"/>
  <c r="CS199" i="1"/>
  <c r="CT199" i="1" s="1"/>
  <c r="CU199" i="1" s="1"/>
  <c r="CV199" i="1"/>
  <c r="CW199" i="1" s="1"/>
  <c r="CX199" i="1" s="1"/>
  <c r="BG199" i="1"/>
  <c r="BH199" i="1"/>
  <c r="BI199" i="1"/>
  <c r="J216" i="1"/>
  <c r="DB216" i="1"/>
  <c r="DC216" i="1" s="1"/>
  <c r="H196" i="1"/>
  <c r="CS196" i="1"/>
  <c r="CT196" i="1" s="1"/>
  <c r="CU196" i="1" s="1"/>
  <c r="CV196" i="1"/>
  <c r="CW196" i="1" s="1"/>
  <c r="CX196" i="1" s="1"/>
  <c r="CZ196" i="1"/>
  <c r="BG196" i="1"/>
  <c r="BH196" i="1"/>
  <c r="BI196" i="1"/>
  <c r="H180" i="1"/>
  <c r="CS180" i="1"/>
  <c r="CT180" i="1" s="1"/>
  <c r="CU180" i="1" s="1"/>
  <c r="CV180" i="1"/>
  <c r="CW180" i="1" s="1"/>
  <c r="CX180" i="1" s="1"/>
  <c r="CZ180" i="1"/>
  <c r="BI180" i="1"/>
  <c r="BG180" i="1"/>
  <c r="BH180" i="1"/>
  <c r="J321" i="1"/>
  <c r="DB321" i="1"/>
  <c r="DC321" i="1" s="1"/>
  <c r="J262" i="1"/>
  <c r="DB262" i="1"/>
  <c r="DC262" i="1" s="1"/>
  <c r="J214" i="1"/>
  <c r="DB214" i="1"/>
  <c r="DC214" i="1" s="1"/>
  <c r="J281" i="1"/>
  <c r="DB281" i="1"/>
  <c r="DC281" i="1" s="1"/>
  <c r="J223" i="1"/>
  <c r="DB223" i="1"/>
  <c r="DC223" i="1" s="1"/>
  <c r="H298" i="1"/>
  <c r="CS298" i="1"/>
  <c r="CT298" i="1" s="1"/>
  <c r="CU298" i="1" s="1"/>
  <c r="CV298" i="1"/>
  <c r="CW298" i="1" s="1"/>
  <c r="CX298" i="1" s="1"/>
  <c r="CZ298" i="1"/>
  <c r="BG298" i="1"/>
  <c r="BH298" i="1"/>
  <c r="BI298" i="1"/>
  <c r="H272" i="1"/>
  <c r="CS272" i="1"/>
  <c r="CT272" i="1" s="1"/>
  <c r="CU272" i="1" s="1"/>
  <c r="CV272" i="1"/>
  <c r="CW272" i="1" s="1"/>
  <c r="CX272" i="1" s="1"/>
  <c r="CZ272" i="1"/>
  <c r="BH272" i="1"/>
  <c r="BI272" i="1"/>
  <c r="BG272" i="1"/>
  <c r="H253" i="1"/>
  <c r="AR253" i="1" s="1"/>
  <c r="CZ253" i="1"/>
  <c r="CS253" i="1"/>
  <c r="CT253" i="1" s="1"/>
  <c r="CU253" i="1" s="1"/>
  <c r="CV253" i="1"/>
  <c r="CW253" i="1" s="1"/>
  <c r="CX253" i="1" s="1"/>
  <c r="BG253" i="1"/>
  <c r="BH253" i="1"/>
  <c r="BI253" i="1"/>
  <c r="BH95" i="1"/>
  <c r="H351" i="1"/>
  <c r="AA351" i="1" s="1"/>
  <c r="CV351" i="1"/>
  <c r="CW351" i="1" s="1"/>
  <c r="CX351" i="1" s="1"/>
  <c r="CZ351" i="1"/>
  <c r="CS351" i="1"/>
  <c r="CT351" i="1" s="1"/>
  <c r="CU351" i="1" s="1"/>
  <c r="BG351" i="1"/>
  <c r="BH351" i="1"/>
  <c r="BI351" i="1"/>
  <c r="J341" i="1"/>
  <c r="DB341" i="1"/>
  <c r="DC341" i="1" s="1"/>
  <c r="J306" i="1"/>
  <c r="DB306" i="1"/>
  <c r="DC306" i="1" s="1"/>
  <c r="J339" i="1"/>
  <c r="DB339" i="1"/>
  <c r="DC339" i="1" s="1"/>
  <c r="J291" i="1"/>
  <c r="DB291" i="1"/>
  <c r="DC291" i="1" s="1"/>
  <c r="H319" i="1"/>
  <c r="CV319" i="1"/>
  <c r="CW319" i="1" s="1"/>
  <c r="CX319" i="1" s="1"/>
  <c r="CZ319" i="1"/>
  <c r="CS319" i="1"/>
  <c r="CT319" i="1" s="1"/>
  <c r="CU319" i="1" s="1"/>
  <c r="BG319" i="1"/>
  <c r="BH319" i="1"/>
  <c r="BI319" i="1"/>
  <c r="J179" i="1"/>
  <c r="DB179" i="1"/>
  <c r="DC179" i="1" s="1"/>
  <c r="J252" i="1"/>
  <c r="DB252" i="1"/>
  <c r="DC252" i="1" s="1"/>
  <c r="J257" i="1"/>
  <c r="DB257" i="1"/>
  <c r="DC257" i="1" s="1"/>
  <c r="J273" i="1"/>
  <c r="DB273" i="1"/>
  <c r="DC273" i="1" s="1"/>
  <c r="J312" i="1"/>
  <c r="DB312" i="1"/>
  <c r="DC312" i="1" s="1"/>
  <c r="H181" i="1"/>
  <c r="CS181" i="1"/>
  <c r="CT181" i="1" s="1"/>
  <c r="CU181" i="1" s="1"/>
  <c r="CV181" i="1"/>
  <c r="CW181" i="1" s="1"/>
  <c r="CX181" i="1" s="1"/>
  <c r="CZ181" i="1"/>
  <c r="BG181" i="1"/>
  <c r="BH181" i="1"/>
  <c r="BI181" i="1"/>
  <c r="J344" i="1"/>
  <c r="DB344" i="1"/>
  <c r="DC344" i="1" s="1"/>
  <c r="J235" i="1"/>
  <c r="DB235" i="1"/>
  <c r="DC235" i="1" s="1"/>
  <c r="H187" i="1"/>
  <c r="CS187" i="1"/>
  <c r="CT187" i="1" s="1"/>
  <c r="CU187" i="1" s="1"/>
  <c r="CV187" i="1"/>
  <c r="CW187" i="1" s="1"/>
  <c r="CX187" i="1" s="1"/>
  <c r="CZ187" i="1"/>
  <c r="BG187" i="1"/>
  <c r="BH187" i="1"/>
  <c r="BI187" i="1"/>
  <c r="J253" i="1"/>
  <c r="DB253" i="1"/>
  <c r="DC253" i="1" s="1"/>
  <c r="DF253" i="1" s="1"/>
  <c r="J212" i="1"/>
  <c r="DB212" i="1"/>
  <c r="DC212" i="1" s="1"/>
  <c r="J194" i="1"/>
  <c r="DB194" i="1"/>
  <c r="DC194" i="1" s="1"/>
  <c r="J178" i="1"/>
  <c r="DB178" i="1"/>
  <c r="DC178" i="1" s="1"/>
  <c r="J305" i="1"/>
  <c r="DB305" i="1"/>
  <c r="DC305" i="1" s="1"/>
  <c r="J258" i="1"/>
  <c r="DB258" i="1"/>
  <c r="DC258" i="1" s="1"/>
  <c r="J210" i="1"/>
  <c r="DB210" i="1"/>
  <c r="DC210" i="1" s="1"/>
  <c r="H194" i="1"/>
  <c r="CV194" i="1"/>
  <c r="CW194" i="1" s="1"/>
  <c r="CX194" i="1" s="1"/>
  <c r="CZ194" i="1"/>
  <c r="CS194" i="1"/>
  <c r="CT194" i="1" s="1"/>
  <c r="CU194" i="1" s="1"/>
  <c r="BH194" i="1"/>
  <c r="BI194" i="1"/>
  <c r="BG194" i="1"/>
  <c r="H178" i="1"/>
  <c r="CS178" i="1"/>
  <c r="CT178" i="1" s="1"/>
  <c r="CU178" i="1" s="1"/>
  <c r="CV178" i="1"/>
  <c r="CW178" i="1" s="1"/>
  <c r="CX178" i="1" s="1"/>
  <c r="CZ178" i="1"/>
  <c r="BG178" i="1"/>
  <c r="BH178" i="1"/>
  <c r="BI178" i="1"/>
  <c r="H346" i="1"/>
  <c r="CV346" i="1"/>
  <c r="CW346" i="1" s="1"/>
  <c r="CX346" i="1" s="1"/>
  <c r="CZ346" i="1"/>
  <c r="CS346" i="1"/>
  <c r="CT346" i="1" s="1"/>
  <c r="CU346" i="1" s="1"/>
  <c r="BG346" i="1"/>
  <c r="BH346" i="1"/>
  <c r="BI346" i="1"/>
  <c r="CK2" i="1"/>
  <c r="CD2" i="1"/>
  <c r="BW2" i="1"/>
  <c r="J347" i="1"/>
  <c r="DB347" i="1"/>
  <c r="DC347" i="1" s="1"/>
  <c r="J220" i="1"/>
  <c r="DB220" i="1"/>
  <c r="DC220" i="1" s="1"/>
  <c r="H326" i="1"/>
  <c r="CV326" i="1"/>
  <c r="CW326" i="1" s="1"/>
  <c r="CX326" i="1" s="1"/>
  <c r="CZ326" i="1"/>
  <c r="BH326" i="1"/>
  <c r="CS326" i="1"/>
  <c r="CT326" i="1" s="1"/>
  <c r="CU326" i="1" s="1"/>
  <c r="BI326" i="1"/>
  <c r="BG326" i="1"/>
  <c r="H323" i="1"/>
  <c r="CS323" i="1"/>
  <c r="CT323" i="1" s="1"/>
  <c r="CU323" i="1" s="1"/>
  <c r="CV323" i="1"/>
  <c r="CW323" i="1" s="1"/>
  <c r="CX323" i="1" s="1"/>
  <c r="CZ323" i="1"/>
  <c r="BH323" i="1"/>
  <c r="BI323" i="1"/>
  <c r="BG323" i="1"/>
  <c r="H331" i="1"/>
  <c r="CV331" i="1"/>
  <c r="CW331" i="1" s="1"/>
  <c r="CX331" i="1" s="1"/>
  <c r="CZ331" i="1"/>
  <c r="BG331" i="1"/>
  <c r="CS331" i="1"/>
  <c r="CT331" i="1" s="1"/>
  <c r="CU331" i="1" s="1"/>
  <c r="BI331" i="1"/>
  <c r="BH331" i="1"/>
  <c r="H286" i="1"/>
  <c r="CS286" i="1"/>
  <c r="CT286" i="1" s="1"/>
  <c r="CU286" i="1" s="1"/>
  <c r="CV286" i="1"/>
  <c r="CW286" i="1" s="1"/>
  <c r="CX286" i="1" s="1"/>
  <c r="CZ286" i="1"/>
  <c r="BG286" i="1"/>
  <c r="BI286" i="1"/>
  <c r="BH286" i="1"/>
  <c r="H261" i="1"/>
  <c r="CV261" i="1"/>
  <c r="CW261" i="1" s="1"/>
  <c r="CX261" i="1" s="1"/>
  <c r="CZ261" i="1"/>
  <c r="CS261" i="1"/>
  <c r="CT261" i="1" s="1"/>
  <c r="CU261" i="1" s="1"/>
  <c r="BI261" i="1"/>
  <c r="BG261" i="1"/>
  <c r="BH261" i="1"/>
  <c r="H220" i="1"/>
  <c r="CS220" i="1"/>
  <c r="CT220" i="1" s="1"/>
  <c r="CU220" i="1" s="1"/>
  <c r="CV220" i="1"/>
  <c r="CW220" i="1" s="1"/>
  <c r="CX220" i="1" s="1"/>
  <c r="CZ220" i="1"/>
  <c r="BG220" i="1"/>
  <c r="BH220" i="1"/>
  <c r="BI220" i="1"/>
  <c r="J333" i="1"/>
  <c r="DB333" i="1"/>
  <c r="DC333" i="1" s="1"/>
  <c r="J350" i="1"/>
  <c r="DB350" i="1"/>
  <c r="DC350" i="1" s="1"/>
  <c r="J302" i="1"/>
  <c r="DB302" i="1"/>
  <c r="DC302" i="1" s="1"/>
  <c r="J335" i="1"/>
  <c r="DB335" i="1"/>
  <c r="DC335" i="1" s="1"/>
  <c r="J287" i="1"/>
  <c r="DB287" i="1"/>
  <c r="DC287" i="1" s="1"/>
  <c r="J231" i="1"/>
  <c r="DB231" i="1"/>
  <c r="DC231" i="1" s="1"/>
  <c r="J236" i="1"/>
  <c r="DB236" i="1"/>
  <c r="DC236" i="1" s="1"/>
  <c r="J267" i="1"/>
  <c r="DB267" i="1"/>
  <c r="DC267" i="1" s="1"/>
  <c r="J280" i="1"/>
  <c r="DB280" i="1"/>
  <c r="DC280" i="1" s="1"/>
  <c r="J229" i="1"/>
  <c r="DB229" i="1"/>
  <c r="DC229" i="1" s="1"/>
  <c r="J248" i="1"/>
  <c r="DB248" i="1"/>
  <c r="DC248" i="1" s="1"/>
  <c r="J193" i="1"/>
  <c r="DB193" i="1"/>
  <c r="DC193" i="1" s="1"/>
  <c r="J289" i="1"/>
  <c r="DB289" i="1"/>
  <c r="DC289" i="1" s="1"/>
  <c r="J254" i="1"/>
  <c r="DB254" i="1"/>
  <c r="DC254" i="1" s="1"/>
  <c r="J208" i="1"/>
  <c r="DB208" i="1"/>
  <c r="DC208" i="1" s="1"/>
  <c r="J192" i="1"/>
  <c r="DB192" i="1"/>
  <c r="DC192" i="1" s="1"/>
  <c r="H338" i="1"/>
  <c r="CZ338" i="1"/>
  <c r="CS338" i="1"/>
  <c r="CT338" i="1" s="1"/>
  <c r="CU338" i="1" s="1"/>
  <c r="CV338" i="1"/>
  <c r="CW338" i="1" s="1"/>
  <c r="CX338" i="1" s="1"/>
  <c r="BH338" i="1"/>
  <c r="BI338" i="1"/>
  <c r="BG338" i="1"/>
  <c r="H310" i="1"/>
  <c r="CS310" i="1"/>
  <c r="CT310" i="1" s="1"/>
  <c r="CU310" i="1" s="1"/>
  <c r="CV310" i="1"/>
  <c r="CW310" i="1" s="1"/>
  <c r="CX310" i="1" s="1"/>
  <c r="CZ310" i="1"/>
  <c r="BG310" i="1"/>
  <c r="BH310" i="1"/>
  <c r="BI310" i="1"/>
  <c r="H289" i="1"/>
  <c r="CZ289" i="1"/>
  <c r="CS289" i="1"/>
  <c r="CT289" i="1" s="1"/>
  <c r="CU289" i="1" s="1"/>
  <c r="CV289" i="1"/>
  <c r="CW289" i="1" s="1"/>
  <c r="CX289" i="1" s="1"/>
  <c r="BG289" i="1"/>
  <c r="BH289" i="1"/>
  <c r="BI289" i="1"/>
  <c r="J292" i="1"/>
  <c r="DB292" i="1"/>
  <c r="DC292" i="1" s="1"/>
  <c r="J241" i="1"/>
  <c r="DB241" i="1"/>
  <c r="DC241" i="1" s="1"/>
  <c r="J218" i="1"/>
  <c r="DB218" i="1"/>
  <c r="DC218" i="1" s="1"/>
  <c r="H237" i="1"/>
  <c r="CS237" i="1"/>
  <c r="CT237" i="1" s="1"/>
  <c r="CU237" i="1" s="1"/>
  <c r="CV237" i="1"/>
  <c r="CW237" i="1" s="1"/>
  <c r="CX237" i="1" s="1"/>
  <c r="CZ237" i="1"/>
  <c r="BI237" i="1"/>
  <c r="BH237" i="1"/>
  <c r="BG237" i="1"/>
  <c r="H251" i="1"/>
  <c r="AR251" i="1" s="1"/>
  <c r="CS251" i="1"/>
  <c r="CT251" i="1" s="1"/>
  <c r="CU251" i="1" s="1"/>
  <c r="CV251" i="1"/>
  <c r="CW251" i="1" s="1"/>
  <c r="CX251" i="1" s="1"/>
  <c r="CZ251" i="1"/>
  <c r="BH251" i="1"/>
  <c r="BI251" i="1"/>
  <c r="BG251" i="1"/>
  <c r="H224" i="1"/>
  <c r="CS224" i="1"/>
  <c r="CT224" i="1" s="1"/>
  <c r="CU224" i="1" s="1"/>
  <c r="CV224" i="1"/>
  <c r="CW224" i="1" s="1"/>
  <c r="CX224" i="1" s="1"/>
  <c r="CZ224" i="1"/>
  <c r="BH224" i="1"/>
  <c r="BI224" i="1"/>
  <c r="BG224" i="1"/>
  <c r="H231" i="1"/>
  <c r="CZ231" i="1"/>
  <c r="CS231" i="1"/>
  <c r="CT231" i="1" s="1"/>
  <c r="CU231" i="1" s="1"/>
  <c r="CV231" i="1"/>
  <c r="CW231" i="1" s="1"/>
  <c r="CX231" i="1" s="1"/>
  <c r="BI231" i="1"/>
  <c r="BG231" i="1"/>
  <c r="BH231" i="1"/>
  <c r="H300" i="1"/>
  <c r="CS300" i="1"/>
  <c r="CT300" i="1" s="1"/>
  <c r="CU300" i="1" s="1"/>
  <c r="CV300" i="1"/>
  <c r="CW300" i="1" s="1"/>
  <c r="CX300" i="1" s="1"/>
  <c r="CZ300" i="1"/>
  <c r="BG300" i="1"/>
  <c r="BH300" i="1"/>
  <c r="BI300" i="1"/>
  <c r="H283" i="1"/>
  <c r="CS283" i="1"/>
  <c r="CT283" i="1" s="1"/>
  <c r="CU283" i="1" s="1"/>
  <c r="CV283" i="1"/>
  <c r="CW283" i="1" s="1"/>
  <c r="CX283" i="1" s="1"/>
  <c r="CZ283" i="1"/>
  <c r="BG283" i="1"/>
  <c r="BH283" i="1"/>
  <c r="BI283" i="1"/>
  <c r="H288" i="1"/>
  <c r="AA288" i="1" s="1"/>
  <c r="CV288" i="1"/>
  <c r="CW288" i="1" s="1"/>
  <c r="CX288" i="1" s="1"/>
  <c r="CZ288" i="1"/>
  <c r="CS288" i="1"/>
  <c r="CT288" i="1" s="1"/>
  <c r="CU288" i="1" s="1"/>
  <c r="BG288" i="1"/>
  <c r="BI288" i="1"/>
  <c r="BH288" i="1"/>
  <c r="H270" i="1"/>
  <c r="CS270" i="1"/>
  <c r="CT270" i="1" s="1"/>
  <c r="CU270" i="1" s="1"/>
  <c r="CV270" i="1"/>
  <c r="CW270" i="1" s="1"/>
  <c r="CX270" i="1" s="1"/>
  <c r="CZ270" i="1"/>
  <c r="BI270" i="1"/>
  <c r="BG270" i="1"/>
  <c r="BH270" i="1"/>
  <c r="H282" i="1"/>
  <c r="CS282" i="1"/>
  <c r="CT282" i="1" s="1"/>
  <c r="CU282" i="1" s="1"/>
  <c r="CV282" i="1"/>
  <c r="CW282" i="1" s="1"/>
  <c r="CX282" i="1" s="1"/>
  <c r="CZ282" i="1"/>
  <c r="BI282" i="1"/>
  <c r="BG282" i="1"/>
  <c r="BH282" i="1"/>
  <c r="H240" i="1"/>
  <c r="CV240" i="1"/>
  <c r="CW240" i="1" s="1"/>
  <c r="CX240" i="1" s="1"/>
  <c r="CZ240" i="1"/>
  <c r="CS240" i="1"/>
  <c r="CT240" i="1" s="1"/>
  <c r="CU240" i="1" s="1"/>
  <c r="BI240" i="1"/>
  <c r="BG240" i="1"/>
  <c r="BH240" i="1"/>
  <c r="J325" i="1"/>
  <c r="DB325" i="1"/>
  <c r="DC325" i="1" s="1"/>
  <c r="J346" i="1"/>
  <c r="DB346" i="1"/>
  <c r="DC346" i="1" s="1"/>
  <c r="J298" i="1"/>
  <c r="DB298" i="1"/>
  <c r="DC298" i="1" s="1"/>
  <c r="J331" i="1"/>
  <c r="DB331" i="1"/>
  <c r="DC331" i="1" s="1"/>
  <c r="J283" i="1"/>
  <c r="DB283" i="1"/>
  <c r="DC283" i="1" s="1"/>
  <c r="H209" i="1"/>
  <c r="CS209" i="1"/>
  <c r="CT209" i="1" s="1"/>
  <c r="CU209" i="1" s="1"/>
  <c r="CV209" i="1"/>
  <c r="CW209" i="1" s="1"/>
  <c r="CX209" i="1" s="1"/>
  <c r="CZ209" i="1"/>
  <c r="BH209" i="1"/>
  <c r="BI209" i="1"/>
  <c r="BG209" i="1"/>
  <c r="J260" i="1"/>
  <c r="DB260" i="1"/>
  <c r="DC260" i="1" s="1"/>
  <c r="J265" i="1"/>
  <c r="DB265" i="1"/>
  <c r="DC265" i="1" s="1"/>
  <c r="H353" i="1"/>
  <c r="AA353" i="1" s="1"/>
  <c r="CS353" i="1"/>
  <c r="CT353" i="1" s="1"/>
  <c r="CU353" i="1" s="1"/>
  <c r="CV353" i="1"/>
  <c r="CW353" i="1" s="1"/>
  <c r="CX353" i="1" s="1"/>
  <c r="CZ353" i="1"/>
  <c r="BH353" i="1"/>
  <c r="BI353" i="1"/>
  <c r="BG353" i="1"/>
  <c r="J221" i="1"/>
  <c r="DB221" i="1"/>
  <c r="DC221" i="1" s="1"/>
  <c r="J181" i="1"/>
  <c r="DB181" i="1"/>
  <c r="DC181" i="1" s="1"/>
  <c r="J336" i="1"/>
  <c r="DB336" i="1"/>
  <c r="DC336" i="1" s="1"/>
  <c r="J243" i="1"/>
  <c r="DB243" i="1"/>
  <c r="DC243" i="1" s="1"/>
  <c r="H191" i="1"/>
  <c r="CS191" i="1"/>
  <c r="CT191" i="1" s="1"/>
  <c r="CU191" i="1" s="1"/>
  <c r="CV191" i="1"/>
  <c r="CW191" i="1" s="1"/>
  <c r="CX191" i="1" s="1"/>
  <c r="CZ191" i="1"/>
  <c r="BH191" i="1"/>
  <c r="BI191" i="1"/>
  <c r="BG191" i="1"/>
  <c r="H208" i="1"/>
  <c r="CV208" i="1"/>
  <c r="CW208" i="1" s="1"/>
  <c r="CX208" i="1" s="1"/>
  <c r="CZ208" i="1"/>
  <c r="CS208" i="1"/>
  <c r="CT208" i="1" s="1"/>
  <c r="CU208" i="1" s="1"/>
  <c r="BG208" i="1"/>
  <c r="BH208" i="1"/>
  <c r="BI208" i="1"/>
  <c r="H192" i="1"/>
  <c r="CS192" i="1"/>
  <c r="CT192" i="1" s="1"/>
  <c r="CU192" i="1" s="1"/>
  <c r="CV192" i="1"/>
  <c r="CW192" i="1" s="1"/>
  <c r="CX192" i="1" s="1"/>
  <c r="CZ192" i="1"/>
  <c r="BI192" i="1"/>
  <c r="BG192" i="1"/>
  <c r="BH192" i="1"/>
  <c r="H344" i="1"/>
  <c r="AR344" i="1" s="1"/>
  <c r="CS344" i="1"/>
  <c r="CT344" i="1" s="1"/>
  <c r="CU344" i="1" s="1"/>
  <c r="CZ344" i="1"/>
  <c r="BH344" i="1"/>
  <c r="CV344" i="1"/>
  <c r="CW344" i="1" s="1"/>
  <c r="CX344" i="1" s="1"/>
  <c r="BI344" i="1"/>
  <c r="BG344" i="1"/>
  <c r="J250" i="1"/>
  <c r="DB250" i="1"/>
  <c r="DC250" i="1" s="1"/>
  <c r="H335" i="1"/>
  <c r="T335" i="1" s="1"/>
  <c r="CZ335" i="1"/>
  <c r="BH335" i="1"/>
  <c r="BI335" i="1"/>
  <c r="CS335" i="1"/>
  <c r="CT335" i="1" s="1"/>
  <c r="CU335" i="1" s="1"/>
  <c r="CV335" i="1"/>
  <c r="CW335" i="1" s="1"/>
  <c r="CX335" i="1" s="1"/>
  <c r="BG335" i="1"/>
  <c r="S2" i="1"/>
  <c r="DA2" i="1"/>
  <c r="DE2" i="1" s="1"/>
  <c r="T2" i="1"/>
  <c r="AO2" i="1" s="1"/>
  <c r="DD2" i="1"/>
  <c r="V2" i="1"/>
  <c r="AW2" i="1" s="1"/>
  <c r="AA2" i="1"/>
  <c r="H259" i="1"/>
  <c r="CS259" i="1"/>
  <c r="CT259" i="1" s="1"/>
  <c r="CU259" i="1" s="1"/>
  <c r="CV259" i="1"/>
  <c r="CW259" i="1" s="1"/>
  <c r="CX259" i="1" s="1"/>
  <c r="CZ259" i="1"/>
  <c r="BG259" i="1"/>
  <c r="BH259" i="1"/>
  <c r="BI259" i="1"/>
  <c r="H301" i="1"/>
  <c r="CZ301" i="1"/>
  <c r="CV301" i="1"/>
  <c r="CW301" i="1" s="1"/>
  <c r="CX301" i="1" s="1"/>
  <c r="CS301" i="1"/>
  <c r="CT301" i="1" s="1"/>
  <c r="CU301" i="1" s="1"/>
  <c r="BG301" i="1"/>
  <c r="BH301" i="1"/>
  <c r="BI301" i="1"/>
  <c r="J299" i="1"/>
  <c r="DB299" i="1"/>
  <c r="DC299" i="1" s="1"/>
  <c r="J245" i="1"/>
  <c r="DB245" i="1"/>
  <c r="DC245" i="1" s="1"/>
  <c r="H266" i="1"/>
  <c r="CV266" i="1"/>
  <c r="CW266" i="1" s="1"/>
  <c r="CX266" i="1" s="1"/>
  <c r="CZ266" i="1"/>
  <c r="CS266" i="1"/>
  <c r="CT266" i="1" s="1"/>
  <c r="CU266" i="1" s="1"/>
  <c r="BH266" i="1"/>
  <c r="BI266" i="1"/>
  <c r="BG266" i="1"/>
  <c r="H243" i="1"/>
  <c r="CV243" i="1"/>
  <c r="CW243" i="1" s="1"/>
  <c r="CX243" i="1" s="1"/>
  <c r="CZ243" i="1"/>
  <c r="CS243" i="1"/>
  <c r="CT243" i="1" s="1"/>
  <c r="CU243" i="1" s="1"/>
  <c r="BI243" i="1"/>
  <c r="BG243" i="1"/>
  <c r="BH243" i="1"/>
  <c r="H246" i="1"/>
  <c r="CS246" i="1"/>
  <c r="CT246" i="1" s="1"/>
  <c r="CU246" i="1" s="1"/>
  <c r="CV246" i="1"/>
  <c r="CW246" i="1" s="1"/>
  <c r="CX246" i="1" s="1"/>
  <c r="CZ246" i="1"/>
  <c r="BI246" i="1"/>
  <c r="BG246" i="1"/>
  <c r="BH246" i="1"/>
  <c r="H305" i="1"/>
  <c r="CV305" i="1"/>
  <c r="CW305" i="1" s="1"/>
  <c r="CX305" i="1" s="1"/>
  <c r="CS305" i="1"/>
  <c r="CT305" i="1" s="1"/>
  <c r="CU305" i="1" s="1"/>
  <c r="CZ305" i="1"/>
  <c r="BH305" i="1"/>
  <c r="BI305" i="1"/>
  <c r="BG305" i="1"/>
  <c r="H281" i="1"/>
  <c r="CS281" i="1"/>
  <c r="CT281" i="1" s="1"/>
  <c r="CU281" i="1" s="1"/>
  <c r="CV281" i="1"/>
  <c r="CW281" i="1" s="1"/>
  <c r="CX281" i="1" s="1"/>
  <c r="CZ281" i="1"/>
  <c r="BH281" i="1"/>
  <c r="BI281" i="1"/>
  <c r="BG281" i="1"/>
  <c r="H234" i="1"/>
  <c r="CS234" i="1"/>
  <c r="CT234" i="1" s="1"/>
  <c r="CU234" i="1" s="1"/>
  <c r="CV234" i="1"/>
  <c r="CW234" i="1" s="1"/>
  <c r="CX234" i="1" s="1"/>
  <c r="CZ234" i="1"/>
  <c r="BI234" i="1"/>
  <c r="BG234" i="1"/>
  <c r="BH234" i="1"/>
  <c r="H239" i="1"/>
  <c r="AJ239" i="1" s="1"/>
  <c r="CS239" i="1"/>
  <c r="CT239" i="1" s="1"/>
  <c r="CU239" i="1" s="1"/>
  <c r="CV239" i="1"/>
  <c r="CW239" i="1" s="1"/>
  <c r="CX239" i="1" s="1"/>
  <c r="CZ239" i="1"/>
  <c r="BH239" i="1"/>
  <c r="BI239" i="1"/>
  <c r="BG239" i="1"/>
  <c r="J348" i="1"/>
  <c r="DB348" i="1"/>
  <c r="DC348" i="1" s="1"/>
  <c r="H347" i="1"/>
  <c r="CZ347" i="1"/>
  <c r="CS347" i="1"/>
  <c r="CT347" i="1" s="1"/>
  <c r="CU347" i="1" s="1"/>
  <c r="CV347" i="1"/>
  <c r="CW347" i="1" s="1"/>
  <c r="CX347" i="1" s="1"/>
  <c r="BH347" i="1"/>
  <c r="BI347" i="1"/>
  <c r="BG347" i="1"/>
  <c r="J317" i="1"/>
  <c r="DB317" i="1"/>
  <c r="DC317" i="1" s="1"/>
  <c r="J342" i="1"/>
  <c r="DB342" i="1"/>
  <c r="DC342" i="1" s="1"/>
  <c r="J294" i="1"/>
  <c r="DB294" i="1"/>
  <c r="DC294" i="1" s="1"/>
  <c r="H325" i="1"/>
  <c r="CS325" i="1"/>
  <c r="CT325" i="1" s="1"/>
  <c r="CU325" i="1" s="1"/>
  <c r="CV325" i="1"/>
  <c r="CW325" i="1" s="1"/>
  <c r="CX325" i="1" s="1"/>
  <c r="CZ325" i="1"/>
  <c r="BG325" i="1"/>
  <c r="BH325" i="1"/>
  <c r="BI325" i="1"/>
  <c r="J327" i="1"/>
  <c r="DB327" i="1"/>
  <c r="DC327" i="1" s="1"/>
  <c r="J279" i="1"/>
  <c r="DB279" i="1"/>
  <c r="DC279" i="1" s="1"/>
  <c r="J195" i="1"/>
  <c r="DB195" i="1"/>
  <c r="DC195" i="1" s="1"/>
  <c r="J249" i="1"/>
  <c r="DB249" i="1"/>
  <c r="DC249" i="1" s="1"/>
  <c r="DF249" i="1" s="1"/>
  <c r="J255" i="1"/>
  <c r="DB255" i="1"/>
  <c r="DC255" i="1" s="1"/>
  <c r="J275" i="1"/>
  <c r="DB275" i="1"/>
  <c r="DC275" i="1" s="1"/>
  <c r="J213" i="1"/>
  <c r="DB213" i="1"/>
  <c r="DC213" i="1" s="1"/>
  <c r="H179" i="1"/>
  <c r="CZ179" i="1"/>
  <c r="CS179" i="1"/>
  <c r="CT179" i="1" s="1"/>
  <c r="CU179" i="1" s="1"/>
  <c r="CV179" i="1"/>
  <c r="CW179" i="1" s="1"/>
  <c r="CX179" i="1" s="1"/>
  <c r="BH179" i="1"/>
  <c r="BI179" i="1"/>
  <c r="BG179" i="1"/>
  <c r="J304" i="1"/>
  <c r="DB304" i="1"/>
  <c r="DC304" i="1" s="1"/>
  <c r="J237" i="1"/>
  <c r="DB237" i="1"/>
  <c r="DC237" i="1" s="1"/>
  <c r="J206" i="1"/>
  <c r="DB206" i="1"/>
  <c r="DC206" i="1" s="1"/>
  <c r="J190" i="1"/>
  <c r="DB190" i="1"/>
  <c r="DC190" i="1" s="1"/>
  <c r="H306" i="1"/>
  <c r="AJ306" i="1" s="1"/>
  <c r="CV306" i="1"/>
  <c r="CW306" i="1" s="1"/>
  <c r="CX306" i="1" s="1"/>
  <c r="CZ306" i="1"/>
  <c r="CS306" i="1"/>
  <c r="CT306" i="1" s="1"/>
  <c r="CU306" i="1" s="1"/>
  <c r="BG306" i="1"/>
  <c r="BI306" i="1"/>
  <c r="BH306" i="1"/>
  <c r="J246" i="1"/>
  <c r="DB246" i="1"/>
  <c r="DC246" i="1" s="1"/>
  <c r="H206" i="1"/>
  <c r="CS206" i="1"/>
  <c r="CT206" i="1" s="1"/>
  <c r="CU206" i="1" s="1"/>
  <c r="CV206" i="1"/>
  <c r="CW206" i="1" s="1"/>
  <c r="CX206" i="1" s="1"/>
  <c r="CZ206" i="1"/>
  <c r="BH206" i="1"/>
  <c r="BI206" i="1"/>
  <c r="BG206" i="1"/>
  <c r="H190" i="1"/>
  <c r="CZ190" i="1"/>
  <c r="CS190" i="1"/>
  <c r="CT190" i="1" s="1"/>
  <c r="CU190" i="1" s="1"/>
  <c r="CV190" i="1"/>
  <c r="CW190" i="1" s="1"/>
  <c r="CX190" i="1" s="1"/>
  <c r="BG190" i="1"/>
  <c r="BH190" i="1"/>
  <c r="BI190" i="1"/>
  <c r="H322" i="1"/>
  <c r="CZ322" i="1"/>
  <c r="CV322" i="1"/>
  <c r="CW322" i="1" s="1"/>
  <c r="CX322" i="1" s="1"/>
  <c r="BG322" i="1"/>
  <c r="BI322" i="1"/>
  <c r="CS322" i="1"/>
  <c r="CT322" i="1" s="1"/>
  <c r="CU322" i="1" s="1"/>
  <c r="BH322" i="1"/>
  <c r="BP2" i="1"/>
  <c r="H260" i="1"/>
  <c r="CS260" i="1"/>
  <c r="CT260" i="1" s="1"/>
  <c r="CU260" i="1" s="1"/>
  <c r="CV260" i="1"/>
  <c r="CW260" i="1" s="1"/>
  <c r="CX260" i="1" s="1"/>
  <c r="CZ260" i="1"/>
  <c r="BH260" i="1"/>
  <c r="BI260" i="1"/>
  <c r="BG260" i="1"/>
  <c r="H211" i="1"/>
  <c r="CS211" i="1"/>
  <c r="CT211" i="1" s="1"/>
  <c r="CU211" i="1" s="1"/>
  <c r="CV211" i="1"/>
  <c r="CW211" i="1" s="1"/>
  <c r="CX211" i="1" s="1"/>
  <c r="CZ211" i="1"/>
  <c r="BG211" i="1"/>
  <c r="BH211" i="1"/>
  <c r="BI211" i="1"/>
  <c r="H254" i="1"/>
  <c r="AA254" i="1" s="1"/>
  <c r="CS254" i="1"/>
  <c r="CT254" i="1" s="1"/>
  <c r="CU254" i="1" s="1"/>
  <c r="CV254" i="1"/>
  <c r="CW254" i="1" s="1"/>
  <c r="CX254" i="1" s="1"/>
  <c r="CZ254" i="1"/>
  <c r="BH254" i="1"/>
  <c r="BI254" i="1"/>
  <c r="BG254" i="1"/>
  <c r="H276" i="1"/>
  <c r="CS276" i="1"/>
  <c r="CT276" i="1" s="1"/>
  <c r="CU276" i="1" s="1"/>
  <c r="CV276" i="1"/>
  <c r="CW276" i="1" s="1"/>
  <c r="CX276" i="1" s="1"/>
  <c r="CZ276" i="1"/>
  <c r="BI276" i="1"/>
  <c r="BG276" i="1"/>
  <c r="BH276" i="1"/>
  <c r="H315" i="1"/>
  <c r="CS315" i="1"/>
  <c r="CT315" i="1" s="1"/>
  <c r="CU315" i="1" s="1"/>
  <c r="CV315" i="1"/>
  <c r="CW315" i="1" s="1"/>
  <c r="CX315" i="1" s="1"/>
  <c r="CZ315" i="1"/>
  <c r="BG315" i="1"/>
  <c r="BI315" i="1"/>
  <c r="BH315" i="1"/>
  <c r="H264" i="1"/>
  <c r="CS264" i="1"/>
  <c r="CT264" i="1" s="1"/>
  <c r="CU264" i="1" s="1"/>
  <c r="CZ264" i="1"/>
  <c r="BI264" i="1"/>
  <c r="CV264" i="1"/>
  <c r="CW264" i="1" s="1"/>
  <c r="CX264" i="1" s="1"/>
  <c r="BG264" i="1"/>
  <c r="BH264" i="1"/>
  <c r="H210" i="1"/>
  <c r="CS210" i="1"/>
  <c r="CT210" i="1" s="1"/>
  <c r="CU210" i="1" s="1"/>
  <c r="CV210" i="1"/>
  <c r="CW210" i="1" s="1"/>
  <c r="CX210" i="1" s="1"/>
  <c r="CZ210" i="1"/>
  <c r="BI210" i="1"/>
  <c r="BG210" i="1"/>
  <c r="BH210" i="1"/>
  <c r="H273" i="1"/>
  <c r="CS273" i="1"/>
  <c r="CT273" i="1" s="1"/>
  <c r="CU273" i="1" s="1"/>
  <c r="CV273" i="1"/>
  <c r="CW273" i="1" s="1"/>
  <c r="CX273" i="1" s="1"/>
  <c r="CZ273" i="1"/>
  <c r="BI273" i="1"/>
  <c r="BH273" i="1"/>
  <c r="BG273" i="1"/>
  <c r="H256" i="1"/>
  <c r="AA256" i="1" s="1"/>
  <c r="CS256" i="1"/>
  <c r="CT256" i="1" s="1"/>
  <c r="CU256" i="1" s="1"/>
  <c r="CV256" i="1"/>
  <c r="CW256" i="1" s="1"/>
  <c r="CX256" i="1" s="1"/>
  <c r="CZ256" i="1"/>
  <c r="BG256" i="1"/>
  <c r="BH256" i="1"/>
  <c r="BI256" i="1"/>
  <c r="H232" i="1"/>
  <c r="CS232" i="1"/>
  <c r="CT232" i="1" s="1"/>
  <c r="CU232" i="1" s="1"/>
  <c r="CV232" i="1"/>
  <c r="CW232" i="1" s="1"/>
  <c r="CX232" i="1" s="1"/>
  <c r="CZ232" i="1"/>
  <c r="BG232" i="1"/>
  <c r="BI232" i="1"/>
  <c r="BH232" i="1"/>
  <c r="AJ5" i="1"/>
  <c r="J340" i="1"/>
  <c r="DB340" i="1"/>
  <c r="DC340" i="1" s="1"/>
  <c r="J309" i="1"/>
  <c r="DB309" i="1"/>
  <c r="DC309" i="1" s="1"/>
  <c r="J338" i="1"/>
  <c r="DB338" i="1"/>
  <c r="DC338" i="1" s="1"/>
  <c r="J290" i="1"/>
  <c r="DB290" i="1"/>
  <c r="DC290" i="1" s="1"/>
  <c r="H324" i="1"/>
  <c r="CV324" i="1"/>
  <c r="CW324" i="1" s="1"/>
  <c r="CX324" i="1" s="1"/>
  <c r="CS324" i="1"/>
  <c r="CT324" i="1" s="1"/>
  <c r="CU324" i="1" s="1"/>
  <c r="CZ324" i="1"/>
  <c r="BG324" i="1"/>
  <c r="BI324" i="1"/>
  <c r="BH324" i="1"/>
  <c r="J323" i="1"/>
  <c r="DB323" i="1"/>
  <c r="DC323" i="1" s="1"/>
  <c r="DF323" i="1" s="1"/>
  <c r="J296" i="1"/>
  <c r="DB296" i="1"/>
  <c r="DC296" i="1" s="1"/>
  <c r="H185" i="1"/>
  <c r="CS185" i="1"/>
  <c r="CT185" i="1" s="1"/>
  <c r="CU185" i="1" s="1"/>
  <c r="CV185" i="1"/>
  <c r="CW185" i="1" s="1"/>
  <c r="CX185" i="1" s="1"/>
  <c r="CZ185" i="1"/>
  <c r="BH185" i="1"/>
  <c r="BI185" i="1"/>
  <c r="BG185" i="1"/>
  <c r="J187" i="1"/>
  <c r="DB187" i="1"/>
  <c r="DC187" i="1" s="1"/>
  <c r="J239" i="1"/>
  <c r="DB239" i="1"/>
  <c r="DC239" i="1" s="1"/>
  <c r="J244" i="1"/>
  <c r="DB244" i="1"/>
  <c r="DC244" i="1" s="1"/>
  <c r="J269" i="1"/>
  <c r="DB269" i="1"/>
  <c r="DC269" i="1" s="1"/>
  <c r="H345" i="1"/>
  <c r="AJ345" i="1" s="1"/>
  <c r="CS345" i="1"/>
  <c r="CT345" i="1" s="1"/>
  <c r="CU345" i="1" s="1"/>
  <c r="CV345" i="1"/>
  <c r="CW345" i="1" s="1"/>
  <c r="CX345" i="1" s="1"/>
  <c r="CZ345" i="1"/>
  <c r="BG345" i="1"/>
  <c r="BH345" i="1"/>
  <c r="BI345" i="1"/>
  <c r="J232" i="1"/>
  <c r="DB232" i="1"/>
  <c r="DC232" i="1" s="1"/>
  <c r="J185" i="1"/>
  <c r="DB185" i="1"/>
  <c r="DC185" i="1" s="1"/>
  <c r="H295" i="1"/>
  <c r="CS295" i="1"/>
  <c r="CT295" i="1" s="1"/>
  <c r="CU295" i="1" s="1"/>
  <c r="CV295" i="1"/>
  <c r="CW295" i="1" s="1"/>
  <c r="CX295" i="1" s="1"/>
  <c r="CZ295" i="1"/>
  <c r="BG295" i="1"/>
  <c r="BI295" i="1"/>
  <c r="BH295" i="1"/>
  <c r="J242" i="1"/>
  <c r="DB242" i="1"/>
  <c r="DC242" i="1" s="1"/>
  <c r="J204" i="1"/>
  <c r="DB204" i="1"/>
  <c r="DC204" i="1" s="1"/>
  <c r="J188" i="1"/>
  <c r="DB188" i="1"/>
  <c r="DC188" i="1" s="1"/>
  <c r="J191" i="1"/>
  <c r="DB191" i="1"/>
  <c r="DC191" i="1" s="1"/>
  <c r="J196" i="1"/>
  <c r="DB196" i="1"/>
  <c r="DC196" i="1" s="1"/>
  <c r="DF196" i="1" s="1"/>
  <c r="H216" i="1"/>
  <c r="CV216" i="1"/>
  <c r="CW216" i="1" s="1"/>
  <c r="CX216" i="1" s="1"/>
  <c r="CZ216" i="1"/>
  <c r="CS216" i="1"/>
  <c r="CT216" i="1" s="1"/>
  <c r="CU216" i="1" s="1"/>
  <c r="BI216" i="1"/>
  <c r="BG216" i="1"/>
  <c r="BH216" i="1"/>
  <c r="H255" i="1"/>
  <c r="AJ255" i="1" s="1"/>
  <c r="CS255" i="1"/>
  <c r="CT255" i="1" s="1"/>
  <c r="CU255" i="1" s="1"/>
  <c r="CV255" i="1"/>
  <c r="CW255" i="1" s="1"/>
  <c r="CX255" i="1" s="1"/>
  <c r="CZ255" i="1"/>
  <c r="BI255" i="1"/>
  <c r="BH255" i="1"/>
  <c r="BG255" i="1"/>
  <c r="V318" i="1"/>
  <c r="AW318" i="1" s="1"/>
  <c r="H343" i="1"/>
  <c r="CS343" i="1"/>
  <c r="CT343" i="1" s="1"/>
  <c r="CU343" i="1" s="1"/>
  <c r="CZ343" i="1"/>
  <c r="CV343" i="1"/>
  <c r="CW343" i="1" s="1"/>
  <c r="CX343" i="1" s="1"/>
  <c r="BG343" i="1"/>
  <c r="BH343" i="1"/>
  <c r="BI343" i="1"/>
  <c r="H304" i="1"/>
  <c r="AR304" i="1" s="1"/>
  <c r="CV304" i="1"/>
  <c r="CW304" i="1" s="1"/>
  <c r="CX304" i="1" s="1"/>
  <c r="CZ304" i="1"/>
  <c r="CS304" i="1"/>
  <c r="CT304" i="1" s="1"/>
  <c r="CU304" i="1" s="1"/>
  <c r="BG304" i="1"/>
  <c r="BI304" i="1"/>
  <c r="BH304" i="1"/>
  <c r="AA287" i="1"/>
  <c r="H313" i="1"/>
  <c r="CV313" i="1"/>
  <c r="CW313" i="1" s="1"/>
  <c r="CX313" i="1" s="1"/>
  <c r="CZ313" i="1"/>
  <c r="CS313" i="1"/>
  <c r="CT313" i="1" s="1"/>
  <c r="CU313" i="1" s="1"/>
  <c r="BG313" i="1"/>
  <c r="BI313" i="1"/>
  <c r="BH313" i="1"/>
  <c r="AJ299" i="1"/>
  <c r="J332" i="1"/>
  <c r="DB332" i="1"/>
  <c r="DC332" i="1" s="1"/>
  <c r="J301" i="1"/>
  <c r="DB301" i="1"/>
  <c r="DC301" i="1" s="1"/>
  <c r="DF301" i="1" s="1"/>
  <c r="J334" i="1"/>
  <c r="DB334" i="1"/>
  <c r="DC334" i="1" s="1"/>
  <c r="J286" i="1"/>
  <c r="DB286" i="1"/>
  <c r="DC286" i="1" s="1"/>
  <c r="J319" i="1"/>
  <c r="DB319" i="1"/>
  <c r="DC319" i="1" s="1"/>
  <c r="H350" i="1"/>
  <c r="S350" i="1" s="1"/>
  <c r="Y350" i="1" s="1"/>
  <c r="CS350" i="1"/>
  <c r="CT350" i="1" s="1"/>
  <c r="CU350" i="1" s="1"/>
  <c r="CV350" i="1"/>
  <c r="CW350" i="1" s="1"/>
  <c r="CX350" i="1" s="1"/>
  <c r="BH350" i="1"/>
  <c r="CZ350" i="1"/>
  <c r="BI350" i="1"/>
  <c r="BG350" i="1"/>
  <c r="J247" i="1"/>
  <c r="DB247" i="1"/>
  <c r="DC247" i="1" s="1"/>
  <c r="J227" i="1"/>
  <c r="DB227" i="1"/>
  <c r="DC227" i="1" s="1"/>
  <c r="J233" i="1"/>
  <c r="DB233" i="1"/>
  <c r="DC233" i="1" s="1"/>
  <c r="H268" i="1"/>
  <c r="CZ268" i="1"/>
  <c r="CS268" i="1"/>
  <c r="CT268" i="1" s="1"/>
  <c r="CU268" i="1" s="1"/>
  <c r="CV268" i="1"/>
  <c r="CW268" i="1" s="1"/>
  <c r="CX268" i="1" s="1"/>
  <c r="BG268" i="1"/>
  <c r="BI268" i="1"/>
  <c r="BH268" i="1"/>
  <c r="J205" i="1"/>
  <c r="DB205" i="1"/>
  <c r="DC205" i="1" s="1"/>
  <c r="H336" i="1"/>
  <c r="CZ336" i="1"/>
  <c r="CV336" i="1"/>
  <c r="CW336" i="1" s="1"/>
  <c r="CX336" i="1" s="1"/>
  <c r="BG336" i="1"/>
  <c r="BH336" i="1"/>
  <c r="BI336" i="1"/>
  <c r="CS336" i="1"/>
  <c r="CT336" i="1" s="1"/>
  <c r="CU336" i="1" s="1"/>
  <c r="J225" i="1"/>
  <c r="DB225" i="1"/>
  <c r="DC225" i="1" s="1"/>
  <c r="H183" i="1"/>
  <c r="CS183" i="1"/>
  <c r="CT183" i="1" s="1"/>
  <c r="CU183" i="1" s="1"/>
  <c r="CV183" i="1"/>
  <c r="CW183" i="1" s="1"/>
  <c r="CX183" i="1" s="1"/>
  <c r="CZ183" i="1"/>
  <c r="BI183" i="1"/>
  <c r="BG183" i="1"/>
  <c r="BH183" i="1"/>
  <c r="J352" i="1"/>
  <c r="DB352" i="1"/>
  <c r="DC352" i="1" s="1"/>
  <c r="H204" i="1"/>
  <c r="CS204" i="1"/>
  <c r="CT204" i="1" s="1"/>
  <c r="CU204" i="1" s="1"/>
  <c r="CV204" i="1"/>
  <c r="CW204" i="1" s="1"/>
  <c r="CX204" i="1" s="1"/>
  <c r="CZ204" i="1"/>
  <c r="BI204" i="1"/>
  <c r="BG204" i="1"/>
  <c r="BH204" i="1"/>
  <c r="H188" i="1"/>
  <c r="W188" i="1" s="1"/>
  <c r="CV188" i="1"/>
  <c r="CW188" i="1" s="1"/>
  <c r="CX188" i="1" s="1"/>
  <c r="CZ188" i="1"/>
  <c r="CS188" i="1"/>
  <c r="CT188" i="1" s="1"/>
  <c r="CU188" i="1" s="1"/>
  <c r="BH188" i="1"/>
  <c r="BI188" i="1"/>
  <c r="BG188" i="1"/>
  <c r="J238" i="1"/>
  <c r="DB238" i="1"/>
  <c r="DC238" i="1" s="1"/>
  <c r="H334" i="1"/>
  <c r="CZ334" i="1"/>
  <c r="CS334" i="1"/>
  <c r="CT334" i="1" s="1"/>
  <c r="CU334" i="1" s="1"/>
  <c r="BG334" i="1"/>
  <c r="CV334" i="1"/>
  <c r="CW334" i="1" s="1"/>
  <c r="CX334" i="1" s="1"/>
  <c r="BH334" i="1"/>
  <c r="BI334" i="1"/>
  <c r="J314" i="1"/>
  <c r="DB314" i="1"/>
  <c r="DC314" i="1" s="1"/>
  <c r="H189" i="1"/>
  <c r="V189" i="1" s="1"/>
  <c r="CZ189" i="1"/>
  <c r="CS189" i="1"/>
  <c r="CT189" i="1" s="1"/>
  <c r="CU189" i="1" s="1"/>
  <c r="CV189" i="1"/>
  <c r="CW189" i="1" s="1"/>
  <c r="CX189" i="1" s="1"/>
  <c r="BI189" i="1"/>
  <c r="BG189" i="1"/>
  <c r="BH189" i="1"/>
  <c r="J180" i="1"/>
  <c r="DB180" i="1"/>
  <c r="DC180" i="1" s="1"/>
  <c r="DF180" i="1" s="1"/>
  <c r="H308" i="1"/>
  <c r="CS308" i="1"/>
  <c r="CT308" i="1" s="1"/>
  <c r="CU308" i="1" s="1"/>
  <c r="CV308" i="1"/>
  <c r="CW308" i="1" s="1"/>
  <c r="CX308" i="1" s="1"/>
  <c r="CZ308" i="1"/>
  <c r="BH308" i="1"/>
  <c r="BI308" i="1"/>
  <c r="BG308" i="1"/>
  <c r="H274" i="1"/>
  <c r="CS274" i="1"/>
  <c r="CT274" i="1" s="1"/>
  <c r="CU274" i="1" s="1"/>
  <c r="CV274" i="1"/>
  <c r="CW274" i="1" s="1"/>
  <c r="CX274" i="1" s="1"/>
  <c r="CZ274" i="1"/>
  <c r="BG274" i="1"/>
  <c r="BH274" i="1"/>
  <c r="BI274" i="1"/>
  <c r="AA301" i="1"/>
  <c r="H258" i="1"/>
  <c r="AJ258" i="1" s="1"/>
  <c r="CS258" i="1"/>
  <c r="CT258" i="1" s="1"/>
  <c r="CU258" i="1" s="1"/>
  <c r="CV258" i="1"/>
  <c r="CW258" i="1" s="1"/>
  <c r="CX258" i="1" s="1"/>
  <c r="CZ258" i="1"/>
  <c r="BI258" i="1"/>
  <c r="BG258" i="1"/>
  <c r="BH258" i="1"/>
  <c r="AA318" i="1"/>
  <c r="H337" i="1"/>
  <c r="AJ337" i="1" s="1"/>
  <c r="CV337" i="1"/>
  <c r="CW337" i="1" s="1"/>
  <c r="CX337" i="1" s="1"/>
  <c r="BG337" i="1"/>
  <c r="BH337" i="1"/>
  <c r="CS337" i="1"/>
  <c r="CT337" i="1" s="1"/>
  <c r="CU337" i="1" s="1"/>
  <c r="BI337" i="1"/>
  <c r="CZ337" i="1"/>
  <c r="H241" i="1"/>
  <c r="CS241" i="1"/>
  <c r="CT241" i="1" s="1"/>
  <c r="CU241" i="1" s="1"/>
  <c r="CV241" i="1"/>
  <c r="CW241" i="1" s="1"/>
  <c r="CX241" i="1" s="1"/>
  <c r="CZ241" i="1"/>
  <c r="BG241" i="1"/>
  <c r="BH241" i="1"/>
  <c r="BI241" i="1"/>
  <c r="H341" i="1"/>
  <c r="CS341" i="1"/>
  <c r="CT341" i="1" s="1"/>
  <c r="CU341" i="1" s="1"/>
  <c r="CV341" i="1"/>
  <c r="CW341" i="1" s="1"/>
  <c r="CX341" i="1" s="1"/>
  <c r="CZ341" i="1"/>
  <c r="BH341" i="1"/>
  <c r="BI341" i="1"/>
  <c r="BG341" i="1"/>
  <c r="H307" i="1"/>
  <c r="CS307" i="1"/>
  <c r="CT307" i="1" s="1"/>
  <c r="CU307" i="1" s="1"/>
  <c r="CV307" i="1"/>
  <c r="CW307" i="1" s="1"/>
  <c r="CX307" i="1" s="1"/>
  <c r="CZ307" i="1"/>
  <c r="BG307" i="1"/>
  <c r="BH307" i="1"/>
  <c r="BI307" i="1"/>
  <c r="AR326" i="1"/>
  <c r="H262" i="1"/>
  <c r="CS262" i="1"/>
  <c r="CT262" i="1" s="1"/>
  <c r="CU262" i="1" s="1"/>
  <c r="CV262" i="1"/>
  <c r="CW262" i="1" s="1"/>
  <c r="CX262" i="1" s="1"/>
  <c r="CZ262" i="1"/>
  <c r="BG262" i="1"/>
  <c r="BH262" i="1"/>
  <c r="BI262" i="1"/>
  <c r="H294" i="1"/>
  <c r="CS294" i="1"/>
  <c r="CT294" i="1" s="1"/>
  <c r="CU294" i="1" s="1"/>
  <c r="CV294" i="1"/>
  <c r="CW294" i="1" s="1"/>
  <c r="CX294" i="1" s="1"/>
  <c r="CZ294" i="1"/>
  <c r="BG294" i="1"/>
  <c r="BH294" i="1"/>
  <c r="BI294" i="1"/>
  <c r="H271" i="1"/>
  <c r="CS271" i="1"/>
  <c r="CT271" i="1" s="1"/>
  <c r="CU271" i="1" s="1"/>
  <c r="CZ271" i="1"/>
  <c r="CV271" i="1"/>
  <c r="CW271" i="1" s="1"/>
  <c r="CX271" i="1" s="1"/>
  <c r="BG271" i="1"/>
  <c r="BH271" i="1"/>
  <c r="BI271" i="1"/>
  <c r="H247" i="1"/>
  <c r="AJ247" i="1" s="1"/>
  <c r="CS247" i="1"/>
  <c r="CT247" i="1" s="1"/>
  <c r="CU247" i="1" s="1"/>
  <c r="CV247" i="1"/>
  <c r="CW247" i="1" s="1"/>
  <c r="CX247" i="1" s="1"/>
  <c r="CZ247" i="1"/>
  <c r="BG247" i="1"/>
  <c r="BH247" i="1"/>
  <c r="BI247" i="1"/>
  <c r="H223" i="1"/>
  <c r="CS223" i="1"/>
  <c r="CT223" i="1" s="1"/>
  <c r="CU223" i="1" s="1"/>
  <c r="CZ223" i="1"/>
  <c r="CV223" i="1"/>
  <c r="CW223" i="1" s="1"/>
  <c r="CX223" i="1" s="1"/>
  <c r="BG223" i="1"/>
  <c r="BH223" i="1"/>
  <c r="BI223" i="1"/>
  <c r="H228" i="1"/>
  <c r="CS228" i="1"/>
  <c r="CT228" i="1" s="1"/>
  <c r="CU228" i="1" s="1"/>
  <c r="CZ228" i="1"/>
  <c r="CV228" i="1"/>
  <c r="CW228" i="1" s="1"/>
  <c r="CX228" i="1" s="1"/>
  <c r="BI228" i="1"/>
  <c r="BG228" i="1"/>
  <c r="BH228" i="1"/>
  <c r="J324" i="1"/>
  <c r="DB324" i="1"/>
  <c r="DC324" i="1" s="1"/>
  <c r="J293" i="1"/>
  <c r="DB293" i="1"/>
  <c r="DC293" i="1" s="1"/>
  <c r="J330" i="1"/>
  <c r="DB330" i="1"/>
  <c r="DC330" i="1" s="1"/>
  <c r="J282" i="1"/>
  <c r="DB282" i="1"/>
  <c r="DC282" i="1" s="1"/>
  <c r="H320" i="1"/>
  <c r="CV320" i="1"/>
  <c r="CW320" i="1" s="1"/>
  <c r="CX320" i="1" s="1"/>
  <c r="CS320" i="1"/>
  <c r="CT320" i="1" s="1"/>
  <c r="CU320" i="1" s="1"/>
  <c r="BH320" i="1"/>
  <c r="BI320" i="1"/>
  <c r="CZ320" i="1"/>
  <c r="BG320" i="1"/>
  <c r="J315" i="1"/>
  <c r="DB315" i="1"/>
  <c r="DC315" i="1" s="1"/>
  <c r="DF315" i="1" s="1"/>
  <c r="J203" i="1"/>
  <c r="DB203" i="1"/>
  <c r="DC203" i="1" s="1"/>
  <c r="J211" i="1"/>
  <c r="DB211" i="1"/>
  <c r="DC211" i="1" s="1"/>
  <c r="J219" i="1"/>
  <c r="DB219" i="1"/>
  <c r="DC219" i="1" s="1"/>
  <c r="H203" i="1"/>
  <c r="CS203" i="1"/>
  <c r="CT203" i="1" s="1"/>
  <c r="CU203" i="1" s="1"/>
  <c r="CV203" i="1"/>
  <c r="CW203" i="1" s="1"/>
  <c r="CX203" i="1" s="1"/>
  <c r="CZ203" i="1"/>
  <c r="BH203" i="1"/>
  <c r="BI203" i="1"/>
  <c r="BG203" i="1"/>
  <c r="H317" i="1"/>
  <c r="CS317" i="1"/>
  <c r="CT317" i="1" s="1"/>
  <c r="CU317" i="1" s="1"/>
  <c r="DF317" i="1" s="1"/>
  <c r="CV317" i="1"/>
  <c r="CW317" i="1" s="1"/>
  <c r="CX317" i="1" s="1"/>
  <c r="CZ317" i="1"/>
  <c r="BH317" i="1"/>
  <c r="BI317" i="1"/>
  <c r="BG317" i="1"/>
  <c r="J217" i="1"/>
  <c r="DB217" i="1"/>
  <c r="DC217" i="1" s="1"/>
  <c r="J320" i="1"/>
  <c r="DB320" i="1"/>
  <c r="DC320" i="1" s="1"/>
  <c r="J202" i="1"/>
  <c r="DB202" i="1"/>
  <c r="DC202" i="1" s="1"/>
  <c r="J186" i="1"/>
  <c r="DB186" i="1"/>
  <c r="DC186" i="1" s="1"/>
  <c r="J274" i="1"/>
  <c r="DB274" i="1"/>
  <c r="DC274" i="1" s="1"/>
  <c r="J234" i="1"/>
  <c r="DB234" i="1"/>
  <c r="DC234" i="1" s="1"/>
  <c r="H202" i="1"/>
  <c r="AA202" i="1" s="1"/>
  <c r="CS202" i="1"/>
  <c r="CT202" i="1" s="1"/>
  <c r="CU202" i="1" s="1"/>
  <c r="CV202" i="1"/>
  <c r="CW202" i="1" s="1"/>
  <c r="CX202" i="1" s="1"/>
  <c r="CZ202" i="1"/>
  <c r="BG202" i="1"/>
  <c r="BH202" i="1"/>
  <c r="BI202" i="1"/>
  <c r="H186" i="1"/>
  <c r="CS186" i="1"/>
  <c r="CT186" i="1" s="1"/>
  <c r="CU186" i="1" s="1"/>
  <c r="CV186" i="1"/>
  <c r="CW186" i="1" s="1"/>
  <c r="CX186" i="1" s="1"/>
  <c r="CZ186" i="1"/>
  <c r="BI186" i="1"/>
  <c r="BG186" i="1"/>
  <c r="BH186" i="1"/>
  <c r="H233" i="1"/>
  <c r="CS233" i="1"/>
  <c r="CT233" i="1" s="1"/>
  <c r="CU233" i="1" s="1"/>
  <c r="CV233" i="1"/>
  <c r="CW233" i="1" s="1"/>
  <c r="CX233" i="1" s="1"/>
  <c r="CZ233" i="1"/>
  <c r="BH233" i="1"/>
  <c r="BI233" i="1"/>
  <c r="BG233" i="1"/>
  <c r="H235" i="1"/>
  <c r="CS235" i="1"/>
  <c r="CT235" i="1" s="1"/>
  <c r="CU235" i="1" s="1"/>
  <c r="CV235" i="1"/>
  <c r="CW235" i="1" s="1"/>
  <c r="CX235" i="1" s="1"/>
  <c r="CZ235" i="1"/>
  <c r="BG235" i="1"/>
  <c r="BH235" i="1"/>
  <c r="BI235" i="1"/>
  <c r="H349" i="1"/>
  <c r="CS349" i="1"/>
  <c r="CT349" i="1" s="1"/>
  <c r="CU349" i="1" s="1"/>
  <c r="DF349" i="1" s="1"/>
  <c r="CZ349" i="1"/>
  <c r="CV349" i="1"/>
  <c r="CW349" i="1" s="1"/>
  <c r="CX349" i="1" s="1"/>
  <c r="BG349" i="1"/>
  <c r="BH349" i="1"/>
  <c r="BI349" i="1"/>
  <c r="J201" i="1"/>
  <c r="DB201" i="1"/>
  <c r="DC201" i="1" s="1"/>
  <c r="H222" i="1"/>
  <c r="CS222" i="1"/>
  <c r="CT222" i="1" s="1"/>
  <c r="CU222" i="1" s="1"/>
  <c r="CV222" i="1"/>
  <c r="CW222" i="1" s="1"/>
  <c r="CX222" i="1" s="1"/>
  <c r="CZ222" i="1"/>
  <c r="BI222" i="1"/>
  <c r="BG222" i="1"/>
  <c r="BH222" i="1"/>
  <c r="H332" i="1"/>
  <c r="CV332" i="1"/>
  <c r="CW332" i="1" s="1"/>
  <c r="CX332" i="1" s="1"/>
  <c r="BH332" i="1"/>
  <c r="CZ332" i="1"/>
  <c r="BI332" i="1"/>
  <c r="BG332" i="1"/>
  <c r="CS332" i="1"/>
  <c r="CT332" i="1" s="1"/>
  <c r="CU332" i="1" s="1"/>
  <c r="H293" i="1"/>
  <c r="AA293" i="1" s="1"/>
  <c r="CS293" i="1"/>
  <c r="CT293" i="1" s="1"/>
  <c r="CU293" i="1" s="1"/>
  <c r="CV293" i="1"/>
  <c r="CW293" i="1" s="1"/>
  <c r="CX293" i="1" s="1"/>
  <c r="CZ293" i="1"/>
  <c r="BH293" i="1"/>
  <c r="BI293" i="1"/>
  <c r="BG293" i="1"/>
  <c r="AJ237" i="1"/>
  <c r="H226" i="1"/>
  <c r="CV226" i="1"/>
  <c r="CW226" i="1" s="1"/>
  <c r="CX226" i="1" s="1"/>
  <c r="CZ226" i="1"/>
  <c r="CS226" i="1"/>
  <c r="CT226" i="1" s="1"/>
  <c r="CU226" i="1" s="1"/>
  <c r="BG226" i="1"/>
  <c r="BH226" i="1"/>
  <c r="BI226" i="1"/>
  <c r="H339" i="1"/>
  <c r="CS339" i="1"/>
  <c r="CT339" i="1" s="1"/>
  <c r="CU339" i="1" s="1"/>
  <c r="CZ339" i="1"/>
  <c r="CV339" i="1"/>
  <c r="CW339" i="1" s="1"/>
  <c r="CX339" i="1" s="1"/>
  <c r="BG339" i="1"/>
  <c r="BH339" i="1"/>
  <c r="BI339" i="1"/>
  <c r="AA241" i="1"/>
  <c r="H250" i="1"/>
  <c r="AR250" i="1" s="1"/>
  <c r="CS250" i="1"/>
  <c r="CT250" i="1" s="1"/>
  <c r="CU250" i="1" s="1"/>
  <c r="CV250" i="1"/>
  <c r="CW250" i="1" s="1"/>
  <c r="CX250" i="1" s="1"/>
  <c r="CZ250" i="1"/>
  <c r="BG250" i="1"/>
  <c r="BI250" i="1"/>
  <c r="BH250" i="1"/>
  <c r="H238" i="1"/>
  <c r="CS238" i="1"/>
  <c r="CT238" i="1" s="1"/>
  <c r="CU238" i="1" s="1"/>
  <c r="CV238" i="1"/>
  <c r="CW238" i="1" s="1"/>
  <c r="CX238" i="1" s="1"/>
  <c r="CZ238" i="1"/>
  <c r="BG238" i="1"/>
  <c r="BH238" i="1"/>
  <c r="BI238" i="1"/>
  <c r="H340" i="1"/>
  <c r="CS340" i="1"/>
  <c r="CT340" i="1" s="1"/>
  <c r="CU340" i="1" s="1"/>
  <c r="CV340" i="1"/>
  <c r="CW340" i="1" s="1"/>
  <c r="CX340" i="1" s="1"/>
  <c r="CZ340" i="1"/>
  <c r="BG340" i="1"/>
  <c r="BI340" i="1"/>
  <c r="BH340" i="1"/>
  <c r="H297" i="1"/>
  <c r="CS297" i="1"/>
  <c r="CT297" i="1" s="1"/>
  <c r="CU297" i="1" s="1"/>
  <c r="CZ297" i="1"/>
  <c r="CV297" i="1"/>
  <c r="CW297" i="1" s="1"/>
  <c r="CX297" i="1" s="1"/>
  <c r="BG297" i="1"/>
  <c r="BI297" i="1"/>
  <c r="BH297" i="1"/>
  <c r="H257" i="1"/>
  <c r="CS257" i="1"/>
  <c r="CT257" i="1" s="1"/>
  <c r="CU257" i="1" s="1"/>
  <c r="CV257" i="1"/>
  <c r="CW257" i="1" s="1"/>
  <c r="CX257" i="1" s="1"/>
  <c r="CZ257" i="1"/>
  <c r="BH257" i="1"/>
  <c r="BI257" i="1"/>
  <c r="BG257" i="1"/>
  <c r="H285" i="1"/>
  <c r="CS285" i="1"/>
  <c r="CT285" i="1" s="1"/>
  <c r="CU285" i="1" s="1"/>
  <c r="CV285" i="1"/>
  <c r="CW285" i="1" s="1"/>
  <c r="CX285" i="1" s="1"/>
  <c r="CZ285" i="1"/>
  <c r="BI285" i="1"/>
  <c r="BG285" i="1"/>
  <c r="BH285" i="1"/>
  <c r="H292" i="1"/>
  <c r="CS292" i="1"/>
  <c r="CT292" i="1" s="1"/>
  <c r="CU292" i="1" s="1"/>
  <c r="CV292" i="1"/>
  <c r="CW292" i="1" s="1"/>
  <c r="CX292" i="1" s="1"/>
  <c r="CZ292" i="1"/>
  <c r="BG292" i="1"/>
  <c r="BH292" i="1"/>
  <c r="BI292" i="1"/>
  <c r="H244" i="1"/>
  <c r="U244" i="1" s="1"/>
  <c r="AF244" i="1" s="1"/>
  <c r="CS244" i="1"/>
  <c r="CT244" i="1" s="1"/>
  <c r="CU244" i="1" s="1"/>
  <c r="CV244" i="1"/>
  <c r="CW244" i="1" s="1"/>
  <c r="CX244" i="1" s="1"/>
  <c r="CZ244" i="1"/>
  <c r="BG244" i="1"/>
  <c r="BH244" i="1"/>
  <c r="BI244" i="1"/>
  <c r="BB2" i="1"/>
  <c r="BF2" i="1"/>
  <c r="J316" i="1"/>
  <c r="DB316" i="1"/>
  <c r="DC316" i="1" s="1"/>
  <c r="J285" i="1"/>
  <c r="DB285" i="1"/>
  <c r="DC285" i="1" s="1"/>
  <c r="J326" i="1"/>
  <c r="DB326" i="1"/>
  <c r="DC326" i="1" s="1"/>
  <c r="J278" i="1"/>
  <c r="DB278" i="1"/>
  <c r="DC278" i="1" s="1"/>
  <c r="H316" i="1"/>
  <c r="CZ316" i="1"/>
  <c r="CS316" i="1"/>
  <c r="CT316" i="1" s="1"/>
  <c r="CU316" i="1" s="1"/>
  <c r="CV316" i="1"/>
  <c r="CW316" i="1" s="1"/>
  <c r="CX316" i="1" s="1"/>
  <c r="BG316" i="1"/>
  <c r="BH316" i="1"/>
  <c r="BI316" i="1"/>
  <c r="J311" i="1"/>
  <c r="DB311" i="1"/>
  <c r="DC311" i="1" s="1"/>
  <c r="H348" i="1"/>
  <c r="CS348" i="1"/>
  <c r="CT348" i="1" s="1"/>
  <c r="CU348" i="1" s="1"/>
  <c r="CV348" i="1"/>
  <c r="CW348" i="1" s="1"/>
  <c r="CX348" i="1" s="1"/>
  <c r="BG348" i="1"/>
  <c r="BH348" i="1"/>
  <c r="CZ348" i="1"/>
  <c r="BI348" i="1"/>
  <c r="H193" i="1"/>
  <c r="S193" i="1" s="1"/>
  <c r="CS193" i="1"/>
  <c r="CT193" i="1" s="1"/>
  <c r="CU193" i="1" s="1"/>
  <c r="CV193" i="1"/>
  <c r="CW193" i="1" s="1"/>
  <c r="CX193" i="1" s="1"/>
  <c r="CZ193" i="1"/>
  <c r="BG193" i="1"/>
  <c r="BH193" i="1"/>
  <c r="BI193" i="1"/>
  <c r="H205" i="1"/>
  <c r="CS205" i="1"/>
  <c r="CT205" i="1" s="1"/>
  <c r="CU205" i="1" s="1"/>
  <c r="CV205" i="1"/>
  <c r="CW205" i="1" s="1"/>
  <c r="CX205" i="1" s="1"/>
  <c r="CZ205" i="1"/>
  <c r="BG205" i="1"/>
  <c r="BH205" i="1"/>
  <c r="BI205" i="1"/>
  <c r="J207" i="1"/>
  <c r="DB207" i="1"/>
  <c r="DC207" i="1" s="1"/>
  <c r="DF207" i="1" s="1"/>
  <c r="J261" i="1"/>
  <c r="DB261" i="1"/>
  <c r="DC261" i="1" s="1"/>
  <c r="DF261" i="1" s="1"/>
  <c r="J272" i="1"/>
  <c r="DB272" i="1"/>
  <c r="DC272" i="1" s="1"/>
  <c r="J209" i="1"/>
  <c r="DB209" i="1"/>
  <c r="DC209" i="1" s="1"/>
  <c r="DF209" i="1" s="1"/>
  <c r="J288" i="1"/>
  <c r="DB288" i="1"/>
  <c r="DC288" i="1" s="1"/>
  <c r="S185" i="1"/>
  <c r="Y185" i="1" s="1"/>
  <c r="J270" i="1"/>
  <c r="DB270" i="1"/>
  <c r="DC270" i="1" s="1"/>
  <c r="DF270" i="1" s="1"/>
  <c r="J230" i="1"/>
  <c r="DB230" i="1"/>
  <c r="DC230" i="1" s="1"/>
  <c r="J200" i="1"/>
  <c r="DB200" i="1"/>
  <c r="DC200" i="1" s="1"/>
  <c r="J184" i="1"/>
  <c r="DB184" i="1"/>
  <c r="DC184" i="1" s="1"/>
  <c r="J345" i="1"/>
  <c r="DB345" i="1"/>
  <c r="DC345" i="1" s="1"/>
  <c r="H321" i="1"/>
  <c r="CS321" i="1"/>
  <c r="CT321" i="1" s="1"/>
  <c r="CU321" i="1" s="1"/>
  <c r="CV321" i="1"/>
  <c r="CW321" i="1" s="1"/>
  <c r="CX321" i="1" s="1"/>
  <c r="BG321" i="1"/>
  <c r="CZ321" i="1"/>
  <c r="BH321" i="1"/>
  <c r="BI321" i="1"/>
  <c r="J337" i="1"/>
  <c r="DB337" i="1"/>
  <c r="DC337" i="1" s="1"/>
  <c r="H215" i="1"/>
  <c r="CV215" i="1"/>
  <c r="CW215" i="1" s="1"/>
  <c r="CX215" i="1" s="1"/>
  <c r="CZ215" i="1"/>
  <c r="CS215" i="1"/>
  <c r="CT215" i="1" s="1"/>
  <c r="CU215" i="1" s="1"/>
  <c r="BH215" i="1"/>
  <c r="BI215" i="1"/>
  <c r="BG215" i="1"/>
  <c r="H242" i="1"/>
  <c r="W242" i="1" s="1"/>
  <c r="CS242" i="1"/>
  <c r="CT242" i="1" s="1"/>
  <c r="CU242" i="1" s="1"/>
  <c r="CV242" i="1"/>
  <c r="CW242" i="1" s="1"/>
  <c r="CX242" i="1" s="1"/>
  <c r="CZ242" i="1"/>
  <c r="BH242" i="1"/>
  <c r="BI242" i="1"/>
  <c r="BG242" i="1"/>
  <c r="H219" i="1"/>
  <c r="CS219" i="1"/>
  <c r="CT219" i="1" s="1"/>
  <c r="CU219" i="1" s="1"/>
  <c r="CV219" i="1"/>
  <c r="CW219" i="1" s="1"/>
  <c r="CX219" i="1" s="1"/>
  <c r="CZ219" i="1"/>
  <c r="BI219" i="1"/>
  <c r="BG219" i="1"/>
  <c r="BH219" i="1"/>
  <c r="AA249" i="1"/>
  <c r="H245" i="1"/>
  <c r="CS245" i="1"/>
  <c r="CT245" i="1" s="1"/>
  <c r="CU245" i="1" s="1"/>
  <c r="CV245" i="1"/>
  <c r="CW245" i="1" s="1"/>
  <c r="CX245" i="1" s="1"/>
  <c r="CZ245" i="1"/>
  <c r="BH245" i="1"/>
  <c r="BI245" i="1"/>
  <c r="BG245" i="1"/>
  <c r="H275" i="1"/>
  <c r="CZ275" i="1"/>
  <c r="CS275" i="1"/>
  <c r="CT275" i="1" s="1"/>
  <c r="CU275" i="1" s="1"/>
  <c r="CV275" i="1"/>
  <c r="CW275" i="1" s="1"/>
  <c r="CX275" i="1" s="1"/>
  <c r="BH275" i="1"/>
  <c r="BI275" i="1"/>
  <c r="BG275" i="1"/>
  <c r="H229" i="1"/>
  <c r="CS229" i="1"/>
  <c r="CT229" i="1" s="1"/>
  <c r="CU229" i="1" s="1"/>
  <c r="CV229" i="1"/>
  <c r="CW229" i="1" s="1"/>
  <c r="CX229" i="1" s="1"/>
  <c r="CZ229" i="1"/>
  <c r="BG229" i="1"/>
  <c r="BH229" i="1"/>
  <c r="BI229" i="1"/>
  <c r="H314" i="1"/>
  <c r="S314" i="1" s="1"/>
  <c r="CS314" i="1"/>
  <c r="CT314" i="1" s="1"/>
  <c r="CU314" i="1" s="1"/>
  <c r="CV314" i="1"/>
  <c r="CW314" i="1" s="1"/>
  <c r="CX314" i="1" s="1"/>
  <c r="CZ314" i="1"/>
  <c r="BH314" i="1"/>
  <c r="BI314" i="1"/>
  <c r="BG314" i="1"/>
  <c r="AA305" i="1"/>
  <c r="H312" i="1"/>
  <c r="AA312" i="1" s="1"/>
  <c r="CV312" i="1"/>
  <c r="CW312" i="1" s="1"/>
  <c r="CX312" i="1" s="1"/>
  <c r="CS312" i="1"/>
  <c r="CT312" i="1" s="1"/>
  <c r="CU312" i="1" s="1"/>
  <c r="CZ312" i="1"/>
  <c r="BG312" i="1"/>
  <c r="BH312" i="1"/>
  <c r="BI312" i="1"/>
  <c r="H279" i="1"/>
  <c r="CZ279" i="1"/>
  <c r="CS279" i="1"/>
  <c r="CT279" i="1" s="1"/>
  <c r="CU279" i="1" s="1"/>
  <c r="CV279" i="1"/>
  <c r="CW279" i="1" s="1"/>
  <c r="CX279" i="1" s="1"/>
  <c r="BI279" i="1"/>
  <c r="BG279" i="1"/>
  <c r="BH279" i="1"/>
  <c r="H303" i="1"/>
  <c r="CV303" i="1"/>
  <c r="CW303" i="1" s="1"/>
  <c r="CX303" i="1" s="1"/>
  <c r="CS303" i="1"/>
  <c r="CT303" i="1" s="1"/>
  <c r="CU303" i="1" s="1"/>
  <c r="CZ303" i="1"/>
  <c r="BG303" i="1"/>
  <c r="BH303" i="1"/>
  <c r="BI303" i="1"/>
  <c r="H284" i="1"/>
  <c r="CS284" i="1"/>
  <c r="CT284" i="1" s="1"/>
  <c r="CU284" i="1" s="1"/>
  <c r="CV284" i="1"/>
  <c r="CW284" i="1" s="1"/>
  <c r="CX284" i="1" s="1"/>
  <c r="CZ284" i="1"/>
  <c r="BH284" i="1"/>
  <c r="BI284" i="1"/>
  <c r="BG284" i="1"/>
  <c r="H291" i="1"/>
  <c r="V291" i="1" s="1"/>
  <c r="AW291" i="1" s="1"/>
  <c r="CV291" i="1"/>
  <c r="CW291" i="1" s="1"/>
  <c r="CX291" i="1" s="1"/>
  <c r="CZ291" i="1"/>
  <c r="BG291" i="1"/>
  <c r="BH291" i="1"/>
  <c r="BI291" i="1"/>
  <c r="CS291" i="1"/>
  <c r="CT291" i="1" s="1"/>
  <c r="CU291" i="1" s="1"/>
  <c r="H218" i="1"/>
  <c r="CZ218" i="1"/>
  <c r="CS218" i="1"/>
  <c r="CT218" i="1" s="1"/>
  <c r="CU218" i="1" s="1"/>
  <c r="CV218" i="1"/>
  <c r="CW218" i="1" s="1"/>
  <c r="CX218" i="1" s="1"/>
  <c r="BH218" i="1"/>
  <c r="BI218" i="1"/>
  <c r="BG218" i="1"/>
  <c r="H221" i="1"/>
  <c r="CS221" i="1"/>
  <c r="CT221" i="1" s="1"/>
  <c r="CU221" i="1" s="1"/>
  <c r="CV221" i="1"/>
  <c r="CW221" i="1" s="1"/>
  <c r="CX221" i="1" s="1"/>
  <c r="CZ221" i="1"/>
  <c r="BH221" i="1"/>
  <c r="BI221" i="1"/>
  <c r="BG221" i="1"/>
  <c r="J308" i="1"/>
  <c r="DB308" i="1"/>
  <c r="DC308" i="1" s="1"/>
  <c r="H330" i="1"/>
  <c r="CS330" i="1"/>
  <c r="CT330" i="1" s="1"/>
  <c r="CU330" i="1" s="1"/>
  <c r="CV330" i="1"/>
  <c r="CW330" i="1" s="1"/>
  <c r="CX330" i="1" s="1"/>
  <c r="CZ330" i="1"/>
  <c r="BG330" i="1"/>
  <c r="BH330" i="1"/>
  <c r="BI330" i="1"/>
  <c r="J322" i="1"/>
  <c r="DB322" i="1"/>
  <c r="DC322" i="1" s="1"/>
  <c r="J307" i="1"/>
  <c r="DB307" i="1"/>
  <c r="DC307" i="1" s="1"/>
  <c r="H329" i="1"/>
  <c r="S329" i="1" s="1"/>
  <c r="CZ329" i="1"/>
  <c r="CS329" i="1"/>
  <c r="CT329" i="1" s="1"/>
  <c r="CU329" i="1" s="1"/>
  <c r="CV329" i="1"/>
  <c r="CW329" i="1" s="1"/>
  <c r="CX329" i="1" s="1"/>
  <c r="BH329" i="1"/>
  <c r="BI329" i="1"/>
  <c r="BG329" i="1"/>
  <c r="J266" i="1"/>
  <c r="DB266" i="1"/>
  <c r="DC266" i="1" s="1"/>
  <c r="DF266" i="1" s="1"/>
  <c r="J199" i="1"/>
  <c r="DB199" i="1"/>
  <c r="DC199" i="1" s="1"/>
  <c r="DF199" i="1" s="1"/>
  <c r="J256" i="1"/>
  <c r="DB256" i="1"/>
  <c r="DC256" i="1" s="1"/>
  <c r="J197" i="1"/>
  <c r="DB197" i="1"/>
  <c r="DC197" i="1" s="1"/>
  <c r="H269" i="1"/>
  <c r="W269" i="1" s="1"/>
  <c r="CS269" i="1"/>
  <c r="CT269" i="1" s="1"/>
  <c r="CU269" i="1" s="1"/>
  <c r="CV269" i="1"/>
  <c r="CW269" i="1" s="1"/>
  <c r="CX269" i="1" s="1"/>
  <c r="CZ269" i="1"/>
  <c r="BH269" i="1"/>
  <c r="BI269" i="1"/>
  <c r="BG269" i="1"/>
  <c r="H207" i="1"/>
  <c r="T207" i="1" s="1"/>
  <c r="CZ207" i="1"/>
  <c r="CS207" i="1"/>
  <c r="CT207" i="1" s="1"/>
  <c r="CU207" i="1" s="1"/>
  <c r="CV207" i="1"/>
  <c r="CW207" i="1" s="1"/>
  <c r="CX207" i="1" s="1"/>
  <c r="BI207" i="1"/>
  <c r="BG207" i="1"/>
  <c r="BH207" i="1"/>
  <c r="J228" i="1"/>
  <c r="DB228" i="1"/>
  <c r="DC228" i="1" s="1"/>
  <c r="H200" i="1"/>
  <c r="CS200" i="1"/>
  <c r="CT200" i="1" s="1"/>
  <c r="CU200" i="1" s="1"/>
  <c r="CV200" i="1"/>
  <c r="CW200" i="1" s="1"/>
  <c r="CX200" i="1" s="1"/>
  <c r="CZ200" i="1"/>
  <c r="BH200" i="1"/>
  <c r="BI200" i="1"/>
  <c r="BG200" i="1"/>
  <c r="H184" i="1"/>
  <c r="AR184" i="1" s="1"/>
  <c r="CV184" i="1"/>
  <c r="CW184" i="1" s="1"/>
  <c r="CX184" i="1" s="1"/>
  <c r="CZ184" i="1"/>
  <c r="CS184" i="1"/>
  <c r="CT184" i="1" s="1"/>
  <c r="CU184" i="1" s="1"/>
  <c r="BG184" i="1"/>
  <c r="BH184" i="1"/>
  <c r="BI184" i="1"/>
  <c r="J268" i="1"/>
  <c r="DB268" i="1"/>
  <c r="DC268" i="1" s="1"/>
  <c r="DF268" i="1" s="1"/>
  <c r="J226" i="1"/>
  <c r="DB226" i="1"/>
  <c r="DC226" i="1" s="1"/>
  <c r="J329" i="1"/>
  <c r="DB329" i="1"/>
  <c r="DC329" i="1" s="1"/>
  <c r="J328" i="1"/>
  <c r="DB328" i="1"/>
  <c r="DC328" i="1" s="1"/>
  <c r="AJ210" i="1"/>
  <c r="H225" i="1"/>
  <c r="CS225" i="1"/>
  <c r="CT225" i="1" s="1"/>
  <c r="CU225" i="1" s="1"/>
  <c r="CV225" i="1"/>
  <c r="CW225" i="1" s="1"/>
  <c r="CX225" i="1" s="1"/>
  <c r="DF225" i="1" s="1"/>
  <c r="CZ225" i="1"/>
  <c r="BI225" i="1"/>
  <c r="BG225" i="1"/>
  <c r="BH225" i="1"/>
  <c r="H230" i="1"/>
  <c r="CS230" i="1"/>
  <c r="CT230" i="1" s="1"/>
  <c r="CU230" i="1" s="1"/>
  <c r="CV230" i="1"/>
  <c r="CW230" i="1" s="1"/>
  <c r="CX230" i="1" s="1"/>
  <c r="CZ230" i="1"/>
  <c r="BH230" i="1"/>
  <c r="BI230" i="1"/>
  <c r="BG230" i="1"/>
  <c r="H214" i="1"/>
  <c r="CS214" i="1"/>
  <c r="CT214" i="1" s="1"/>
  <c r="CU214" i="1" s="1"/>
  <c r="CV214" i="1"/>
  <c r="CW214" i="1" s="1"/>
  <c r="CX214" i="1" s="1"/>
  <c r="CZ214" i="1"/>
  <c r="BG214" i="1"/>
  <c r="BH214" i="1"/>
  <c r="BI214" i="1"/>
  <c r="H278" i="1"/>
  <c r="CS278" i="1"/>
  <c r="CT278" i="1" s="1"/>
  <c r="CU278" i="1" s="1"/>
  <c r="CV278" i="1"/>
  <c r="CW278" i="1" s="1"/>
  <c r="CX278" i="1" s="1"/>
  <c r="CZ278" i="1"/>
  <c r="BH278" i="1"/>
  <c r="BI278" i="1"/>
  <c r="BG278" i="1"/>
  <c r="H248" i="1"/>
  <c r="CZ248" i="1"/>
  <c r="CS248" i="1"/>
  <c r="CT248" i="1" s="1"/>
  <c r="CU248" i="1" s="1"/>
  <c r="CV248" i="1"/>
  <c r="CW248" i="1" s="1"/>
  <c r="CX248" i="1" s="1"/>
  <c r="BH248" i="1"/>
  <c r="BI248" i="1"/>
  <c r="BG248" i="1"/>
  <c r="AR289" i="1"/>
  <c r="H311" i="1"/>
  <c r="CV311" i="1"/>
  <c r="CW311" i="1" s="1"/>
  <c r="CX311" i="1" s="1"/>
  <c r="CZ311" i="1"/>
  <c r="CS311" i="1"/>
  <c r="CT311" i="1" s="1"/>
  <c r="CU311" i="1" s="1"/>
  <c r="BH311" i="1"/>
  <c r="BI311" i="1"/>
  <c r="BG311" i="1"/>
  <c r="AR325" i="1"/>
  <c r="H302" i="1"/>
  <c r="AJ302" i="1" s="1"/>
  <c r="CV302" i="1"/>
  <c r="CW302" i="1" s="1"/>
  <c r="CX302" i="1" s="1"/>
  <c r="CS302" i="1"/>
  <c r="CT302" i="1" s="1"/>
  <c r="CU302" i="1" s="1"/>
  <c r="CZ302" i="1"/>
  <c r="BH302" i="1"/>
  <c r="BI302" i="1"/>
  <c r="BG302" i="1"/>
  <c r="H296" i="1"/>
  <c r="CS296" i="1"/>
  <c r="CT296" i="1" s="1"/>
  <c r="CU296" i="1" s="1"/>
  <c r="CV296" i="1"/>
  <c r="CW296" i="1" s="1"/>
  <c r="CX296" i="1" s="1"/>
  <c r="CZ296" i="1"/>
  <c r="BH296" i="1"/>
  <c r="BI296" i="1"/>
  <c r="BG296" i="1"/>
  <c r="AR320" i="1"/>
  <c r="H290" i="1"/>
  <c r="CS290" i="1"/>
  <c r="CT290" i="1" s="1"/>
  <c r="CU290" i="1" s="1"/>
  <c r="CV290" i="1"/>
  <c r="CW290" i="1" s="1"/>
  <c r="CX290" i="1" s="1"/>
  <c r="CZ290" i="1"/>
  <c r="BH290" i="1"/>
  <c r="BI290" i="1"/>
  <c r="BG290" i="1"/>
  <c r="H265" i="1"/>
  <c r="CS265" i="1"/>
  <c r="CT265" i="1" s="1"/>
  <c r="CU265" i="1" s="1"/>
  <c r="CV265" i="1"/>
  <c r="CW265" i="1" s="1"/>
  <c r="CX265" i="1" s="1"/>
  <c r="CZ265" i="1"/>
  <c r="BG265" i="1"/>
  <c r="BH265" i="1"/>
  <c r="BI265" i="1"/>
  <c r="H213" i="1"/>
  <c r="CS213" i="1"/>
  <c r="CT213" i="1" s="1"/>
  <c r="CU213" i="1" s="1"/>
  <c r="CV213" i="1"/>
  <c r="CW213" i="1" s="1"/>
  <c r="CX213" i="1" s="1"/>
  <c r="CZ213" i="1"/>
  <c r="BI213" i="1"/>
  <c r="BG213" i="1"/>
  <c r="BH213" i="1"/>
  <c r="H217" i="1"/>
  <c r="AR217" i="1" s="1"/>
  <c r="CZ217" i="1"/>
  <c r="CS217" i="1"/>
  <c r="CT217" i="1" s="1"/>
  <c r="CU217" i="1" s="1"/>
  <c r="CV217" i="1"/>
  <c r="CW217" i="1" s="1"/>
  <c r="CX217" i="1" s="1"/>
  <c r="BG217" i="1"/>
  <c r="BH217" i="1"/>
  <c r="BI217" i="1"/>
  <c r="J277" i="1"/>
  <c r="DB277" i="1"/>
  <c r="DC277" i="1" s="1"/>
  <c r="DF277" i="1" s="1"/>
  <c r="J300" i="1"/>
  <c r="DB300" i="1"/>
  <c r="DC300" i="1" s="1"/>
  <c r="DF300" i="1" s="1"/>
  <c r="T329" i="1"/>
  <c r="AO329" i="1" s="1"/>
  <c r="H342" i="1"/>
  <c r="V342" i="1" s="1"/>
  <c r="CS342" i="1"/>
  <c r="CT342" i="1" s="1"/>
  <c r="CU342" i="1" s="1"/>
  <c r="CZ342" i="1"/>
  <c r="CV342" i="1"/>
  <c r="CW342" i="1" s="1"/>
  <c r="CX342" i="1" s="1"/>
  <c r="BG342" i="1"/>
  <c r="BI342" i="1"/>
  <c r="BH342" i="1"/>
  <c r="J318" i="1"/>
  <c r="DB318" i="1"/>
  <c r="DC318" i="1" s="1"/>
  <c r="H352" i="1"/>
  <c r="V352" i="1" s="1"/>
  <c r="AW352" i="1" s="1"/>
  <c r="CS352" i="1"/>
  <c r="CT352" i="1" s="1"/>
  <c r="CU352" i="1" s="1"/>
  <c r="CV352" i="1"/>
  <c r="CW352" i="1" s="1"/>
  <c r="CX352" i="1" s="1"/>
  <c r="DF352" i="1" s="1"/>
  <c r="CZ352" i="1"/>
  <c r="BG352" i="1"/>
  <c r="BH352" i="1"/>
  <c r="BI352" i="1"/>
  <c r="J351" i="1"/>
  <c r="DB351" i="1"/>
  <c r="DC351" i="1" s="1"/>
  <c r="DF351" i="1" s="1"/>
  <c r="J303" i="1"/>
  <c r="DB303" i="1"/>
  <c r="DC303" i="1" s="1"/>
  <c r="H328" i="1"/>
  <c r="W328" i="1" s="1"/>
  <c r="CV328" i="1"/>
  <c r="CW328" i="1" s="1"/>
  <c r="CX328" i="1" s="1"/>
  <c r="CZ328" i="1"/>
  <c r="CS328" i="1"/>
  <c r="CT328" i="1" s="1"/>
  <c r="CU328" i="1" s="1"/>
  <c r="BG328" i="1"/>
  <c r="BH328" i="1"/>
  <c r="BI328" i="1"/>
  <c r="J276" i="1"/>
  <c r="DB276" i="1"/>
  <c r="DC276" i="1" s="1"/>
  <c r="H197" i="1"/>
  <c r="CS197" i="1"/>
  <c r="CT197" i="1" s="1"/>
  <c r="CU197" i="1" s="1"/>
  <c r="CV197" i="1"/>
  <c r="CW197" i="1" s="1"/>
  <c r="CX197" i="1" s="1"/>
  <c r="CZ197" i="1"/>
  <c r="BH197" i="1"/>
  <c r="BI197" i="1"/>
  <c r="BG197" i="1"/>
  <c r="J251" i="1"/>
  <c r="DB251" i="1"/>
  <c r="DC251" i="1" s="1"/>
  <c r="H195" i="1"/>
  <c r="T195" i="1" s="1"/>
  <c r="BB195" i="1" s="1"/>
  <c r="CS195" i="1"/>
  <c r="CT195" i="1" s="1"/>
  <c r="CU195" i="1" s="1"/>
  <c r="DF195" i="1" s="1"/>
  <c r="CV195" i="1"/>
  <c r="CW195" i="1" s="1"/>
  <c r="CX195" i="1" s="1"/>
  <c r="CZ195" i="1"/>
  <c r="BI195" i="1"/>
  <c r="BG195" i="1"/>
  <c r="BH195" i="1"/>
  <c r="H267" i="1"/>
  <c r="CS267" i="1"/>
  <c r="CT267" i="1" s="1"/>
  <c r="CU267" i="1" s="1"/>
  <c r="CZ267" i="1"/>
  <c r="CV267" i="1"/>
  <c r="CW267" i="1" s="1"/>
  <c r="CX267" i="1" s="1"/>
  <c r="BI267" i="1"/>
  <c r="BG267" i="1"/>
  <c r="BH267" i="1"/>
  <c r="J224" i="1"/>
  <c r="DB224" i="1"/>
  <c r="DC224" i="1" s="1"/>
  <c r="DF224" i="1" s="1"/>
  <c r="J198" i="1"/>
  <c r="DB198" i="1"/>
  <c r="DC198" i="1" s="1"/>
  <c r="J182" i="1"/>
  <c r="DB182" i="1"/>
  <c r="DC182" i="1" s="1"/>
  <c r="J353" i="1"/>
  <c r="DB353" i="1"/>
  <c r="DC353" i="1" s="1"/>
  <c r="J222" i="1"/>
  <c r="DB222" i="1"/>
  <c r="DC222" i="1" s="1"/>
  <c r="H198" i="1"/>
  <c r="U198" i="1" s="1"/>
  <c r="BD198" i="1" s="1"/>
  <c r="CV198" i="1"/>
  <c r="CW198" i="1" s="1"/>
  <c r="CX198" i="1" s="1"/>
  <c r="CZ198" i="1"/>
  <c r="CS198" i="1"/>
  <c r="CT198" i="1" s="1"/>
  <c r="CU198" i="1" s="1"/>
  <c r="BI198" i="1"/>
  <c r="BG198" i="1"/>
  <c r="BH198" i="1"/>
  <c r="H182" i="1"/>
  <c r="CS182" i="1"/>
  <c r="CT182" i="1" s="1"/>
  <c r="CU182" i="1" s="1"/>
  <c r="CV182" i="1"/>
  <c r="CW182" i="1" s="1"/>
  <c r="CX182" i="1" s="1"/>
  <c r="CZ182" i="1"/>
  <c r="BH182" i="1"/>
  <c r="BI182" i="1"/>
  <c r="BG182" i="1"/>
  <c r="J313" i="1"/>
  <c r="DB313" i="1"/>
  <c r="DC313" i="1" s="1"/>
  <c r="H280" i="1"/>
  <c r="U280" i="1" s="1"/>
  <c r="BD280" i="1" s="1"/>
  <c r="CS280" i="1"/>
  <c r="CT280" i="1" s="1"/>
  <c r="CU280" i="1" s="1"/>
  <c r="CV280" i="1"/>
  <c r="CW280" i="1" s="1"/>
  <c r="CX280" i="1" s="1"/>
  <c r="CZ280" i="1"/>
  <c r="BG280" i="1"/>
  <c r="BH280" i="1"/>
  <c r="BI280" i="1"/>
  <c r="BF318" i="1"/>
  <c r="CL2" i="1"/>
  <c r="CJ2" i="1"/>
  <c r="CC2" i="1"/>
  <c r="BV2" i="1"/>
  <c r="BO2" i="1"/>
  <c r="DH2" i="1" s="1"/>
  <c r="BB179" i="1"/>
  <c r="CE2" i="1"/>
  <c r="DF263" i="1"/>
  <c r="BX2" i="1"/>
  <c r="S274" i="1"/>
  <c r="Z185" i="1"/>
  <c r="AA203" i="1"/>
  <c r="H154" i="1"/>
  <c r="BI154" i="1"/>
  <c r="BH154" i="1"/>
  <c r="CS154" i="1"/>
  <c r="CT154" i="1" s="1"/>
  <c r="CU154" i="1" s="1"/>
  <c r="BG154" i="1"/>
  <c r="CV154" i="1"/>
  <c r="CW154" i="1" s="1"/>
  <c r="CX154" i="1" s="1"/>
  <c r="CZ154" i="1"/>
  <c r="H138" i="1"/>
  <c r="BG138" i="1"/>
  <c r="CV138" i="1"/>
  <c r="CW138" i="1" s="1"/>
  <c r="CX138" i="1" s="1"/>
  <c r="BI138" i="1"/>
  <c r="CS138" i="1"/>
  <c r="CT138" i="1" s="1"/>
  <c r="CU138" i="1" s="1"/>
  <c r="CZ138" i="1"/>
  <c r="BH138" i="1"/>
  <c r="H122" i="1"/>
  <c r="CS122" i="1"/>
  <c r="CT122" i="1" s="1"/>
  <c r="CU122" i="1" s="1"/>
  <c r="BG122" i="1"/>
  <c r="BH122" i="1"/>
  <c r="BI122" i="1"/>
  <c r="CZ122" i="1"/>
  <c r="CV122" i="1"/>
  <c r="CW122" i="1" s="1"/>
  <c r="CX122" i="1" s="1"/>
  <c r="CV103" i="1"/>
  <c r="CW103" i="1" s="1"/>
  <c r="CX103" i="1" s="1"/>
  <c r="BH103" i="1"/>
  <c r="CZ103" i="1"/>
  <c r="H71" i="1"/>
  <c r="BG71" i="1"/>
  <c r="CV71" i="1"/>
  <c r="CW71" i="1" s="1"/>
  <c r="CX71" i="1" s="1"/>
  <c r="BH71" i="1"/>
  <c r="CS71" i="1"/>
  <c r="CT71" i="1" s="1"/>
  <c r="CU71" i="1" s="1"/>
  <c r="BI71" i="1"/>
  <c r="CZ71" i="1"/>
  <c r="H7" i="1"/>
  <c r="BI7" i="1"/>
  <c r="BH7" i="1"/>
  <c r="BW7" i="1" s="1"/>
  <c r="BG7" i="1"/>
  <c r="CV7" i="1"/>
  <c r="CW7" i="1" s="1"/>
  <c r="CX7" i="1" s="1"/>
  <c r="CS7" i="1"/>
  <c r="CT7" i="1" s="1"/>
  <c r="CU7" i="1" s="1"/>
  <c r="CZ7" i="1"/>
  <c r="H80" i="1"/>
  <c r="BH80" i="1"/>
  <c r="CZ80" i="1"/>
  <c r="CV80" i="1"/>
  <c r="CW80" i="1" s="1"/>
  <c r="CX80" i="1" s="1"/>
  <c r="BI80" i="1"/>
  <c r="BG80" i="1"/>
  <c r="CS80" i="1"/>
  <c r="CT80" i="1" s="1"/>
  <c r="CU80" i="1" s="1"/>
  <c r="U179" i="1"/>
  <c r="BD179" i="1" s="1"/>
  <c r="S179" i="1"/>
  <c r="S199" i="1"/>
  <c r="X199" i="1" s="1"/>
  <c r="T199" i="1"/>
  <c r="H167" i="1"/>
  <c r="BH167" i="1"/>
  <c r="BG167" i="1"/>
  <c r="CS167" i="1"/>
  <c r="CT167" i="1" s="1"/>
  <c r="CU167" i="1" s="1"/>
  <c r="CZ167" i="1"/>
  <c r="BI167" i="1"/>
  <c r="CV167" i="1"/>
  <c r="CW167" i="1" s="1"/>
  <c r="CX167" i="1" s="1"/>
  <c r="DB150" i="1"/>
  <c r="DC150" i="1" s="1"/>
  <c r="J150" i="1"/>
  <c r="DB118" i="1"/>
  <c r="DC118" i="1" s="1"/>
  <c r="J118" i="1"/>
  <c r="H31" i="1"/>
  <c r="BG31" i="1"/>
  <c r="BI31" i="1"/>
  <c r="CV31" i="1"/>
  <c r="CW31" i="1" s="1"/>
  <c r="CX31" i="1" s="1"/>
  <c r="CS31" i="1"/>
  <c r="CT31" i="1" s="1"/>
  <c r="CU31" i="1" s="1"/>
  <c r="CZ31" i="1"/>
  <c r="BH31" i="1"/>
  <c r="J168" i="1"/>
  <c r="DB168" i="1"/>
  <c r="DC168" i="1" s="1"/>
  <c r="AJ313" i="1"/>
  <c r="AA313" i="1"/>
  <c r="AA290" i="1"/>
  <c r="AA345" i="1"/>
  <c r="AR203" i="1"/>
  <c r="AR254" i="1"/>
  <c r="AR319" i="1"/>
  <c r="AA325" i="1"/>
  <c r="AJ325" i="1"/>
  <c r="T322" i="1"/>
  <c r="AO322" i="1" s="1"/>
  <c r="AJ122" i="1"/>
  <c r="AA342" i="1"/>
  <c r="W345" i="1"/>
  <c r="T350" i="1"/>
  <c r="BB350" i="1" s="1"/>
  <c r="T319" i="1"/>
  <c r="BB319" i="1" s="1"/>
  <c r="T321" i="1"/>
  <c r="BB321" i="1" s="1"/>
  <c r="W185" i="1"/>
  <c r="H103" i="1"/>
  <c r="V179" i="1"/>
  <c r="BF179" i="1" s="1"/>
  <c r="S182" i="1"/>
  <c r="V186" i="1"/>
  <c r="BF186" i="1" s="1"/>
  <c r="S190" i="1"/>
  <c r="Y190" i="1" s="1"/>
  <c r="V199" i="1"/>
  <c r="BF199" i="1" s="1"/>
  <c r="H143" i="1"/>
  <c r="BH143" i="1"/>
  <c r="BG143" i="1"/>
  <c r="CV143" i="1"/>
  <c r="CW143" i="1" s="1"/>
  <c r="CX143" i="1" s="1"/>
  <c r="BI143" i="1"/>
  <c r="CS143" i="1"/>
  <c r="CT143" i="1" s="1"/>
  <c r="CU143" i="1" s="1"/>
  <c r="CZ143" i="1"/>
  <c r="J137" i="1"/>
  <c r="DB137" i="1"/>
  <c r="DC137" i="1" s="1"/>
  <c r="H127" i="1"/>
  <c r="BH127" i="1"/>
  <c r="CS127" i="1"/>
  <c r="CT127" i="1" s="1"/>
  <c r="CU127" i="1" s="1"/>
  <c r="BI127" i="1"/>
  <c r="CV127" i="1"/>
  <c r="CW127" i="1" s="1"/>
  <c r="CX127" i="1" s="1"/>
  <c r="BG127" i="1"/>
  <c r="CZ127" i="1"/>
  <c r="J121" i="1"/>
  <c r="DB121" i="1"/>
  <c r="DC121" i="1" s="1"/>
  <c r="H87" i="1"/>
  <c r="BG87" i="1"/>
  <c r="BI87" i="1"/>
  <c r="BH87" i="1"/>
  <c r="CV87" i="1"/>
  <c r="CW87" i="1" s="1"/>
  <c r="CX87" i="1" s="1"/>
  <c r="CZ87" i="1"/>
  <c r="CS87" i="1"/>
  <c r="CT87" i="1" s="1"/>
  <c r="CU87" i="1" s="1"/>
  <c r="H65" i="1"/>
  <c r="BG65" i="1"/>
  <c r="CV65" i="1"/>
  <c r="CW65" i="1" s="1"/>
  <c r="CX65" i="1" s="1"/>
  <c r="BH65" i="1"/>
  <c r="BI65" i="1"/>
  <c r="CS65" i="1"/>
  <c r="CT65" i="1" s="1"/>
  <c r="CU65" i="1" s="1"/>
  <c r="CZ65" i="1"/>
  <c r="H33" i="1"/>
  <c r="BI33" i="1"/>
  <c r="BG33" i="1"/>
  <c r="CS33" i="1"/>
  <c r="CT33" i="1" s="1"/>
  <c r="CU33" i="1" s="1"/>
  <c r="CZ33" i="1"/>
  <c r="BH33" i="1"/>
  <c r="CV33" i="1"/>
  <c r="CW33" i="1" s="1"/>
  <c r="CX33" i="1" s="1"/>
  <c r="J3" i="1"/>
  <c r="DB3" i="1"/>
  <c r="DC3" i="1" s="1"/>
  <c r="H158" i="1"/>
  <c r="CV158" i="1"/>
  <c r="CW158" i="1" s="1"/>
  <c r="CX158" i="1" s="1"/>
  <c r="CS158" i="1"/>
  <c r="CT158" i="1" s="1"/>
  <c r="CU158" i="1" s="1"/>
  <c r="BG158" i="1"/>
  <c r="CZ158" i="1"/>
  <c r="BH158" i="1"/>
  <c r="BI158" i="1"/>
  <c r="DB152" i="1"/>
  <c r="DC152" i="1" s="1"/>
  <c r="J152" i="1"/>
  <c r="H142" i="1"/>
  <c r="CS142" i="1"/>
  <c r="CT142" i="1" s="1"/>
  <c r="CU142" i="1" s="1"/>
  <c r="BI142" i="1"/>
  <c r="BG142" i="1"/>
  <c r="BH142" i="1"/>
  <c r="CZ142" i="1"/>
  <c r="CV142" i="1"/>
  <c r="CW142" i="1" s="1"/>
  <c r="CX142" i="1" s="1"/>
  <c r="J136" i="1"/>
  <c r="DB136" i="1"/>
  <c r="DC136" i="1" s="1"/>
  <c r="H126" i="1"/>
  <c r="BG126" i="1"/>
  <c r="CZ126" i="1"/>
  <c r="BI126" i="1"/>
  <c r="CS126" i="1"/>
  <c r="CT126" i="1" s="1"/>
  <c r="CU126" i="1" s="1"/>
  <c r="BH126" i="1"/>
  <c r="CV126" i="1"/>
  <c r="CW126" i="1" s="1"/>
  <c r="CX126" i="1" s="1"/>
  <c r="DB120" i="1"/>
  <c r="DC120" i="1" s="1"/>
  <c r="J120" i="1"/>
  <c r="H108" i="1"/>
  <c r="BI108" i="1"/>
  <c r="BH108" i="1"/>
  <c r="CV108" i="1"/>
  <c r="CW108" i="1" s="1"/>
  <c r="CX108" i="1" s="1"/>
  <c r="BG108" i="1"/>
  <c r="CZ108" i="1"/>
  <c r="CS108" i="1"/>
  <c r="CT108" i="1" s="1"/>
  <c r="CU108" i="1" s="1"/>
  <c r="H66" i="1"/>
  <c r="BG66" i="1"/>
  <c r="BH66" i="1"/>
  <c r="CS66" i="1"/>
  <c r="CT66" i="1" s="1"/>
  <c r="CU66" i="1" s="1"/>
  <c r="BI66" i="1"/>
  <c r="CZ66" i="1"/>
  <c r="CV66" i="1"/>
  <c r="CW66" i="1" s="1"/>
  <c r="CX66" i="1" s="1"/>
  <c r="H34" i="1"/>
  <c r="AJ34" i="1" s="1"/>
  <c r="BH34" i="1"/>
  <c r="BI34" i="1"/>
  <c r="CV34" i="1"/>
  <c r="CW34" i="1" s="1"/>
  <c r="CX34" i="1" s="1"/>
  <c r="BG34" i="1"/>
  <c r="CS34" i="1"/>
  <c r="CT34" i="1" s="1"/>
  <c r="CU34" i="1" s="1"/>
  <c r="CZ34" i="1"/>
  <c r="H4" i="1"/>
  <c r="CS4" i="1"/>
  <c r="CT4" i="1" s="1"/>
  <c r="CU4" i="1" s="1"/>
  <c r="CZ4" i="1"/>
  <c r="BH4" i="1"/>
  <c r="CV4" i="1"/>
  <c r="CW4" i="1" s="1"/>
  <c r="CX4" i="1" s="1"/>
  <c r="BG4" i="1"/>
  <c r="BI4" i="1"/>
  <c r="H69" i="1"/>
  <c r="BH69" i="1"/>
  <c r="BG69" i="1"/>
  <c r="CZ69" i="1"/>
  <c r="BI69" i="1"/>
  <c r="CV69" i="1"/>
  <c r="CW69" i="1" s="1"/>
  <c r="CX69" i="1" s="1"/>
  <c r="CS69" i="1"/>
  <c r="CT69" i="1" s="1"/>
  <c r="CU69" i="1" s="1"/>
  <c r="H53" i="1"/>
  <c r="BG53" i="1"/>
  <c r="CS53" i="1"/>
  <c r="CT53" i="1" s="1"/>
  <c r="CU53" i="1" s="1"/>
  <c r="BH53" i="1"/>
  <c r="BI53" i="1"/>
  <c r="CV53" i="1"/>
  <c r="CW53" i="1" s="1"/>
  <c r="CX53" i="1" s="1"/>
  <c r="CZ53" i="1"/>
  <c r="H37" i="1"/>
  <c r="CV37" i="1"/>
  <c r="CW37" i="1" s="1"/>
  <c r="CX37" i="1" s="1"/>
  <c r="BI37" i="1"/>
  <c r="CZ37" i="1"/>
  <c r="BH37" i="1"/>
  <c r="CS37" i="1"/>
  <c r="CT37" i="1" s="1"/>
  <c r="CU37" i="1" s="1"/>
  <c r="BG37" i="1"/>
  <c r="H21" i="1"/>
  <c r="BH21" i="1"/>
  <c r="BP21" i="1" s="1"/>
  <c r="BI21" i="1"/>
  <c r="CV21" i="1"/>
  <c r="CW21" i="1" s="1"/>
  <c r="CX21" i="1" s="1"/>
  <c r="CS21" i="1"/>
  <c r="CT21" i="1" s="1"/>
  <c r="CU21" i="1" s="1"/>
  <c r="BG21" i="1"/>
  <c r="CC21" i="1" s="1"/>
  <c r="CZ21" i="1"/>
  <c r="DB5" i="1"/>
  <c r="DC5" i="1" s="1"/>
  <c r="DF5" i="1" s="1"/>
  <c r="J5" i="1"/>
  <c r="H70" i="1"/>
  <c r="BG70" i="1"/>
  <c r="CZ70" i="1"/>
  <c r="CV70" i="1"/>
  <c r="CW70" i="1" s="1"/>
  <c r="CX70" i="1" s="1"/>
  <c r="BI70" i="1"/>
  <c r="BH70" i="1"/>
  <c r="CS70" i="1"/>
  <c r="CT70" i="1" s="1"/>
  <c r="CU70" i="1" s="1"/>
  <c r="H54" i="1"/>
  <c r="BG54" i="1"/>
  <c r="CV54" i="1"/>
  <c r="CW54" i="1" s="1"/>
  <c r="CX54" i="1" s="1"/>
  <c r="BI54" i="1"/>
  <c r="CE54" i="1" s="1"/>
  <c r="CZ54" i="1"/>
  <c r="CS54" i="1"/>
  <c r="CT54" i="1" s="1"/>
  <c r="CU54" i="1" s="1"/>
  <c r="BH54" i="1"/>
  <c r="H38" i="1"/>
  <c r="V38" i="1" s="1"/>
  <c r="BF38" i="1" s="1"/>
  <c r="CV38" i="1"/>
  <c r="CW38" i="1" s="1"/>
  <c r="CX38" i="1" s="1"/>
  <c r="BH38" i="1"/>
  <c r="CS38" i="1"/>
  <c r="CT38" i="1" s="1"/>
  <c r="CU38" i="1" s="1"/>
  <c r="BI38" i="1"/>
  <c r="BG38" i="1"/>
  <c r="CZ38" i="1"/>
  <c r="H22" i="1"/>
  <c r="CV22" i="1"/>
  <c r="CW22" i="1" s="1"/>
  <c r="CX22" i="1" s="1"/>
  <c r="BI22" i="1"/>
  <c r="CZ22" i="1"/>
  <c r="BG22" i="1"/>
  <c r="BH22" i="1"/>
  <c r="CS22" i="1"/>
  <c r="CT22" i="1" s="1"/>
  <c r="CU22" i="1" s="1"/>
  <c r="H6" i="1"/>
  <c r="T6" i="1" s="1"/>
  <c r="BG6" i="1"/>
  <c r="BI6" i="1"/>
  <c r="CV6" i="1"/>
  <c r="CW6" i="1" s="1"/>
  <c r="CX6" i="1" s="1"/>
  <c r="BH6" i="1"/>
  <c r="CZ6" i="1"/>
  <c r="CS6" i="1"/>
  <c r="CT6" i="1" s="1"/>
  <c r="CU6" i="1" s="1"/>
  <c r="CC5" i="1"/>
  <c r="CJ5" i="1"/>
  <c r="BO5" i="1"/>
  <c r="BV5" i="1"/>
  <c r="H161" i="1"/>
  <c r="BG161" i="1"/>
  <c r="CV161" i="1"/>
  <c r="CW161" i="1" s="1"/>
  <c r="CX161" i="1" s="1"/>
  <c r="CZ161" i="1"/>
  <c r="BI161" i="1"/>
  <c r="CS161" i="1"/>
  <c r="CT161" i="1" s="1"/>
  <c r="CU161" i="1" s="1"/>
  <c r="BH161" i="1"/>
  <c r="U185" i="1"/>
  <c r="T185" i="1"/>
  <c r="AO185" i="1" s="1"/>
  <c r="V185" i="1"/>
  <c r="BF185" i="1" s="1"/>
  <c r="H129" i="1"/>
  <c r="AJ129" i="1" s="1"/>
  <c r="CV129" i="1"/>
  <c r="CW129" i="1" s="1"/>
  <c r="CX129" i="1" s="1"/>
  <c r="BG129" i="1"/>
  <c r="BI129" i="1"/>
  <c r="BH129" i="1"/>
  <c r="CS129" i="1"/>
  <c r="CT129" i="1" s="1"/>
  <c r="CU129" i="1" s="1"/>
  <c r="CZ129" i="1"/>
  <c r="DB155" i="1"/>
  <c r="DC155" i="1" s="1"/>
  <c r="J155" i="1"/>
  <c r="J115" i="1"/>
  <c r="DB115" i="1"/>
  <c r="DC115" i="1" s="1"/>
  <c r="U181" i="1"/>
  <c r="BD181" i="1" s="1"/>
  <c r="V181" i="1"/>
  <c r="BF181" i="1" s="1"/>
  <c r="T181" i="1"/>
  <c r="BB181" i="1" s="1"/>
  <c r="H159" i="1"/>
  <c r="BG159" i="1"/>
  <c r="BO159" i="1" s="1"/>
  <c r="CS159" i="1"/>
  <c r="CT159" i="1" s="1"/>
  <c r="CU159" i="1" s="1"/>
  <c r="CZ159" i="1"/>
  <c r="BH159" i="1"/>
  <c r="BI159" i="1"/>
  <c r="CV159" i="1"/>
  <c r="CW159" i="1" s="1"/>
  <c r="CX159" i="1" s="1"/>
  <c r="H121" i="1"/>
  <c r="BG121" i="1"/>
  <c r="BH121" i="1"/>
  <c r="CV121" i="1"/>
  <c r="CW121" i="1" s="1"/>
  <c r="CX121" i="1" s="1"/>
  <c r="BI121" i="1"/>
  <c r="CS121" i="1"/>
  <c r="CT121" i="1" s="1"/>
  <c r="CU121" i="1" s="1"/>
  <c r="CZ121" i="1"/>
  <c r="DB165" i="1"/>
  <c r="DC165" i="1" s="1"/>
  <c r="J165" i="1"/>
  <c r="H153" i="1"/>
  <c r="AJ153" i="1" s="1"/>
  <c r="CV153" i="1"/>
  <c r="CW153" i="1" s="1"/>
  <c r="CX153" i="1" s="1"/>
  <c r="BI153" i="1"/>
  <c r="BG153" i="1"/>
  <c r="CS153" i="1"/>
  <c r="CT153" i="1" s="1"/>
  <c r="CU153" i="1" s="1"/>
  <c r="BH153" i="1"/>
  <c r="CZ153" i="1"/>
  <c r="H133" i="1"/>
  <c r="AA133" i="1" s="1"/>
  <c r="CZ133" i="1"/>
  <c r="BI133" i="1"/>
  <c r="CS133" i="1"/>
  <c r="CT133" i="1" s="1"/>
  <c r="CU133" i="1" s="1"/>
  <c r="BG133" i="1"/>
  <c r="BH133" i="1"/>
  <c r="CV133" i="1"/>
  <c r="CW133" i="1" s="1"/>
  <c r="CX133" i="1" s="1"/>
  <c r="H68" i="1"/>
  <c r="BH68" i="1"/>
  <c r="BG68" i="1"/>
  <c r="CS68" i="1"/>
  <c r="CT68" i="1" s="1"/>
  <c r="CU68" i="1" s="1"/>
  <c r="CV68" i="1"/>
  <c r="CW68" i="1" s="1"/>
  <c r="CX68" i="1" s="1"/>
  <c r="CZ68" i="1"/>
  <c r="BI68" i="1"/>
  <c r="T345" i="1"/>
  <c r="T269" i="1"/>
  <c r="BB269" i="1" s="1"/>
  <c r="S269" i="1"/>
  <c r="X269" i="1" s="1"/>
  <c r="U269" i="1"/>
  <c r="BD269" i="1" s="1"/>
  <c r="U207" i="1"/>
  <c r="H175" i="1"/>
  <c r="BH175" i="1"/>
  <c r="CZ175" i="1"/>
  <c r="BG175" i="1"/>
  <c r="CS175" i="1"/>
  <c r="CT175" i="1" s="1"/>
  <c r="CU175" i="1" s="1"/>
  <c r="BI175" i="1"/>
  <c r="CV175" i="1"/>
  <c r="CW175" i="1" s="1"/>
  <c r="CX175" i="1" s="1"/>
  <c r="H151" i="1"/>
  <c r="AA151" i="1" s="1"/>
  <c r="BI151" i="1"/>
  <c r="CZ151" i="1"/>
  <c r="CV151" i="1"/>
  <c r="CW151" i="1" s="1"/>
  <c r="CX151" i="1" s="1"/>
  <c r="CS151" i="1"/>
  <c r="CT151" i="1" s="1"/>
  <c r="CU151" i="1" s="1"/>
  <c r="BH151" i="1"/>
  <c r="BG151" i="1"/>
  <c r="H36" i="1"/>
  <c r="W36" i="1" s="1"/>
  <c r="BH36" i="1"/>
  <c r="BI36" i="1"/>
  <c r="BG36" i="1"/>
  <c r="BO36" i="1" s="1"/>
  <c r="CV36" i="1"/>
  <c r="CW36" i="1" s="1"/>
  <c r="CX36" i="1" s="1"/>
  <c r="CS36" i="1"/>
  <c r="CT36" i="1" s="1"/>
  <c r="CU36" i="1" s="1"/>
  <c r="CZ36" i="1"/>
  <c r="V200" i="1"/>
  <c r="BF200" i="1" s="1"/>
  <c r="T200" i="1"/>
  <c r="BB200" i="1" s="1"/>
  <c r="U200" i="1"/>
  <c r="AF200" i="1" s="1"/>
  <c r="W200" i="1"/>
  <c r="S200" i="1"/>
  <c r="H168" i="1"/>
  <c r="CV168" i="1"/>
  <c r="CW168" i="1" s="1"/>
  <c r="CX168" i="1" s="1"/>
  <c r="CS168" i="1"/>
  <c r="CT168" i="1" s="1"/>
  <c r="CU168" i="1" s="1"/>
  <c r="CZ168" i="1"/>
  <c r="BH168" i="1"/>
  <c r="BG168" i="1"/>
  <c r="BI168" i="1"/>
  <c r="J162" i="1"/>
  <c r="DB162" i="1"/>
  <c r="DC162" i="1" s="1"/>
  <c r="H156" i="1"/>
  <c r="BH156" i="1"/>
  <c r="CV156" i="1"/>
  <c r="CW156" i="1" s="1"/>
  <c r="CX156" i="1" s="1"/>
  <c r="CS156" i="1"/>
  <c r="CT156" i="1" s="1"/>
  <c r="CU156" i="1" s="1"/>
  <c r="CZ156" i="1"/>
  <c r="BI156" i="1"/>
  <c r="BG156" i="1"/>
  <c r="H148" i="1"/>
  <c r="CZ148" i="1"/>
  <c r="CV148" i="1"/>
  <c r="CW148" i="1" s="1"/>
  <c r="CX148" i="1" s="1"/>
  <c r="BG148" i="1"/>
  <c r="BI148" i="1"/>
  <c r="BQ148" i="1" s="1"/>
  <c r="BH148" i="1"/>
  <c r="CS148" i="1"/>
  <c r="CT148" i="1" s="1"/>
  <c r="CU148" i="1" s="1"/>
  <c r="DB126" i="1"/>
  <c r="DC126" i="1" s="1"/>
  <c r="J126" i="1"/>
  <c r="H116" i="1"/>
  <c r="AA116" i="1" s="1"/>
  <c r="BH116" i="1"/>
  <c r="BG116" i="1"/>
  <c r="CV116" i="1"/>
  <c r="CW116" i="1" s="1"/>
  <c r="CX116" i="1" s="1"/>
  <c r="CS116" i="1"/>
  <c r="CT116" i="1" s="1"/>
  <c r="CU116" i="1" s="1"/>
  <c r="CZ116" i="1"/>
  <c r="BI116" i="1"/>
  <c r="H104" i="1"/>
  <c r="AJ104" i="1" s="1"/>
  <c r="BH104" i="1"/>
  <c r="BG104" i="1"/>
  <c r="CV104" i="1"/>
  <c r="CW104" i="1" s="1"/>
  <c r="CX104" i="1" s="1"/>
  <c r="CS104" i="1"/>
  <c r="CT104" i="1" s="1"/>
  <c r="CU104" i="1" s="1"/>
  <c r="BI104" i="1"/>
  <c r="CZ104" i="1"/>
  <c r="H10" i="1"/>
  <c r="CV10" i="1"/>
  <c r="CW10" i="1" s="1"/>
  <c r="CX10" i="1" s="1"/>
  <c r="CZ10" i="1"/>
  <c r="BI10" i="1"/>
  <c r="BH10" i="1"/>
  <c r="CS10" i="1"/>
  <c r="CT10" i="1" s="1"/>
  <c r="CU10" i="1" s="1"/>
  <c r="BG10" i="1"/>
  <c r="T194" i="1"/>
  <c r="BB194" i="1" s="1"/>
  <c r="U178" i="1"/>
  <c r="BD178" i="1" s="1"/>
  <c r="DB172" i="1"/>
  <c r="DC172" i="1" s="1"/>
  <c r="J172" i="1"/>
  <c r="H162" i="1"/>
  <c r="BI162" i="1"/>
  <c r="BH162" i="1"/>
  <c r="CZ162" i="1"/>
  <c r="CV162" i="1"/>
  <c r="CW162" i="1" s="1"/>
  <c r="CX162" i="1" s="1"/>
  <c r="BG162" i="1"/>
  <c r="CS162" i="1"/>
  <c r="CT162" i="1" s="1"/>
  <c r="CU162" i="1" s="1"/>
  <c r="H155" i="1"/>
  <c r="AR155" i="1" s="1"/>
  <c r="BI155" i="1"/>
  <c r="BH155" i="1"/>
  <c r="BG155" i="1"/>
  <c r="CS155" i="1"/>
  <c r="CT155" i="1" s="1"/>
  <c r="CU155" i="1" s="1"/>
  <c r="CV155" i="1"/>
  <c r="CW155" i="1" s="1"/>
  <c r="CX155" i="1" s="1"/>
  <c r="CZ155" i="1"/>
  <c r="J146" i="1"/>
  <c r="DB146" i="1"/>
  <c r="DC146" i="1" s="1"/>
  <c r="H136" i="1"/>
  <c r="CS136" i="1"/>
  <c r="CT136" i="1" s="1"/>
  <c r="CU136" i="1" s="1"/>
  <c r="BG136" i="1"/>
  <c r="BI136" i="1"/>
  <c r="CZ136" i="1"/>
  <c r="BH136" i="1"/>
  <c r="CV136" i="1"/>
  <c r="CW136" i="1" s="1"/>
  <c r="CX136" i="1" s="1"/>
  <c r="J114" i="1"/>
  <c r="DB114" i="1"/>
  <c r="DC114" i="1" s="1"/>
  <c r="H47" i="1"/>
  <c r="BG47" i="1"/>
  <c r="CS47" i="1"/>
  <c r="CT47" i="1" s="1"/>
  <c r="CU47" i="1" s="1"/>
  <c r="BH47" i="1"/>
  <c r="BI47" i="1"/>
  <c r="CV47" i="1"/>
  <c r="CW47" i="1" s="1"/>
  <c r="CX47" i="1" s="1"/>
  <c r="CZ47" i="1"/>
  <c r="T346" i="1"/>
  <c r="BO169" i="1"/>
  <c r="BV169" i="1"/>
  <c r="CC169" i="1"/>
  <c r="CJ169" i="1"/>
  <c r="DB149" i="1"/>
  <c r="DC149" i="1" s="1"/>
  <c r="J149" i="1"/>
  <c r="J133" i="1"/>
  <c r="DB133" i="1"/>
  <c r="DC133" i="1" s="1"/>
  <c r="J117" i="1"/>
  <c r="DB117" i="1"/>
  <c r="DC117" i="1" s="1"/>
  <c r="J148" i="1"/>
  <c r="DB148" i="1"/>
  <c r="DC148" i="1" s="1"/>
  <c r="DB132" i="1"/>
  <c r="DC132" i="1" s="1"/>
  <c r="J132" i="1"/>
  <c r="DB116" i="1"/>
  <c r="DC116" i="1" s="1"/>
  <c r="J116" i="1"/>
  <c r="H39" i="1"/>
  <c r="BH39" i="1"/>
  <c r="CV39" i="1"/>
  <c r="CW39" i="1" s="1"/>
  <c r="CX39" i="1" s="1"/>
  <c r="BI39" i="1"/>
  <c r="CZ39" i="1"/>
  <c r="CS39" i="1"/>
  <c r="CT39" i="1" s="1"/>
  <c r="CU39" i="1" s="1"/>
  <c r="BG39" i="1"/>
  <c r="H96" i="1"/>
  <c r="BG96" i="1"/>
  <c r="CS96" i="1"/>
  <c r="CT96" i="1" s="1"/>
  <c r="CU96" i="1" s="1"/>
  <c r="CV96" i="1"/>
  <c r="CW96" i="1" s="1"/>
  <c r="CX96" i="1" s="1"/>
  <c r="CZ96" i="1"/>
  <c r="BH96" i="1"/>
  <c r="BI96" i="1"/>
  <c r="H72" i="1"/>
  <c r="AA72" i="1" s="1"/>
  <c r="BG72" i="1"/>
  <c r="CZ72" i="1"/>
  <c r="CS72" i="1"/>
  <c r="CT72" i="1" s="1"/>
  <c r="CU72" i="1" s="1"/>
  <c r="BH72" i="1"/>
  <c r="CV72" i="1"/>
  <c r="CW72" i="1" s="1"/>
  <c r="CX72" i="1" s="1"/>
  <c r="BI72" i="1"/>
  <c r="BX72" i="1" s="1"/>
  <c r="H40" i="1"/>
  <c r="CV40" i="1"/>
  <c r="CW40" i="1" s="1"/>
  <c r="CX40" i="1" s="1"/>
  <c r="BH40" i="1"/>
  <c r="CZ40" i="1"/>
  <c r="BG40" i="1"/>
  <c r="CS40" i="1"/>
  <c r="CT40" i="1" s="1"/>
  <c r="CU40" i="1" s="1"/>
  <c r="BI40" i="1"/>
  <c r="H24" i="1"/>
  <c r="CV24" i="1"/>
  <c r="CW24" i="1" s="1"/>
  <c r="CX24" i="1" s="1"/>
  <c r="BG24" i="1"/>
  <c r="BI24" i="1"/>
  <c r="BH24" i="1"/>
  <c r="CZ24" i="1"/>
  <c r="CS24" i="1"/>
  <c r="CT24" i="1" s="1"/>
  <c r="CU24" i="1" s="1"/>
  <c r="H8" i="1"/>
  <c r="CV8" i="1"/>
  <c r="CW8" i="1" s="1"/>
  <c r="CX8" i="1" s="1"/>
  <c r="BH8" i="1"/>
  <c r="BG8" i="1"/>
  <c r="BV8" i="1" s="1"/>
  <c r="CS8" i="1"/>
  <c r="CT8" i="1" s="1"/>
  <c r="CU8" i="1" s="1"/>
  <c r="CZ8" i="1"/>
  <c r="BI8" i="1"/>
  <c r="CE8" i="1" s="1"/>
  <c r="T352" i="1"/>
  <c r="BB352" i="1" s="1"/>
  <c r="CK5" i="1"/>
  <c r="CD5" i="1"/>
  <c r="BW5" i="1"/>
  <c r="CL5" i="1"/>
  <c r="DB153" i="1"/>
  <c r="DC153" i="1" s="1"/>
  <c r="J153" i="1"/>
  <c r="V205" i="1"/>
  <c r="BF205" i="1" s="1"/>
  <c r="T205" i="1"/>
  <c r="BB205" i="1" s="1"/>
  <c r="U205" i="1"/>
  <c r="BD205" i="1" s="1"/>
  <c r="W205" i="1"/>
  <c r="S205" i="1"/>
  <c r="H165" i="1"/>
  <c r="BG165" i="1"/>
  <c r="CS165" i="1"/>
  <c r="CT165" i="1" s="1"/>
  <c r="CU165" i="1" s="1"/>
  <c r="CZ165" i="1"/>
  <c r="BH165" i="1"/>
  <c r="CV165" i="1"/>
  <c r="CW165" i="1" s="1"/>
  <c r="CX165" i="1" s="1"/>
  <c r="BI165" i="1"/>
  <c r="H20" i="1"/>
  <c r="V20" i="1" s="1"/>
  <c r="BG20" i="1"/>
  <c r="CV20" i="1"/>
  <c r="CW20" i="1" s="1"/>
  <c r="CX20" i="1" s="1"/>
  <c r="BH20" i="1"/>
  <c r="CS20" i="1"/>
  <c r="CT20" i="1" s="1"/>
  <c r="CU20" i="1" s="1"/>
  <c r="BI20" i="1"/>
  <c r="CZ20" i="1"/>
  <c r="J154" i="1"/>
  <c r="DB154" i="1"/>
  <c r="DC154" i="1" s="1"/>
  <c r="H57" i="1"/>
  <c r="CV57" i="1"/>
  <c r="CW57" i="1" s="1"/>
  <c r="CX57" i="1" s="1"/>
  <c r="CZ57" i="1"/>
  <c r="CS57" i="1"/>
  <c r="CT57" i="1" s="1"/>
  <c r="CU57" i="1" s="1"/>
  <c r="BG57" i="1"/>
  <c r="BI57" i="1"/>
  <c r="BH57" i="1"/>
  <c r="DB174" i="1"/>
  <c r="DC174" i="1" s="1"/>
  <c r="J174" i="1"/>
  <c r="DB157" i="1"/>
  <c r="DC157" i="1" s="1"/>
  <c r="J157" i="1"/>
  <c r="H107" i="1"/>
  <c r="CV107" i="1"/>
  <c r="CW107" i="1" s="1"/>
  <c r="CX107" i="1" s="1"/>
  <c r="BH107" i="1"/>
  <c r="CS107" i="1"/>
  <c r="CT107" i="1" s="1"/>
  <c r="CU107" i="1" s="1"/>
  <c r="BG107" i="1"/>
  <c r="CZ107" i="1"/>
  <c r="BI107" i="1"/>
  <c r="U206" i="1"/>
  <c r="W206" i="1"/>
  <c r="H174" i="1"/>
  <c r="BG174" i="1"/>
  <c r="CZ174" i="1"/>
  <c r="BH174" i="1"/>
  <c r="CS174" i="1"/>
  <c r="CT174" i="1" s="1"/>
  <c r="CU174" i="1" s="1"/>
  <c r="BI174" i="1"/>
  <c r="CV174" i="1"/>
  <c r="CW174" i="1" s="1"/>
  <c r="CX174" i="1" s="1"/>
  <c r="H157" i="1"/>
  <c r="AA157" i="1" s="1"/>
  <c r="CS157" i="1"/>
  <c r="CT157" i="1" s="1"/>
  <c r="CU157" i="1" s="1"/>
  <c r="BH157" i="1"/>
  <c r="CZ157" i="1"/>
  <c r="CV157" i="1"/>
  <c r="CW157" i="1" s="1"/>
  <c r="CX157" i="1" s="1"/>
  <c r="BI157" i="1"/>
  <c r="BG157" i="1"/>
  <c r="H128" i="1"/>
  <c r="AJ128" i="1" s="1"/>
  <c r="BI128" i="1"/>
  <c r="CV128" i="1"/>
  <c r="CW128" i="1" s="1"/>
  <c r="CX128" i="1" s="1"/>
  <c r="BH128" i="1"/>
  <c r="CS128" i="1"/>
  <c r="CT128" i="1" s="1"/>
  <c r="CU128" i="1" s="1"/>
  <c r="BG128" i="1"/>
  <c r="CZ128" i="1"/>
  <c r="H102" i="1"/>
  <c r="AA102" i="1" s="1"/>
  <c r="BG102" i="1"/>
  <c r="BI102" i="1"/>
  <c r="CS102" i="1"/>
  <c r="CT102" i="1" s="1"/>
  <c r="CU102" i="1" s="1"/>
  <c r="CV102" i="1"/>
  <c r="CW102" i="1" s="1"/>
  <c r="CX102" i="1" s="1"/>
  <c r="CZ102" i="1"/>
  <c r="BH102" i="1"/>
  <c r="S169" i="1"/>
  <c r="Y169" i="1" s="1"/>
  <c r="T169" i="1"/>
  <c r="V169" i="1"/>
  <c r="AW169" i="1" s="1"/>
  <c r="W169" i="1"/>
  <c r="DA169" i="1"/>
  <c r="U169" i="1"/>
  <c r="DD169" i="1"/>
  <c r="CY169" i="1"/>
  <c r="AJ203" i="1"/>
  <c r="AR301" i="1"/>
  <c r="AJ319" i="1"/>
  <c r="AJ254" i="1"/>
  <c r="AA286" i="1"/>
  <c r="AJ280" i="1"/>
  <c r="AA320" i="1"/>
  <c r="V335" i="1"/>
  <c r="BF335" i="1" s="1"/>
  <c r="V350" i="1"/>
  <c r="AW350" i="1" s="1"/>
  <c r="U329" i="1"/>
  <c r="U352" i="1"/>
  <c r="BD352" i="1" s="1"/>
  <c r="T179" i="1"/>
  <c r="U319" i="1"/>
  <c r="AF319" i="1" s="1"/>
  <c r="W321" i="1"/>
  <c r="AJ200" i="1"/>
  <c r="W186" i="1"/>
  <c r="W199" i="1"/>
  <c r="CS103" i="1"/>
  <c r="CT103" i="1" s="1"/>
  <c r="CU103" i="1" s="1"/>
  <c r="W179" i="1"/>
  <c r="T190" i="1"/>
  <c r="BB190" i="1" s="1"/>
  <c r="T206" i="1"/>
  <c r="BB206" i="1" s="1"/>
  <c r="H147" i="1"/>
  <c r="AA147" i="1" s="1"/>
  <c r="BH147" i="1"/>
  <c r="CS147" i="1"/>
  <c r="CT147" i="1" s="1"/>
  <c r="CU147" i="1" s="1"/>
  <c r="BG147" i="1"/>
  <c r="BI147" i="1"/>
  <c r="CZ147" i="1"/>
  <c r="CV147" i="1"/>
  <c r="CW147" i="1" s="1"/>
  <c r="CX147" i="1" s="1"/>
  <c r="J141" i="1"/>
  <c r="DB141" i="1"/>
  <c r="DC141" i="1" s="1"/>
  <c r="H131" i="1"/>
  <c r="V131" i="1" s="1"/>
  <c r="BG131" i="1"/>
  <c r="CC131" i="1" s="1"/>
  <c r="BI131" i="1"/>
  <c r="CS131" i="1"/>
  <c r="CT131" i="1" s="1"/>
  <c r="CU131" i="1" s="1"/>
  <c r="BH131" i="1"/>
  <c r="BW131" i="1" s="1"/>
  <c r="CV131" i="1"/>
  <c r="CW131" i="1" s="1"/>
  <c r="CX131" i="1" s="1"/>
  <c r="CZ131" i="1"/>
  <c r="J125" i="1"/>
  <c r="DB125" i="1"/>
  <c r="DC125" i="1" s="1"/>
  <c r="H115" i="1"/>
  <c r="AR115" i="1" s="1"/>
  <c r="BG115" i="1"/>
  <c r="CS115" i="1"/>
  <c r="CT115" i="1" s="1"/>
  <c r="CU115" i="1" s="1"/>
  <c r="BI115" i="1"/>
  <c r="BH115" i="1"/>
  <c r="CV115" i="1"/>
  <c r="CW115" i="1" s="1"/>
  <c r="CX115" i="1" s="1"/>
  <c r="CZ115" i="1"/>
  <c r="H100" i="1"/>
  <c r="AR100" i="1" s="1"/>
  <c r="CV100" i="1"/>
  <c r="CW100" i="1" s="1"/>
  <c r="CX100" i="1" s="1"/>
  <c r="CZ100" i="1"/>
  <c r="BG100" i="1"/>
  <c r="CS100" i="1"/>
  <c r="CT100" i="1" s="1"/>
  <c r="CU100" i="1" s="1"/>
  <c r="BH100" i="1"/>
  <c r="BI100" i="1"/>
  <c r="H84" i="1"/>
  <c r="BG84" i="1"/>
  <c r="BH84" i="1"/>
  <c r="CZ84" i="1"/>
  <c r="BI84" i="1"/>
  <c r="CS84" i="1"/>
  <c r="CT84" i="1" s="1"/>
  <c r="CU84" i="1" s="1"/>
  <c r="CV84" i="1"/>
  <c r="CW84" i="1" s="1"/>
  <c r="CX84" i="1" s="1"/>
  <c r="H60" i="1"/>
  <c r="V60" i="1" s="1"/>
  <c r="BG60" i="1"/>
  <c r="BI60" i="1"/>
  <c r="BH60" i="1"/>
  <c r="CV60" i="1"/>
  <c r="CW60" i="1" s="1"/>
  <c r="CX60" i="1" s="1"/>
  <c r="CS60" i="1"/>
  <c r="CT60" i="1" s="1"/>
  <c r="CU60" i="1" s="1"/>
  <c r="CZ60" i="1"/>
  <c r="H28" i="1"/>
  <c r="U28" i="1" s="1"/>
  <c r="AF28" i="1" s="1"/>
  <c r="CS28" i="1"/>
  <c r="CT28" i="1" s="1"/>
  <c r="CU28" i="1" s="1"/>
  <c r="CZ28" i="1"/>
  <c r="BG28" i="1"/>
  <c r="CV28" i="1"/>
  <c r="CW28" i="1" s="1"/>
  <c r="CX28" i="1" s="1"/>
  <c r="BI28" i="1"/>
  <c r="BH28" i="1"/>
  <c r="AJ147" i="1"/>
  <c r="J156" i="1"/>
  <c r="DB156" i="1"/>
  <c r="DC156" i="1" s="1"/>
  <c r="H146" i="1"/>
  <c r="AA146" i="1" s="1"/>
  <c r="CS146" i="1"/>
  <c r="CT146" i="1" s="1"/>
  <c r="CU146" i="1" s="1"/>
  <c r="CZ146" i="1"/>
  <c r="BI146" i="1"/>
  <c r="BG146" i="1"/>
  <c r="CV146" i="1"/>
  <c r="CW146" i="1" s="1"/>
  <c r="CX146" i="1" s="1"/>
  <c r="BH146" i="1"/>
  <c r="J140" i="1"/>
  <c r="DB140" i="1"/>
  <c r="DC140" i="1" s="1"/>
  <c r="H130" i="1"/>
  <c r="BG130" i="1"/>
  <c r="BI130" i="1"/>
  <c r="CV130" i="1"/>
  <c r="CW130" i="1" s="1"/>
  <c r="CX130" i="1" s="1"/>
  <c r="CZ130" i="1"/>
  <c r="BH130" i="1"/>
  <c r="CS130" i="1"/>
  <c r="CT130" i="1" s="1"/>
  <c r="CU130" i="1" s="1"/>
  <c r="J124" i="1"/>
  <c r="DB124" i="1"/>
  <c r="DC124" i="1" s="1"/>
  <c r="H114" i="1"/>
  <c r="CZ114" i="1"/>
  <c r="CS114" i="1"/>
  <c r="CT114" i="1" s="1"/>
  <c r="CU114" i="1" s="1"/>
  <c r="BI114" i="1"/>
  <c r="BG114" i="1"/>
  <c r="BH114" i="1"/>
  <c r="CV114" i="1"/>
  <c r="CW114" i="1" s="1"/>
  <c r="CX114" i="1" s="1"/>
  <c r="H55" i="1"/>
  <c r="BG55" i="1"/>
  <c r="BI55" i="1"/>
  <c r="CS55" i="1"/>
  <c r="CT55" i="1" s="1"/>
  <c r="CU55" i="1" s="1"/>
  <c r="BH55" i="1"/>
  <c r="CZ55" i="1"/>
  <c r="CV55" i="1"/>
  <c r="CW55" i="1" s="1"/>
  <c r="CX55" i="1" s="1"/>
  <c r="H23" i="1"/>
  <c r="BI23" i="1"/>
  <c r="CZ23" i="1"/>
  <c r="CS23" i="1"/>
  <c r="CT23" i="1" s="1"/>
  <c r="CU23" i="1" s="1"/>
  <c r="BH23" i="1"/>
  <c r="BG23" i="1"/>
  <c r="CV23" i="1"/>
  <c r="CW23" i="1" s="1"/>
  <c r="CX23" i="1" s="1"/>
  <c r="H101" i="1"/>
  <c r="BH101" i="1"/>
  <c r="BI101" i="1"/>
  <c r="BG101" i="1"/>
  <c r="CS101" i="1"/>
  <c r="CT101" i="1" s="1"/>
  <c r="CU101" i="1" s="1"/>
  <c r="CV101" i="1"/>
  <c r="CW101" i="1" s="1"/>
  <c r="CX101" i="1" s="1"/>
  <c r="CZ101" i="1"/>
  <c r="H93" i="1"/>
  <c r="CZ93" i="1"/>
  <c r="BH93" i="1"/>
  <c r="CV93" i="1"/>
  <c r="CW93" i="1" s="1"/>
  <c r="CX93" i="1" s="1"/>
  <c r="BG93" i="1"/>
  <c r="CS93" i="1"/>
  <c r="CT93" i="1" s="1"/>
  <c r="CU93" i="1" s="1"/>
  <c r="BI93" i="1"/>
  <c r="BG85" i="1"/>
  <c r="CC85" i="1" s="1"/>
  <c r="BI85" i="1"/>
  <c r="CZ85" i="1"/>
  <c r="CS85" i="1"/>
  <c r="CT85" i="1" s="1"/>
  <c r="CU85" i="1" s="1"/>
  <c r="CV85" i="1"/>
  <c r="CW85" i="1" s="1"/>
  <c r="CX85" i="1" s="1"/>
  <c r="H85" i="1"/>
  <c r="BH85" i="1"/>
  <c r="H77" i="1"/>
  <c r="AR77" i="1" s="1"/>
  <c r="BG77" i="1"/>
  <c r="CC77" i="1" s="1"/>
  <c r="CS77" i="1"/>
  <c r="CT77" i="1" s="1"/>
  <c r="CU77" i="1" s="1"/>
  <c r="BI77" i="1"/>
  <c r="CV77" i="1"/>
  <c r="CW77" i="1" s="1"/>
  <c r="CX77" i="1" s="1"/>
  <c r="BH77" i="1"/>
  <c r="CZ77" i="1"/>
  <c r="H64" i="1"/>
  <c r="V64" i="1" s="1"/>
  <c r="BG64" i="1"/>
  <c r="BH64" i="1"/>
  <c r="BI64" i="1"/>
  <c r="CS64" i="1"/>
  <c r="CT64" i="1" s="1"/>
  <c r="CU64" i="1" s="1"/>
  <c r="CZ64" i="1"/>
  <c r="CV64" i="1"/>
  <c r="CW64" i="1" s="1"/>
  <c r="CX64" i="1" s="1"/>
  <c r="H48" i="1"/>
  <c r="BH48" i="1"/>
  <c r="CV48" i="1"/>
  <c r="CW48" i="1" s="1"/>
  <c r="CX48" i="1" s="1"/>
  <c r="CZ48" i="1"/>
  <c r="BG48" i="1"/>
  <c r="CS48" i="1"/>
  <c r="CT48" i="1" s="1"/>
  <c r="CU48" i="1" s="1"/>
  <c r="BI48" i="1"/>
  <c r="H32" i="1"/>
  <c r="AA32" i="1" s="1"/>
  <c r="BH32" i="1"/>
  <c r="BI32" i="1"/>
  <c r="CV32" i="1"/>
  <c r="CW32" i="1" s="1"/>
  <c r="CX32" i="1" s="1"/>
  <c r="CS32" i="1"/>
  <c r="CT32" i="1" s="1"/>
  <c r="CU32" i="1" s="1"/>
  <c r="BG32" i="1"/>
  <c r="CZ32" i="1"/>
  <c r="H16" i="1"/>
  <c r="T16" i="1" s="1"/>
  <c r="CZ16" i="1"/>
  <c r="BI16" i="1"/>
  <c r="CV16" i="1"/>
  <c r="CW16" i="1" s="1"/>
  <c r="CX16" i="1" s="1"/>
  <c r="BH16" i="1"/>
  <c r="BG16" i="1"/>
  <c r="CS16" i="1"/>
  <c r="CT16" i="1" s="1"/>
  <c r="CU16" i="1" s="1"/>
  <c r="V347" i="1"/>
  <c r="BF347" i="1" s="1"/>
  <c r="H67" i="1"/>
  <c r="AR67" i="1" s="1"/>
  <c r="BG67" i="1"/>
  <c r="BH67" i="1"/>
  <c r="BI67" i="1"/>
  <c r="CZ67" i="1"/>
  <c r="CV67" i="1"/>
  <c r="CW67" i="1" s="1"/>
  <c r="CX67" i="1" s="1"/>
  <c r="CS67" i="1"/>
  <c r="CT67" i="1" s="1"/>
  <c r="CU67" i="1" s="1"/>
  <c r="H51" i="1"/>
  <c r="AJ51" i="1" s="1"/>
  <c r="BI51" i="1"/>
  <c r="CS51" i="1"/>
  <c r="CT51" i="1" s="1"/>
  <c r="CU51" i="1" s="1"/>
  <c r="BH51" i="1"/>
  <c r="CZ51" i="1"/>
  <c r="BG51" i="1"/>
  <c r="BO51" i="1" s="1"/>
  <c r="CV51" i="1"/>
  <c r="CW51" i="1" s="1"/>
  <c r="CX51" i="1" s="1"/>
  <c r="H35" i="1"/>
  <c r="BH35" i="1"/>
  <c r="CS35" i="1"/>
  <c r="CT35" i="1" s="1"/>
  <c r="CU35" i="1" s="1"/>
  <c r="BG35" i="1"/>
  <c r="CV35" i="1"/>
  <c r="CW35" i="1" s="1"/>
  <c r="CX35" i="1" s="1"/>
  <c r="CZ35" i="1"/>
  <c r="BI35" i="1"/>
  <c r="H19" i="1"/>
  <c r="BH19" i="1"/>
  <c r="CZ19" i="1"/>
  <c r="BI19" i="1"/>
  <c r="BQ19" i="1" s="1"/>
  <c r="CS19" i="1"/>
  <c r="CT19" i="1" s="1"/>
  <c r="CU19" i="1" s="1"/>
  <c r="CV19" i="1"/>
  <c r="CW19" i="1" s="1"/>
  <c r="CX19" i="1" s="1"/>
  <c r="BG19" i="1"/>
  <c r="J4" i="1"/>
  <c r="DB4" i="1"/>
  <c r="DC4" i="1" s="1"/>
  <c r="V348" i="1"/>
  <c r="V5" i="1"/>
  <c r="AW5" i="1" s="1"/>
  <c r="S5" i="1"/>
  <c r="CY5" i="1"/>
  <c r="U5" i="1"/>
  <c r="AF5" i="1" s="1"/>
  <c r="T5" i="1"/>
  <c r="AO5" i="1" s="1"/>
  <c r="DD5" i="1"/>
  <c r="W5" i="1"/>
  <c r="DA5" i="1"/>
  <c r="DB123" i="1"/>
  <c r="DC123" i="1" s="1"/>
  <c r="J123" i="1"/>
  <c r="H52" i="1"/>
  <c r="V52" i="1" s="1"/>
  <c r="BG52" i="1"/>
  <c r="CZ52" i="1"/>
  <c r="CV52" i="1"/>
  <c r="CW52" i="1" s="1"/>
  <c r="CX52" i="1" s="1"/>
  <c r="BH52" i="1"/>
  <c r="BI52" i="1"/>
  <c r="CS52" i="1"/>
  <c r="CT52" i="1" s="1"/>
  <c r="CU52" i="1" s="1"/>
  <c r="H177" i="1"/>
  <c r="BI177" i="1"/>
  <c r="CS177" i="1"/>
  <c r="CT177" i="1" s="1"/>
  <c r="CU177" i="1" s="1"/>
  <c r="BG177" i="1"/>
  <c r="CV177" i="1"/>
  <c r="CW177" i="1" s="1"/>
  <c r="CX177" i="1" s="1"/>
  <c r="BH177" i="1"/>
  <c r="CZ177" i="1"/>
  <c r="H113" i="1"/>
  <c r="AJ113" i="1" s="1"/>
  <c r="BG113" i="1"/>
  <c r="BH113" i="1"/>
  <c r="CS113" i="1"/>
  <c r="CT113" i="1" s="1"/>
  <c r="CU113" i="1" s="1"/>
  <c r="CZ113" i="1"/>
  <c r="CV113" i="1"/>
  <c r="CW113" i="1" s="1"/>
  <c r="CX113" i="1" s="1"/>
  <c r="BI113" i="1"/>
  <c r="H173" i="1"/>
  <c r="BH173" i="1"/>
  <c r="BG173" i="1"/>
  <c r="BV173" i="1" s="1"/>
  <c r="CZ173" i="1"/>
  <c r="CV173" i="1"/>
  <c r="CW173" i="1" s="1"/>
  <c r="CX173" i="1" s="1"/>
  <c r="BI173" i="1"/>
  <c r="BX173" i="1" s="1"/>
  <c r="CS173" i="1"/>
  <c r="CT173" i="1" s="1"/>
  <c r="CU173" i="1" s="1"/>
  <c r="DB147" i="1"/>
  <c r="DC147" i="1" s="1"/>
  <c r="DF147" i="1" s="1"/>
  <c r="J147" i="1"/>
  <c r="T197" i="1"/>
  <c r="BB197" i="1" s="1"/>
  <c r="V197" i="1"/>
  <c r="BF197" i="1" s="1"/>
  <c r="S197" i="1"/>
  <c r="U197" i="1"/>
  <c r="BD197" i="1" s="1"/>
  <c r="W197" i="1"/>
  <c r="DB175" i="1"/>
  <c r="DC175" i="1" s="1"/>
  <c r="J175" i="1"/>
  <c r="H152" i="1"/>
  <c r="BI152" i="1"/>
  <c r="CS152" i="1"/>
  <c r="CT152" i="1" s="1"/>
  <c r="CU152" i="1" s="1"/>
  <c r="BG152" i="1"/>
  <c r="CZ152" i="1"/>
  <c r="CV152" i="1"/>
  <c r="CW152" i="1" s="1"/>
  <c r="CX152" i="1" s="1"/>
  <c r="BH152" i="1"/>
  <c r="H110" i="1"/>
  <c r="BH110" i="1"/>
  <c r="BI110" i="1"/>
  <c r="CS110" i="1"/>
  <c r="CT110" i="1" s="1"/>
  <c r="CU110" i="1" s="1"/>
  <c r="CV110" i="1"/>
  <c r="CW110" i="1" s="1"/>
  <c r="CX110" i="1" s="1"/>
  <c r="CZ110" i="1"/>
  <c r="BG110" i="1"/>
  <c r="T268" i="1"/>
  <c r="BB268" i="1" s="1"/>
  <c r="U268" i="1"/>
  <c r="BD268" i="1" s="1"/>
  <c r="S268" i="1"/>
  <c r="AH268" i="1" s="1"/>
  <c r="V268" i="1"/>
  <c r="BF268" i="1" s="1"/>
  <c r="W268" i="1"/>
  <c r="U195" i="1"/>
  <c r="DB173" i="1"/>
  <c r="DC173" i="1" s="1"/>
  <c r="J173" i="1"/>
  <c r="H163" i="1"/>
  <c r="AA163" i="1" s="1"/>
  <c r="BG163" i="1"/>
  <c r="CV163" i="1"/>
  <c r="CW163" i="1" s="1"/>
  <c r="CX163" i="1" s="1"/>
  <c r="CZ163" i="1"/>
  <c r="BH163" i="1"/>
  <c r="CS163" i="1"/>
  <c r="CT163" i="1" s="1"/>
  <c r="CU163" i="1" s="1"/>
  <c r="BI163" i="1"/>
  <c r="H149" i="1"/>
  <c r="AA149" i="1" s="1"/>
  <c r="BG149" i="1"/>
  <c r="CZ149" i="1"/>
  <c r="BI149" i="1"/>
  <c r="CS149" i="1"/>
  <c r="CT149" i="1" s="1"/>
  <c r="CU149" i="1" s="1"/>
  <c r="BH149" i="1"/>
  <c r="CV149" i="1"/>
  <c r="CW149" i="1" s="1"/>
  <c r="CX149" i="1" s="1"/>
  <c r="J127" i="1"/>
  <c r="DB127" i="1"/>
  <c r="DC127" i="1" s="1"/>
  <c r="H25" i="1"/>
  <c r="BH25" i="1"/>
  <c r="CS25" i="1"/>
  <c r="CT25" i="1" s="1"/>
  <c r="CU25" i="1" s="1"/>
  <c r="BG25" i="1"/>
  <c r="CV25" i="1"/>
  <c r="CW25" i="1" s="1"/>
  <c r="CX25" i="1" s="1"/>
  <c r="CZ25" i="1"/>
  <c r="BI25" i="1"/>
  <c r="V336" i="1"/>
  <c r="T336" i="1"/>
  <c r="T267" i="1"/>
  <c r="BB267" i="1" s="1"/>
  <c r="S267" i="1"/>
  <c r="J161" i="1"/>
  <c r="DB161" i="1"/>
  <c r="DC161" i="1" s="1"/>
  <c r="H125" i="1"/>
  <c r="BH125" i="1"/>
  <c r="CS125" i="1"/>
  <c r="CT125" i="1" s="1"/>
  <c r="CU125" i="1" s="1"/>
  <c r="CV125" i="1"/>
  <c r="CW125" i="1" s="1"/>
  <c r="CX125" i="1" s="1"/>
  <c r="BG125" i="1"/>
  <c r="CZ125" i="1"/>
  <c r="BI125" i="1"/>
  <c r="H89" i="1"/>
  <c r="BH89" i="1"/>
  <c r="CZ89" i="1"/>
  <c r="BG89" i="1"/>
  <c r="BV89" i="1" s="1"/>
  <c r="CV89" i="1"/>
  <c r="BI89" i="1"/>
  <c r="CS89" i="1"/>
  <c r="CT89" i="1" s="1"/>
  <c r="CU89" i="1" s="1"/>
  <c r="S204" i="1"/>
  <c r="Y204" i="1" s="1"/>
  <c r="W204" i="1"/>
  <c r="U204" i="1"/>
  <c r="AF204" i="1" s="1"/>
  <c r="V204" i="1"/>
  <c r="BF204" i="1" s="1"/>
  <c r="T204" i="1"/>
  <c r="BB204" i="1" s="1"/>
  <c r="S188" i="1"/>
  <c r="AH188" i="1" s="1"/>
  <c r="V188" i="1"/>
  <c r="T188" i="1"/>
  <c r="BB188" i="1" s="1"/>
  <c r="H172" i="1"/>
  <c r="AJ172" i="1" s="1"/>
  <c r="BI172" i="1"/>
  <c r="BH172" i="1"/>
  <c r="CS172" i="1"/>
  <c r="CT172" i="1" s="1"/>
  <c r="CU172" i="1" s="1"/>
  <c r="CZ172" i="1"/>
  <c r="BG172" i="1"/>
  <c r="CV172" i="1"/>
  <c r="CW172" i="1" s="1"/>
  <c r="CX172" i="1" s="1"/>
  <c r="DB166" i="1"/>
  <c r="DC166" i="1" s="1"/>
  <c r="J166" i="1"/>
  <c r="J134" i="1"/>
  <c r="DB134" i="1"/>
  <c r="DC134" i="1" s="1"/>
  <c r="H124" i="1"/>
  <c r="BG124" i="1"/>
  <c r="CZ124" i="1"/>
  <c r="BH124" i="1"/>
  <c r="CS124" i="1"/>
  <c r="CT124" i="1" s="1"/>
  <c r="CU124" i="1" s="1"/>
  <c r="BI124" i="1"/>
  <c r="CV124" i="1"/>
  <c r="CW124" i="1" s="1"/>
  <c r="CX124" i="1" s="1"/>
  <c r="H63" i="1"/>
  <c r="BH63" i="1"/>
  <c r="BG63" i="1"/>
  <c r="BI63" i="1"/>
  <c r="CV63" i="1"/>
  <c r="CW63" i="1" s="1"/>
  <c r="CX63" i="1" s="1"/>
  <c r="CS63" i="1"/>
  <c r="CT63" i="1" s="1"/>
  <c r="CU63" i="1" s="1"/>
  <c r="CZ63" i="1"/>
  <c r="AJ35" i="1"/>
  <c r="V198" i="1"/>
  <c r="S198" i="1"/>
  <c r="Y198" i="1" s="1"/>
  <c r="T182" i="1"/>
  <c r="BB182" i="1" s="1"/>
  <c r="U182" i="1"/>
  <c r="AF182" i="1" s="1"/>
  <c r="DB176" i="1"/>
  <c r="DC176" i="1" s="1"/>
  <c r="J176" i="1"/>
  <c r="H166" i="1"/>
  <c r="BI166" i="1"/>
  <c r="BH166" i="1"/>
  <c r="CV166" i="1"/>
  <c r="CW166" i="1" s="1"/>
  <c r="CX166" i="1" s="1"/>
  <c r="BG166" i="1"/>
  <c r="CS166" i="1"/>
  <c r="CT166" i="1" s="1"/>
  <c r="CU166" i="1" s="1"/>
  <c r="CZ166" i="1"/>
  <c r="H144" i="1"/>
  <c r="AA144" i="1" s="1"/>
  <c r="BH144" i="1"/>
  <c r="BG144" i="1"/>
  <c r="CS144" i="1"/>
  <c r="CT144" i="1" s="1"/>
  <c r="CU144" i="1" s="1"/>
  <c r="CV144" i="1"/>
  <c r="CW144" i="1" s="1"/>
  <c r="CX144" i="1" s="1"/>
  <c r="BI144" i="1"/>
  <c r="CZ144" i="1"/>
  <c r="J122" i="1"/>
  <c r="DB122" i="1"/>
  <c r="DC122" i="1" s="1"/>
  <c r="H112" i="1"/>
  <c r="CZ112" i="1"/>
  <c r="BH112" i="1"/>
  <c r="CV112" i="1"/>
  <c r="CW112" i="1" s="1"/>
  <c r="CX112" i="1" s="1"/>
  <c r="CS112" i="1"/>
  <c r="CT112" i="1" s="1"/>
  <c r="CU112" i="1" s="1"/>
  <c r="BI112" i="1"/>
  <c r="BG112" i="1"/>
  <c r="H26" i="1"/>
  <c r="CV26" i="1"/>
  <c r="CW26" i="1" s="1"/>
  <c r="CX26" i="1" s="1"/>
  <c r="BG26" i="1"/>
  <c r="BV26" i="1" s="1"/>
  <c r="CS26" i="1"/>
  <c r="CT26" i="1" s="1"/>
  <c r="CU26" i="1" s="1"/>
  <c r="CZ26" i="1"/>
  <c r="BI26" i="1"/>
  <c r="BX26" i="1" s="1"/>
  <c r="BH26" i="1"/>
  <c r="V338" i="1"/>
  <c r="BF338" i="1" s="1"/>
  <c r="T338" i="1"/>
  <c r="BB338" i="1" s="1"/>
  <c r="AA115" i="1"/>
  <c r="H139" i="1"/>
  <c r="BH139" i="1"/>
  <c r="BG139" i="1"/>
  <c r="CV139" i="1"/>
  <c r="CW139" i="1" s="1"/>
  <c r="CX139" i="1" s="1"/>
  <c r="BI139" i="1"/>
  <c r="CS139" i="1"/>
  <c r="CT139" i="1" s="1"/>
  <c r="CU139" i="1" s="1"/>
  <c r="CZ139" i="1"/>
  <c r="H123" i="1"/>
  <c r="BI123" i="1"/>
  <c r="BG123" i="1"/>
  <c r="BH123" i="1"/>
  <c r="CS123" i="1"/>
  <c r="CT123" i="1" s="1"/>
  <c r="CU123" i="1" s="1"/>
  <c r="CZ123" i="1"/>
  <c r="CV123" i="1"/>
  <c r="CW123" i="1" s="1"/>
  <c r="CX123" i="1" s="1"/>
  <c r="H44" i="1"/>
  <c r="AA44" i="1" s="1"/>
  <c r="BH44" i="1"/>
  <c r="BG44" i="1"/>
  <c r="CV44" i="1"/>
  <c r="CW44" i="1" s="1"/>
  <c r="CX44" i="1" s="1"/>
  <c r="CZ44" i="1"/>
  <c r="BI44" i="1"/>
  <c r="CS44" i="1"/>
  <c r="CT44" i="1" s="1"/>
  <c r="CU44" i="1" s="1"/>
  <c r="H12" i="1"/>
  <c r="U12" i="1" s="1"/>
  <c r="AF12" i="1" s="1"/>
  <c r="BI12" i="1"/>
  <c r="BG12" i="1"/>
  <c r="CV12" i="1"/>
  <c r="CW12" i="1" s="1"/>
  <c r="CX12" i="1" s="1"/>
  <c r="CZ12" i="1"/>
  <c r="CS12" i="1"/>
  <c r="CT12" i="1" s="1"/>
  <c r="CU12" i="1" s="1"/>
  <c r="BH12" i="1"/>
  <c r="H111" i="1"/>
  <c r="BH111" i="1"/>
  <c r="BI111" i="1"/>
  <c r="CZ111" i="1"/>
  <c r="CV111" i="1"/>
  <c r="CW111" i="1" s="1"/>
  <c r="CX111" i="1" s="1"/>
  <c r="BG111" i="1"/>
  <c r="CS111" i="1"/>
  <c r="CT111" i="1" s="1"/>
  <c r="CU111" i="1" s="1"/>
  <c r="H88" i="1"/>
  <c r="BG88" i="1"/>
  <c r="BI88" i="1"/>
  <c r="CS88" i="1"/>
  <c r="CT88" i="1" s="1"/>
  <c r="CU88" i="1" s="1"/>
  <c r="CV88" i="1"/>
  <c r="CW88" i="1" s="1"/>
  <c r="CX88" i="1" s="1"/>
  <c r="BH88" i="1"/>
  <c r="CZ88" i="1"/>
  <c r="H56" i="1"/>
  <c r="BG56" i="1"/>
  <c r="CS56" i="1"/>
  <c r="CT56" i="1" s="1"/>
  <c r="CU56" i="1" s="1"/>
  <c r="BI56" i="1"/>
  <c r="BH56" i="1"/>
  <c r="CZ56" i="1"/>
  <c r="CV56" i="1"/>
  <c r="CW56" i="1" s="1"/>
  <c r="CX56" i="1" s="1"/>
  <c r="H59" i="1"/>
  <c r="BH59" i="1"/>
  <c r="BI59" i="1"/>
  <c r="CS59" i="1"/>
  <c r="CT59" i="1" s="1"/>
  <c r="CU59" i="1" s="1"/>
  <c r="BG59" i="1"/>
  <c r="CV59" i="1"/>
  <c r="CW59" i="1" s="1"/>
  <c r="CX59" i="1" s="1"/>
  <c r="CZ59" i="1"/>
  <c r="H43" i="1"/>
  <c r="CV43" i="1"/>
  <c r="CW43" i="1" s="1"/>
  <c r="CX43" i="1" s="1"/>
  <c r="BG43" i="1"/>
  <c r="CZ43" i="1"/>
  <c r="BH43" i="1"/>
  <c r="CS43" i="1"/>
  <c r="CT43" i="1" s="1"/>
  <c r="CU43" i="1" s="1"/>
  <c r="BI43" i="1"/>
  <c r="H27" i="1"/>
  <c r="BG27" i="1"/>
  <c r="CV27" i="1"/>
  <c r="CW27" i="1" s="1"/>
  <c r="CX27" i="1" s="1"/>
  <c r="BI27" i="1"/>
  <c r="BQ27" i="1" s="1"/>
  <c r="CS27" i="1"/>
  <c r="CT27" i="1" s="1"/>
  <c r="CU27" i="1" s="1"/>
  <c r="CZ27" i="1"/>
  <c r="BH27" i="1"/>
  <c r="H11" i="1"/>
  <c r="CZ11" i="1"/>
  <c r="BI11" i="1"/>
  <c r="CV11" i="1"/>
  <c r="CW11" i="1" s="1"/>
  <c r="CX11" i="1" s="1"/>
  <c r="BH11" i="1"/>
  <c r="BG11" i="1"/>
  <c r="CS11" i="1"/>
  <c r="CT11" i="1" s="1"/>
  <c r="CU11" i="1" s="1"/>
  <c r="T201" i="1"/>
  <c r="AO201" i="1" s="1"/>
  <c r="H9" i="1"/>
  <c r="BH9" i="1"/>
  <c r="CZ9" i="1"/>
  <c r="BG9" i="1"/>
  <c r="CV9" i="1"/>
  <c r="CW9" i="1" s="1"/>
  <c r="CX9" i="1" s="1"/>
  <c r="CS9" i="1"/>
  <c r="CT9" i="1" s="1"/>
  <c r="CU9" i="1" s="1"/>
  <c r="BI9" i="1"/>
  <c r="H41" i="1"/>
  <c r="T41" i="1" s="1"/>
  <c r="BH41" i="1"/>
  <c r="CV41" i="1"/>
  <c r="CW41" i="1" s="1"/>
  <c r="CX41" i="1" s="1"/>
  <c r="CZ41" i="1"/>
  <c r="BI41" i="1"/>
  <c r="CS41" i="1"/>
  <c r="CT41" i="1" s="1"/>
  <c r="CU41" i="1" s="1"/>
  <c r="BG41" i="1"/>
  <c r="J131" i="1"/>
  <c r="DB131" i="1"/>
  <c r="DC131" i="1" s="1"/>
  <c r="H117" i="1"/>
  <c r="BH117" i="1"/>
  <c r="BG117" i="1"/>
  <c r="BI117" i="1"/>
  <c r="BQ117" i="1" s="1"/>
  <c r="CS117" i="1"/>
  <c r="CT117" i="1" s="1"/>
  <c r="CU117" i="1" s="1"/>
  <c r="CZ117" i="1"/>
  <c r="CV117" i="1"/>
  <c r="CW117" i="1" s="1"/>
  <c r="CX117" i="1" s="1"/>
  <c r="J177" i="1"/>
  <c r="DB177" i="1"/>
  <c r="DC177" i="1" s="1"/>
  <c r="J135" i="1"/>
  <c r="DB135" i="1"/>
  <c r="DC135" i="1" s="1"/>
  <c r="S196" i="1"/>
  <c r="X196" i="1" s="1"/>
  <c r="V196" i="1"/>
  <c r="AW196" i="1" s="1"/>
  <c r="U196" i="1"/>
  <c r="BD196" i="1" s="1"/>
  <c r="W196" i="1"/>
  <c r="W180" i="1"/>
  <c r="T180" i="1"/>
  <c r="V180" i="1"/>
  <c r="BF180" i="1" s="1"/>
  <c r="S180" i="1"/>
  <c r="Y180" i="1" s="1"/>
  <c r="H164" i="1"/>
  <c r="BG164" i="1"/>
  <c r="CV164" i="1"/>
  <c r="CW164" i="1" s="1"/>
  <c r="CX164" i="1" s="1"/>
  <c r="BI164" i="1"/>
  <c r="BQ164" i="1" s="1"/>
  <c r="CS164" i="1"/>
  <c r="CT164" i="1" s="1"/>
  <c r="CU164" i="1" s="1"/>
  <c r="CZ164" i="1"/>
  <c r="BH164" i="1"/>
  <c r="H140" i="1"/>
  <c r="BG140" i="1"/>
  <c r="BO140" i="1" s="1"/>
  <c r="CS140" i="1"/>
  <c r="CT140" i="1" s="1"/>
  <c r="CU140" i="1" s="1"/>
  <c r="BI140" i="1"/>
  <c r="CZ140" i="1"/>
  <c r="BH140" i="1"/>
  <c r="CV140" i="1"/>
  <c r="CW140" i="1" s="1"/>
  <c r="CX140" i="1" s="1"/>
  <c r="J138" i="1"/>
  <c r="DB138" i="1"/>
  <c r="DC138" i="1" s="1"/>
  <c r="H58" i="1"/>
  <c r="BG58" i="1"/>
  <c r="CZ58" i="1"/>
  <c r="CS58" i="1"/>
  <c r="CT58" i="1" s="1"/>
  <c r="CU58" i="1" s="1"/>
  <c r="CV58" i="1"/>
  <c r="CW58" i="1" s="1"/>
  <c r="CX58" i="1" s="1"/>
  <c r="BH58" i="1"/>
  <c r="BI58" i="1"/>
  <c r="AJ287" i="1"/>
  <c r="AR231" i="1"/>
  <c r="AR196" i="1"/>
  <c r="AA306" i="1"/>
  <c r="AR139" i="1"/>
  <c r="AA327" i="1"/>
  <c r="AJ272" i="1"/>
  <c r="AJ223" i="1"/>
  <c r="W342" i="1"/>
  <c r="W352" i="1"/>
  <c r="W195" i="1"/>
  <c r="U321" i="1"/>
  <c r="BD321" i="1" s="1"/>
  <c r="W190" i="1"/>
  <c r="W317" i="1"/>
  <c r="BG103" i="1"/>
  <c r="U190" i="1"/>
  <c r="BD190" i="1" s="1"/>
  <c r="BP5" i="1"/>
  <c r="CW89" i="1"/>
  <c r="CX89" i="1" s="1"/>
  <c r="AA5" i="1"/>
  <c r="AH5" i="1"/>
  <c r="DB145" i="1"/>
  <c r="DC145" i="1" s="1"/>
  <c r="J145" i="1"/>
  <c r="H135" i="1"/>
  <c r="AA135" i="1" s="1"/>
  <c r="BH135" i="1"/>
  <c r="BG135" i="1"/>
  <c r="BI135" i="1"/>
  <c r="CZ135" i="1"/>
  <c r="CS135" i="1"/>
  <c r="CT135" i="1" s="1"/>
  <c r="CU135" i="1" s="1"/>
  <c r="CV135" i="1"/>
  <c r="CW135" i="1" s="1"/>
  <c r="CX135" i="1" s="1"/>
  <c r="DB129" i="1"/>
  <c r="DC129" i="1" s="1"/>
  <c r="J129" i="1"/>
  <c r="H119" i="1"/>
  <c r="BI119" i="1"/>
  <c r="BG119" i="1"/>
  <c r="CS119" i="1"/>
  <c r="CT119" i="1" s="1"/>
  <c r="CU119" i="1" s="1"/>
  <c r="CZ119" i="1"/>
  <c r="BH119" i="1"/>
  <c r="CV119" i="1"/>
  <c r="CW119" i="1" s="1"/>
  <c r="CX119" i="1" s="1"/>
  <c r="DB113" i="1"/>
  <c r="DC113" i="1" s="1"/>
  <c r="J113" i="1"/>
  <c r="H106" i="1"/>
  <c r="AA106" i="1" s="1"/>
  <c r="CZ106" i="1"/>
  <c r="BG106" i="1"/>
  <c r="CS106" i="1"/>
  <c r="CT106" i="1" s="1"/>
  <c r="CU106" i="1" s="1"/>
  <c r="CV106" i="1"/>
  <c r="CW106" i="1" s="1"/>
  <c r="CX106" i="1" s="1"/>
  <c r="BH106" i="1"/>
  <c r="BP106" i="1" s="1"/>
  <c r="BI106" i="1"/>
  <c r="CE106" i="1" s="1"/>
  <c r="H97" i="1"/>
  <c r="AA97" i="1" s="1"/>
  <c r="CS97" i="1"/>
  <c r="CT97" i="1" s="1"/>
  <c r="CU97" i="1" s="1"/>
  <c r="CV97" i="1"/>
  <c r="CW97" i="1" s="1"/>
  <c r="CX97" i="1" s="1"/>
  <c r="CZ97" i="1"/>
  <c r="BG97" i="1"/>
  <c r="BH97" i="1"/>
  <c r="BI97" i="1"/>
  <c r="H81" i="1"/>
  <c r="CS81" i="1"/>
  <c r="CT81" i="1" s="1"/>
  <c r="CU81" i="1" s="1"/>
  <c r="BH81" i="1"/>
  <c r="BI81" i="1"/>
  <c r="CZ81" i="1"/>
  <c r="CV81" i="1"/>
  <c r="CW81" i="1" s="1"/>
  <c r="CX81" i="1" s="1"/>
  <c r="BG81" i="1"/>
  <c r="H49" i="1"/>
  <c r="U49" i="1" s="1"/>
  <c r="AF49" i="1" s="1"/>
  <c r="BH49" i="1"/>
  <c r="CZ49" i="1"/>
  <c r="BI49" i="1"/>
  <c r="BG49" i="1"/>
  <c r="CV49" i="1"/>
  <c r="CW49" i="1" s="1"/>
  <c r="CX49" i="1" s="1"/>
  <c r="CS49" i="1"/>
  <c r="CT49" i="1" s="1"/>
  <c r="CU49" i="1" s="1"/>
  <c r="H17" i="1"/>
  <c r="CZ17" i="1"/>
  <c r="BI17" i="1"/>
  <c r="CV17" i="1"/>
  <c r="CW17" i="1" s="1"/>
  <c r="CX17" i="1" s="1"/>
  <c r="CS17" i="1"/>
  <c r="CT17" i="1" s="1"/>
  <c r="CU17" i="1" s="1"/>
  <c r="BG17" i="1"/>
  <c r="BH17" i="1"/>
  <c r="J160" i="1"/>
  <c r="DB160" i="1"/>
  <c r="DC160" i="1" s="1"/>
  <c r="H150" i="1"/>
  <c r="BG150" i="1"/>
  <c r="BI150" i="1"/>
  <c r="CS150" i="1"/>
  <c r="CT150" i="1" s="1"/>
  <c r="CU150" i="1" s="1"/>
  <c r="CV150" i="1"/>
  <c r="CW150" i="1" s="1"/>
  <c r="CX150" i="1" s="1"/>
  <c r="CZ150" i="1"/>
  <c r="BH150" i="1"/>
  <c r="J144" i="1"/>
  <c r="DB144" i="1"/>
  <c r="DC144" i="1" s="1"/>
  <c r="H134" i="1"/>
  <c r="BG134" i="1"/>
  <c r="CC134" i="1" s="1"/>
  <c r="CS134" i="1"/>
  <c r="CT134" i="1" s="1"/>
  <c r="CU134" i="1" s="1"/>
  <c r="BI134" i="1"/>
  <c r="BH134" i="1"/>
  <c r="CV134" i="1"/>
  <c r="CW134" i="1" s="1"/>
  <c r="CX134" i="1" s="1"/>
  <c r="CZ134" i="1"/>
  <c r="J128" i="1"/>
  <c r="DB128" i="1"/>
  <c r="DC128" i="1" s="1"/>
  <c r="H118" i="1"/>
  <c r="BI118" i="1"/>
  <c r="BH118" i="1"/>
  <c r="CZ118" i="1"/>
  <c r="BG118" i="1"/>
  <c r="CV118" i="1"/>
  <c r="CW118" i="1" s="1"/>
  <c r="CX118" i="1" s="1"/>
  <c r="CS118" i="1"/>
  <c r="CT118" i="1" s="1"/>
  <c r="CU118" i="1" s="1"/>
  <c r="DB112" i="1"/>
  <c r="DC112" i="1" s="1"/>
  <c r="J112" i="1"/>
  <c r="H105" i="1"/>
  <c r="BG105" i="1"/>
  <c r="CS105" i="1"/>
  <c r="CT105" i="1" s="1"/>
  <c r="CU105" i="1" s="1"/>
  <c r="CZ105" i="1"/>
  <c r="BI105" i="1"/>
  <c r="BH105" i="1"/>
  <c r="CV105" i="1"/>
  <c r="CW105" i="1" s="1"/>
  <c r="CX105" i="1" s="1"/>
  <c r="H94" i="1"/>
  <c r="BI94" i="1"/>
  <c r="CE94" i="1" s="1"/>
  <c r="CS94" i="1"/>
  <c r="CT94" i="1" s="1"/>
  <c r="CU94" i="1" s="1"/>
  <c r="BH94" i="1"/>
  <c r="CV94" i="1"/>
  <c r="CW94" i="1" s="1"/>
  <c r="CX94" i="1" s="1"/>
  <c r="CZ94" i="1"/>
  <c r="BG94" i="1"/>
  <c r="H78" i="1"/>
  <c r="BH78" i="1"/>
  <c r="BG78" i="1"/>
  <c r="BI78" i="1"/>
  <c r="CZ78" i="1"/>
  <c r="CV78" i="1"/>
  <c r="CW78" i="1" s="1"/>
  <c r="CX78" i="1" s="1"/>
  <c r="CS78" i="1"/>
  <c r="CT78" i="1" s="1"/>
  <c r="CU78" i="1" s="1"/>
  <c r="H50" i="1"/>
  <c r="BI50" i="1"/>
  <c r="CS50" i="1"/>
  <c r="CT50" i="1" s="1"/>
  <c r="CU50" i="1" s="1"/>
  <c r="BH50" i="1"/>
  <c r="CV50" i="1"/>
  <c r="CW50" i="1" s="1"/>
  <c r="CX50" i="1" s="1"/>
  <c r="CZ50" i="1"/>
  <c r="BG50" i="1"/>
  <c r="H18" i="1"/>
  <c r="BH18" i="1"/>
  <c r="BI18" i="1"/>
  <c r="BG18" i="1"/>
  <c r="CS18" i="1"/>
  <c r="CT18" i="1" s="1"/>
  <c r="CU18" i="1" s="1"/>
  <c r="CZ18" i="1"/>
  <c r="CV18" i="1"/>
  <c r="CW18" i="1" s="1"/>
  <c r="CX18" i="1" s="1"/>
  <c r="H99" i="1"/>
  <c r="BH99" i="1"/>
  <c r="CZ99" i="1"/>
  <c r="BG99" i="1"/>
  <c r="BI99" i="1"/>
  <c r="CV99" i="1"/>
  <c r="CW99" i="1" s="1"/>
  <c r="CX99" i="1" s="1"/>
  <c r="CS99" i="1"/>
  <c r="CT99" i="1" s="1"/>
  <c r="CU99" i="1" s="1"/>
  <c r="H91" i="1"/>
  <c r="AA91" i="1" s="1"/>
  <c r="BH91" i="1"/>
  <c r="BI91" i="1"/>
  <c r="CZ91" i="1"/>
  <c r="CV91" i="1"/>
  <c r="CW91" i="1" s="1"/>
  <c r="CX91" i="1" s="1"/>
  <c r="BG91" i="1"/>
  <c r="CS91" i="1"/>
  <c r="CT91" i="1" s="1"/>
  <c r="CU91" i="1" s="1"/>
  <c r="H83" i="1"/>
  <c r="AR83" i="1" s="1"/>
  <c r="BH83" i="1"/>
  <c r="BI83" i="1"/>
  <c r="BG83" i="1"/>
  <c r="BO83" i="1" s="1"/>
  <c r="CV83" i="1"/>
  <c r="CW83" i="1" s="1"/>
  <c r="CX83" i="1" s="1"/>
  <c r="CS83" i="1"/>
  <c r="CT83" i="1" s="1"/>
  <c r="CU83" i="1" s="1"/>
  <c r="CZ83" i="1"/>
  <c r="H75" i="1"/>
  <c r="BG75" i="1"/>
  <c r="BI75" i="1"/>
  <c r="BH75" i="1"/>
  <c r="CS75" i="1"/>
  <c r="CT75" i="1" s="1"/>
  <c r="CU75" i="1" s="1"/>
  <c r="CZ75" i="1"/>
  <c r="CV75" i="1"/>
  <c r="CW75" i="1" s="1"/>
  <c r="CX75" i="1" s="1"/>
  <c r="H61" i="1"/>
  <c r="CZ61" i="1"/>
  <c r="CS61" i="1"/>
  <c r="CT61" i="1" s="1"/>
  <c r="CU61" i="1" s="1"/>
  <c r="BG61" i="1"/>
  <c r="BI61" i="1"/>
  <c r="BH61" i="1"/>
  <c r="CV61" i="1"/>
  <c r="CW61" i="1" s="1"/>
  <c r="CX61" i="1" s="1"/>
  <c r="H45" i="1"/>
  <c r="AJ45" i="1" s="1"/>
  <c r="CV45" i="1"/>
  <c r="CW45" i="1" s="1"/>
  <c r="CX45" i="1" s="1"/>
  <c r="BI45" i="1"/>
  <c r="BH45" i="1"/>
  <c r="CS45" i="1"/>
  <c r="CT45" i="1" s="1"/>
  <c r="CU45" i="1" s="1"/>
  <c r="CZ45" i="1"/>
  <c r="BG45" i="1"/>
  <c r="H29" i="1"/>
  <c r="AJ29" i="1" s="1"/>
  <c r="CV29" i="1"/>
  <c r="CW29" i="1" s="1"/>
  <c r="CX29" i="1" s="1"/>
  <c r="BG29" i="1"/>
  <c r="CS29" i="1"/>
  <c r="CT29" i="1" s="1"/>
  <c r="CU29" i="1" s="1"/>
  <c r="BI29" i="1"/>
  <c r="BH29" i="1"/>
  <c r="CZ29" i="1"/>
  <c r="H13" i="1"/>
  <c r="AA13" i="1" s="1"/>
  <c r="CS13" i="1"/>
  <c r="CT13" i="1" s="1"/>
  <c r="CU13" i="1" s="1"/>
  <c r="BH13" i="1"/>
  <c r="CV13" i="1"/>
  <c r="CW13" i="1" s="1"/>
  <c r="CX13" i="1" s="1"/>
  <c r="BG13" i="1"/>
  <c r="BI13" i="1"/>
  <c r="CZ13" i="1"/>
  <c r="H3" i="1"/>
  <c r="BH3" i="1"/>
  <c r="CV3" i="1"/>
  <c r="CW3" i="1" s="1"/>
  <c r="CX3" i="1" s="1"/>
  <c r="CS3" i="1"/>
  <c r="CT3" i="1" s="1"/>
  <c r="CU3" i="1" s="1"/>
  <c r="BG3" i="1"/>
  <c r="CZ3" i="1"/>
  <c r="BI3" i="1"/>
  <c r="H98" i="1"/>
  <c r="BH98" i="1"/>
  <c r="BI98" i="1"/>
  <c r="CV98" i="1"/>
  <c r="CW98" i="1" s="1"/>
  <c r="CX98" i="1" s="1"/>
  <c r="CZ98" i="1"/>
  <c r="BG98" i="1"/>
  <c r="CS98" i="1"/>
  <c r="CT98" i="1" s="1"/>
  <c r="CU98" i="1" s="1"/>
  <c r="H90" i="1"/>
  <c r="CZ90" i="1"/>
  <c r="BG90" i="1"/>
  <c r="BH90" i="1"/>
  <c r="CS90" i="1"/>
  <c r="CT90" i="1" s="1"/>
  <c r="CU90" i="1" s="1"/>
  <c r="CV90" i="1"/>
  <c r="CW90" i="1" s="1"/>
  <c r="CX90" i="1" s="1"/>
  <c r="BI90" i="1"/>
  <c r="H82" i="1"/>
  <c r="AA82" i="1" s="1"/>
  <c r="BG82" i="1"/>
  <c r="CV82" i="1"/>
  <c r="CW82" i="1" s="1"/>
  <c r="CX82" i="1" s="1"/>
  <c r="CS82" i="1"/>
  <c r="CT82" i="1" s="1"/>
  <c r="CU82" i="1" s="1"/>
  <c r="BI82" i="1"/>
  <c r="CZ82" i="1"/>
  <c r="BH82" i="1"/>
  <c r="H74" i="1"/>
  <c r="CV74" i="1"/>
  <c r="CW74" i="1" s="1"/>
  <c r="CX74" i="1" s="1"/>
  <c r="BH74" i="1"/>
  <c r="BI74" i="1"/>
  <c r="CS74" i="1"/>
  <c r="CT74" i="1" s="1"/>
  <c r="CU74" i="1" s="1"/>
  <c r="CZ74" i="1"/>
  <c r="BG74" i="1"/>
  <c r="H62" i="1"/>
  <c r="AJ62" i="1" s="1"/>
  <c r="BG62" i="1"/>
  <c r="BH62" i="1"/>
  <c r="BI62" i="1"/>
  <c r="CS62" i="1"/>
  <c r="CT62" i="1" s="1"/>
  <c r="CU62" i="1" s="1"/>
  <c r="CV62" i="1"/>
  <c r="CW62" i="1" s="1"/>
  <c r="CX62" i="1" s="1"/>
  <c r="CZ62" i="1"/>
  <c r="H46" i="1"/>
  <c r="S46" i="1" s="1"/>
  <c r="BI46" i="1"/>
  <c r="CZ46" i="1"/>
  <c r="BH46" i="1"/>
  <c r="CS46" i="1"/>
  <c r="CT46" i="1" s="1"/>
  <c r="CU46" i="1" s="1"/>
  <c r="CV46" i="1"/>
  <c r="CW46" i="1" s="1"/>
  <c r="CX46" i="1" s="1"/>
  <c r="BG46" i="1"/>
  <c r="CV30" i="1"/>
  <c r="CW30" i="1" s="1"/>
  <c r="CX30" i="1" s="1"/>
  <c r="CZ30" i="1"/>
  <c r="H30" i="1"/>
  <c r="AA30" i="1" s="1"/>
  <c r="BH30" i="1"/>
  <c r="BG30" i="1"/>
  <c r="CS30" i="1"/>
  <c r="CT30" i="1" s="1"/>
  <c r="CU30" i="1" s="1"/>
  <c r="BI30" i="1"/>
  <c r="H14" i="1"/>
  <c r="BG14" i="1"/>
  <c r="BO14" i="1" s="1"/>
  <c r="CV14" i="1"/>
  <c r="CW14" i="1" s="1"/>
  <c r="CX14" i="1" s="1"/>
  <c r="CS14" i="1"/>
  <c r="CT14" i="1" s="1"/>
  <c r="CU14" i="1" s="1"/>
  <c r="BH14" i="1"/>
  <c r="BI14" i="1"/>
  <c r="CZ14" i="1"/>
  <c r="V329" i="1"/>
  <c r="AW329" i="1" s="1"/>
  <c r="H145" i="1"/>
  <c r="BH145" i="1"/>
  <c r="BI145" i="1"/>
  <c r="BG145" i="1"/>
  <c r="CS145" i="1"/>
  <c r="CT145" i="1" s="1"/>
  <c r="CU145" i="1" s="1"/>
  <c r="CZ145" i="1"/>
  <c r="CV145" i="1"/>
  <c r="CW145" i="1" s="1"/>
  <c r="CX145" i="1" s="1"/>
  <c r="J163" i="1"/>
  <c r="DB163" i="1"/>
  <c r="DC163" i="1" s="1"/>
  <c r="T209" i="1"/>
  <c r="BB209" i="1" s="1"/>
  <c r="V209" i="1"/>
  <c r="BF209" i="1" s="1"/>
  <c r="S209" i="1"/>
  <c r="Y209" i="1" s="1"/>
  <c r="W209" i="1"/>
  <c r="U209" i="1"/>
  <c r="BD209" i="1" s="1"/>
  <c r="H73" i="1"/>
  <c r="AA73" i="1" s="1"/>
  <c r="BI73" i="1"/>
  <c r="CV73" i="1"/>
  <c r="CW73" i="1" s="1"/>
  <c r="CX73" i="1" s="1"/>
  <c r="CS73" i="1"/>
  <c r="CT73" i="1" s="1"/>
  <c r="CU73" i="1" s="1"/>
  <c r="BG73" i="1"/>
  <c r="CZ73" i="1"/>
  <c r="BH73" i="1"/>
  <c r="J167" i="1"/>
  <c r="DB167" i="1"/>
  <c r="DC167" i="1" s="1"/>
  <c r="H137" i="1"/>
  <c r="BI137" i="1"/>
  <c r="BQ137" i="1" s="1"/>
  <c r="BG137" i="1"/>
  <c r="CS137" i="1"/>
  <c r="CT137" i="1" s="1"/>
  <c r="CU137" i="1" s="1"/>
  <c r="CZ137" i="1"/>
  <c r="BH137" i="1"/>
  <c r="CV137" i="1"/>
  <c r="CW137" i="1" s="1"/>
  <c r="CX137" i="1" s="1"/>
  <c r="H79" i="1"/>
  <c r="AJ79" i="1" s="1"/>
  <c r="BH79" i="1"/>
  <c r="BI79" i="1"/>
  <c r="CV79" i="1"/>
  <c r="CW79" i="1" s="1"/>
  <c r="CX79" i="1" s="1"/>
  <c r="BG79" i="1"/>
  <c r="CS79" i="1"/>
  <c r="CT79" i="1" s="1"/>
  <c r="CU79" i="1" s="1"/>
  <c r="CZ79" i="1"/>
  <c r="H92" i="1"/>
  <c r="BG92" i="1"/>
  <c r="CS92" i="1"/>
  <c r="CT92" i="1" s="1"/>
  <c r="CU92" i="1" s="1"/>
  <c r="BI92" i="1"/>
  <c r="CV92" i="1"/>
  <c r="CW92" i="1" s="1"/>
  <c r="CX92" i="1" s="1"/>
  <c r="CZ92" i="1"/>
  <c r="BH92" i="1"/>
  <c r="U203" i="1"/>
  <c r="V203" i="1"/>
  <c r="BF203" i="1" s="1"/>
  <c r="H171" i="1"/>
  <c r="BH171" i="1"/>
  <c r="CS171" i="1"/>
  <c r="CT171" i="1" s="1"/>
  <c r="CU171" i="1" s="1"/>
  <c r="BG171" i="1"/>
  <c r="CZ171" i="1"/>
  <c r="CV171" i="1"/>
  <c r="CW171" i="1" s="1"/>
  <c r="CX171" i="1" s="1"/>
  <c r="BI171" i="1"/>
  <c r="H160" i="1"/>
  <c r="AA160" i="1" s="1"/>
  <c r="CV160" i="1"/>
  <c r="CW160" i="1" s="1"/>
  <c r="CX160" i="1" s="1"/>
  <c r="CS160" i="1"/>
  <c r="CT160" i="1" s="1"/>
  <c r="CU160" i="1" s="1"/>
  <c r="BI160" i="1"/>
  <c r="BH160" i="1"/>
  <c r="BG160" i="1"/>
  <c r="CZ160" i="1"/>
  <c r="J143" i="1"/>
  <c r="DB143" i="1"/>
  <c r="DC143" i="1" s="1"/>
  <c r="CZ95" i="1"/>
  <c r="BI95" i="1"/>
  <c r="CL95" i="1" s="1"/>
  <c r="CV95" i="1"/>
  <c r="CW95" i="1" s="1"/>
  <c r="CX95" i="1" s="1"/>
  <c r="CS95" i="1"/>
  <c r="CT95" i="1" s="1"/>
  <c r="CU95" i="1" s="1"/>
  <c r="BG95" i="1"/>
  <c r="CC95" i="1" s="1"/>
  <c r="T191" i="1"/>
  <c r="U191" i="1"/>
  <c r="BD191" i="1" s="1"/>
  <c r="J169" i="1"/>
  <c r="DB169" i="1"/>
  <c r="DC169" i="1" s="1"/>
  <c r="DF169" i="1" s="1"/>
  <c r="H141" i="1"/>
  <c r="CS141" i="1"/>
  <c r="CT141" i="1" s="1"/>
  <c r="CU141" i="1" s="1"/>
  <c r="CZ141" i="1"/>
  <c r="BG141" i="1"/>
  <c r="BH141" i="1"/>
  <c r="BI141" i="1"/>
  <c r="CV141" i="1"/>
  <c r="CW141" i="1" s="1"/>
  <c r="CX141" i="1" s="1"/>
  <c r="DB119" i="1"/>
  <c r="DC119" i="1" s="1"/>
  <c r="J119" i="1"/>
  <c r="H76" i="1"/>
  <c r="AJ76" i="1" s="1"/>
  <c r="BG76" i="1"/>
  <c r="CZ76" i="1"/>
  <c r="BI76" i="1"/>
  <c r="CV76" i="1"/>
  <c r="CW76" i="1" s="1"/>
  <c r="CX76" i="1" s="1"/>
  <c r="BH76" i="1"/>
  <c r="CS76" i="1"/>
  <c r="CT76" i="1" s="1"/>
  <c r="CU76" i="1" s="1"/>
  <c r="U208" i="1"/>
  <c r="S208" i="1"/>
  <c r="W208" i="1"/>
  <c r="T208" i="1"/>
  <c r="BB208" i="1" s="1"/>
  <c r="V208" i="1"/>
  <c r="BF208" i="1" s="1"/>
  <c r="U192" i="1"/>
  <c r="BD192" i="1" s="1"/>
  <c r="S192" i="1"/>
  <c r="AH192" i="1" s="1"/>
  <c r="W192" i="1"/>
  <c r="T192" i="1"/>
  <c r="V192" i="1"/>
  <c r="BF192" i="1" s="1"/>
  <c r="H176" i="1"/>
  <c r="AR176" i="1" s="1"/>
  <c r="BG176" i="1"/>
  <c r="CS176" i="1"/>
  <c r="CT176" i="1" s="1"/>
  <c r="CU176" i="1" s="1"/>
  <c r="CV176" i="1"/>
  <c r="CW176" i="1" s="1"/>
  <c r="CX176" i="1" s="1"/>
  <c r="CZ176" i="1"/>
  <c r="BI176" i="1"/>
  <c r="BH176" i="1"/>
  <c r="J170" i="1"/>
  <c r="DB170" i="1"/>
  <c r="DC170" i="1" s="1"/>
  <c r="DB159" i="1"/>
  <c r="DC159" i="1" s="1"/>
  <c r="DF159" i="1" s="1"/>
  <c r="J159" i="1"/>
  <c r="DB142" i="1"/>
  <c r="DC142" i="1" s="1"/>
  <c r="J142" i="1"/>
  <c r="H132" i="1"/>
  <c r="AJ132" i="1" s="1"/>
  <c r="BG132" i="1"/>
  <c r="CS132" i="1"/>
  <c r="CT132" i="1" s="1"/>
  <c r="CU132" i="1" s="1"/>
  <c r="BH132" i="1"/>
  <c r="CZ132" i="1"/>
  <c r="BI132" i="1"/>
  <c r="CV132" i="1"/>
  <c r="CW132" i="1" s="1"/>
  <c r="CX132" i="1" s="1"/>
  <c r="H86" i="1"/>
  <c r="AR86" i="1" s="1"/>
  <c r="BG86" i="1"/>
  <c r="CV86" i="1"/>
  <c r="CW86" i="1" s="1"/>
  <c r="CX86" i="1" s="1"/>
  <c r="CZ86" i="1"/>
  <c r="BI86" i="1"/>
  <c r="CS86" i="1"/>
  <c r="CT86" i="1" s="1"/>
  <c r="CU86" i="1" s="1"/>
  <c r="BH86" i="1"/>
  <c r="BP86" i="1" s="1"/>
  <c r="H42" i="1"/>
  <c r="BH42" i="1"/>
  <c r="BG42" i="1"/>
  <c r="CV42" i="1"/>
  <c r="CW42" i="1" s="1"/>
  <c r="CX42" i="1" s="1"/>
  <c r="CZ42" i="1"/>
  <c r="CS42" i="1"/>
  <c r="CT42" i="1" s="1"/>
  <c r="CU42" i="1" s="1"/>
  <c r="BI42" i="1"/>
  <c r="U266" i="1"/>
  <c r="BD266" i="1" s="1"/>
  <c r="S266" i="1"/>
  <c r="AH266" i="1" s="1"/>
  <c r="V266" i="1"/>
  <c r="BF266" i="1" s="1"/>
  <c r="V202" i="1"/>
  <c r="BF202" i="1" s="1"/>
  <c r="U186" i="1"/>
  <c r="H170" i="1"/>
  <c r="BI170" i="1"/>
  <c r="BG170" i="1"/>
  <c r="CV170" i="1"/>
  <c r="CW170" i="1" s="1"/>
  <c r="CX170" i="1" s="1"/>
  <c r="CS170" i="1"/>
  <c r="CT170" i="1" s="1"/>
  <c r="CU170" i="1" s="1"/>
  <c r="BH170" i="1"/>
  <c r="BP170" i="1" s="1"/>
  <c r="CZ170" i="1"/>
  <c r="J164" i="1"/>
  <c r="DB164" i="1"/>
  <c r="DC164" i="1" s="1"/>
  <c r="DB158" i="1"/>
  <c r="DC158" i="1" s="1"/>
  <c r="J158" i="1"/>
  <c r="J151" i="1"/>
  <c r="DB151" i="1"/>
  <c r="DC151" i="1" s="1"/>
  <c r="DB130" i="1"/>
  <c r="DC130" i="1" s="1"/>
  <c r="J130" i="1"/>
  <c r="H120" i="1"/>
  <c r="CZ120" i="1"/>
  <c r="CS120" i="1"/>
  <c r="CT120" i="1" s="1"/>
  <c r="CU120" i="1" s="1"/>
  <c r="BI120" i="1"/>
  <c r="CE120" i="1" s="1"/>
  <c r="CV120" i="1"/>
  <c r="CW120" i="1" s="1"/>
  <c r="CX120" i="1" s="1"/>
  <c r="BH120" i="1"/>
  <c r="BW120" i="1" s="1"/>
  <c r="BG120" i="1"/>
  <c r="H109" i="1"/>
  <c r="AR109" i="1" s="1"/>
  <c r="BH109" i="1"/>
  <c r="CZ109" i="1"/>
  <c r="BG109" i="1"/>
  <c r="CV109" i="1"/>
  <c r="CW109" i="1" s="1"/>
  <c r="CX109" i="1" s="1"/>
  <c r="CS109" i="1"/>
  <c r="CT109" i="1" s="1"/>
  <c r="CU109" i="1" s="1"/>
  <c r="BI109" i="1"/>
  <c r="BX109" i="1" s="1"/>
  <c r="H15" i="1"/>
  <c r="U15" i="1" s="1"/>
  <c r="BG15" i="1"/>
  <c r="BH15" i="1"/>
  <c r="CV15" i="1"/>
  <c r="CW15" i="1" s="1"/>
  <c r="CX15" i="1" s="1"/>
  <c r="CZ15" i="1"/>
  <c r="BI15" i="1"/>
  <c r="CS15" i="1"/>
  <c r="CT15" i="1" s="1"/>
  <c r="CU15" i="1" s="1"/>
  <c r="J171" i="1"/>
  <c r="DB171" i="1"/>
  <c r="DC171" i="1" s="1"/>
  <c r="CE169" i="1"/>
  <c r="BQ169" i="1"/>
  <c r="V216" i="1"/>
  <c r="S216" i="1"/>
  <c r="Y216" i="1" s="1"/>
  <c r="T216" i="1"/>
  <c r="BB216" i="1" s="1"/>
  <c r="W216" i="1"/>
  <c r="U216" i="1"/>
  <c r="AR275" i="1"/>
  <c r="AJ275" i="1"/>
  <c r="AA275" i="1"/>
  <c r="AA221" i="1"/>
  <c r="AJ221" i="1"/>
  <c r="AR33" i="1"/>
  <c r="AA33" i="1"/>
  <c r="AJ33" i="1"/>
  <c r="AJ194" i="1"/>
  <c r="AA194" i="1"/>
  <c r="AO194" i="1"/>
  <c r="AR194" i="1"/>
  <c r="V276" i="1"/>
  <c r="BF276" i="1" s="1"/>
  <c r="T276" i="1"/>
  <c r="AO276" i="1" s="1"/>
  <c r="W276" i="1"/>
  <c r="S276" i="1"/>
  <c r="U276" i="1"/>
  <c r="AF276" i="1" s="1"/>
  <c r="V250" i="1"/>
  <c r="AW250" i="1" s="1"/>
  <c r="S250" i="1"/>
  <c r="X250" i="1" s="1"/>
  <c r="T250" i="1"/>
  <c r="AO250" i="1" s="1"/>
  <c r="W250" i="1"/>
  <c r="U250" i="1"/>
  <c r="AJ250" i="1"/>
  <c r="AR29" i="1"/>
  <c r="AA29" i="1"/>
  <c r="AA279" i="1"/>
  <c r="AR213" i="1"/>
  <c r="AR218" i="1"/>
  <c r="AR220" i="1"/>
  <c r="AA7" i="1"/>
  <c r="W258" i="1"/>
  <c r="AJ251" i="1"/>
  <c r="AA251" i="1"/>
  <c r="AH205" i="1"/>
  <c r="AF205" i="1"/>
  <c r="AR205" i="1"/>
  <c r="Y205" i="1"/>
  <c r="X205" i="1"/>
  <c r="AA205" i="1"/>
  <c r="AO205" i="1"/>
  <c r="AJ205" i="1"/>
  <c r="AA24" i="1"/>
  <c r="AR24" i="1"/>
  <c r="AJ24" i="1"/>
  <c r="V245" i="1"/>
  <c r="BF245" i="1" s="1"/>
  <c r="S245" i="1"/>
  <c r="AH245" i="1" s="1"/>
  <c r="U245" i="1"/>
  <c r="T245" i="1"/>
  <c r="BB245" i="1" s="1"/>
  <c r="W245" i="1"/>
  <c r="AA131" i="1"/>
  <c r="AR131" i="1"/>
  <c r="AJ131" i="1"/>
  <c r="AA246" i="1"/>
  <c r="S229" i="1"/>
  <c r="X229" i="1" s="1"/>
  <c r="V229" i="1"/>
  <c r="BF229" i="1" s="1"/>
  <c r="U229" i="1"/>
  <c r="T229" i="1"/>
  <c r="W229" i="1"/>
  <c r="AJ25" i="1"/>
  <c r="AR25" i="1"/>
  <c r="AA25" i="1"/>
  <c r="AO188" i="1"/>
  <c r="AA188" i="1"/>
  <c r="AR188" i="1"/>
  <c r="AJ188" i="1"/>
  <c r="Y188" i="1"/>
  <c r="AO204" i="1"/>
  <c r="AR238" i="1"/>
  <c r="AJ17" i="1"/>
  <c r="AA222" i="1"/>
  <c r="AJ222" i="1"/>
  <c r="S224" i="1"/>
  <c r="Y224" i="1" s="1"/>
  <c r="V224" i="1"/>
  <c r="AW224" i="1" s="1"/>
  <c r="W224" i="1"/>
  <c r="U224" i="1"/>
  <c r="T224" i="1"/>
  <c r="AJ224" i="1"/>
  <c r="V226" i="1"/>
  <c r="BF226" i="1" s="1"/>
  <c r="S226" i="1"/>
  <c r="Y226" i="1" s="1"/>
  <c r="U226" i="1"/>
  <c r="AF226" i="1" s="1"/>
  <c r="T226" i="1"/>
  <c r="AO226" i="1" s="1"/>
  <c r="W226" i="1"/>
  <c r="S248" i="1"/>
  <c r="Y248" i="1" s="1"/>
  <c r="V248" i="1"/>
  <c r="AW248" i="1" s="1"/>
  <c r="T248" i="1"/>
  <c r="W248" i="1"/>
  <c r="U248" i="1"/>
  <c r="AF248" i="1" s="1"/>
  <c r="AA183" i="1"/>
  <c r="AJ183" i="1"/>
  <c r="AR183" i="1"/>
  <c r="AJ199" i="1"/>
  <c r="AR199" i="1"/>
  <c r="AW199" i="1"/>
  <c r="AJ321" i="1"/>
  <c r="AA321" i="1"/>
  <c r="AO321" i="1"/>
  <c r="AR321" i="1"/>
  <c r="V68" i="1"/>
  <c r="S68" i="1"/>
  <c r="AH68" i="1" s="1"/>
  <c r="T68" i="1"/>
  <c r="AO68" i="1" s="1"/>
  <c r="U68" i="1"/>
  <c r="AF68" i="1" s="1"/>
  <c r="W68" i="1"/>
  <c r="S48" i="1"/>
  <c r="U40" i="1"/>
  <c r="AF40" i="1" s="1"/>
  <c r="T40" i="1"/>
  <c r="AO40" i="1" s="1"/>
  <c r="W40" i="1"/>
  <c r="S40" i="1"/>
  <c r="AH40" i="1" s="1"/>
  <c r="V40" i="1"/>
  <c r="AW40" i="1" s="1"/>
  <c r="V36" i="1"/>
  <c r="AW36" i="1" s="1"/>
  <c r="U32" i="1"/>
  <c r="AF32" i="1" s="1"/>
  <c r="T32" i="1"/>
  <c r="S32" i="1"/>
  <c r="X32" i="1" s="1"/>
  <c r="V32" i="1"/>
  <c r="W32" i="1"/>
  <c r="T28" i="1"/>
  <c r="AO28" i="1" s="1"/>
  <c r="T24" i="1"/>
  <c r="AO24" i="1" s="1"/>
  <c r="W24" i="1"/>
  <c r="S24" i="1"/>
  <c r="Y24" i="1" s="1"/>
  <c r="U24" i="1"/>
  <c r="AF24" i="1" s="1"/>
  <c r="V24" i="1"/>
  <c r="AW24" i="1" s="1"/>
  <c r="S20" i="1"/>
  <c r="X20" i="1" s="1"/>
  <c r="V12" i="1"/>
  <c r="BF12" i="1" s="1"/>
  <c r="W12" i="1"/>
  <c r="S12" i="1"/>
  <c r="AH12" i="1" s="1"/>
  <c r="T12" i="1"/>
  <c r="BB12" i="1" s="1"/>
  <c r="W8" i="1"/>
  <c r="V327" i="1"/>
  <c r="AW327" i="1" s="1"/>
  <c r="T327" i="1"/>
  <c r="AO327" i="1" s="1"/>
  <c r="S327" i="1"/>
  <c r="W327" i="1"/>
  <c r="U327" i="1"/>
  <c r="AF327" i="1" s="1"/>
  <c r="AR327" i="1"/>
  <c r="AJ327" i="1"/>
  <c r="T320" i="1"/>
  <c r="AO320" i="1" s="1"/>
  <c r="U320" i="1"/>
  <c r="AF320" i="1" s="1"/>
  <c r="W320" i="1"/>
  <c r="V316" i="1"/>
  <c r="AW316" i="1" s="1"/>
  <c r="S316" i="1"/>
  <c r="Y316" i="1" s="1"/>
  <c r="W316" i="1"/>
  <c r="U309" i="1"/>
  <c r="S309" i="1"/>
  <c r="W309" i="1"/>
  <c r="T309" i="1"/>
  <c r="AO309" i="1" s="1"/>
  <c r="V309" i="1"/>
  <c r="BF309" i="1" s="1"/>
  <c r="AJ309" i="1"/>
  <c r="AR333" i="1"/>
  <c r="AJ333" i="1"/>
  <c r="AJ167" i="1"/>
  <c r="AA167" i="1"/>
  <c r="AR167" i="1"/>
  <c r="AR103" i="1"/>
  <c r="AA103" i="1"/>
  <c r="AJ103" i="1"/>
  <c r="AA39" i="1"/>
  <c r="AR39" i="1"/>
  <c r="AJ39" i="1"/>
  <c r="DB111" i="1"/>
  <c r="J111" i="1"/>
  <c r="DB107" i="1"/>
  <c r="J107" i="1"/>
  <c r="DB103" i="1"/>
  <c r="DC103" i="1" s="1"/>
  <c r="J103" i="1"/>
  <c r="J99" i="1"/>
  <c r="DB99" i="1"/>
  <c r="J95" i="1"/>
  <c r="DB95" i="1"/>
  <c r="DC95" i="1" s="1"/>
  <c r="J91" i="1"/>
  <c r="DB91" i="1"/>
  <c r="DB87" i="1"/>
  <c r="J87" i="1"/>
  <c r="DB83" i="1"/>
  <c r="J83" i="1"/>
  <c r="DB79" i="1"/>
  <c r="J79" i="1"/>
  <c r="DB75" i="1"/>
  <c r="J75" i="1"/>
  <c r="J71" i="1"/>
  <c r="DB71" i="1"/>
  <c r="DB67" i="1"/>
  <c r="J67" i="1"/>
  <c r="DB63" i="1"/>
  <c r="J63" i="1"/>
  <c r="DB59" i="1"/>
  <c r="J59" i="1"/>
  <c r="DB55" i="1"/>
  <c r="J55" i="1"/>
  <c r="DB51" i="1"/>
  <c r="J51" i="1"/>
  <c r="J47" i="1"/>
  <c r="DB47" i="1"/>
  <c r="DB43" i="1"/>
  <c r="J43" i="1"/>
  <c r="J39" i="1"/>
  <c r="DB39" i="1"/>
  <c r="J35" i="1"/>
  <c r="DB35" i="1"/>
  <c r="DB31" i="1"/>
  <c r="J31" i="1"/>
  <c r="J27" i="1"/>
  <c r="DB27" i="1"/>
  <c r="J23" i="1"/>
  <c r="DB23" i="1"/>
  <c r="DB19" i="1"/>
  <c r="J19" i="1"/>
  <c r="J15" i="1"/>
  <c r="DB15" i="1"/>
  <c r="J11" i="1"/>
  <c r="DB11" i="1"/>
  <c r="DB7" i="1"/>
  <c r="J7" i="1"/>
  <c r="T340" i="1"/>
  <c r="V340" i="1"/>
  <c r="U340" i="1"/>
  <c r="AF340" i="1" s="1"/>
  <c r="W340" i="1"/>
  <c r="S340" i="1"/>
  <c r="X340" i="1" s="1"/>
  <c r="T333" i="1"/>
  <c r="AO333" i="1" s="1"/>
  <c r="V333" i="1"/>
  <c r="S333" i="1"/>
  <c r="AH333" i="1" s="1"/>
  <c r="U333" i="1"/>
  <c r="AF333" i="1" s="1"/>
  <c r="W333" i="1"/>
  <c r="AJ143" i="1"/>
  <c r="AA143" i="1"/>
  <c r="AR143" i="1"/>
  <c r="AR79" i="1"/>
  <c r="AA79" i="1"/>
  <c r="V305" i="1"/>
  <c r="AW305" i="1" s="1"/>
  <c r="T305" i="1"/>
  <c r="S305" i="1"/>
  <c r="W305" i="1"/>
  <c r="U305" i="1"/>
  <c r="AF305" i="1" s="1"/>
  <c r="AJ305" i="1"/>
  <c r="AR305" i="1"/>
  <c r="U297" i="1"/>
  <c r="S297" i="1"/>
  <c r="W297" i="1"/>
  <c r="V297" i="1"/>
  <c r="T297" i="1"/>
  <c r="AO297" i="1" s="1"/>
  <c r="AJ297" i="1"/>
  <c r="AR335" i="1"/>
  <c r="AJ335" i="1"/>
  <c r="AR303" i="1"/>
  <c r="AR173" i="1"/>
  <c r="AA173" i="1"/>
  <c r="AJ173" i="1"/>
  <c r="AJ109" i="1"/>
  <c r="AR45" i="1"/>
  <c r="AA45" i="1"/>
  <c r="AW347" i="1"/>
  <c r="AA347" i="1"/>
  <c r="AJ347" i="1"/>
  <c r="AR347" i="1"/>
  <c r="AJ315" i="1"/>
  <c r="AA315" i="1"/>
  <c r="AA129" i="1"/>
  <c r="AJ97" i="1"/>
  <c r="AR97" i="1"/>
  <c r="AR65" i="1"/>
  <c r="AA65" i="1"/>
  <c r="AJ65" i="1"/>
  <c r="AA26" i="1"/>
  <c r="AR26" i="1"/>
  <c r="AJ26" i="1"/>
  <c r="AR273" i="1"/>
  <c r="AJ273" i="1"/>
  <c r="AA273" i="1"/>
  <c r="AA176" i="1"/>
  <c r="AJ168" i="1"/>
  <c r="AA168" i="1"/>
  <c r="AR168" i="1"/>
  <c r="AR160" i="1"/>
  <c r="AJ152" i="1"/>
  <c r="AR152" i="1"/>
  <c r="AA152" i="1"/>
  <c r="AR144" i="1"/>
  <c r="AR136" i="1"/>
  <c r="AA136" i="1"/>
  <c r="AJ136" i="1"/>
  <c r="AR96" i="1"/>
  <c r="AA96" i="1"/>
  <c r="AJ88" i="1"/>
  <c r="AA88" i="1"/>
  <c r="AR88" i="1"/>
  <c r="AR80" i="1"/>
  <c r="AJ80" i="1"/>
  <c r="AA80" i="1"/>
  <c r="AR40" i="1"/>
  <c r="AJ40" i="1"/>
  <c r="AA40" i="1"/>
  <c r="T299" i="1"/>
  <c r="AO299" i="1" s="1"/>
  <c r="S299" i="1"/>
  <c r="W299" i="1"/>
  <c r="U299" i="1"/>
  <c r="AF299" i="1" s="1"/>
  <c r="V299" i="1"/>
  <c r="AW299" i="1" s="1"/>
  <c r="AR299" i="1"/>
  <c r="AA348" i="1"/>
  <c r="AJ348" i="1"/>
  <c r="AR348" i="1"/>
  <c r="AR340" i="1"/>
  <c r="AA332" i="1"/>
  <c r="AR332" i="1"/>
  <c r="AJ332" i="1"/>
  <c r="AJ316" i="1"/>
  <c r="AA308" i="1"/>
  <c r="AR308" i="1"/>
  <c r="AJ308" i="1"/>
  <c r="AJ300" i="1"/>
  <c r="AR300" i="1"/>
  <c r="AJ292" i="1"/>
  <c r="AJ284" i="1"/>
  <c r="AR284" i="1"/>
  <c r="S257" i="1"/>
  <c r="Y257" i="1" s="1"/>
  <c r="V257" i="1"/>
  <c r="AW257" i="1" s="1"/>
  <c r="U257" i="1"/>
  <c r="W257" i="1"/>
  <c r="T257" i="1"/>
  <c r="AO257" i="1" s="1"/>
  <c r="AJ257" i="1"/>
  <c r="V252" i="1"/>
  <c r="AW252" i="1" s="1"/>
  <c r="S252" i="1"/>
  <c r="AH252" i="1" s="1"/>
  <c r="U252" i="1"/>
  <c r="AF252" i="1" s="1"/>
  <c r="W252" i="1"/>
  <c r="T252" i="1"/>
  <c r="AO252" i="1" s="1"/>
  <c r="AR252" i="1"/>
  <c r="V285" i="1"/>
  <c r="T285" i="1"/>
  <c r="AO285" i="1" s="1"/>
  <c r="W285" i="1"/>
  <c r="U285" i="1"/>
  <c r="AF285" i="1" s="1"/>
  <c r="S285" i="1"/>
  <c r="AR285" i="1"/>
  <c r="AR265" i="1"/>
  <c r="AA265" i="1"/>
  <c r="AJ265" i="1"/>
  <c r="AR261" i="1"/>
  <c r="AJ261" i="1"/>
  <c r="AA261" i="1"/>
  <c r="AA215" i="1"/>
  <c r="AJ215" i="1"/>
  <c r="AR215" i="1"/>
  <c r="T292" i="1"/>
  <c r="AO292" i="1" s="1"/>
  <c r="V292" i="1"/>
  <c r="AW292" i="1" s="1"/>
  <c r="W292" i="1"/>
  <c r="U292" i="1"/>
  <c r="AF292" i="1" s="1"/>
  <c r="S292" i="1"/>
  <c r="T287" i="1"/>
  <c r="V287" i="1"/>
  <c r="BF287" i="1" s="1"/>
  <c r="U287" i="1"/>
  <c r="AF287" i="1" s="1"/>
  <c r="S287" i="1"/>
  <c r="Y287" i="1" s="1"/>
  <c r="W287" i="1"/>
  <c r="T281" i="1"/>
  <c r="V281" i="1"/>
  <c r="AW281" i="1" s="1"/>
  <c r="S281" i="1"/>
  <c r="U281" i="1"/>
  <c r="AF281" i="1" s="1"/>
  <c r="W281" i="1"/>
  <c r="AJ281" i="1"/>
  <c r="V263" i="1"/>
  <c r="BF263" i="1" s="1"/>
  <c r="S263" i="1"/>
  <c r="Y263" i="1" s="1"/>
  <c r="W263" i="1"/>
  <c r="U263" i="1"/>
  <c r="AF263" i="1" s="1"/>
  <c r="T263" i="1"/>
  <c r="BB263" i="1" s="1"/>
  <c r="AJ240" i="1"/>
  <c r="AA240" i="1"/>
  <c r="S234" i="1"/>
  <c r="V234" i="1"/>
  <c r="AW234" i="1" s="1"/>
  <c r="W234" i="1"/>
  <c r="U234" i="1"/>
  <c r="AF234" i="1" s="1"/>
  <c r="T234" i="1"/>
  <c r="AR234" i="1"/>
  <c r="AJ234" i="1"/>
  <c r="V249" i="1"/>
  <c r="AW249" i="1" s="1"/>
  <c r="S249" i="1"/>
  <c r="Y249" i="1" s="1"/>
  <c r="W249" i="1"/>
  <c r="U249" i="1"/>
  <c r="AF249" i="1" s="1"/>
  <c r="T249" i="1"/>
  <c r="AO249" i="1" s="1"/>
  <c r="V239" i="1"/>
  <c r="S239" i="1"/>
  <c r="Y239" i="1" s="1"/>
  <c r="T239" i="1"/>
  <c r="AO239" i="1" s="1"/>
  <c r="U239" i="1"/>
  <c r="AF239" i="1" s="1"/>
  <c r="W239" i="1"/>
  <c r="AR239" i="1"/>
  <c r="T244" i="1"/>
  <c r="BB244" i="1" s="1"/>
  <c r="S227" i="1"/>
  <c r="Y227" i="1" s="1"/>
  <c r="V227" i="1"/>
  <c r="BF227" i="1" s="1"/>
  <c r="W227" i="1"/>
  <c r="T227" i="1"/>
  <c r="BB227" i="1" s="1"/>
  <c r="U227" i="1"/>
  <c r="AF227" i="1" s="1"/>
  <c r="AJ225" i="1"/>
  <c r="AR225" i="1"/>
  <c r="AA225" i="1"/>
  <c r="V212" i="1"/>
  <c r="BF212" i="1" s="1"/>
  <c r="S212" i="1"/>
  <c r="Y212" i="1" s="1"/>
  <c r="T212" i="1"/>
  <c r="W212" i="1"/>
  <c r="U212" i="1"/>
  <c r="AF212" i="1" s="1"/>
  <c r="AJ212" i="1"/>
  <c r="AA333" i="1"/>
  <c r="AA204" i="1"/>
  <c r="AA224" i="1"/>
  <c r="BV6" i="1"/>
  <c r="BW6" i="1"/>
  <c r="BO148" i="1"/>
  <c r="BD32" i="1"/>
  <c r="BF68" i="1"/>
  <c r="AJ204" i="1"/>
  <c r="AR278" i="1"/>
  <c r="AJ213" i="1"/>
  <c r="AA213" i="1"/>
  <c r="AR221" i="1"/>
  <c r="AA237" i="1"/>
  <c r="AR237" i="1"/>
  <c r="AR245" i="1"/>
  <c r="AA245" i="1"/>
  <c r="AJ245" i="1"/>
  <c r="X245" i="1"/>
  <c r="Y245" i="1"/>
  <c r="AR211" i="1"/>
  <c r="S237" i="1"/>
  <c r="Y237" i="1" s="1"/>
  <c r="V237" i="1"/>
  <c r="BF237" i="1" s="1"/>
  <c r="W237" i="1"/>
  <c r="U237" i="1"/>
  <c r="AF237" i="1" s="1"/>
  <c r="T237" i="1"/>
  <c r="AO237" i="1" s="1"/>
  <c r="V242" i="1"/>
  <c r="AW242" i="1" s="1"/>
  <c r="S251" i="1"/>
  <c r="Y251" i="1" s="1"/>
  <c r="V251" i="1"/>
  <c r="AW251" i="1" s="1"/>
  <c r="W251" i="1"/>
  <c r="U251" i="1"/>
  <c r="AF251" i="1" s="1"/>
  <c r="T251" i="1"/>
  <c r="AO251" i="1" s="1"/>
  <c r="AJ214" i="1"/>
  <c r="S246" i="1"/>
  <c r="X246" i="1" s="1"/>
  <c r="V246" i="1"/>
  <c r="AW246" i="1" s="1"/>
  <c r="W246" i="1"/>
  <c r="U246" i="1"/>
  <c r="T246" i="1"/>
  <c r="V236" i="1"/>
  <c r="AW236" i="1" s="1"/>
  <c r="S236" i="1"/>
  <c r="AH236" i="1" s="1"/>
  <c r="T236" i="1"/>
  <c r="AO236" i="1" s="1"/>
  <c r="W236" i="1"/>
  <c r="U236" i="1"/>
  <c r="AW229" i="1"/>
  <c r="AR229" i="1"/>
  <c r="AJ229" i="1"/>
  <c r="AA229" i="1"/>
  <c r="AJ180" i="1"/>
  <c r="AW180" i="1"/>
  <c r="AA180" i="1"/>
  <c r="AR180" i="1"/>
  <c r="AH180" i="1"/>
  <c r="AA196" i="1"/>
  <c r="AJ196" i="1"/>
  <c r="AF196" i="1"/>
  <c r="AH196" i="1"/>
  <c r="Y196" i="1"/>
  <c r="V278" i="1"/>
  <c r="T278" i="1"/>
  <c r="AO278" i="1" s="1"/>
  <c r="W278" i="1"/>
  <c r="U278" i="1"/>
  <c r="S278" i="1"/>
  <c r="AJ278" i="1"/>
  <c r="AA238" i="1"/>
  <c r="AJ238" i="1"/>
  <c r="AA248" i="1"/>
  <c r="AH248" i="1"/>
  <c r="AR191" i="1"/>
  <c r="AJ191" i="1"/>
  <c r="AA191" i="1"/>
  <c r="AR207" i="1"/>
  <c r="AJ207" i="1"/>
  <c r="AA207" i="1"/>
  <c r="V320" i="1"/>
  <c r="AW320" i="1" s="1"/>
  <c r="V274" i="1"/>
  <c r="BF274" i="1" s="1"/>
  <c r="T274" i="1"/>
  <c r="BB274" i="1" s="1"/>
  <c r="W274" i="1"/>
  <c r="U274" i="1"/>
  <c r="AF274" i="1" s="1"/>
  <c r="AJ123" i="1"/>
  <c r="AR123" i="1"/>
  <c r="AA123" i="1"/>
  <c r="AJ59" i="1"/>
  <c r="AR59" i="1"/>
  <c r="AA59" i="1"/>
  <c r="W70" i="1"/>
  <c r="T70" i="1"/>
  <c r="BB70" i="1" s="1"/>
  <c r="S70" i="1"/>
  <c r="X70" i="1" s="1"/>
  <c r="V70" i="1"/>
  <c r="BF70" i="1" s="1"/>
  <c r="U70" i="1"/>
  <c r="AF70" i="1" s="1"/>
  <c r="S66" i="1"/>
  <c r="U66" i="1"/>
  <c r="AF66" i="1" s="1"/>
  <c r="W66" i="1"/>
  <c r="V66" i="1"/>
  <c r="T66" i="1"/>
  <c r="AO66" i="1" s="1"/>
  <c r="V62" i="1"/>
  <c r="BF62" i="1" s="1"/>
  <c r="U58" i="1"/>
  <c r="AF58" i="1" s="1"/>
  <c r="T58" i="1"/>
  <c r="BB58" i="1" s="1"/>
  <c r="W58" i="1"/>
  <c r="S58" i="1"/>
  <c r="AH58" i="1" s="1"/>
  <c r="V58" i="1"/>
  <c r="BF58" i="1" s="1"/>
  <c r="T54" i="1"/>
  <c r="BB54" i="1" s="1"/>
  <c r="V54" i="1"/>
  <c r="W54" i="1"/>
  <c r="S54" i="1"/>
  <c r="U54" i="1"/>
  <c r="AF54" i="1" s="1"/>
  <c r="V50" i="1"/>
  <c r="BF50" i="1" s="1"/>
  <c r="S50" i="1"/>
  <c r="U50" i="1"/>
  <c r="AF50" i="1" s="1"/>
  <c r="T50" i="1"/>
  <c r="AO50" i="1" s="1"/>
  <c r="W50" i="1"/>
  <c r="U46" i="1"/>
  <c r="AF46" i="1" s="1"/>
  <c r="S42" i="1"/>
  <c r="W42" i="1"/>
  <c r="U42" i="1"/>
  <c r="AF42" i="1" s="1"/>
  <c r="V42" i="1"/>
  <c r="BF42" i="1" s="1"/>
  <c r="T42" i="1"/>
  <c r="AO42" i="1" s="1"/>
  <c r="S34" i="1"/>
  <c r="Y34" i="1" s="1"/>
  <c r="V30" i="1"/>
  <c r="AW30" i="1" s="1"/>
  <c r="S30" i="1"/>
  <c r="Y30" i="1" s="1"/>
  <c r="W30" i="1"/>
  <c r="T30" i="1"/>
  <c r="BB30" i="1" s="1"/>
  <c r="U30" i="1"/>
  <c r="AF30" i="1" s="1"/>
  <c r="V26" i="1"/>
  <c r="AW26" i="1" s="1"/>
  <c r="U26" i="1"/>
  <c r="AF26" i="1" s="1"/>
  <c r="T26" i="1"/>
  <c r="AO26" i="1" s="1"/>
  <c r="W26" i="1"/>
  <c r="S26" i="1"/>
  <c r="X26" i="1" s="1"/>
  <c r="U22" i="1"/>
  <c r="AF22" i="1" s="1"/>
  <c r="V22" i="1"/>
  <c r="AW22" i="1" s="1"/>
  <c r="S22" i="1"/>
  <c r="X22" i="1" s="1"/>
  <c r="T22" i="1"/>
  <c r="AO22" i="1" s="1"/>
  <c r="W22" i="1"/>
  <c r="S18" i="1"/>
  <c r="X18" i="1" s="1"/>
  <c r="T10" i="1"/>
  <c r="AO10" i="1" s="1"/>
  <c r="U10" i="1"/>
  <c r="AF10" i="1" s="1"/>
  <c r="S10" i="1"/>
  <c r="AH10" i="1" s="1"/>
  <c r="W10" i="1"/>
  <c r="V10" i="1"/>
  <c r="BF10" i="1" s="1"/>
  <c r="V6" i="1"/>
  <c r="V339" i="1"/>
  <c r="BF339" i="1" s="1"/>
  <c r="T339" i="1"/>
  <c r="AO339" i="1" s="1"/>
  <c r="S339" i="1"/>
  <c r="Y339" i="1" s="1"/>
  <c r="U339" i="1"/>
  <c r="AF339" i="1" s="1"/>
  <c r="W339" i="1"/>
  <c r="AR339" i="1"/>
  <c r="V323" i="1"/>
  <c r="AW323" i="1" s="1"/>
  <c r="S323" i="1"/>
  <c r="X323" i="1" s="1"/>
  <c r="U323" i="1"/>
  <c r="AF323" i="1" s="1"/>
  <c r="T323" i="1"/>
  <c r="AO323" i="1" s="1"/>
  <c r="W323" i="1"/>
  <c r="AR323" i="1"/>
  <c r="AA323" i="1"/>
  <c r="AJ323" i="1"/>
  <c r="T318" i="1"/>
  <c r="W318" i="1"/>
  <c r="U318" i="1"/>
  <c r="AF318" i="1" s="1"/>
  <c r="S311" i="1"/>
  <c r="W311" i="1"/>
  <c r="U311" i="1"/>
  <c r="T311" i="1"/>
  <c r="BB311" i="1" s="1"/>
  <c r="V311" i="1"/>
  <c r="AW311" i="1" s="1"/>
  <c r="AJ311" i="1"/>
  <c r="S306" i="1"/>
  <c r="T306" i="1"/>
  <c r="AO306" i="1" s="1"/>
  <c r="U306" i="1"/>
  <c r="AF306" i="1" s="1"/>
  <c r="V306" i="1"/>
  <c r="AW306" i="1" s="1"/>
  <c r="AJ301" i="1"/>
  <c r="AR135" i="1"/>
  <c r="AR71" i="1"/>
  <c r="AA71" i="1"/>
  <c r="AJ71" i="1"/>
  <c r="AJ249" i="1"/>
  <c r="AR249" i="1"/>
  <c r="DB109" i="1"/>
  <c r="J109" i="1"/>
  <c r="DB105" i="1"/>
  <c r="J105" i="1"/>
  <c r="J101" i="1"/>
  <c r="DB101" i="1"/>
  <c r="DB97" i="1"/>
  <c r="J97" i="1"/>
  <c r="J93" i="1"/>
  <c r="DB93" i="1"/>
  <c r="DB89" i="1"/>
  <c r="J89" i="1"/>
  <c r="J85" i="1"/>
  <c r="DB85" i="1"/>
  <c r="DB81" i="1"/>
  <c r="J81" i="1"/>
  <c r="DB77" i="1"/>
  <c r="J77" i="1"/>
  <c r="J73" i="1"/>
  <c r="DB73" i="1"/>
  <c r="DB69" i="1"/>
  <c r="J69" i="1"/>
  <c r="DB65" i="1"/>
  <c r="J65" i="1"/>
  <c r="DB61" i="1"/>
  <c r="J61" i="1"/>
  <c r="J57" i="1"/>
  <c r="DB57" i="1"/>
  <c r="DB53" i="1"/>
  <c r="J53" i="1"/>
  <c r="J49" i="1"/>
  <c r="DB49" i="1"/>
  <c r="DB45" i="1"/>
  <c r="J45" i="1"/>
  <c r="DB41" i="1"/>
  <c r="J41" i="1"/>
  <c r="J37" i="1"/>
  <c r="DB37" i="1"/>
  <c r="J33" i="1"/>
  <c r="DB33" i="1"/>
  <c r="J29" i="1"/>
  <c r="DB29" i="1"/>
  <c r="J25" i="1"/>
  <c r="DB25" i="1"/>
  <c r="J21" i="1"/>
  <c r="DB21" i="1"/>
  <c r="DB17" i="1"/>
  <c r="J17" i="1"/>
  <c r="J13" i="1"/>
  <c r="DB13" i="1"/>
  <c r="DB9" i="1"/>
  <c r="J9" i="1"/>
  <c r="T343" i="1"/>
  <c r="BB343" i="1" s="1"/>
  <c r="V343" i="1"/>
  <c r="AW343" i="1" s="1"/>
  <c r="S343" i="1"/>
  <c r="X343" i="1" s="1"/>
  <c r="U343" i="1"/>
  <c r="W343" i="1"/>
  <c r="T331" i="1"/>
  <c r="V331" i="1"/>
  <c r="U331" i="1"/>
  <c r="AF331" i="1" s="1"/>
  <c r="W331" i="1"/>
  <c r="S331" i="1"/>
  <c r="X331" i="1" s="1"/>
  <c r="AA331" i="1"/>
  <c r="AJ331" i="1"/>
  <c r="U304" i="1"/>
  <c r="AF304" i="1" s="1"/>
  <c r="S304" i="1"/>
  <c r="W304" i="1"/>
  <c r="T304" i="1"/>
  <c r="AO304" i="1" s="1"/>
  <c r="V304" i="1"/>
  <c r="AW304" i="1" s="1"/>
  <c r="AJ304" i="1"/>
  <c r="AA304" i="1"/>
  <c r="AJ175" i="1"/>
  <c r="AR175" i="1"/>
  <c r="AA175" i="1"/>
  <c r="AR111" i="1"/>
  <c r="AJ111" i="1"/>
  <c r="AA111" i="1"/>
  <c r="AA47" i="1"/>
  <c r="AJ47" i="1"/>
  <c r="AR47" i="1"/>
  <c r="AA319" i="1"/>
  <c r="AO319" i="1"/>
  <c r="T316" i="1"/>
  <c r="BB316" i="1" s="1"/>
  <c r="AA199" i="1"/>
  <c r="BP16" i="1"/>
  <c r="BQ16" i="1"/>
  <c r="BO16" i="1"/>
  <c r="W306" i="1"/>
  <c r="AR212" i="1"/>
  <c r="AR315" i="1"/>
  <c r="AR204" i="1"/>
  <c r="AA335" i="1"/>
  <c r="AA283" i="1"/>
  <c r="AR324" i="1"/>
  <c r="V230" i="1"/>
  <c r="AW230" i="1" s="1"/>
  <c r="S230" i="1"/>
  <c r="W230" i="1"/>
  <c r="U230" i="1"/>
  <c r="T230" i="1"/>
  <c r="AO230" i="1" s="1"/>
  <c r="AJ230" i="1"/>
  <c r="AA250" i="1"/>
  <c r="AA23" i="1"/>
  <c r="AR23" i="1"/>
  <c r="AJ23" i="1"/>
  <c r="AR19" i="1"/>
  <c r="AJ19" i="1"/>
  <c r="AA19" i="1"/>
  <c r="AR181" i="1"/>
  <c r="AO181" i="1"/>
  <c r="AJ181" i="1"/>
  <c r="AA181" i="1"/>
  <c r="AF181" i="1"/>
  <c r="AW181" i="1"/>
  <c r="AR197" i="1"/>
  <c r="AW197" i="1"/>
  <c r="AA197" i="1"/>
  <c r="AJ197" i="1"/>
  <c r="Y197" i="1"/>
  <c r="AO197" i="1"/>
  <c r="AF197" i="1"/>
  <c r="AR279" i="1"/>
  <c r="X292" i="1"/>
  <c r="AA278" i="1"/>
  <c r="AA285" i="1"/>
  <c r="AW186" i="1"/>
  <c r="AR186" i="1"/>
  <c r="AJ186" i="1"/>
  <c r="AA186" i="1"/>
  <c r="AJ202" i="1"/>
  <c r="AF280" i="1"/>
  <c r="AA309" i="1"/>
  <c r="AJ285" i="1"/>
  <c r="AA289" i="1"/>
  <c r="AR283" i="1"/>
  <c r="S318" i="1"/>
  <c r="S320" i="1"/>
  <c r="AA340" i="1"/>
  <c r="AW309" i="1"/>
  <c r="AH66" i="1"/>
  <c r="AA234" i="1"/>
  <c r="U316" i="1"/>
  <c r="AB198" i="1"/>
  <c r="Z198" i="1"/>
  <c r="AJ340" i="1"/>
  <c r="AJ246" i="1"/>
  <c r="CD95" i="1"/>
  <c r="CJ95" i="1"/>
  <c r="CK95" i="1"/>
  <c r="CE103" i="1"/>
  <c r="CL103" i="1"/>
  <c r="BX103" i="1"/>
  <c r="BQ103" i="1"/>
  <c r="Y199" i="1"/>
  <c r="AA214" i="1"/>
  <c r="BV27" i="1"/>
  <c r="BW27" i="1"/>
  <c r="BV77" i="1"/>
  <c r="BX77" i="1"/>
  <c r="BW77" i="1"/>
  <c r="BV86" i="1"/>
  <c r="BX86" i="1"/>
  <c r="BO126" i="1"/>
  <c r="BP126" i="1"/>
  <c r="BP164" i="1"/>
  <c r="BQ89" i="1"/>
  <c r="BX125" i="1"/>
  <c r="BW125" i="1"/>
  <c r="BV137" i="1"/>
  <c r="BW137" i="1"/>
  <c r="BX150" i="1"/>
  <c r="BW150" i="1"/>
  <c r="BV150" i="1"/>
  <c r="AJ157" i="1"/>
  <c r="AA10" i="1"/>
  <c r="Y10" i="1"/>
  <c r="AR10" i="1"/>
  <c r="T313" i="1"/>
  <c r="AO313" i="1" s="1"/>
  <c r="V313" i="1"/>
  <c r="W313" i="1"/>
  <c r="S313" i="1"/>
  <c r="U313" i="1"/>
  <c r="AJ177" i="1"/>
  <c r="AR177" i="1"/>
  <c r="AR81" i="1"/>
  <c r="AJ81" i="1"/>
  <c r="V296" i="1"/>
  <c r="W296" i="1"/>
  <c r="U296" i="1"/>
  <c r="AF296" i="1" s="1"/>
  <c r="S296" i="1"/>
  <c r="T296" i="1"/>
  <c r="AO296" i="1" s="1"/>
  <c r="S286" i="1"/>
  <c r="W286" i="1"/>
  <c r="U286" i="1"/>
  <c r="AF286" i="1" s="1"/>
  <c r="V286" i="1"/>
  <c r="T286" i="1"/>
  <c r="AO286" i="1" s="1"/>
  <c r="AF269" i="1"/>
  <c r="AA269" i="1"/>
  <c r="AR269" i="1"/>
  <c r="AO269" i="1"/>
  <c r="AJ269" i="1"/>
  <c r="AH269" i="1"/>
  <c r="AR164" i="1"/>
  <c r="AA164" i="1"/>
  <c r="AJ164" i="1"/>
  <c r="AA148" i="1"/>
  <c r="AA140" i="1"/>
  <c r="AR140" i="1"/>
  <c r="AJ140" i="1"/>
  <c r="AJ124" i="1"/>
  <c r="AR124" i="1"/>
  <c r="AA124" i="1"/>
  <c r="AJ108" i="1"/>
  <c r="AA108" i="1"/>
  <c r="AR108" i="1"/>
  <c r="AR92" i="1"/>
  <c r="AA92" i="1"/>
  <c r="AJ92" i="1"/>
  <c r="AR84" i="1"/>
  <c r="AA84" i="1"/>
  <c r="AJ84" i="1"/>
  <c r="AJ68" i="1"/>
  <c r="AR68" i="1"/>
  <c r="AW68" i="1"/>
  <c r="AA52" i="1"/>
  <c r="AA352" i="1"/>
  <c r="AO352" i="1"/>
  <c r="AJ352" i="1"/>
  <c r="AR352" i="1"/>
  <c r="AR336" i="1"/>
  <c r="AJ336" i="1"/>
  <c r="AJ328" i="1"/>
  <c r="AR328" i="1"/>
  <c r="AJ296" i="1"/>
  <c r="AA296" i="1"/>
  <c r="AJ22" i="1"/>
  <c r="AA22" i="1"/>
  <c r="AR263" i="1"/>
  <c r="AW263" i="1"/>
  <c r="AA263" i="1"/>
  <c r="AO263" i="1"/>
  <c r="AJ263" i="1"/>
  <c r="AR259" i="1"/>
  <c r="AA259" i="1"/>
  <c r="AJ259" i="1"/>
  <c r="T290" i="1"/>
  <c r="AO290" i="1" s="1"/>
  <c r="V290" i="1"/>
  <c r="BF290" i="1" s="1"/>
  <c r="U290" i="1"/>
  <c r="AF290" i="1" s="1"/>
  <c r="S290" i="1"/>
  <c r="W290" i="1"/>
  <c r="V265" i="1"/>
  <c r="S265" i="1"/>
  <c r="W265" i="1"/>
  <c r="T265" i="1"/>
  <c r="U265" i="1"/>
  <c r="V261" i="1"/>
  <c r="S261" i="1"/>
  <c r="Y261" i="1" s="1"/>
  <c r="T261" i="1"/>
  <c r="BB261" i="1" s="1"/>
  <c r="W261" i="1"/>
  <c r="U261" i="1"/>
  <c r="AF261" i="1" s="1"/>
  <c r="S213" i="1"/>
  <c r="X213" i="1" s="1"/>
  <c r="V213" i="1"/>
  <c r="T213" i="1"/>
  <c r="U213" i="1"/>
  <c r="W213" i="1"/>
  <c r="V220" i="1"/>
  <c r="AW220" i="1" s="1"/>
  <c r="S220" i="1"/>
  <c r="Y220" i="1" s="1"/>
  <c r="U220" i="1"/>
  <c r="T220" i="1"/>
  <c r="BB220" i="1" s="1"/>
  <c r="W220" i="1"/>
  <c r="V217" i="1"/>
  <c r="BF217" i="1" s="1"/>
  <c r="S217" i="1"/>
  <c r="W217" i="1"/>
  <c r="U217" i="1"/>
  <c r="AF217" i="1" s="1"/>
  <c r="T217" i="1"/>
  <c r="AA337" i="1"/>
  <c r="AF352" i="1"/>
  <c r="Y269" i="1"/>
  <c r="W280" i="1"/>
  <c r="AR309" i="1"/>
  <c r="W319" i="1"/>
  <c r="S322" i="1"/>
  <c r="X322" i="1" s="1"/>
  <c r="U322" i="1"/>
  <c r="BX19" i="1"/>
  <c r="BV19" i="1"/>
  <c r="BP95" i="1"/>
  <c r="BO95" i="1"/>
  <c r="BW173" i="1"/>
  <c r="BD24" i="1"/>
  <c r="T317" i="1"/>
  <c r="AO317" i="1" s="1"/>
  <c r="U317" i="1"/>
  <c r="BW8" i="1"/>
  <c r="BX8" i="1"/>
  <c r="BF26" i="1"/>
  <c r="AR272" i="1"/>
  <c r="AF198" i="1"/>
  <c r="BO71" i="1"/>
  <c r="BP71" i="1"/>
  <c r="BQ71" i="1"/>
  <c r="BP83" i="1"/>
  <c r="BQ154" i="1"/>
  <c r="BP154" i="1"/>
  <c r="BO154" i="1"/>
  <c r="BW85" i="1"/>
  <c r="BV85" i="1"/>
  <c r="BV92" i="1"/>
  <c r="BX92" i="1"/>
  <c r="BV128" i="1"/>
  <c r="BW128" i="1"/>
  <c r="BX128" i="1"/>
  <c r="BV134" i="1"/>
  <c r="BW134" i="1"/>
  <c r="BX134" i="1"/>
  <c r="BP140" i="1"/>
  <c r="BQ140" i="1"/>
  <c r="BX36" i="1"/>
  <c r="BO63" i="1"/>
  <c r="BP63" i="1"/>
  <c r="BQ63" i="1"/>
  <c r="BO106" i="1"/>
  <c r="BW114" i="1"/>
  <c r="BX114" i="1"/>
  <c r="BQ120" i="1"/>
  <c r="BO120" i="1"/>
  <c r="AR119" i="1"/>
  <c r="BW26" i="1"/>
  <c r="BQ21" i="1"/>
  <c r="BO21" i="1"/>
  <c r="BQ65" i="1"/>
  <c r="BP65" i="1"/>
  <c r="BO65" i="1"/>
  <c r="BX159" i="1"/>
  <c r="BP117" i="1"/>
  <c r="BO117" i="1"/>
  <c r="AR22" i="1"/>
  <c r="AJ10" i="1"/>
  <c r="AR287" i="1"/>
  <c r="S215" i="1"/>
  <c r="AH215" i="1" s="1"/>
  <c r="V215" i="1"/>
  <c r="AW215" i="1" s="1"/>
  <c r="W215" i="1"/>
  <c r="U215" i="1"/>
  <c r="T215" i="1"/>
  <c r="AO215" i="1" s="1"/>
  <c r="S225" i="1"/>
  <c r="X225" i="1" s="1"/>
  <c r="V225" i="1"/>
  <c r="BF225" i="1" s="1"/>
  <c r="T225" i="1"/>
  <c r="AO225" i="1" s="1"/>
  <c r="W225" i="1"/>
  <c r="U225" i="1"/>
  <c r="AW237" i="1"/>
  <c r="AW217" i="1"/>
  <c r="AR230" i="1"/>
  <c r="AR15" i="1"/>
  <c r="S214" i="1"/>
  <c r="Y214" i="1" s="1"/>
  <c r="V214" i="1"/>
  <c r="AW214" i="1" s="1"/>
  <c r="W214" i="1"/>
  <c r="U214" i="1"/>
  <c r="AF214" i="1" s="1"/>
  <c r="T214" i="1"/>
  <c r="AO214" i="1" s="1"/>
  <c r="AR246" i="1"/>
  <c r="AA27" i="1"/>
  <c r="AJ27" i="1"/>
  <c r="AR27" i="1"/>
  <c r="AA236" i="1"/>
  <c r="V254" i="1"/>
  <c r="AW254" i="1" s="1"/>
  <c r="S254" i="1"/>
  <c r="T254" i="1"/>
  <c r="AO254" i="1" s="1"/>
  <c r="W254" i="1"/>
  <c r="U254" i="1"/>
  <c r="AF254" i="1" s="1"/>
  <c r="AR16" i="1"/>
  <c r="AA16" i="1"/>
  <c r="AW185" i="1"/>
  <c r="AJ185" i="1"/>
  <c r="AR185" i="1"/>
  <c r="AH185" i="1"/>
  <c r="X185" i="1"/>
  <c r="AF185" i="1"/>
  <c r="AA185" i="1"/>
  <c r="T275" i="1"/>
  <c r="V275" i="1"/>
  <c r="U275" i="1"/>
  <c r="AF275" i="1" s="1"/>
  <c r="S275" i="1"/>
  <c r="W275" i="1"/>
  <c r="AA192" i="1"/>
  <c r="AJ192" i="1"/>
  <c r="AR192" i="1"/>
  <c r="X208" i="1"/>
  <c r="AA208" i="1"/>
  <c r="AW208" i="1"/>
  <c r="AJ208" i="1"/>
  <c r="AR208" i="1"/>
  <c r="AO208" i="1"/>
  <c r="Y208" i="1"/>
  <c r="AA190" i="1"/>
  <c r="AO190" i="1"/>
  <c r="AR190" i="1"/>
  <c r="AJ190" i="1"/>
  <c r="AJ206" i="1"/>
  <c r="AR206" i="1"/>
  <c r="AO206" i="1"/>
  <c r="AA206" i="1"/>
  <c r="S222" i="1"/>
  <c r="AH222" i="1" s="1"/>
  <c r="V222" i="1"/>
  <c r="AW222" i="1" s="1"/>
  <c r="T222" i="1"/>
  <c r="U222" i="1"/>
  <c r="AF222" i="1" s="1"/>
  <c r="W222" i="1"/>
  <c r="AH224" i="1"/>
  <c r="AR248" i="1"/>
  <c r="AO179" i="1"/>
  <c r="X179" i="1"/>
  <c r="AR179" i="1"/>
  <c r="AJ179" i="1"/>
  <c r="AA179" i="1"/>
  <c r="AW179" i="1"/>
  <c r="AH179" i="1"/>
  <c r="AA67" i="1"/>
  <c r="AA274" i="1"/>
  <c r="AJ274" i="1"/>
  <c r="AR274" i="1"/>
  <c r="AO274" i="1"/>
  <c r="S300" i="1"/>
  <c r="W300" i="1"/>
  <c r="U300" i="1"/>
  <c r="V300" i="1"/>
  <c r="AW300" i="1" s="1"/>
  <c r="T300" i="1"/>
  <c r="AO300" i="1" s="1"/>
  <c r="AJ171" i="1"/>
  <c r="AA171" i="1"/>
  <c r="AR171" i="1"/>
  <c r="AJ107" i="1"/>
  <c r="AR107" i="1"/>
  <c r="AA107" i="1"/>
  <c r="AJ43" i="1"/>
  <c r="AA43" i="1"/>
  <c r="V69" i="1"/>
  <c r="BF69" i="1" s="1"/>
  <c r="W69" i="1"/>
  <c r="U69" i="1"/>
  <c r="AF69" i="1" s="1"/>
  <c r="W65" i="1"/>
  <c r="S65" i="1"/>
  <c r="T65" i="1"/>
  <c r="BB65" i="1" s="1"/>
  <c r="U65" i="1"/>
  <c r="V65" i="1"/>
  <c r="AW65" i="1" s="1"/>
  <c r="V61" i="1"/>
  <c r="W61" i="1"/>
  <c r="S61" i="1"/>
  <c r="X61" i="1" s="1"/>
  <c r="U57" i="1"/>
  <c r="AF57" i="1" s="1"/>
  <c r="S57" i="1"/>
  <c r="T57" i="1"/>
  <c r="W57" i="1"/>
  <c r="V57" i="1"/>
  <c r="W53" i="1"/>
  <c r="T53" i="1"/>
  <c r="V53" i="1"/>
  <c r="BF53" i="1" s="1"/>
  <c r="S53" i="1"/>
  <c r="Y53" i="1" s="1"/>
  <c r="U53" i="1"/>
  <c r="W49" i="1"/>
  <c r="U45" i="1"/>
  <c r="AF45" i="1" s="1"/>
  <c r="S45" i="1"/>
  <c r="AH45" i="1" s="1"/>
  <c r="W45" i="1"/>
  <c r="T45" i="1"/>
  <c r="BB45" i="1" s="1"/>
  <c r="V45" i="1"/>
  <c r="BF45" i="1" s="1"/>
  <c r="U41" i="1"/>
  <c r="S37" i="1"/>
  <c r="U37" i="1"/>
  <c r="W37" i="1"/>
  <c r="T37" i="1"/>
  <c r="BB37" i="1" s="1"/>
  <c r="V37" i="1"/>
  <c r="T33" i="1"/>
  <c r="BB33" i="1" s="1"/>
  <c r="V33" i="1"/>
  <c r="AW33" i="1" s="1"/>
  <c r="W33" i="1"/>
  <c r="U33" i="1"/>
  <c r="S33" i="1"/>
  <c r="X33" i="1" s="1"/>
  <c r="V29" i="1"/>
  <c r="S29" i="1"/>
  <c r="AH29" i="1" s="1"/>
  <c r="T29" i="1"/>
  <c r="U29" i="1"/>
  <c r="AF29" i="1" s="1"/>
  <c r="W29" i="1"/>
  <c r="V25" i="1"/>
  <c r="AW25" i="1" s="1"/>
  <c r="W25" i="1"/>
  <c r="S25" i="1"/>
  <c r="X25" i="1" s="1"/>
  <c r="U25" i="1"/>
  <c r="AF25" i="1" s="1"/>
  <c r="T25" i="1"/>
  <c r="BB25" i="1" s="1"/>
  <c r="T21" i="1"/>
  <c r="BB21" i="1" s="1"/>
  <c r="V21" i="1"/>
  <c r="BF21" i="1" s="1"/>
  <c r="S21" i="1"/>
  <c r="Y21" i="1" s="1"/>
  <c r="U21" i="1"/>
  <c r="AF21" i="1" s="1"/>
  <c r="W21" i="1"/>
  <c r="T17" i="1"/>
  <c r="W17" i="1"/>
  <c r="W13" i="1"/>
  <c r="T9" i="1"/>
  <c r="V9" i="1"/>
  <c r="AW9" i="1" s="1"/>
  <c r="V337" i="1"/>
  <c r="AW337" i="1" s="1"/>
  <c r="T337" i="1"/>
  <c r="W337" i="1"/>
  <c r="U337" i="1"/>
  <c r="S337" i="1"/>
  <c r="S310" i="1"/>
  <c r="W310" i="1"/>
  <c r="U310" i="1"/>
  <c r="AF310" i="1" s="1"/>
  <c r="T310" i="1"/>
  <c r="V310" i="1"/>
  <c r="AW310" i="1" s="1"/>
  <c r="AA349" i="1"/>
  <c r="AR349" i="1"/>
  <c r="AJ349" i="1"/>
  <c r="AA119" i="1"/>
  <c r="AR55" i="1"/>
  <c r="AJ55" i="1"/>
  <c r="AA55" i="1"/>
  <c r="V241" i="1"/>
  <c r="S241" i="1"/>
  <c r="X241" i="1" s="1"/>
  <c r="T241" i="1"/>
  <c r="AO241" i="1" s="1"/>
  <c r="W241" i="1"/>
  <c r="U241" i="1"/>
  <c r="AF241" i="1" s="1"/>
  <c r="J108" i="1"/>
  <c r="DB108" i="1"/>
  <c r="DB104" i="1"/>
  <c r="J104" i="1"/>
  <c r="J100" i="1"/>
  <c r="DB100" i="1"/>
  <c r="DB96" i="1"/>
  <c r="J96" i="1"/>
  <c r="J92" i="1"/>
  <c r="DB92" i="1"/>
  <c r="J88" i="1"/>
  <c r="DB88" i="1"/>
  <c r="DB84" i="1"/>
  <c r="J84" i="1"/>
  <c r="J80" i="1"/>
  <c r="DB80" i="1"/>
  <c r="DB76" i="1"/>
  <c r="J76" i="1"/>
  <c r="J72" i="1"/>
  <c r="DB72" i="1"/>
  <c r="DB68" i="1"/>
  <c r="J68" i="1"/>
  <c r="DB64" i="1"/>
  <c r="J64" i="1"/>
  <c r="J60" i="1"/>
  <c r="DB60" i="1"/>
  <c r="J56" i="1"/>
  <c r="DB56" i="1"/>
  <c r="DB52" i="1"/>
  <c r="J52" i="1"/>
  <c r="J48" i="1"/>
  <c r="DB48" i="1"/>
  <c r="DB44" i="1"/>
  <c r="J44" i="1"/>
  <c r="J40" i="1"/>
  <c r="DB40" i="1"/>
  <c r="DB36" i="1"/>
  <c r="J36" i="1"/>
  <c r="DB32" i="1"/>
  <c r="J32" i="1"/>
  <c r="DB28" i="1"/>
  <c r="J28" i="1"/>
  <c r="DB24" i="1"/>
  <c r="J24" i="1"/>
  <c r="DB20" i="1"/>
  <c r="J20" i="1"/>
  <c r="DB16" i="1"/>
  <c r="J16" i="1"/>
  <c r="J12" i="1"/>
  <c r="DB12" i="1"/>
  <c r="J8" i="1"/>
  <c r="DB8" i="1"/>
  <c r="T341" i="1"/>
  <c r="AO341" i="1" s="1"/>
  <c r="V341" i="1"/>
  <c r="AW341" i="1" s="1"/>
  <c r="W341" i="1"/>
  <c r="U341" i="1"/>
  <c r="AF341" i="1" s="1"/>
  <c r="S341" i="1"/>
  <c r="T334" i="1"/>
  <c r="BB334" i="1" s="1"/>
  <c r="V334" i="1"/>
  <c r="AW334" i="1" s="1"/>
  <c r="U334" i="1"/>
  <c r="W334" i="1"/>
  <c r="S334" i="1"/>
  <c r="Y334" i="1" s="1"/>
  <c r="AJ95" i="1"/>
  <c r="AR95" i="1"/>
  <c r="AA95" i="1"/>
  <c r="AR343" i="1"/>
  <c r="AO311" i="1"/>
  <c r="AJ270" i="1"/>
  <c r="AR270" i="1"/>
  <c r="AA270" i="1"/>
  <c r="AJ149" i="1"/>
  <c r="AJ85" i="1"/>
  <c r="AA53" i="1"/>
  <c r="AR53" i="1"/>
  <c r="BB53" i="1"/>
  <c r="AO53" i="1"/>
  <c r="AR258" i="1"/>
  <c r="T307" i="1"/>
  <c r="AO307" i="1" s="1"/>
  <c r="V307" i="1"/>
  <c r="U307" i="1"/>
  <c r="AF307" i="1" s="1"/>
  <c r="W307" i="1"/>
  <c r="S307" i="1"/>
  <c r="T301" i="1"/>
  <c r="V301" i="1"/>
  <c r="AW301" i="1" s="1"/>
  <c r="U301" i="1"/>
  <c r="S301" i="1"/>
  <c r="W301" i="1"/>
  <c r="AA169" i="1"/>
  <c r="AJ169" i="1"/>
  <c r="AH169" i="1"/>
  <c r="AR169" i="1"/>
  <c r="BB169" i="1"/>
  <c r="X169" i="1"/>
  <c r="BD169" i="1"/>
  <c r="AO169" i="1"/>
  <c r="AJ137" i="1"/>
  <c r="AJ105" i="1"/>
  <c r="AR73" i="1"/>
  <c r="U283" i="1"/>
  <c r="S283" i="1"/>
  <c r="W283" i="1"/>
  <c r="T283" i="1"/>
  <c r="AO283" i="1" s="1"/>
  <c r="V283" i="1"/>
  <c r="AA267" i="1"/>
  <c r="AJ267" i="1"/>
  <c r="AR267" i="1"/>
  <c r="AO267" i="1"/>
  <c r="AA170" i="1"/>
  <c r="AR170" i="1"/>
  <c r="AJ170" i="1"/>
  <c r="AA162" i="1"/>
  <c r="AJ162" i="1"/>
  <c r="AR162" i="1"/>
  <c r="AR154" i="1"/>
  <c r="AJ154" i="1"/>
  <c r="AR146" i="1"/>
  <c r="AJ146" i="1"/>
  <c r="AJ138" i="1"/>
  <c r="AA130" i="1"/>
  <c r="AR130" i="1"/>
  <c r="AJ130" i="1"/>
  <c r="AA122" i="1"/>
  <c r="AA114" i="1"/>
  <c r="AJ106" i="1"/>
  <c r="AR106" i="1"/>
  <c r="AR98" i="1"/>
  <c r="AA98" i="1"/>
  <c r="AJ98" i="1"/>
  <c r="AR90" i="1"/>
  <c r="AJ90" i="1"/>
  <c r="AA90" i="1"/>
  <c r="AJ74" i="1"/>
  <c r="AR74" i="1"/>
  <c r="AA74" i="1"/>
  <c r="AJ66" i="1"/>
  <c r="AR66" i="1"/>
  <c r="Y66" i="1"/>
  <c r="AW66" i="1"/>
  <c r="X66" i="1"/>
  <c r="AA66" i="1"/>
  <c r="AJ58" i="1"/>
  <c r="AA58" i="1"/>
  <c r="AR58" i="1"/>
  <c r="BD58" i="1"/>
  <c r="X58" i="1"/>
  <c r="AA50" i="1"/>
  <c r="AJ50" i="1"/>
  <c r="AR50" i="1"/>
  <c r="Y50" i="1"/>
  <c r="AJ42" i="1"/>
  <c r="AA42" i="1"/>
  <c r="AR42" i="1"/>
  <c r="Y42" i="1"/>
  <c r="S233" i="1"/>
  <c r="V233" i="1"/>
  <c r="AW233" i="1" s="1"/>
  <c r="T233" i="1"/>
  <c r="W233" i="1"/>
  <c r="U233" i="1"/>
  <c r="AF233" i="1" s="1"/>
  <c r="U288" i="1"/>
  <c r="AF288" i="1" s="1"/>
  <c r="S288" i="1"/>
  <c r="W288" i="1"/>
  <c r="V288" i="1"/>
  <c r="T288" i="1"/>
  <c r="AA350" i="1"/>
  <c r="AO350" i="1"/>
  <c r="AR350" i="1"/>
  <c r="AJ350" i="1"/>
  <c r="V270" i="1"/>
  <c r="T270" i="1"/>
  <c r="W270" i="1"/>
  <c r="U270" i="1"/>
  <c r="AF270" i="1" s="1"/>
  <c r="S270" i="1"/>
  <c r="V262" i="1"/>
  <c r="BF262" i="1" s="1"/>
  <c r="S262" i="1"/>
  <c r="AH262" i="1" s="1"/>
  <c r="U262" i="1"/>
  <c r="T262" i="1"/>
  <c r="BB262" i="1" s="1"/>
  <c r="W262" i="1"/>
  <c r="T294" i="1"/>
  <c r="AO294" i="1" s="1"/>
  <c r="S294" i="1"/>
  <c r="W294" i="1"/>
  <c r="V294" i="1"/>
  <c r="U294" i="1"/>
  <c r="T289" i="1"/>
  <c r="AO289" i="1" s="1"/>
  <c r="V289" i="1"/>
  <c r="AW289" i="1" s="1"/>
  <c r="W289" i="1"/>
  <c r="U289" i="1"/>
  <c r="AF289" i="1" s="1"/>
  <c r="S289" i="1"/>
  <c r="T282" i="1"/>
  <c r="V282" i="1"/>
  <c r="AW282" i="1" s="1"/>
  <c r="W282" i="1"/>
  <c r="U282" i="1"/>
  <c r="S282" i="1"/>
  <c r="T271" i="1"/>
  <c r="V271" i="1"/>
  <c r="S271" i="1"/>
  <c r="W271" i="1"/>
  <c r="U271" i="1"/>
  <c r="AR264" i="1"/>
  <c r="AJ264" i="1"/>
  <c r="AA264" i="1"/>
  <c r="S247" i="1"/>
  <c r="V247" i="1"/>
  <c r="U247" i="1"/>
  <c r="AF247" i="1" s="1"/>
  <c r="T247" i="1"/>
  <c r="BB247" i="1" s="1"/>
  <c r="W247" i="1"/>
  <c r="V260" i="1"/>
  <c r="AW260" i="1" s="1"/>
  <c r="S260" i="1"/>
  <c r="T260" i="1"/>
  <c r="BB260" i="1" s="1"/>
  <c r="W260" i="1"/>
  <c r="U260" i="1"/>
  <c r="AF260" i="1" s="1"/>
  <c r="V240" i="1"/>
  <c r="S240" i="1"/>
  <c r="U240" i="1"/>
  <c r="T240" i="1"/>
  <c r="AO240" i="1" s="1"/>
  <c r="W240" i="1"/>
  <c r="V223" i="1"/>
  <c r="S223" i="1"/>
  <c r="T223" i="1"/>
  <c r="AO223" i="1" s="1"/>
  <c r="W223" i="1"/>
  <c r="U223" i="1"/>
  <c r="V235" i="1"/>
  <c r="AW235" i="1" s="1"/>
  <c r="S235" i="1"/>
  <c r="X235" i="1" s="1"/>
  <c r="T235" i="1"/>
  <c r="AO235" i="1" s="1"/>
  <c r="W235" i="1"/>
  <c r="U235" i="1"/>
  <c r="S228" i="1"/>
  <c r="AH228" i="1" s="1"/>
  <c r="V228" i="1"/>
  <c r="BF228" i="1" s="1"/>
  <c r="T228" i="1"/>
  <c r="W228" i="1"/>
  <c r="U228" i="1"/>
  <c r="AF228" i="1" s="1"/>
  <c r="AH216" i="1"/>
  <c r="AJ216" i="1"/>
  <c r="AA216" i="1"/>
  <c r="AO216" i="1"/>
  <c r="AR227" i="1"/>
  <c r="AW227" i="1"/>
  <c r="AJ227" i="1"/>
  <c r="AA227" i="1"/>
  <c r="AO227" i="1"/>
  <c r="AJ220" i="1"/>
  <c r="AH212" i="1"/>
  <c r="Y322" i="1"/>
  <c r="Y234" i="1"/>
  <c r="Y252" i="1"/>
  <c r="AH267" i="1"/>
  <c r="AA252" i="1"/>
  <c r="AR198" i="1"/>
  <c r="V280" i="1"/>
  <c r="AW280" i="1" s="1"/>
  <c r="S280" i="1"/>
  <c r="AR342" i="1"/>
  <c r="S319" i="1"/>
  <c r="V322" i="1"/>
  <c r="AW322" i="1" s="1"/>
  <c r="BB10" i="1"/>
  <c r="AA239" i="1"/>
  <c r="BP6" i="1"/>
  <c r="BO6" i="1"/>
  <c r="BQ6" i="1"/>
  <c r="BO19" i="1"/>
  <c r="BP19" i="1"/>
  <c r="BX95" i="1"/>
  <c r="BW95" i="1"/>
  <c r="BV95" i="1"/>
  <c r="BO173" i="1"/>
  <c r="BP173" i="1"/>
  <c r="V317" i="1"/>
  <c r="CJ103" i="1"/>
  <c r="BO103" i="1"/>
  <c r="CC103" i="1"/>
  <c r="AH208" i="1"/>
  <c r="X216" i="1"/>
  <c r="X224" i="1"/>
  <c r="AA257" i="1"/>
  <c r="AF179" i="1"/>
  <c r="BW16" i="1"/>
  <c r="BV16" i="1"/>
  <c r="BX16" i="1"/>
  <c r="BF57" i="1"/>
  <c r="BF9" i="1"/>
  <c r="AA210" i="1"/>
  <c r="BP27" i="1"/>
  <c r="BO27" i="1"/>
  <c r="BQ77" i="1"/>
  <c r="BP77" i="1"/>
  <c r="BO77" i="1"/>
  <c r="BO86" i="1"/>
  <c r="BQ86" i="1"/>
  <c r="BW126" i="1"/>
  <c r="BV126" i="1"/>
  <c r="BX126" i="1"/>
  <c r="BX164" i="1"/>
  <c r="BW164" i="1"/>
  <c r="BV164" i="1"/>
  <c r="BP85" i="1"/>
  <c r="BO85" i="1"/>
  <c r="BQ85" i="1"/>
  <c r="BO92" i="1"/>
  <c r="BQ92" i="1"/>
  <c r="BP92" i="1"/>
  <c r="BO128" i="1"/>
  <c r="BP128" i="1"/>
  <c r="BQ128" i="1"/>
  <c r="BO134" i="1"/>
  <c r="BP134" i="1"/>
  <c r="BQ134" i="1"/>
  <c r="BW140" i="1"/>
  <c r="BX140" i="1"/>
  <c r="AA172" i="1"/>
  <c r="AA253" i="1"/>
  <c r="AR145" i="1"/>
  <c r="BQ36" i="1"/>
  <c r="BP36" i="1"/>
  <c r="BV63" i="1"/>
  <c r="BW63" i="1"/>
  <c r="BX63" i="1"/>
  <c r="BX106" i="1"/>
  <c r="BV106" i="1"/>
  <c r="BQ114" i="1"/>
  <c r="BO114" i="1"/>
  <c r="BP114" i="1"/>
  <c r="BV120" i="1"/>
  <c r="BX120" i="1"/>
  <c r="AJ53" i="1"/>
  <c r="BP51" i="1"/>
  <c r="BQ51" i="1"/>
  <c r="Y267" i="1"/>
  <c r="AA68" i="1"/>
  <c r="BV21" i="1"/>
  <c r="BX21" i="1"/>
  <c r="BV72" i="1"/>
  <c r="BW72" i="1"/>
  <c r="BX44" i="1"/>
  <c r="BW44" i="1"/>
  <c r="BV44" i="1"/>
  <c r="AA154" i="1"/>
  <c r="AJ93" i="1"/>
  <c r="BD2" i="1"/>
  <c r="AF2" i="1"/>
  <c r="AJ148" i="1"/>
  <c r="AF169" i="1"/>
  <c r="BV57" i="1"/>
  <c r="BX57" i="1"/>
  <c r="BX14" i="1"/>
  <c r="BW14" i="1"/>
  <c r="BW40" i="1"/>
  <c r="BV40" i="1"/>
  <c r="BX40" i="1"/>
  <c r="BQ54" i="1"/>
  <c r="BO54" i="1"/>
  <c r="BP54" i="1"/>
  <c r="BX74" i="1"/>
  <c r="BW74" i="1"/>
  <c r="BV74" i="1"/>
  <c r="BO94" i="1"/>
  <c r="BQ94" i="1"/>
  <c r="BP94" i="1"/>
  <c r="BW109" i="1"/>
  <c r="BV109" i="1"/>
  <c r="BO142" i="1"/>
  <c r="BP142" i="1"/>
  <c r="BQ142" i="1"/>
  <c r="BX7" i="1"/>
  <c r="BV7" i="1"/>
  <c r="BO72" i="1"/>
  <c r="BP72" i="1"/>
  <c r="BO170" i="1"/>
  <c r="BQ170" i="1"/>
  <c r="AJ218" i="1"/>
  <c r="AA218" i="1"/>
  <c r="V211" i="1"/>
  <c r="S211" i="1"/>
  <c r="U211" i="1"/>
  <c r="AF211" i="1" s="1"/>
  <c r="W211" i="1"/>
  <c r="T211" i="1"/>
  <c r="AR228" i="1"/>
  <c r="AJ228" i="1"/>
  <c r="AA228" i="1"/>
  <c r="V243" i="1"/>
  <c r="S243" i="1"/>
  <c r="T243" i="1"/>
  <c r="BB243" i="1" s="1"/>
  <c r="U243" i="1"/>
  <c r="W243" i="1"/>
  <c r="V231" i="1"/>
  <c r="S231" i="1"/>
  <c r="T231" i="1"/>
  <c r="AO231" i="1" s="1"/>
  <c r="U231" i="1"/>
  <c r="AF231" i="1" s="1"/>
  <c r="W231" i="1"/>
  <c r="AR241" i="1"/>
  <c r="AR210" i="1"/>
  <c r="AA31" i="1"/>
  <c r="AR31" i="1"/>
  <c r="AJ31" i="1"/>
  <c r="AA11" i="1"/>
  <c r="AR11" i="1"/>
  <c r="AR236" i="1"/>
  <c r="Y32" i="1"/>
  <c r="AR32" i="1"/>
  <c r="AJ32" i="1"/>
  <c r="BB32" i="1"/>
  <c r="AW32" i="1"/>
  <c r="AO32" i="1"/>
  <c r="AR193" i="1"/>
  <c r="AA193" i="1"/>
  <c r="AJ193" i="1"/>
  <c r="AA209" i="1"/>
  <c r="AW209" i="1"/>
  <c r="AH209" i="1"/>
  <c r="AO209" i="1"/>
  <c r="AR209" i="1"/>
  <c r="AJ209" i="1"/>
  <c r="AJ279" i="1"/>
  <c r="V219" i="1"/>
  <c r="AW219" i="1" s="1"/>
  <c r="S219" i="1"/>
  <c r="T219" i="1"/>
  <c r="BB219" i="1" s="1"/>
  <c r="W219" i="1"/>
  <c r="U219" i="1"/>
  <c r="AF219" i="1" s="1"/>
  <c r="AJ12" i="1"/>
  <c r="AR12" i="1"/>
  <c r="AA12" i="1"/>
  <c r="Y12" i="1"/>
  <c r="AA184" i="1"/>
  <c r="AO200" i="1"/>
  <c r="AW200" i="1"/>
  <c r="Y200" i="1"/>
  <c r="V238" i="1"/>
  <c r="S238" i="1"/>
  <c r="Y238" i="1" s="1"/>
  <c r="U238" i="1"/>
  <c r="AF238" i="1" s="1"/>
  <c r="T238" i="1"/>
  <c r="AO238" i="1" s="1"/>
  <c r="W238" i="1"/>
  <c r="AR182" i="1"/>
  <c r="AJ182" i="1"/>
  <c r="AA182" i="1"/>
  <c r="Y182" i="1"/>
  <c r="AJ276" i="1"/>
  <c r="AR276" i="1"/>
  <c r="AA276" i="1"/>
  <c r="AA21" i="1"/>
  <c r="BD21" i="1"/>
  <c r="AR21" i="1"/>
  <c r="AR20" i="1"/>
  <c r="AA20" i="1"/>
  <c r="AJ20" i="1"/>
  <c r="AR224" i="1"/>
  <c r="V259" i="1"/>
  <c r="S259" i="1"/>
  <c r="X259" i="1" s="1"/>
  <c r="W259" i="1"/>
  <c r="U259" i="1"/>
  <c r="AF259" i="1" s="1"/>
  <c r="T259" i="1"/>
  <c r="AA187" i="1"/>
  <c r="AJ187" i="1"/>
  <c r="AR187" i="1"/>
  <c r="X200" i="1"/>
  <c r="U314" i="1"/>
  <c r="AA139" i="1"/>
  <c r="AJ139" i="1"/>
  <c r="AR75" i="1"/>
  <c r="AJ75" i="1"/>
  <c r="AA75" i="1"/>
  <c r="W71" i="1"/>
  <c r="S71" i="1"/>
  <c r="X71" i="1" s="1"/>
  <c r="V71" i="1"/>
  <c r="AW71" i="1" s="1"/>
  <c r="U71" i="1"/>
  <c r="T71" i="1"/>
  <c r="AO71" i="1" s="1"/>
  <c r="S67" i="1"/>
  <c r="Y67" i="1" s="1"/>
  <c r="V67" i="1"/>
  <c r="W67" i="1"/>
  <c r="T67" i="1"/>
  <c r="W63" i="1"/>
  <c r="T63" i="1"/>
  <c r="S63" i="1"/>
  <c r="Y63" i="1" s="1"/>
  <c r="U63" i="1"/>
  <c r="AF63" i="1" s="1"/>
  <c r="V63" i="1"/>
  <c r="S59" i="1"/>
  <c r="T59" i="1"/>
  <c r="AO59" i="1" s="1"/>
  <c r="W59" i="1"/>
  <c r="U59" i="1"/>
  <c r="AF59" i="1" s="1"/>
  <c r="V59" i="1"/>
  <c r="V55" i="1"/>
  <c r="W55" i="1"/>
  <c r="S55" i="1"/>
  <c r="Y55" i="1" s="1"/>
  <c r="U55" i="1"/>
  <c r="T55" i="1"/>
  <c r="V51" i="1"/>
  <c r="T47" i="1"/>
  <c r="AO47" i="1" s="1"/>
  <c r="W47" i="1"/>
  <c r="V47" i="1"/>
  <c r="AW47" i="1" s="1"/>
  <c r="S47" i="1"/>
  <c r="U47" i="1"/>
  <c r="AF47" i="1" s="1"/>
  <c r="U43" i="1"/>
  <c r="AF43" i="1" s="1"/>
  <c r="T43" i="1"/>
  <c r="AO43" i="1" s="1"/>
  <c r="W43" i="1"/>
  <c r="V43" i="1"/>
  <c r="BF43" i="1" s="1"/>
  <c r="S43" i="1"/>
  <c r="X43" i="1" s="1"/>
  <c r="V39" i="1"/>
  <c r="AW39" i="1" s="1"/>
  <c r="S39" i="1"/>
  <c r="Y39" i="1" s="1"/>
  <c r="W39" i="1"/>
  <c r="T39" i="1"/>
  <c r="U39" i="1"/>
  <c r="AF39" i="1" s="1"/>
  <c r="V35" i="1"/>
  <c r="S35" i="1"/>
  <c r="U35" i="1"/>
  <c r="W35" i="1"/>
  <c r="T35" i="1"/>
  <c r="AO35" i="1" s="1"/>
  <c r="U31" i="1"/>
  <c r="AF31" i="1" s="1"/>
  <c r="W31" i="1"/>
  <c r="T31" i="1"/>
  <c r="S31" i="1"/>
  <c r="X31" i="1" s="1"/>
  <c r="V31" i="1"/>
  <c r="AW31" i="1" s="1"/>
  <c r="T27" i="1"/>
  <c r="AO27" i="1" s="1"/>
  <c r="V27" i="1"/>
  <c r="AW27" i="1" s="1"/>
  <c r="S27" i="1"/>
  <c r="U27" i="1"/>
  <c r="AF27" i="1" s="1"/>
  <c r="W27" i="1"/>
  <c r="V23" i="1"/>
  <c r="AW23" i="1" s="1"/>
  <c r="W23" i="1"/>
  <c r="S23" i="1"/>
  <c r="X23" i="1" s="1"/>
  <c r="T23" i="1"/>
  <c r="U23" i="1"/>
  <c r="AF23" i="1" s="1"/>
  <c r="U19" i="1"/>
  <c r="T19" i="1"/>
  <c r="BB19" i="1" s="1"/>
  <c r="V19" i="1"/>
  <c r="W19" i="1"/>
  <c r="S19" i="1"/>
  <c r="Y19" i="1" s="1"/>
  <c r="T15" i="1"/>
  <c r="BB15" i="1" s="1"/>
  <c r="V11" i="1"/>
  <c r="U11" i="1"/>
  <c r="AF11" i="1" s="1"/>
  <c r="T11" i="1"/>
  <c r="AO11" i="1" s="1"/>
  <c r="S11" i="1"/>
  <c r="X11" i="1" s="1"/>
  <c r="W11" i="1"/>
  <c r="W7" i="1"/>
  <c r="S7" i="1"/>
  <c r="Y7" i="1" s="1"/>
  <c r="T7" i="1"/>
  <c r="AO7" i="1" s="1"/>
  <c r="U7" i="1"/>
  <c r="V7" i="1"/>
  <c r="AW7" i="1" s="1"/>
  <c r="V326" i="1"/>
  <c r="AW326" i="1" s="1"/>
  <c r="T326" i="1"/>
  <c r="U326" i="1"/>
  <c r="W326" i="1"/>
  <c r="S326" i="1"/>
  <c r="X326" i="1" s="1"/>
  <c r="S312" i="1"/>
  <c r="W312" i="1"/>
  <c r="U312" i="1"/>
  <c r="T312" i="1"/>
  <c r="V312" i="1"/>
  <c r="AW312" i="1" s="1"/>
  <c r="U308" i="1"/>
  <c r="AF308" i="1" s="1"/>
  <c r="S308" i="1"/>
  <c r="W308" i="1"/>
  <c r="T308" i="1"/>
  <c r="V308" i="1"/>
  <c r="AW308" i="1" s="1"/>
  <c r="AJ151" i="1"/>
  <c r="AA87" i="1"/>
  <c r="AJ87" i="1"/>
  <c r="AA14" i="1"/>
  <c r="AJ14" i="1"/>
  <c r="DB110" i="1"/>
  <c r="J110" i="1"/>
  <c r="J106" i="1"/>
  <c r="DB106" i="1"/>
  <c r="J102" i="1"/>
  <c r="DB102" i="1"/>
  <c r="J98" i="1"/>
  <c r="DB98" i="1"/>
  <c r="DB94" i="1"/>
  <c r="J94" i="1"/>
  <c r="DB90" i="1"/>
  <c r="J90" i="1"/>
  <c r="J86" i="1"/>
  <c r="DB86" i="1"/>
  <c r="DB82" i="1"/>
  <c r="J82" i="1"/>
  <c r="J78" i="1"/>
  <c r="DB78" i="1"/>
  <c r="J74" i="1"/>
  <c r="DB74" i="1"/>
  <c r="J70" i="1"/>
  <c r="DB70" i="1"/>
  <c r="J66" i="1"/>
  <c r="DB66" i="1"/>
  <c r="DB62" i="1"/>
  <c r="J62" i="1"/>
  <c r="DB58" i="1"/>
  <c r="J58" i="1"/>
  <c r="DB54" i="1"/>
  <c r="J54" i="1"/>
  <c r="DB50" i="1"/>
  <c r="J50" i="1"/>
  <c r="DB46" i="1"/>
  <c r="J46" i="1"/>
  <c r="J42" i="1"/>
  <c r="DB42" i="1"/>
  <c r="DB38" i="1"/>
  <c r="J38" i="1"/>
  <c r="DB34" i="1"/>
  <c r="J34" i="1"/>
  <c r="J30" i="1"/>
  <c r="DB30" i="1"/>
  <c r="J26" i="1"/>
  <c r="DB26" i="1"/>
  <c r="J22" i="1"/>
  <c r="DB22" i="1"/>
  <c r="J18" i="1"/>
  <c r="DB18" i="1"/>
  <c r="DB14" i="1"/>
  <c r="J14" i="1"/>
  <c r="DB10" i="1"/>
  <c r="J10" i="1"/>
  <c r="J6" i="1"/>
  <c r="DB6" i="1"/>
  <c r="T332" i="1"/>
  <c r="AO332" i="1" s="1"/>
  <c r="V332" i="1"/>
  <c r="AW332" i="1" s="1"/>
  <c r="W332" i="1"/>
  <c r="U332" i="1"/>
  <c r="AF332" i="1" s="1"/>
  <c r="S332" i="1"/>
  <c r="AH332" i="1" s="1"/>
  <c r="AJ268" i="1"/>
  <c r="AW268" i="1"/>
  <c r="AR268" i="1"/>
  <c r="AO268" i="1"/>
  <c r="AF268" i="1"/>
  <c r="AA268" i="1"/>
  <c r="Y268" i="1"/>
  <c r="AA127" i="1"/>
  <c r="AR127" i="1"/>
  <c r="AJ127" i="1"/>
  <c r="AJ63" i="1"/>
  <c r="AA63" i="1"/>
  <c r="AR63" i="1"/>
  <c r="S279" i="1"/>
  <c r="W279" i="1"/>
  <c r="U279" i="1"/>
  <c r="V279" i="1"/>
  <c r="AW279" i="1" s="1"/>
  <c r="T279" i="1"/>
  <c r="AO279" i="1" s="1"/>
  <c r="AR165" i="1"/>
  <c r="AA165" i="1"/>
  <c r="AJ165" i="1"/>
  <c r="AJ133" i="1"/>
  <c r="AR133" i="1"/>
  <c r="AJ101" i="1"/>
  <c r="AA101" i="1"/>
  <c r="AR101" i="1"/>
  <c r="AR69" i="1"/>
  <c r="AJ69" i="1"/>
  <c r="AW69" i="1"/>
  <c r="AA69" i="1"/>
  <c r="BD69" i="1"/>
  <c r="AA37" i="1"/>
  <c r="AR37" i="1"/>
  <c r="AJ37" i="1"/>
  <c r="T315" i="1"/>
  <c r="AO315" i="1" s="1"/>
  <c r="V315" i="1"/>
  <c r="AW315" i="1" s="1"/>
  <c r="S315" i="1"/>
  <c r="AH315" i="1" s="1"/>
  <c r="W315" i="1"/>
  <c r="U315" i="1"/>
  <c r="AF315" i="1" s="1"/>
  <c r="T303" i="1"/>
  <c r="V303" i="1"/>
  <c r="U303" i="1"/>
  <c r="AF303" i="1" s="1"/>
  <c r="S303" i="1"/>
  <c r="W303" i="1"/>
  <c r="AA266" i="1"/>
  <c r="AW266" i="1"/>
  <c r="AR266" i="1"/>
  <c r="AJ266" i="1"/>
  <c r="AA121" i="1"/>
  <c r="AR121" i="1"/>
  <c r="AJ121" i="1"/>
  <c r="AR89" i="1"/>
  <c r="AA89" i="1"/>
  <c r="AJ89" i="1"/>
  <c r="AA57" i="1"/>
  <c r="AJ57" i="1"/>
  <c r="AW57" i="1"/>
  <c r="AR57" i="1"/>
  <c r="AH57" i="1"/>
  <c r="BD57" i="1"/>
  <c r="V293" i="1"/>
  <c r="AW293" i="1" s="1"/>
  <c r="AR271" i="1"/>
  <c r="AJ271" i="1"/>
  <c r="AA271" i="1"/>
  <c r="AA174" i="1"/>
  <c r="AR174" i="1"/>
  <c r="AJ174" i="1"/>
  <c r="AA166" i="1"/>
  <c r="AJ166" i="1"/>
  <c r="AR166" i="1"/>
  <c r="AA158" i="1"/>
  <c r="AR158" i="1"/>
  <c r="AJ158" i="1"/>
  <c r="AA150" i="1"/>
  <c r="AR150" i="1"/>
  <c r="AJ150" i="1"/>
  <c r="AJ142" i="1"/>
  <c r="AR142" i="1"/>
  <c r="AA142" i="1"/>
  <c r="AJ134" i="1"/>
  <c r="AA134" i="1"/>
  <c r="AR134" i="1"/>
  <c r="AA126" i="1"/>
  <c r="AJ126" i="1"/>
  <c r="AR126" i="1"/>
  <c r="AJ118" i="1"/>
  <c r="AA118" i="1"/>
  <c r="AR118" i="1"/>
  <c r="AJ110" i="1"/>
  <c r="AR110" i="1"/>
  <c r="AA110" i="1"/>
  <c r="AJ102" i="1"/>
  <c r="AR102" i="1"/>
  <c r="AA94" i="1"/>
  <c r="AJ94" i="1"/>
  <c r="AR94" i="1"/>
  <c r="AA86" i="1"/>
  <c r="AR78" i="1"/>
  <c r="AJ78" i="1"/>
  <c r="AA78" i="1"/>
  <c r="AA70" i="1"/>
  <c r="Y70" i="1"/>
  <c r="AJ70" i="1"/>
  <c r="AR70" i="1"/>
  <c r="AO70" i="1"/>
  <c r="AR62" i="1"/>
  <c r="AA62" i="1"/>
  <c r="Y54" i="1"/>
  <c r="AW54" i="1"/>
  <c r="AR54" i="1"/>
  <c r="AA54" i="1"/>
  <c r="AJ54" i="1"/>
  <c r="X54" i="1"/>
  <c r="BF54" i="1"/>
  <c r="AR46" i="1"/>
  <c r="AA46" i="1"/>
  <c r="AA38" i="1"/>
  <c r="AR38" i="1"/>
  <c r="AJ38" i="1"/>
  <c r="T298" i="1"/>
  <c r="S298" i="1"/>
  <c r="W298" i="1"/>
  <c r="U298" i="1"/>
  <c r="AF298" i="1" s="1"/>
  <c r="V298" i="1"/>
  <c r="AA346" i="1"/>
  <c r="AO346" i="1"/>
  <c r="AR346" i="1"/>
  <c r="AJ346" i="1"/>
  <c r="AW290" i="1"/>
  <c r="AR243" i="1"/>
  <c r="AA243" i="1"/>
  <c r="AJ243" i="1"/>
  <c r="V284" i="1"/>
  <c r="AW284" i="1" s="1"/>
  <c r="T284" i="1"/>
  <c r="U284" i="1"/>
  <c r="AF284" i="1" s="1"/>
  <c r="S284" i="1"/>
  <c r="Y284" i="1" s="1"/>
  <c r="W284" i="1"/>
  <c r="V272" i="1"/>
  <c r="T272" i="1"/>
  <c r="AO272" i="1" s="1"/>
  <c r="W272" i="1"/>
  <c r="U272" i="1"/>
  <c r="AF272" i="1" s="1"/>
  <c r="S272" i="1"/>
  <c r="V264" i="1"/>
  <c r="AW264" i="1" s="1"/>
  <c r="S264" i="1"/>
  <c r="U264" i="1"/>
  <c r="AF264" i="1" s="1"/>
  <c r="T264" i="1"/>
  <c r="W264" i="1"/>
  <c r="AR260" i="1"/>
  <c r="AA260" i="1"/>
  <c r="AJ260" i="1"/>
  <c r="S210" i="1"/>
  <c r="V210" i="1"/>
  <c r="T210" i="1"/>
  <c r="AO210" i="1" s="1"/>
  <c r="U210" i="1"/>
  <c r="AF210" i="1" s="1"/>
  <c r="W210" i="1"/>
  <c r="T291" i="1"/>
  <c r="T273" i="1"/>
  <c r="V273" i="1"/>
  <c r="S273" i="1"/>
  <c r="U273" i="1"/>
  <c r="AF273" i="1" s="1"/>
  <c r="W273" i="1"/>
  <c r="AA178" i="1"/>
  <c r="AR178" i="1"/>
  <c r="AF178" i="1"/>
  <c r="AJ178" i="1"/>
  <c r="AR262" i="1"/>
  <c r="AA262" i="1"/>
  <c r="AO262" i="1"/>
  <c r="AJ262" i="1"/>
  <c r="V253" i="1"/>
  <c r="AW253" i="1" s="1"/>
  <c r="S253" i="1"/>
  <c r="Y253" i="1" s="1"/>
  <c r="T253" i="1"/>
  <c r="W253" i="1"/>
  <c r="U253" i="1"/>
  <c r="S232" i="1"/>
  <c r="V232" i="1"/>
  <c r="AW232" i="1" s="1"/>
  <c r="T232" i="1"/>
  <c r="U232" i="1"/>
  <c r="W232" i="1"/>
  <c r="S218" i="1"/>
  <c r="V218" i="1"/>
  <c r="AW218" i="1" s="1"/>
  <c r="U218" i="1"/>
  <c r="W218" i="1"/>
  <c r="T218" i="1"/>
  <c r="AH235" i="1"/>
  <c r="AR226" i="1"/>
  <c r="AW226" i="1"/>
  <c r="AJ226" i="1"/>
  <c r="AA226" i="1"/>
  <c r="S221" i="1"/>
  <c r="V221" i="1"/>
  <c r="W221" i="1"/>
  <c r="U221" i="1"/>
  <c r="AF221" i="1" s="1"/>
  <c r="T221" i="1"/>
  <c r="AO221" i="1" s="1"/>
  <c r="AJ217" i="1"/>
  <c r="AJ288" i="1"/>
  <c r="AA339" i="1"/>
  <c r="AJ342" i="1"/>
  <c r="Y192" i="1"/>
  <c r="X209" i="1"/>
  <c r="X268" i="1"/>
  <c r="AA232" i="1"/>
  <c r="AJ252" i="1"/>
  <c r="Y223" i="1"/>
  <c r="Y243" i="1"/>
  <c r="AF321" i="1"/>
  <c r="AR200" i="1"/>
  <c r="AA231" i="1"/>
  <c r="BX148" i="1"/>
  <c r="BV148" i="1"/>
  <c r="BD28" i="1"/>
  <c r="AF266" i="1"/>
  <c r="U95" i="1"/>
  <c r="AF95" i="1" s="1"/>
  <c r="T95" i="1"/>
  <c r="DD95" i="1"/>
  <c r="DH95" i="1" s="1"/>
  <c r="W95" i="1"/>
  <c r="CY95" i="1"/>
  <c r="V95" i="1"/>
  <c r="BF95" i="1" s="1"/>
  <c r="S95" i="1"/>
  <c r="DA95" i="1"/>
  <c r="T103" i="1"/>
  <c r="CY103" i="1"/>
  <c r="U103" i="1"/>
  <c r="AF103" i="1" s="1"/>
  <c r="DA103" i="1"/>
  <c r="DD103" i="1"/>
  <c r="V103" i="1"/>
  <c r="W103" i="1"/>
  <c r="S103" i="1"/>
  <c r="X12" i="1"/>
  <c r="AH54" i="1"/>
  <c r="Y179" i="1"/>
  <c r="AH200" i="1"/>
  <c r="X228" i="1"/>
  <c r="X236" i="1"/>
  <c r="X267" i="1"/>
  <c r="BP8" i="1"/>
  <c r="BO8" i="1"/>
  <c r="BQ8" i="1"/>
  <c r="BF66" i="1"/>
  <c r="BF32" i="1"/>
  <c r="BF33" i="1"/>
  <c r="AA272" i="1"/>
  <c r="BX71" i="1"/>
  <c r="BV71" i="1"/>
  <c r="BW71" i="1"/>
  <c r="BX83" i="1"/>
  <c r="BW83" i="1"/>
  <c r="BV83" i="1"/>
  <c r="BW154" i="1"/>
  <c r="BX154" i="1"/>
  <c r="BV154" i="1"/>
  <c r="BX89" i="1"/>
  <c r="BW89" i="1"/>
  <c r="BQ125" i="1"/>
  <c r="BP125" i="1"/>
  <c r="BO125" i="1"/>
  <c r="BO131" i="1"/>
  <c r="BP131" i="1"/>
  <c r="BO137" i="1"/>
  <c r="BP137" i="1"/>
  <c r="BQ150" i="1"/>
  <c r="BO150" i="1"/>
  <c r="BP150" i="1"/>
  <c r="AR87" i="1"/>
  <c r="AR122" i="1"/>
  <c r="BO29" i="1"/>
  <c r="BQ29" i="1"/>
  <c r="BP29" i="1"/>
  <c r="DG2" i="1"/>
  <c r="DI2" i="1" s="1"/>
  <c r="BP14" i="1"/>
  <c r="BQ14" i="1"/>
  <c r="BQ40" i="1"/>
  <c r="BO40" i="1"/>
  <c r="BP40" i="1"/>
  <c r="BW54" i="1"/>
  <c r="BX54" i="1"/>
  <c r="BV54" i="1"/>
  <c r="BQ74" i="1"/>
  <c r="BP74" i="1"/>
  <c r="BO74" i="1"/>
  <c r="AR28" i="1"/>
  <c r="BW94" i="1"/>
  <c r="BX94" i="1"/>
  <c r="BV94" i="1"/>
  <c r="BP109" i="1"/>
  <c r="BQ109" i="1"/>
  <c r="BO109" i="1"/>
  <c r="BX142" i="1"/>
  <c r="BW142" i="1"/>
  <c r="BV142" i="1"/>
  <c r="AA138" i="1"/>
  <c r="BX32" i="1"/>
  <c r="BV32" i="1"/>
  <c r="BW32" i="1"/>
  <c r="AR117" i="1"/>
  <c r="BO7" i="1"/>
  <c r="BQ7" i="1"/>
  <c r="BW65" i="1"/>
  <c r="BX65" i="1"/>
  <c r="BV65" i="1"/>
  <c r="BP159" i="1"/>
  <c r="BQ159" i="1"/>
  <c r="BV170" i="1"/>
  <c r="BW170" i="1"/>
  <c r="BX170" i="1"/>
  <c r="BP97" i="1"/>
  <c r="BO97" i="1"/>
  <c r="BQ97" i="1"/>
  <c r="AR43" i="1"/>
  <c r="BV103" i="1"/>
  <c r="AJ11" i="1"/>
  <c r="AA81" i="1"/>
  <c r="BD50" i="1"/>
  <c r="AW262" i="1" l="1"/>
  <c r="AO54" i="1"/>
  <c r="AH316" i="1"/>
  <c r="AW204" i="1"/>
  <c r="DF163" i="1"/>
  <c r="AJ115" i="1"/>
  <c r="V269" i="1"/>
  <c r="AA328" i="1"/>
  <c r="DF189" i="1"/>
  <c r="DF287" i="1"/>
  <c r="AW225" i="1"/>
  <c r="AW42" i="1"/>
  <c r="X287" i="1"/>
  <c r="AH287" i="1"/>
  <c r="AH26" i="1"/>
  <c r="DE5" i="1"/>
  <c r="AH334" i="1"/>
  <c r="AW339" i="1"/>
  <c r="AO37" i="1"/>
  <c r="X252" i="1"/>
  <c r="BB42" i="1"/>
  <c r="BD70" i="1"/>
  <c r="Y229" i="1"/>
  <c r="AR30" i="1"/>
  <c r="DF139" i="1"/>
  <c r="U184" i="1"/>
  <c r="BD184" i="1" s="1"/>
  <c r="S345" i="1"/>
  <c r="DF325" i="1"/>
  <c r="DF212" i="1"/>
  <c r="AO260" i="1"/>
  <c r="DF308" i="1"/>
  <c r="DF338" i="1"/>
  <c r="DF298" i="1"/>
  <c r="DF214" i="1"/>
  <c r="AH246" i="1"/>
  <c r="AW21" i="1"/>
  <c r="U342" i="1"/>
  <c r="AF342" i="1" s="1"/>
  <c r="T342" i="1"/>
  <c r="AO6" i="1"/>
  <c r="BB6" i="1"/>
  <c r="BF189" i="1"/>
  <c r="AW189" i="1"/>
  <c r="AW64" i="1"/>
  <c r="BF64" i="1"/>
  <c r="X46" i="1"/>
  <c r="Y46" i="1"/>
  <c r="AO16" i="1"/>
  <c r="BB16" i="1"/>
  <c r="AO41" i="1"/>
  <c r="BB41" i="1"/>
  <c r="AF15" i="1"/>
  <c r="BD15" i="1"/>
  <c r="U256" i="1"/>
  <c r="AF256" i="1" s="1"/>
  <c r="AJ46" i="1"/>
  <c r="T293" i="1"/>
  <c r="S15" i="1"/>
  <c r="S51" i="1"/>
  <c r="BW21" i="1"/>
  <c r="AO58" i="1"/>
  <c r="AW53" i="1"/>
  <c r="S41" i="1"/>
  <c r="S49" i="1"/>
  <c r="S302" i="1"/>
  <c r="W6" i="1"/>
  <c r="X248" i="1"/>
  <c r="S242" i="1"/>
  <c r="Y242" i="1" s="1"/>
  <c r="S244" i="1"/>
  <c r="AR255" i="1"/>
  <c r="T258" i="1"/>
  <c r="AO195" i="1"/>
  <c r="S184" i="1"/>
  <c r="DF193" i="1"/>
  <c r="DF343" i="1"/>
  <c r="DF185" i="1"/>
  <c r="DF331" i="1"/>
  <c r="T256" i="1"/>
  <c r="AO256" i="1" s="1"/>
  <c r="U293" i="1"/>
  <c r="V15" i="1"/>
  <c r="U51" i="1"/>
  <c r="AF51" i="1" s="1"/>
  <c r="BV140" i="1"/>
  <c r="AH220" i="1"/>
  <c r="V41" i="1"/>
  <c r="AW192" i="1"/>
  <c r="AJ15" i="1"/>
  <c r="W302" i="1"/>
  <c r="BO89" i="1"/>
  <c r="AA255" i="1"/>
  <c r="S6" i="1"/>
  <c r="X180" i="1"/>
  <c r="AW245" i="1"/>
  <c r="V244" i="1"/>
  <c r="AJ30" i="1"/>
  <c r="T255" i="1"/>
  <c r="AO255" i="1" s="1"/>
  <c r="U258" i="1"/>
  <c r="AF258" i="1" s="1"/>
  <c r="AJ344" i="1"/>
  <c r="W184" i="1"/>
  <c r="DF218" i="1"/>
  <c r="DF321" i="1"/>
  <c r="U335" i="1"/>
  <c r="AA64" i="1"/>
  <c r="S258" i="1"/>
  <c r="AH258" i="1" s="1"/>
  <c r="AA344" i="1"/>
  <c r="T184" i="1"/>
  <c r="DF318" i="1"/>
  <c r="DF324" i="1"/>
  <c r="DF240" i="1"/>
  <c r="W256" i="1"/>
  <c r="U255" i="1"/>
  <c r="AF255" i="1" s="1"/>
  <c r="BP7" i="1"/>
  <c r="S293" i="1"/>
  <c r="X293" i="1" s="1"/>
  <c r="AK293" i="1" s="1"/>
  <c r="W15" i="1"/>
  <c r="AO12" i="1"/>
  <c r="X257" i="1"/>
  <c r="AR82" i="1"/>
  <c r="X192" i="1"/>
  <c r="AA15" i="1"/>
  <c r="BV159" i="1"/>
  <c r="BP120" i="1"/>
  <c r="BV36" i="1"/>
  <c r="S277" i="1"/>
  <c r="AA49" i="1"/>
  <c r="V302" i="1"/>
  <c r="AW302" i="1" s="1"/>
  <c r="AW335" i="1"/>
  <c r="AJ135" i="1"/>
  <c r="AJ64" i="1"/>
  <c r="U16" i="1"/>
  <c r="AF16" i="1" s="1"/>
  <c r="U64" i="1"/>
  <c r="W255" i="1"/>
  <c r="AA189" i="1"/>
  <c r="V258" i="1"/>
  <c r="U189" i="1"/>
  <c r="X198" i="1"/>
  <c r="S335" i="1"/>
  <c r="BD248" i="1"/>
  <c r="DF303" i="1"/>
  <c r="DF236" i="1"/>
  <c r="W293" i="1"/>
  <c r="BF22" i="1"/>
  <c r="U302" i="1"/>
  <c r="S256" i="1"/>
  <c r="Y256" i="1" s="1"/>
  <c r="AW70" i="1"/>
  <c r="BB66" i="1"/>
  <c r="V256" i="1"/>
  <c r="AW256" i="1" s="1"/>
  <c r="AW12" i="1"/>
  <c r="BV14" i="1"/>
  <c r="BQ173" i="1"/>
  <c r="AO219" i="1"/>
  <c r="AJ82" i="1"/>
  <c r="AA41" i="1"/>
  <c r="X53" i="1"/>
  <c r="AH257" i="1"/>
  <c r="AA242" i="1"/>
  <c r="U277" i="1"/>
  <c r="AF277" i="1" s="1"/>
  <c r="AJ100" i="1"/>
  <c r="AJ49" i="1"/>
  <c r="T302" i="1"/>
  <c r="AO302" i="1" s="1"/>
  <c r="AR64" i="1"/>
  <c r="AJ144" i="1"/>
  <c r="AR129" i="1"/>
  <c r="V16" i="1"/>
  <c r="W64" i="1"/>
  <c r="S255" i="1"/>
  <c r="Y255" i="1" s="1"/>
  <c r="AJ189" i="1"/>
  <c r="S189" i="1"/>
  <c r="AJ201" i="1"/>
  <c r="S328" i="1"/>
  <c r="W198" i="1"/>
  <c r="DF345" i="1"/>
  <c r="DF233" i="1"/>
  <c r="Y61" i="1"/>
  <c r="Z61" i="1" s="1"/>
  <c r="W277" i="1"/>
  <c r="AR6" i="1"/>
  <c r="AJ41" i="1"/>
  <c r="AJ242" i="1"/>
  <c r="V277" i="1"/>
  <c r="AA100" i="1"/>
  <c r="AR49" i="1"/>
  <c r="T46" i="1"/>
  <c r="AO46" i="1" s="1"/>
  <c r="S16" i="1"/>
  <c r="X16" i="1" s="1"/>
  <c r="T64" i="1"/>
  <c r="BB64" i="1" s="1"/>
  <c r="V255" i="1"/>
  <c r="W189" i="1"/>
  <c r="V351" i="1"/>
  <c r="AR201" i="1"/>
  <c r="V328" i="1"/>
  <c r="AB185" i="1"/>
  <c r="BB329" i="1"/>
  <c r="DF313" i="1"/>
  <c r="DF215" i="1"/>
  <c r="DF339" i="1"/>
  <c r="DF309" i="1"/>
  <c r="Y259" i="1"/>
  <c r="BB50" i="1"/>
  <c r="AO244" i="1"/>
  <c r="AH63" i="1"/>
  <c r="AR34" i="1"/>
  <c r="AA6" i="1"/>
  <c r="AA244" i="1"/>
  <c r="AA277" i="1"/>
  <c r="AJ6" i="1"/>
  <c r="AJ16" i="1"/>
  <c r="AR242" i="1"/>
  <c r="T277" i="1"/>
  <c r="AO277" i="1" s="1"/>
  <c r="BX137" i="1"/>
  <c r="W46" i="1"/>
  <c r="AJ353" i="1"/>
  <c r="W16" i="1"/>
  <c r="S64" i="1"/>
  <c r="AR189" i="1"/>
  <c r="DF141" i="1"/>
  <c r="T189" i="1"/>
  <c r="BD5" i="1"/>
  <c r="DF177" i="1"/>
  <c r="T198" i="1"/>
  <c r="U193" i="1"/>
  <c r="DF276" i="1"/>
  <c r="DF227" i="1"/>
  <c r="DF333" i="1"/>
  <c r="W41" i="1"/>
  <c r="S291" i="1"/>
  <c r="AJ244" i="1"/>
  <c r="T314" i="1"/>
  <c r="AO314" i="1" s="1"/>
  <c r="BQ72" i="1"/>
  <c r="AJ277" i="1"/>
  <c r="AR41" i="1"/>
  <c r="Y68" i="1"/>
  <c r="AR351" i="1"/>
  <c r="V46" i="1"/>
  <c r="AR353" i="1"/>
  <c r="S201" i="1"/>
  <c r="DF112" i="1"/>
  <c r="W193" i="1"/>
  <c r="BB285" i="1"/>
  <c r="AA258" i="1"/>
  <c r="AJ351" i="1"/>
  <c r="X249" i="1"/>
  <c r="T242" i="1"/>
  <c r="BB242" i="1" s="1"/>
  <c r="AJ256" i="1"/>
  <c r="U201" i="1"/>
  <c r="T193" i="1"/>
  <c r="X212" i="1"/>
  <c r="U291" i="1"/>
  <c r="AF291" i="1" s="1"/>
  <c r="V314" i="1"/>
  <c r="AW314" i="1" s="1"/>
  <c r="AR172" i="1"/>
  <c r="AR113" i="1"/>
  <c r="AH229" i="1"/>
  <c r="AR244" i="1"/>
  <c r="AA314" i="1"/>
  <c r="T51" i="1"/>
  <c r="AO51" i="1" s="1"/>
  <c r="W314" i="1"/>
  <c r="AJ184" i="1"/>
  <c r="AO343" i="1"/>
  <c r="AA34" i="1"/>
  <c r="AJ73" i="1"/>
  <c r="T49" i="1"/>
  <c r="BQ106" i="1"/>
  <c r="AA113" i="1"/>
  <c r="U6" i="1"/>
  <c r="AF6" i="1" s="1"/>
  <c r="U242" i="1"/>
  <c r="AF242" i="1" s="1"/>
  <c r="AO245" i="1"/>
  <c r="BF36" i="1"/>
  <c r="W244" i="1"/>
  <c r="AR293" i="1"/>
  <c r="V201" i="1"/>
  <c r="V193" i="1"/>
  <c r="DF251" i="1"/>
  <c r="DF278" i="1"/>
  <c r="DF328" i="1"/>
  <c r="DF326" i="1"/>
  <c r="X68" i="1"/>
  <c r="V49" i="1"/>
  <c r="AW49" i="1" s="1"/>
  <c r="Y266" i="1"/>
  <c r="W291" i="1"/>
  <c r="X190" i="1"/>
  <c r="BB43" i="1"/>
  <c r="AJ86" i="1"/>
  <c r="W51" i="1"/>
  <c r="AF190" i="1"/>
  <c r="AW203" i="1"/>
  <c r="AH249" i="1"/>
  <c r="AH339" i="1"/>
  <c r="DF113" i="1"/>
  <c r="BF5" i="1"/>
  <c r="DF117" i="1"/>
  <c r="DF173" i="1"/>
  <c r="AR147" i="1"/>
  <c r="DF165" i="1"/>
  <c r="AH198" i="1"/>
  <c r="DF230" i="1"/>
  <c r="DF299" i="1"/>
  <c r="AW273" i="1"/>
  <c r="BF273" i="1"/>
  <c r="AW265" i="1"/>
  <c r="BF265" i="1"/>
  <c r="AO213" i="1"/>
  <c r="BB213" i="1"/>
  <c r="BF243" i="1"/>
  <c r="AW243" i="1"/>
  <c r="AO218" i="1"/>
  <c r="BB218" i="1"/>
  <c r="AO253" i="1"/>
  <c r="BB253" i="1"/>
  <c r="AW307" i="1"/>
  <c r="BF307" i="1"/>
  <c r="AO222" i="1"/>
  <c r="BB222" i="1"/>
  <c r="AF215" i="1"/>
  <c r="BD215" i="1"/>
  <c r="AO217" i="1"/>
  <c r="BB217" i="1"/>
  <c r="AW272" i="1"/>
  <c r="BF272" i="1"/>
  <c r="AO293" i="1"/>
  <c r="BB293" i="1"/>
  <c r="AF314" i="1"/>
  <c r="BD314" i="1"/>
  <c r="AF37" i="1"/>
  <c r="BD37" i="1"/>
  <c r="AF300" i="1"/>
  <c r="BD300" i="1"/>
  <c r="AW275" i="1"/>
  <c r="BF275" i="1"/>
  <c r="X193" i="1"/>
  <c r="AK193" i="1" s="1"/>
  <c r="Y193" i="1"/>
  <c r="AH193" i="1"/>
  <c r="AO326" i="1"/>
  <c r="BB326" i="1"/>
  <c r="BF63" i="1"/>
  <c r="AW63" i="1"/>
  <c r="BB207" i="1"/>
  <c r="AO207" i="1"/>
  <c r="AH264" i="1"/>
  <c r="X264" i="1"/>
  <c r="AO308" i="1"/>
  <c r="BB308" i="1"/>
  <c r="AW298" i="1"/>
  <c r="BF298" i="1"/>
  <c r="AO288" i="1"/>
  <c r="BB288" i="1"/>
  <c r="AW313" i="1"/>
  <c r="BF313" i="1"/>
  <c r="AO57" i="1"/>
  <c r="BB57" i="1"/>
  <c r="AF232" i="1"/>
  <c r="BD232" i="1"/>
  <c r="AF279" i="1"/>
  <c r="BD279" i="1"/>
  <c r="BF20" i="1"/>
  <c r="AW20" i="1"/>
  <c r="AO291" i="1"/>
  <c r="BB291" i="1"/>
  <c r="AW317" i="1"/>
  <c r="BF317" i="1"/>
  <c r="BB228" i="1"/>
  <c r="AO228" i="1"/>
  <c r="BB271" i="1"/>
  <c r="AO271" i="1"/>
  <c r="AW294" i="1"/>
  <c r="BF294" i="1"/>
  <c r="AO270" i="1"/>
  <c r="BB270" i="1"/>
  <c r="AF337" i="1"/>
  <c r="BD337" i="1"/>
  <c r="AW131" i="1"/>
  <c r="BF131" i="1"/>
  <c r="AO259" i="1"/>
  <c r="BB259" i="1"/>
  <c r="AF301" i="1"/>
  <c r="BD301" i="1"/>
  <c r="AF225" i="1"/>
  <c r="BD225" i="1"/>
  <c r="DH103" i="1"/>
  <c r="AO303" i="1"/>
  <c r="BB303" i="1"/>
  <c r="U67" i="1"/>
  <c r="AF67" i="1" s="1"/>
  <c r="AW238" i="1"/>
  <c r="BF238" i="1"/>
  <c r="AF209" i="1"/>
  <c r="AF243" i="1"/>
  <c r="BD243" i="1"/>
  <c r="AF223" i="1"/>
  <c r="BD223" i="1"/>
  <c r="AH53" i="1"/>
  <c r="U13" i="1"/>
  <c r="AF13" i="1" s="1"/>
  <c r="AJ67" i="1"/>
  <c r="AW287" i="1"/>
  <c r="AO265" i="1"/>
  <c r="BB265" i="1"/>
  <c r="AA36" i="1"/>
  <c r="AA76" i="1"/>
  <c r="AW286" i="1"/>
  <c r="BF286" i="1"/>
  <c r="AF313" i="1"/>
  <c r="BD313" i="1"/>
  <c r="AR157" i="1"/>
  <c r="BX27" i="1"/>
  <c r="AO316" i="1"/>
  <c r="AR13" i="1"/>
  <c r="AF230" i="1"/>
  <c r="BD230" i="1"/>
  <c r="AF191" i="1"/>
  <c r="AW45" i="1"/>
  <c r="AF297" i="1"/>
  <c r="BD297" i="1"/>
  <c r="AW340" i="1"/>
  <c r="BF340" i="1"/>
  <c r="AF309" i="1"/>
  <c r="BD309" i="1"/>
  <c r="S28" i="1"/>
  <c r="S36" i="1"/>
  <c r="AR91" i="1"/>
  <c r="AH199" i="1"/>
  <c r="AO25" i="1"/>
  <c r="AF245" i="1"/>
  <c r="BD245" i="1"/>
  <c r="DF120" i="1"/>
  <c r="AO192" i="1"/>
  <c r="BB192" i="1"/>
  <c r="DF145" i="1"/>
  <c r="DH169" i="1"/>
  <c r="AA51" i="1"/>
  <c r="DF126" i="1"/>
  <c r="AR163" i="1"/>
  <c r="X188" i="1"/>
  <c r="BF224" i="1"/>
  <c r="BF343" i="1"/>
  <c r="BD307" i="1"/>
  <c r="BF242" i="1"/>
  <c r="BD296" i="1"/>
  <c r="BB230" i="1"/>
  <c r="BF306" i="1"/>
  <c r="BD339" i="1"/>
  <c r="BB299" i="1"/>
  <c r="BD304" i="1"/>
  <c r="BD315" i="1"/>
  <c r="BF215" i="1"/>
  <c r="BD332" i="1"/>
  <c r="BB327" i="1"/>
  <c r="BF314" i="1"/>
  <c r="BD288" i="1"/>
  <c r="CJ342" i="1"/>
  <c r="BO342" i="1"/>
  <c r="CC342" i="1"/>
  <c r="BV342" i="1"/>
  <c r="CJ217" i="1"/>
  <c r="BV217" i="1"/>
  <c r="CC217" i="1"/>
  <c r="BO217" i="1"/>
  <c r="CL265" i="1"/>
  <c r="CE265" i="1"/>
  <c r="BX265" i="1"/>
  <c r="BQ265" i="1"/>
  <c r="CL302" i="1"/>
  <c r="BX302" i="1"/>
  <c r="CE302" i="1"/>
  <c r="BQ302" i="1"/>
  <c r="DF311" i="1"/>
  <c r="CD278" i="1"/>
  <c r="CK278" i="1"/>
  <c r="BP278" i="1"/>
  <c r="BW278" i="1"/>
  <c r="CJ230" i="1"/>
  <c r="CC230" i="1"/>
  <c r="BV230" i="1"/>
  <c r="BO230" i="1"/>
  <c r="CK184" i="1"/>
  <c r="CD184" i="1"/>
  <c r="BP184" i="1"/>
  <c r="BW184" i="1"/>
  <c r="CY200" i="1"/>
  <c r="DA200" i="1"/>
  <c r="DE200" i="1" s="1"/>
  <c r="DD200" i="1"/>
  <c r="AA200" i="1"/>
  <c r="CK269" i="1"/>
  <c r="BP269" i="1"/>
  <c r="BW269" i="1"/>
  <c r="CD269" i="1"/>
  <c r="CL330" i="1"/>
  <c r="BX330" i="1"/>
  <c r="BQ330" i="1"/>
  <c r="CE330" i="1"/>
  <c r="CL291" i="1"/>
  <c r="BQ291" i="1"/>
  <c r="BX291" i="1"/>
  <c r="CE291" i="1"/>
  <c r="CY284" i="1"/>
  <c r="DA284" i="1"/>
  <c r="DD284" i="1"/>
  <c r="AA284" i="1"/>
  <c r="CL314" i="1"/>
  <c r="CE314" i="1"/>
  <c r="BX314" i="1"/>
  <c r="BQ314" i="1"/>
  <c r="CY229" i="1"/>
  <c r="DA229" i="1"/>
  <c r="DD229" i="1"/>
  <c r="CL242" i="1"/>
  <c r="CE242" i="1"/>
  <c r="BX242" i="1"/>
  <c r="BQ242" i="1"/>
  <c r="CY215" i="1"/>
  <c r="DA215" i="1"/>
  <c r="DD215" i="1"/>
  <c r="CJ348" i="1"/>
  <c r="CC348" i="1"/>
  <c r="BV348" i="1"/>
  <c r="BO348" i="1"/>
  <c r="DA316" i="1"/>
  <c r="DD316" i="1"/>
  <c r="CY316" i="1"/>
  <c r="AR316" i="1"/>
  <c r="AA316" i="1"/>
  <c r="CK244" i="1"/>
  <c r="CD244" i="1"/>
  <c r="BP244" i="1"/>
  <c r="BW244" i="1"/>
  <c r="DA292" i="1"/>
  <c r="DD292" i="1"/>
  <c r="CY292" i="1"/>
  <c r="AA292" i="1"/>
  <c r="AR292" i="1"/>
  <c r="CJ340" i="1"/>
  <c r="CC340" i="1"/>
  <c r="BO340" i="1"/>
  <c r="BV340" i="1"/>
  <c r="CK347" i="1"/>
  <c r="CD347" i="1"/>
  <c r="BP347" i="1"/>
  <c r="BW347" i="1"/>
  <c r="CJ246" i="1"/>
  <c r="BO246" i="1"/>
  <c r="CC246" i="1"/>
  <c r="BV246" i="1"/>
  <c r="CY243" i="1"/>
  <c r="DA243" i="1"/>
  <c r="DD243" i="1"/>
  <c r="CL301" i="1"/>
  <c r="BQ301" i="1"/>
  <c r="CE301" i="1"/>
  <c r="BX301" i="1"/>
  <c r="AO211" i="1"/>
  <c r="BB211" i="1"/>
  <c r="AW221" i="1"/>
  <c r="BF221" i="1"/>
  <c r="AO298" i="1"/>
  <c r="BB298" i="1"/>
  <c r="AW211" i="1"/>
  <c r="BF211" i="1"/>
  <c r="T13" i="1"/>
  <c r="AO13" i="1" s="1"/>
  <c r="AJ13" i="1"/>
  <c r="AF311" i="1"/>
  <c r="BD311" i="1"/>
  <c r="AO261" i="1"/>
  <c r="AW285" i="1"/>
  <c r="BF285" i="1"/>
  <c r="AO340" i="1"/>
  <c r="BB340" i="1"/>
  <c r="W20" i="1"/>
  <c r="V28" i="1"/>
  <c r="T36" i="1"/>
  <c r="AJ91" i="1"/>
  <c r="AF195" i="1"/>
  <c r="BD195" i="1"/>
  <c r="AO345" i="1"/>
  <c r="BB345" i="1"/>
  <c r="BB238" i="1"/>
  <c r="BB283" i="1"/>
  <c r="BF304" i="1"/>
  <c r="BD285" i="1"/>
  <c r="BD342" i="1"/>
  <c r="BB221" i="1"/>
  <c r="BF249" i="1"/>
  <c r="BD185" i="1"/>
  <c r="BF284" i="1"/>
  <c r="BD249" i="1"/>
  <c r="BB333" i="1"/>
  <c r="BF222" i="1"/>
  <c r="BB322" i="1"/>
  <c r="BD233" i="1"/>
  <c r="BF279" i="1"/>
  <c r="BD323" i="1"/>
  <c r="CJ182" i="1"/>
  <c r="CC182" i="1"/>
  <c r="BO182" i="1"/>
  <c r="BV182" i="1"/>
  <c r="DF198" i="1"/>
  <c r="CK267" i="1"/>
  <c r="CD267" i="1"/>
  <c r="BP267" i="1"/>
  <c r="BW267" i="1"/>
  <c r="CE352" i="1"/>
  <c r="CL352" i="1"/>
  <c r="BX352" i="1"/>
  <c r="BQ352" i="1"/>
  <c r="CK265" i="1"/>
  <c r="BW265" i="1"/>
  <c r="BP265" i="1"/>
  <c r="CD265" i="1"/>
  <c r="AJ290" i="1"/>
  <c r="DD290" i="1"/>
  <c r="DA290" i="1"/>
  <c r="CY290" i="1"/>
  <c r="AR290" i="1"/>
  <c r="CK302" i="1"/>
  <c r="BP302" i="1"/>
  <c r="BW302" i="1"/>
  <c r="CD302" i="1"/>
  <c r="AR311" i="1"/>
  <c r="CY311" i="1"/>
  <c r="DD311" i="1"/>
  <c r="DA311" i="1"/>
  <c r="AA311" i="1"/>
  <c r="CE230" i="1"/>
  <c r="CL230" i="1"/>
  <c r="BX230" i="1"/>
  <c r="BQ230" i="1"/>
  <c r="CY225" i="1"/>
  <c r="DA225" i="1"/>
  <c r="DD225" i="1"/>
  <c r="CJ184" i="1"/>
  <c r="BO184" i="1"/>
  <c r="BV184" i="1"/>
  <c r="CC184" i="1"/>
  <c r="CJ329" i="1"/>
  <c r="CC329" i="1"/>
  <c r="BO329" i="1"/>
  <c r="BV329" i="1"/>
  <c r="CK330" i="1"/>
  <c r="CD330" i="1"/>
  <c r="BP330" i="1"/>
  <c r="BW330" i="1"/>
  <c r="CK291" i="1"/>
  <c r="BP291" i="1"/>
  <c r="CD291" i="1"/>
  <c r="BW291" i="1"/>
  <c r="CL303" i="1"/>
  <c r="CE303" i="1"/>
  <c r="BX303" i="1"/>
  <c r="BQ303" i="1"/>
  <c r="CK314" i="1"/>
  <c r="BW314" i="1"/>
  <c r="CD314" i="1"/>
  <c r="BP314" i="1"/>
  <c r="CJ275" i="1"/>
  <c r="BO275" i="1"/>
  <c r="CC275" i="1"/>
  <c r="BV275" i="1"/>
  <c r="CY205" i="1"/>
  <c r="DA205" i="1"/>
  <c r="DD205" i="1"/>
  <c r="CL250" i="1"/>
  <c r="CE250" i="1"/>
  <c r="BQ250" i="1"/>
  <c r="BX250" i="1"/>
  <c r="CK293" i="1"/>
  <c r="CD293" i="1"/>
  <c r="BP293" i="1"/>
  <c r="BW293" i="1"/>
  <c r="CK222" i="1"/>
  <c r="CD222" i="1"/>
  <c r="BP222" i="1"/>
  <c r="BW222" i="1"/>
  <c r="CK206" i="1"/>
  <c r="CD206" i="1"/>
  <c r="BP206" i="1"/>
  <c r="BW206" i="1"/>
  <c r="CL179" i="1"/>
  <c r="BQ179" i="1"/>
  <c r="BX179" i="1"/>
  <c r="CE179" i="1"/>
  <c r="AF312" i="1"/>
  <c r="BD312" i="1"/>
  <c r="BD12" i="1"/>
  <c r="AF326" i="1"/>
  <c r="BD326" i="1"/>
  <c r="Y20" i="1"/>
  <c r="AW271" i="1"/>
  <c r="BF271" i="1"/>
  <c r="AF294" i="1"/>
  <c r="BD294" i="1"/>
  <c r="AW50" i="1"/>
  <c r="AF192" i="1"/>
  <c r="AF213" i="1"/>
  <c r="BD213" i="1"/>
  <c r="AR36" i="1"/>
  <c r="S62" i="1"/>
  <c r="U20" i="1"/>
  <c r="AF20" i="1" s="1"/>
  <c r="W28" i="1"/>
  <c r="AW216" i="1"/>
  <c r="BF216" i="1"/>
  <c r="AA83" i="1"/>
  <c r="DF157" i="1"/>
  <c r="DF133" i="1"/>
  <c r="AO199" i="1"/>
  <c r="BB199" i="1"/>
  <c r="BB254" i="1"/>
  <c r="BB226" i="1"/>
  <c r="BF301" i="1"/>
  <c r="BB237" i="1"/>
  <c r="BD274" i="1"/>
  <c r="BB201" i="1"/>
  <c r="BD319" i="1"/>
  <c r="BB320" i="1"/>
  <c r="BF214" i="1"/>
  <c r="BD234" i="1"/>
  <c r="BB289" i="1"/>
  <c r="BD272" i="1"/>
  <c r="BF246" i="1"/>
  <c r="BB313" i="1"/>
  <c r="BD299" i="1"/>
  <c r="BF320" i="1"/>
  <c r="BD200" i="1"/>
  <c r="BD276" i="1"/>
  <c r="CL193" i="1"/>
  <c r="CE193" i="1"/>
  <c r="BQ193" i="1"/>
  <c r="BX193" i="1"/>
  <c r="CJ285" i="1"/>
  <c r="CC285" i="1"/>
  <c r="BO285" i="1"/>
  <c r="BV285" i="1"/>
  <c r="CY257" i="1"/>
  <c r="DA257" i="1"/>
  <c r="DD257" i="1"/>
  <c r="AR257" i="1"/>
  <c r="CJ250" i="1"/>
  <c r="CC250" i="1"/>
  <c r="BO250" i="1"/>
  <c r="BV250" i="1"/>
  <c r="AJ339" i="1"/>
  <c r="DD339" i="1"/>
  <c r="DA339" i="1"/>
  <c r="CY339" i="1"/>
  <c r="CJ222" i="1"/>
  <c r="CC222" i="1"/>
  <c r="BO222" i="1"/>
  <c r="BV222" i="1"/>
  <c r="BW233" i="1"/>
  <c r="CK233" i="1"/>
  <c r="BP233" i="1"/>
  <c r="CD233" i="1"/>
  <c r="DF186" i="1"/>
  <c r="CJ183" i="1"/>
  <c r="BO183" i="1"/>
  <c r="CC183" i="1"/>
  <c r="BV183" i="1"/>
  <c r="U350" i="1"/>
  <c r="CY350" i="1"/>
  <c r="DA350" i="1"/>
  <c r="DE350" i="1" s="1"/>
  <c r="DD350" i="1"/>
  <c r="W350" i="1"/>
  <c r="AF203" i="1"/>
  <c r="BD203" i="1"/>
  <c r="AO180" i="1"/>
  <c r="BB180" i="1"/>
  <c r="BB304" i="1"/>
  <c r="BF310" i="1"/>
  <c r="BF236" i="1"/>
  <c r="BD244" i="1"/>
  <c r="BD327" i="1"/>
  <c r="BD217" i="1"/>
  <c r="BF316" i="1"/>
  <c r="BD286" i="1"/>
  <c r="BB294" i="1"/>
  <c r="BD292" i="1"/>
  <c r="BB290" i="1"/>
  <c r="BF220" i="1"/>
  <c r="BD277" i="1"/>
  <c r="BD340" i="1"/>
  <c r="BB210" i="1"/>
  <c r="CK182" i="1"/>
  <c r="BP182" i="1"/>
  <c r="BW182" i="1"/>
  <c r="CD182" i="1"/>
  <c r="CL267" i="1"/>
  <c r="CE267" i="1"/>
  <c r="BQ267" i="1"/>
  <c r="BX267" i="1"/>
  <c r="CK328" i="1"/>
  <c r="CD328" i="1"/>
  <c r="BP328" i="1"/>
  <c r="BW328" i="1"/>
  <c r="CJ352" i="1"/>
  <c r="CC352" i="1"/>
  <c r="BV352" i="1"/>
  <c r="BO352" i="1"/>
  <c r="CC248" i="1"/>
  <c r="CJ248" i="1"/>
  <c r="BO248" i="1"/>
  <c r="BV248" i="1"/>
  <c r="CK207" i="1"/>
  <c r="BW207" i="1"/>
  <c r="BP207" i="1"/>
  <c r="CD207" i="1"/>
  <c r="CK329" i="1"/>
  <c r="CD329" i="1"/>
  <c r="BP329" i="1"/>
  <c r="BW329" i="1"/>
  <c r="CY221" i="1"/>
  <c r="DD221" i="1"/>
  <c r="DA221" i="1"/>
  <c r="CC303" i="1"/>
  <c r="CJ303" i="1"/>
  <c r="BV303" i="1"/>
  <c r="BO303" i="1"/>
  <c r="CL312" i="1"/>
  <c r="CE312" i="1"/>
  <c r="BQ312" i="1"/>
  <c r="BX312" i="1"/>
  <c r="CK275" i="1"/>
  <c r="BP275" i="1"/>
  <c r="CD275" i="1"/>
  <c r="BW275" i="1"/>
  <c r="CL321" i="1"/>
  <c r="CE321" i="1"/>
  <c r="BQ321" i="1"/>
  <c r="BX321" i="1"/>
  <c r="CK193" i="1"/>
  <c r="BP193" i="1"/>
  <c r="CD193" i="1"/>
  <c r="BW193" i="1"/>
  <c r="CY348" i="1"/>
  <c r="DD348" i="1"/>
  <c r="DH348" i="1" s="1"/>
  <c r="DA348" i="1"/>
  <c r="S348" i="1"/>
  <c r="W348" i="1"/>
  <c r="U348" i="1"/>
  <c r="CL285" i="1"/>
  <c r="BX285" i="1"/>
  <c r="CE285" i="1"/>
  <c r="BQ285" i="1"/>
  <c r="CK297" i="1"/>
  <c r="BW297" i="1"/>
  <c r="CD297" i="1"/>
  <c r="BP297" i="1"/>
  <c r="CL226" i="1"/>
  <c r="CE226" i="1"/>
  <c r="BQ226" i="1"/>
  <c r="BX226" i="1"/>
  <c r="CL222" i="1"/>
  <c r="CE222" i="1"/>
  <c r="BQ222" i="1"/>
  <c r="BX222" i="1"/>
  <c r="AO232" i="1"/>
  <c r="BB232" i="1"/>
  <c r="X21" i="1"/>
  <c r="AO182" i="1"/>
  <c r="BD68" i="1"/>
  <c r="AW223" i="1"/>
  <c r="BF223" i="1"/>
  <c r="AW270" i="1"/>
  <c r="BF270" i="1"/>
  <c r="AW288" i="1"/>
  <c r="BF288" i="1"/>
  <c r="AW58" i="1"/>
  <c r="AO275" i="1"/>
  <c r="BB275" i="1"/>
  <c r="AO242" i="1"/>
  <c r="AF317" i="1"/>
  <c r="BD317" i="1"/>
  <c r="AW213" i="1"/>
  <c r="BF213" i="1"/>
  <c r="AR132" i="1"/>
  <c r="X204" i="1"/>
  <c r="W62" i="1"/>
  <c r="AF278" i="1"/>
  <c r="BD278" i="1"/>
  <c r="AO234" i="1"/>
  <c r="BB234" i="1"/>
  <c r="AO287" i="1"/>
  <c r="BB287" i="1"/>
  <c r="AJ77" i="1"/>
  <c r="T20" i="1"/>
  <c r="AO229" i="1"/>
  <c r="BB229" i="1"/>
  <c r="AO191" i="1"/>
  <c r="BB191" i="1"/>
  <c r="BD227" i="1"/>
  <c r="BB241" i="1"/>
  <c r="BB215" i="1"/>
  <c r="BF253" i="1"/>
  <c r="BB297" i="1"/>
  <c r="BF281" i="1"/>
  <c r="BD239" i="1"/>
  <c r="BB249" i="1"/>
  <c r="BF323" i="1"/>
  <c r="BD228" i="1"/>
  <c r="BF300" i="1"/>
  <c r="BD310" i="1"/>
  <c r="BD258" i="1"/>
  <c r="BB279" i="1"/>
  <c r="BD204" i="1"/>
  <c r="BD251" i="1"/>
  <c r="BB223" i="1"/>
  <c r="BF235" i="1"/>
  <c r="CK219" i="1"/>
  <c r="BW219" i="1"/>
  <c r="BP219" i="1"/>
  <c r="CD219" i="1"/>
  <c r="CK321" i="1"/>
  <c r="CD321" i="1"/>
  <c r="BP321" i="1"/>
  <c r="BW321" i="1"/>
  <c r="CJ193" i="1"/>
  <c r="CC193" i="1"/>
  <c r="BO193" i="1"/>
  <c r="BV193" i="1"/>
  <c r="CL297" i="1"/>
  <c r="BX297" i="1"/>
  <c r="CE297" i="1"/>
  <c r="BQ297" i="1"/>
  <c r="DD340" i="1"/>
  <c r="DH340" i="1" s="1"/>
  <c r="CY340" i="1"/>
  <c r="DA340" i="1"/>
  <c r="BB59" i="1"/>
  <c r="AH21" i="1"/>
  <c r="BF25" i="1"/>
  <c r="BD46" i="1"/>
  <c r="AF282" i="1"/>
  <c r="BD282" i="1"/>
  <c r="AO337" i="1"/>
  <c r="BB337" i="1"/>
  <c r="AA132" i="1"/>
  <c r="X10" i="1"/>
  <c r="T62" i="1"/>
  <c r="AO62" i="1" s="1"/>
  <c r="AF236" i="1"/>
  <c r="BD236" i="1"/>
  <c r="X237" i="1"/>
  <c r="AH204" i="1"/>
  <c r="Y246" i="1"/>
  <c r="AB246" i="1" s="1"/>
  <c r="AR104" i="1"/>
  <c r="AA77" i="1"/>
  <c r="AF229" i="1"/>
  <c r="BD229" i="1"/>
  <c r="AW198" i="1"/>
  <c r="BF198" i="1"/>
  <c r="DG5" i="1"/>
  <c r="AO198" i="1"/>
  <c r="BB198" i="1"/>
  <c r="BD308" i="1"/>
  <c r="BB278" i="1"/>
  <c r="BF322" i="1"/>
  <c r="BD260" i="1"/>
  <c r="BF289" i="1"/>
  <c r="BB307" i="1"/>
  <c r="BF254" i="1"/>
  <c r="BD290" i="1"/>
  <c r="BD275" i="1"/>
  <c r="BB346" i="1"/>
  <c r="BD226" i="1"/>
  <c r="BB257" i="1"/>
  <c r="BF329" i="1"/>
  <c r="BB300" i="1"/>
  <c r="BD211" i="1"/>
  <c r="BB236" i="1"/>
  <c r="CK280" i="1"/>
  <c r="BP280" i="1"/>
  <c r="CD280" i="1"/>
  <c r="BW280" i="1"/>
  <c r="CJ197" i="1"/>
  <c r="CC197" i="1"/>
  <c r="BO197" i="1"/>
  <c r="BV197" i="1"/>
  <c r="CK213" i="1"/>
  <c r="CD213" i="1"/>
  <c r="BP213" i="1"/>
  <c r="BW213" i="1"/>
  <c r="CL296" i="1"/>
  <c r="CE296" i="1"/>
  <c r="BQ296" i="1"/>
  <c r="BX296" i="1"/>
  <c r="AA302" i="1"/>
  <c r="DD302" i="1"/>
  <c r="CY302" i="1"/>
  <c r="DA302" i="1"/>
  <c r="AR302" i="1"/>
  <c r="CK248" i="1"/>
  <c r="CD248" i="1"/>
  <c r="BP248" i="1"/>
  <c r="BW248" i="1"/>
  <c r="CL214" i="1"/>
  <c r="BX214" i="1"/>
  <c r="BQ214" i="1"/>
  <c r="CE214" i="1"/>
  <c r="CY184" i="1"/>
  <c r="DA184" i="1"/>
  <c r="DD184" i="1"/>
  <c r="DH184" i="1" s="1"/>
  <c r="V184" i="1"/>
  <c r="CL207" i="1"/>
  <c r="BX207" i="1"/>
  <c r="BQ207" i="1"/>
  <c r="CE207" i="1"/>
  <c r="DF197" i="1"/>
  <c r="DF329" i="1"/>
  <c r="CE218" i="1"/>
  <c r="CL218" i="1"/>
  <c r="BQ218" i="1"/>
  <c r="BX218" i="1"/>
  <c r="CY291" i="1"/>
  <c r="DA291" i="1"/>
  <c r="DD291" i="1"/>
  <c r="AA291" i="1"/>
  <c r="AJ291" i="1"/>
  <c r="AR291" i="1"/>
  <c r="CJ312" i="1"/>
  <c r="BO312" i="1"/>
  <c r="CC312" i="1"/>
  <c r="BV312" i="1"/>
  <c r="DD314" i="1"/>
  <c r="CY314" i="1"/>
  <c r="DA314" i="1"/>
  <c r="AR314" i="1"/>
  <c r="AJ314" i="1"/>
  <c r="CJ219" i="1"/>
  <c r="BO219" i="1"/>
  <c r="CC219" i="1"/>
  <c r="BV219" i="1"/>
  <c r="CY242" i="1"/>
  <c r="DA242" i="1"/>
  <c r="DD242" i="1"/>
  <c r="CL238" i="1"/>
  <c r="CE238" i="1"/>
  <c r="BX238" i="1"/>
  <c r="BQ238" i="1"/>
  <c r="CJ226" i="1"/>
  <c r="BO226" i="1"/>
  <c r="CC226" i="1"/>
  <c r="BV226" i="1"/>
  <c r="CY293" i="1"/>
  <c r="DA293" i="1"/>
  <c r="DD293" i="1"/>
  <c r="AJ293" i="1"/>
  <c r="CJ308" i="1"/>
  <c r="CC308" i="1"/>
  <c r="BV308" i="1"/>
  <c r="BO308" i="1"/>
  <c r="DD334" i="1"/>
  <c r="CY334" i="1"/>
  <c r="DA334" i="1"/>
  <c r="AA334" i="1"/>
  <c r="AR334" i="1"/>
  <c r="AJ334" i="1"/>
  <c r="DD260" i="1"/>
  <c r="CY260" i="1"/>
  <c r="DA260" i="1"/>
  <c r="CK237" i="1"/>
  <c r="BW237" i="1"/>
  <c r="BP237" i="1"/>
  <c r="CD237" i="1"/>
  <c r="CL289" i="1"/>
  <c r="CE289" i="1"/>
  <c r="BQ289" i="1"/>
  <c r="BX289" i="1"/>
  <c r="AW274" i="1"/>
  <c r="AW277" i="1"/>
  <c r="BF277" i="1"/>
  <c r="AO318" i="1"/>
  <c r="BB318" i="1"/>
  <c r="U62" i="1"/>
  <c r="AF62" i="1" s="1"/>
  <c r="AR72" i="1"/>
  <c r="AA104" i="1"/>
  <c r="AO65" i="1"/>
  <c r="AO305" i="1"/>
  <c r="BB305" i="1"/>
  <c r="AO224" i="1"/>
  <c r="BB224" i="1"/>
  <c r="AF250" i="1"/>
  <c r="BD250" i="1"/>
  <c r="DF161" i="1"/>
  <c r="DF146" i="1"/>
  <c r="AF207" i="1"/>
  <c r="BD207" i="1"/>
  <c r="DF122" i="1"/>
  <c r="BB317" i="1"/>
  <c r="BF350" i="1"/>
  <c r="BD341" i="1"/>
  <c r="BD247" i="1"/>
  <c r="BF248" i="1"/>
  <c r="BD256" i="1"/>
  <c r="BD303" i="1"/>
  <c r="BB251" i="1"/>
  <c r="BF337" i="1"/>
  <c r="BB286" i="1"/>
  <c r="BF219" i="1"/>
  <c r="BD231" i="1"/>
  <c r="BF196" i="1"/>
  <c r="BD241" i="1"/>
  <c r="BD264" i="1"/>
  <c r="BB225" i="1"/>
  <c r="CJ280" i="1"/>
  <c r="CC280" i="1"/>
  <c r="BO280" i="1"/>
  <c r="BV280" i="1"/>
  <c r="CL197" i="1"/>
  <c r="CE197" i="1"/>
  <c r="BQ197" i="1"/>
  <c r="BX197" i="1"/>
  <c r="CJ213" i="1"/>
  <c r="CC213" i="1"/>
  <c r="BO213" i="1"/>
  <c r="BV213" i="1"/>
  <c r="DD265" i="1"/>
  <c r="CY265" i="1"/>
  <c r="DA265" i="1"/>
  <c r="CD296" i="1"/>
  <c r="CK296" i="1"/>
  <c r="BW296" i="1"/>
  <c r="BP296" i="1"/>
  <c r="CK214" i="1"/>
  <c r="CD214" i="1"/>
  <c r="BW214" i="1"/>
  <c r="BP214" i="1"/>
  <c r="CY230" i="1"/>
  <c r="DA230" i="1"/>
  <c r="DD230" i="1"/>
  <c r="AA230" i="1"/>
  <c r="CJ200" i="1"/>
  <c r="BO200" i="1"/>
  <c r="CC200" i="1"/>
  <c r="BV200" i="1"/>
  <c r="CY330" i="1"/>
  <c r="DA330" i="1"/>
  <c r="DD330" i="1"/>
  <c r="AA330" i="1"/>
  <c r="U330" i="1"/>
  <c r="S330" i="1"/>
  <c r="AJ330" i="1"/>
  <c r="W330" i="1"/>
  <c r="T330" i="1"/>
  <c r="V330" i="1"/>
  <c r="AR330" i="1"/>
  <c r="CK218" i="1"/>
  <c r="BW218" i="1"/>
  <c r="BP218" i="1"/>
  <c r="CD218" i="1"/>
  <c r="CJ284" i="1"/>
  <c r="CC284" i="1"/>
  <c r="BO284" i="1"/>
  <c r="BV284" i="1"/>
  <c r="CL229" i="1"/>
  <c r="BQ229" i="1"/>
  <c r="CE229" i="1"/>
  <c r="BX229" i="1"/>
  <c r="CL219" i="1"/>
  <c r="BX219" i="1"/>
  <c r="BQ219" i="1"/>
  <c r="CE219" i="1"/>
  <c r="CJ215" i="1"/>
  <c r="BV215" i="1"/>
  <c r="CC215" i="1"/>
  <c r="BO215" i="1"/>
  <c r="CL316" i="1"/>
  <c r="CE316" i="1"/>
  <c r="BX316" i="1"/>
  <c r="BQ316" i="1"/>
  <c r="CL292" i="1"/>
  <c r="CE292" i="1"/>
  <c r="BQ292" i="1"/>
  <c r="BX292" i="1"/>
  <c r="BF233" i="1"/>
  <c r="CJ211" i="1"/>
  <c r="BO211" i="1"/>
  <c r="CC211" i="1"/>
  <c r="BV211" i="1"/>
  <c r="BW106" i="1"/>
  <c r="AW247" i="1"/>
  <c r="BF247" i="1"/>
  <c r="BB27" i="1"/>
  <c r="AF253" i="1"/>
  <c r="BD253" i="1"/>
  <c r="AW210" i="1"/>
  <c r="BF210" i="1"/>
  <c r="AO264" i="1"/>
  <c r="BB264" i="1"/>
  <c r="AO284" i="1"/>
  <c r="BB284" i="1"/>
  <c r="X63" i="1"/>
  <c r="AH20" i="1"/>
  <c r="AW259" i="1"/>
  <c r="BF259" i="1"/>
  <c r="AH250" i="1"/>
  <c r="AO220" i="1"/>
  <c r="AF235" i="1"/>
  <c r="BD235" i="1"/>
  <c r="AF240" i="1"/>
  <c r="BD240" i="1"/>
  <c r="BD42" i="1"/>
  <c r="AW283" i="1"/>
  <c r="BF283" i="1"/>
  <c r="AR149" i="1"/>
  <c r="AF334" i="1"/>
  <c r="BD334" i="1"/>
  <c r="BB22" i="1"/>
  <c r="AW10" i="1"/>
  <c r="AW202" i="1"/>
  <c r="AW331" i="1"/>
  <c r="BF331" i="1"/>
  <c r="AW278" i="1"/>
  <c r="BF278" i="1"/>
  <c r="AW212" i="1"/>
  <c r="BD16" i="1"/>
  <c r="AJ72" i="1"/>
  <c r="AA109" i="1"/>
  <c r="AW333" i="1"/>
  <c r="BF333" i="1"/>
  <c r="AF224" i="1"/>
  <c r="BD224" i="1"/>
  <c r="AF329" i="1"/>
  <c r="BD329" i="1"/>
  <c r="AC185" i="1"/>
  <c r="AW342" i="1"/>
  <c r="BF342" i="1"/>
  <c r="BB272" i="1"/>
  <c r="BF315" i="1"/>
  <c r="BD306" i="1"/>
  <c r="BB185" i="1"/>
  <c r="BF252" i="1"/>
  <c r="BB302" i="1"/>
  <c r="BD210" i="1"/>
  <c r="BB240" i="1"/>
  <c r="BF260" i="1"/>
  <c r="BD182" i="1"/>
  <c r="BB323" i="1"/>
  <c r="BD331" i="1"/>
  <c r="BB306" i="1"/>
  <c r="BF305" i="1"/>
  <c r="BD320" i="1"/>
  <c r="BD221" i="1"/>
  <c r="BF232" i="1"/>
  <c r="BD212" i="1"/>
  <c r="DD182" i="1"/>
  <c r="CY182" i="1"/>
  <c r="DA182" i="1"/>
  <c r="W182" i="1"/>
  <c r="V182" i="1"/>
  <c r="DF182" i="1"/>
  <c r="DA267" i="1"/>
  <c r="DD267" i="1"/>
  <c r="CY267" i="1"/>
  <c r="V267" i="1"/>
  <c r="AS267" i="1" s="1"/>
  <c r="W267" i="1"/>
  <c r="U267" i="1"/>
  <c r="CK197" i="1"/>
  <c r="CD197" i="1"/>
  <c r="BP197" i="1"/>
  <c r="BW197" i="1"/>
  <c r="DD352" i="1"/>
  <c r="CY352" i="1"/>
  <c r="DA352" i="1"/>
  <c r="S352" i="1"/>
  <c r="CL213" i="1"/>
  <c r="CE213" i="1"/>
  <c r="BQ213" i="1"/>
  <c r="BX213" i="1"/>
  <c r="CJ290" i="1"/>
  <c r="CC290" i="1"/>
  <c r="BO290" i="1"/>
  <c r="BV290" i="1"/>
  <c r="CJ311" i="1"/>
  <c r="CC311" i="1"/>
  <c r="BV311" i="1"/>
  <c r="BO311" i="1"/>
  <c r="DF248" i="1"/>
  <c r="CJ214" i="1"/>
  <c r="CC214" i="1"/>
  <c r="BO214" i="1"/>
  <c r="BV214" i="1"/>
  <c r="CD225" i="1"/>
  <c r="CK225" i="1"/>
  <c r="BP225" i="1"/>
  <c r="BW225" i="1"/>
  <c r="DF226" i="1"/>
  <c r="CL200" i="1"/>
  <c r="BQ200" i="1"/>
  <c r="CE200" i="1"/>
  <c r="BX200" i="1"/>
  <c r="DD329" i="1"/>
  <c r="DH329" i="1" s="1"/>
  <c r="CY329" i="1"/>
  <c r="DA329" i="1"/>
  <c r="AR329" i="1"/>
  <c r="AJ329" i="1"/>
  <c r="W329" i="1"/>
  <c r="AA329" i="1"/>
  <c r="CE284" i="1"/>
  <c r="CL284" i="1"/>
  <c r="BQ284" i="1"/>
  <c r="BX284" i="1"/>
  <c r="DA303" i="1"/>
  <c r="DD303" i="1"/>
  <c r="DH303" i="1" s="1"/>
  <c r="CY303" i="1"/>
  <c r="AJ303" i="1"/>
  <c r="AA303" i="1"/>
  <c r="CK229" i="1"/>
  <c r="BP229" i="1"/>
  <c r="CD229" i="1"/>
  <c r="BW229" i="1"/>
  <c r="CY275" i="1"/>
  <c r="DE275" i="1" s="1"/>
  <c r="DA275" i="1"/>
  <c r="DD275" i="1"/>
  <c r="DH275" i="1" s="1"/>
  <c r="CL205" i="1"/>
  <c r="BX205" i="1"/>
  <c r="BQ205" i="1"/>
  <c r="CE205" i="1"/>
  <c r="CJ238" i="1"/>
  <c r="CC238" i="1"/>
  <c r="BO238" i="1"/>
  <c r="BV238" i="1"/>
  <c r="CC332" i="1"/>
  <c r="CJ332" i="1"/>
  <c r="BO332" i="1"/>
  <c r="BV332" i="1"/>
  <c r="CY222" i="1"/>
  <c r="DA222" i="1"/>
  <c r="DD222" i="1"/>
  <c r="DH222" i="1" s="1"/>
  <c r="AR222" i="1"/>
  <c r="BF251" i="1"/>
  <c r="BB235" i="1"/>
  <c r="AW62" i="1"/>
  <c r="BF65" i="1"/>
  <c r="AO312" i="1"/>
  <c r="BB312" i="1"/>
  <c r="AW228" i="1"/>
  <c r="AO247" i="1"/>
  <c r="AO282" i="1"/>
  <c r="BB282" i="1"/>
  <c r="AJ28" i="1"/>
  <c r="BD6" i="1"/>
  <c r="AW296" i="1"/>
  <c r="BF296" i="1"/>
  <c r="BV131" i="1"/>
  <c r="AF316" i="1"/>
  <c r="BD316" i="1"/>
  <c r="AO331" i="1"/>
  <c r="BB331" i="1"/>
  <c r="AW239" i="1"/>
  <c r="BF239" i="1"/>
  <c r="X30" i="1"/>
  <c r="AF186" i="1"/>
  <c r="BD186" i="1"/>
  <c r="AF208" i="1"/>
  <c r="BD208" i="1"/>
  <c r="AW205" i="1"/>
  <c r="T348" i="1"/>
  <c r="BF280" i="1"/>
  <c r="BD254" i="1"/>
  <c r="BF218" i="1"/>
  <c r="BD318" i="1"/>
  <c r="BF334" i="1"/>
  <c r="BB315" i="1"/>
  <c r="BB252" i="1"/>
  <c r="BD298" i="1"/>
  <c r="BB309" i="1"/>
  <c r="BB276" i="1"/>
  <c r="BD284" i="1"/>
  <c r="BB339" i="1"/>
  <c r="BD261" i="1"/>
  <c r="BF332" i="1"/>
  <c r="CD215" i="1"/>
  <c r="CK215" i="1"/>
  <c r="BP215" i="1"/>
  <c r="BW215" i="1"/>
  <c r="CY193" i="1"/>
  <c r="DA193" i="1"/>
  <c r="DD193" i="1"/>
  <c r="CC316" i="1"/>
  <c r="CJ316" i="1"/>
  <c r="BO316" i="1"/>
  <c r="BV316" i="1"/>
  <c r="CJ292" i="1"/>
  <c r="BV292" i="1"/>
  <c r="BO292" i="1"/>
  <c r="CC292" i="1"/>
  <c r="CJ257" i="1"/>
  <c r="CC257" i="1"/>
  <c r="BO257" i="1"/>
  <c r="BV257" i="1"/>
  <c r="CL339" i="1"/>
  <c r="CE339" i="1"/>
  <c r="BX339" i="1"/>
  <c r="BQ339" i="1"/>
  <c r="CL332" i="1"/>
  <c r="BX332" i="1"/>
  <c r="BQ332" i="1"/>
  <c r="CE332" i="1"/>
  <c r="BF326" i="1"/>
  <c r="BD252" i="1"/>
  <c r="CJ282" i="1"/>
  <c r="CC282" i="1"/>
  <c r="BO282" i="1"/>
  <c r="BV282" i="1"/>
  <c r="DA270" i="1"/>
  <c r="DD270" i="1"/>
  <c r="CY270" i="1"/>
  <c r="DE270" i="1" s="1"/>
  <c r="X40" i="1"/>
  <c r="AW297" i="1"/>
  <c r="BF297" i="1"/>
  <c r="AO248" i="1"/>
  <c r="BB248" i="1"/>
  <c r="AW188" i="1"/>
  <c r="BF188" i="1"/>
  <c r="AW348" i="1"/>
  <c r="BF348" i="1"/>
  <c r="BB332" i="1"/>
  <c r="BD237" i="1"/>
  <c r="BF327" i="1"/>
  <c r="BB256" i="1"/>
  <c r="BF299" i="1"/>
  <c r="BB314" i="1"/>
  <c r="BD222" i="1"/>
  <c r="BF293" i="1"/>
  <c r="BD259" i="1"/>
  <c r="BF282" i="1"/>
  <c r="BF312" i="1"/>
  <c r="BD333" i="1"/>
  <c r="BB250" i="1"/>
  <c r="BD238" i="1"/>
  <c r="BF341" i="1"/>
  <c r="BD289" i="1"/>
  <c r="BD305" i="1"/>
  <c r="CJ198" i="1"/>
  <c r="CC198" i="1"/>
  <c r="BV198" i="1"/>
  <c r="BO198" i="1"/>
  <c r="CJ195" i="1"/>
  <c r="BO195" i="1"/>
  <c r="BV195" i="1"/>
  <c r="CC195" i="1"/>
  <c r="CK290" i="1"/>
  <c r="CD290" i="1"/>
  <c r="BP290" i="1"/>
  <c r="BW290" i="1"/>
  <c r="CK311" i="1"/>
  <c r="CD311" i="1"/>
  <c r="BP311" i="1"/>
  <c r="BW311" i="1"/>
  <c r="CY248" i="1"/>
  <c r="DA248" i="1"/>
  <c r="DD248" i="1"/>
  <c r="DH248" i="1" s="1"/>
  <c r="AJ248" i="1"/>
  <c r="CE225" i="1"/>
  <c r="CL225" i="1"/>
  <c r="BQ225" i="1"/>
  <c r="BX225" i="1"/>
  <c r="DA207" i="1"/>
  <c r="DD207" i="1"/>
  <c r="CY207" i="1"/>
  <c r="S207" i="1"/>
  <c r="W207" i="1"/>
  <c r="V207" i="1"/>
  <c r="CJ221" i="1"/>
  <c r="CC221" i="1"/>
  <c r="BO221" i="1"/>
  <c r="BV221" i="1"/>
  <c r="CJ279" i="1"/>
  <c r="CC279" i="1"/>
  <c r="BO279" i="1"/>
  <c r="BV279" i="1"/>
  <c r="CY312" i="1"/>
  <c r="DA312" i="1"/>
  <c r="DD312" i="1"/>
  <c r="DH312" i="1" s="1"/>
  <c r="AJ312" i="1"/>
  <c r="AR312" i="1"/>
  <c r="CL245" i="1"/>
  <c r="BX245" i="1"/>
  <c r="BQ245" i="1"/>
  <c r="CE245" i="1"/>
  <c r="CY321" i="1"/>
  <c r="DD321" i="1"/>
  <c r="DA321" i="1"/>
  <c r="V321" i="1"/>
  <c r="S321" i="1"/>
  <c r="CJ205" i="1"/>
  <c r="BV205" i="1"/>
  <c r="CC205" i="1"/>
  <c r="BO205" i="1"/>
  <c r="CL348" i="1"/>
  <c r="CE348" i="1"/>
  <c r="BX348" i="1"/>
  <c r="BQ348" i="1"/>
  <c r="CL257" i="1"/>
  <c r="BX257" i="1"/>
  <c r="CE257" i="1"/>
  <c r="BQ257" i="1"/>
  <c r="DD297" i="1"/>
  <c r="CY297" i="1"/>
  <c r="DA297" i="1"/>
  <c r="AA297" i="1"/>
  <c r="AR297" i="1"/>
  <c r="CK339" i="1"/>
  <c r="CD339" i="1"/>
  <c r="BW339" i="1"/>
  <c r="BP339" i="1"/>
  <c r="CY226" i="1"/>
  <c r="DA226" i="1"/>
  <c r="DD226" i="1"/>
  <c r="BF291" i="1"/>
  <c r="CJ337" i="1"/>
  <c r="CC337" i="1"/>
  <c r="BO337" i="1"/>
  <c r="BV337" i="1"/>
  <c r="CC315" i="1"/>
  <c r="CJ315" i="1"/>
  <c r="BO315" i="1"/>
  <c r="BV315" i="1"/>
  <c r="CL344" i="1"/>
  <c r="CE344" i="1"/>
  <c r="BQ344" i="1"/>
  <c r="BX344" i="1"/>
  <c r="CY192" i="1"/>
  <c r="DA192" i="1"/>
  <c r="DD192" i="1"/>
  <c r="CL353" i="1"/>
  <c r="BQ353" i="1"/>
  <c r="CE353" i="1"/>
  <c r="BX353" i="1"/>
  <c r="CK209" i="1"/>
  <c r="CD209" i="1"/>
  <c r="BW209" i="1"/>
  <c r="BP209" i="1"/>
  <c r="BB26" i="1"/>
  <c r="AW240" i="1"/>
  <c r="BF240" i="1"/>
  <c r="AF302" i="1"/>
  <c r="BD302" i="1"/>
  <c r="AO273" i="1"/>
  <c r="BB273" i="1"/>
  <c r="AF293" i="1"/>
  <c r="BD293" i="1"/>
  <c r="AW231" i="1"/>
  <c r="BF231" i="1"/>
  <c r="AO334" i="1"/>
  <c r="AO233" i="1"/>
  <c r="BB233" i="1"/>
  <c r="AO310" i="1"/>
  <c r="BB310" i="1"/>
  <c r="V13" i="1"/>
  <c r="AW13" i="1" s="1"/>
  <c r="AF220" i="1"/>
  <c r="BD220" i="1"/>
  <c r="AW261" i="1"/>
  <c r="BF261" i="1"/>
  <c r="AR76" i="1"/>
  <c r="AF343" i="1"/>
  <c r="BD343" i="1"/>
  <c r="AO246" i="1"/>
  <c r="BB246" i="1"/>
  <c r="U36" i="1"/>
  <c r="AF36" i="1" s="1"/>
  <c r="AF216" i="1"/>
  <c r="BD216" i="1"/>
  <c r="AO336" i="1"/>
  <c r="BB336" i="1"/>
  <c r="DF143" i="1"/>
  <c r="AO335" i="1"/>
  <c r="BB335" i="1"/>
  <c r="BB239" i="1"/>
  <c r="BB296" i="1"/>
  <c r="BF292" i="1"/>
  <c r="BD273" i="1"/>
  <c r="BB341" i="1"/>
  <c r="BF264" i="1"/>
  <c r="BF234" i="1"/>
  <c r="BD287" i="1"/>
  <c r="BF308" i="1"/>
  <c r="BD281" i="1"/>
  <c r="BD270" i="1"/>
  <c r="DD219" i="1"/>
  <c r="DH219" i="1" s="1"/>
  <c r="CY219" i="1"/>
  <c r="DA219" i="1"/>
  <c r="AJ219" i="1"/>
  <c r="AR219" i="1"/>
  <c r="AA219" i="1"/>
  <c r="CK257" i="1"/>
  <c r="BW257" i="1"/>
  <c r="BP257" i="1"/>
  <c r="CD257" i="1"/>
  <c r="CD340" i="1"/>
  <c r="CK340" i="1"/>
  <c r="BP340" i="1"/>
  <c r="BW340" i="1"/>
  <c r="CJ307" i="1"/>
  <c r="BV307" i="1"/>
  <c r="CC307" i="1"/>
  <c r="BO307" i="1"/>
  <c r="CL241" i="1"/>
  <c r="BQ241" i="1"/>
  <c r="CE241" i="1"/>
  <c r="BX241" i="1"/>
  <c r="CY324" i="1"/>
  <c r="DD324" i="1"/>
  <c r="DA324" i="1"/>
  <c r="U324" i="1"/>
  <c r="AJ324" i="1"/>
  <c r="AA324" i="1"/>
  <c r="S324" i="1"/>
  <c r="W324" i="1"/>
  <c r="V324" i="1"/>
  <c r="T324" i="1"/>
  <c r="CC232" i="1"/>
  <c r="CJ232" i="1"/>
  <c r="BO232" i="1"/>
  <c r="BV232" i="1"/>
  <c r="CJ273" i="1"/>
  <c r="BV273" i="1"/>
  <c r="BO273" i="1"/>
  <c r="CC273" i="1"/>
  <c r="AF262" i="1"/>
  <c r="BD262" i="1"/>
  <c r="BB28" i="1"/>
  <c r="AO243" i="1"/>
  <c r="X253" i="1"/>
  <c r="AI253" i="1" s="1"/>
  <c r="AF218" i="1"/>
  <c r="BD218" i="1"/>
  <c r="AW303" i="1"/>
  <c r="BF303" i="1"/>
  <c r="AW276" i="1"/>
  <c r="AF271" i="1"/>
  <c r="BD271" i="1"/>
  <c r="AF283" i="1"/>
  <c r="BD283" i="1"/>
  <c r="AO301" i="1"/>
  <c r="BB301" i="1"/>
  <c r="AW241" i="1"/>
  <c r="BF241" i="1"/>
  <c r="S13" i="1"/>
  <c r="AA28" i="1"/>
  <c r="AF322" i="1"/>
  <c r="BD322" i="1"/>
  <c r="X339" i="1"/>
  <c r="AF265" i="1"/>
  <c r="BD265" i="1"/>
  <c r="AJ36" i="1"/>
  <c r="Y333" i="1"/>
  <c r="AF246" i="1"/>
  <c r="BD246" i="1"/>
  <c r="AO212" i="1"/>
  <c r="BB212" i="1"/>
  <c r="AO281" i="1"/>
  <c r="BB281" i="1"/>
  <c r="AF257" i="1"/>
  <c r="BD257" i="1"/>
  <c r="Y40" i="1"/>
  <c r="AW336" i="1"/>
  <c r="BF336" i="1"/>
  <c r="AH190" i="1"/>
  <c r="BB214" i="1"/>
  <c r="BF257" i="1"/>
  <c r="BD255" i="1"/>
  <c r="BF230" i="1"/>
  <c r="BB292" i="1"/>
  <c r="BF311" i="1"/>
  <c r="BD206" i="1"/>
  <c r="BD219" i="1"/>
  <c r="BD214" i="1"/>
  <c r="BB231" i="1"/>
  <c r="BF352" i="1"/>
  <c r="BD263" i="1"/>
  <c r="BF250" i="1"/>
  <c r="DD197" i="1"/>
  <c r="CY197" i="1"/>
  <c r="DA197" i="1"/>
  <c r="CL342" i="1"/>
  <c r="BQ342" i="1"/>
  <c r="CE342" i="1"/>
  <c r="BX342" i="1"/>
  <c r="CK217" i="1"/>
  <c r="BP217" i="1"/>
  <c r="BW217" i="1"/>
  <c r="CD217" i="1"/>
  <c r="DD213" i="1"/>
  <c r="DA213" i="1"/>
  <c r="CY213" i="1"/>
  <c r="CJ302" i="1"/>
  <c r="CC302" i="1"/>
  <c r="BV302" i="1"/>
  <c r="BO302" i="1"/>
  <c r="CE278" i="1"/>
  <c r="CL278" i="1"/>
  <c r="BQ278" i="1"/>
  <c r="BX278" i="1"/>
  <c r="CY214" i="1"/>
  <c r="DA214" i="1"/>
  <c r="DD214" i="1"/>
  <c r="AR214" i="1"/>
  <c r="CL184" i="1"/>
  <c r="BQ184" i="1"/>
  <c r="BX184" i="1"/>
  <c r="CE184" i="1"/>
  <c r="CL269" i="1"/>
  <c r="BQ269" i="1"/>
  <c r="CE269" i="1"/>
  <c r="BX269" i="1"/>
  <c r="CK221" i="1"/>
  <c r="CD221" i="1"/>
  <c r="BP221" i="1"/>
  <c r="BW221" i="1"/>
  <c r="CJ314" i="1"/>
  <c r="BV314" i="1"/>
  <c r="CC314" i="1"/>
  <c r="BO314" i="1"/>
  <c r="CJ242" i="1"/>
  <c r="CC242" i="1"/>
  <c r="BV242" i="1"/>
  <c r="BO242" i="1"/>
  <c r="DA238" i="1"/>
  <c r="DD238" i="1"/>
  <c r="DH238" i="1" s="1"/>
  <c r="CY238" i="1"/>
  <c r="CJ293" i="1"/>
  <c r="CC293" i="1"/>
  <c r="BO293" i="1"/>
  <c r="BV293" i="1"/>
  <c r="CK349" i="1"/>
  <c r="CD349" i="1"/>
  <c r="BP349" i="1"/>
  <c r="BW349" i="1"/>
  <c r="CY235" i="1"/>
  <c r="DA235" i="1"/>
  <c r="DD235" i="1"/>
  <c r="AR235" i="1"/>
  <c r="AA235" i="1"/>
  <c r="AJ235" i="1"/>
  <c r="CJ186" i="1"/>
  <c r="CC186" i="1"/>
  <c r="BO186" i="1"/>
  <c r="BV186" i="1"/>
  <c r="DA202" i="1"/>
  <c r="DD202" i="1"/>
  <c r="CY202" i="1"/>
  <c r="T202" i="1"/>
  <c r="S202" i="1"/>
  <c r="W202" i="1"/>
  <c r="AR202" i="1"/>
  <c r="U202" i="1"/>
  <c r="CD271" i="1"/>
  <c r="CK271" i="1"/>
  <c r="BP271" i="1"/>
  <c r="BW271" i="1"/>
  <c r="CY294" i="1"/>
  <c r="DA294" i="1"/>
  <c r="DD294" i="1"/>
  <c r="AA294" i="1"/>
  <c r="AR294" i="1"/>
  <c r="AJ294" i="1"/>
  <c r="CJ216" i="1"/>
  <c r="CC216" i="1"/>
  <c r="BO216" i="1"/>
  <c r="BV216" i="1"/>
  <c r="CD286" i="1"/>
  <c r="CK286" i="1"/>
  <c r="BW286" i="1"/>
  <c r="BP286" i="1"/>
  <c r="CJ331" i="1"/>
  <c r="CC331" i="1"/>
  <c r="BO331" i="1"/>
  <c r="BV331" i="1"/>
  <c r="CJ326" i="1"/>
  <c r="BO326" i="1"/>
  <c r="CC326" i="1"/>
  <c r="BV326" i="1"/>
  <c r="CJ178" i="1"/>
  <c r="CC178" i="1"/>
  <c r="BO178" i="1"/>
  <c r="BV178" i="1"/>
  <c r="DF210" i="1"/>
  <c r="DF257" i="1"/>
  <c r="DD319" i="1"/>
  <c r="CY319" i="1"/>
  <c r="DA319" i="1"/>
  <c r="DA253" i="1"/>
  <c r="DD253" i="1"/>
  <c r="CY253" i="1"/>
  <c r="CC196" i="1"/>
  <c r="CJ196" i="1"/>
  <c r="BO196" i="1"/>
  <c r="BV196" i="1"/>
  <c r="DF310" i="1"/>
  <c r="CL249" i="1"/>
  <c r="BQ249" i="1"/>
  <c r="CE249" i="1"/>
  <c r="BX249" i="1"/>
  <c r="CJ287" i="1"/>
  <c r="BO287" i="1"/>
  <c r="CC287" i="1"/>
  <c r="BV287" i="1"/>
  <c r="CL333" i="1"/>
  <c r="BQ333" i="1"/>
  <c r="CE333" i="1"/>
  <c r="BX333" i="1"/>
  <c r="CK327" i="1"/>
  <c r="BP327" i="1"/>
  <c r="BW327" i="1"/>
  <c r="CD327" i="1"/>
  <c r="AA198" i="1"/>
  <c r="CL280" i="1"/>
  <c r="BQ280" i="1"/>
  <c r="CE280" i="1"/>
  <c r="BX280" i="1"/>
  <c r="CJ328" i="1"/>
  <c r="CC328" i="1"/>
  <c r="BO328" i="1"/>
  <c r="BV328" i="1"/>
  <c r="DA342" i="1"/>
  <c r="CY342" i="1"/>
  <c r="DD342" i="1"/>
  <c r="DH342" i="1" s="1"/>
  <c r="S342" i="1"/>
  <c r="AA217" i="1"/>
  <c r="CY217" i="1"/>
  <c r="DA217" i="1"/>
  <c r="DD217" i="1"/>
  <c r="DH217" i="1" s="1"/>
  <c r="CC296" i="1"/>
  <c r="CJ296" i="1"/>
  <c r="BO296" i="1"/>
  <c r="BV296" i="1"/>
  <c r="CE248" i="1"/>
  <c r="CL248" i="1"/>
  <c r="BQ248" i="1"/>
  <c r="BX248" i="1"/>
  <c r="CY278" i="1"/>
  <c r="DE278" i="1" s="1"/>
  <c r="DG278" i="1" s="1"/>
  <c r="DA278" i="1"/>
  <c r="DD278" i="1"/>
  <c r="DF184" i="1"/>
  <c r="CJ207" i="1"/>
  <c r="BV207" i="1"/>
  <c r="CC207" i="1"/>
  <c r="BO207" i="1"/>
  <c r="CY269" i="1"/>
  <c r="DA269" i="1"/>
  <c r="DD269" i="1"/>
  <c r="CJ218" i="1"/>
  <c r="CC218" i="1"/>
  <c r="BO218" i="1"/>
  <c r="BV218" i="1"/>
  <c r="CD312" i="1"/>
  <c r="CK312" i="1"/>
  <c r="BW312" i="1"/>
  <c r="BP312" i="1"/>
  <c r="DF200" i="1"/>
  <c r="CJ244" i="1"/>
  <c r="CC244" i="1"/>
  <c r="BO244" i="1"/>
  <c r="BV244" i="1"/>
  <c r="CK285" i="1"/>
  <c r="BW285" i="1"/>
  <c r="BP285" i="1"/>
  <c r="CD285" i="1"/>
  <c r="CK250" i="1"/>
  <c r="CD250" i="1"/>
  <c r="BP250" i="1"/>
  <c r="BW250" i="1"/>
  <c r="DE339" i="1"/>
  <c r="CL293" i="1"/>
  <c r="CE293" i="1"/>
  <c r="BQ293" i="1"/>
  <c r="BX293" i="1"/>
  <c r="DA332" i="1"/>
  <c r="DD332" i="1"/>
  <c r="CY332" i="1"/>
  <c r="CJ349" i="1"/>
  <c r="CC349" i="1"/>
  <c r="BO349" i="1"/>
  <c r="BV349" i="1"/>
  <c r="BV233" i="1"/>
  <c r="CJ233" i="1"/>
  <c r="BO233" i="1"/>
  <c r="CC233" i="1"/>
  <c r="CL186" i="1"/>
  <c r="CE186" i="1"/>
  <c r="BX186" i="1"/>
  <c r="BQ186" i="1"/>
  <c r="DF234" i="1"/>
  <c r="CJ317" i="1"/>
  <c r="BV317" i="1"/>
  <c r="BO317" i="1"/>
  <c r="CC317" i="1"/>
  <c r="CL320" i="1"/>
  <c r="CE320" i="1"/>
  <c r="BQ320" i="1"/>
  <c r="BX320" i="1"/>
  <c r="CJ271" i="1"/>
  <c r="CC271" i="1"/>
  <c r="BO271" i="1"/>
  <c r="BV271" i="1"/>
  <c r="CL262" i="1"/>
  <c r="CE262" i="1"/>
  <c r="BQ262" i="1"/>
  <c r="BX262" i="1"/>
  <c r="CK241" i="1"/>
  <c r="BP241" i="1"/>
  <c r="CD241" i="1"/>
  <c r="BW241" i="1"/>
  <c r="CL308" i="1"/>
  <c r="BX308" i="1"/>
  <c r="BQ308" i="1"/>
  <c r="CE308" i="1"/>
  <c r="CY188" i="1"/>
  <c r="DA188" i="1"/>
  <c r="DD188" i="1"/>
  <c r="U188" i="1"/>
  <c r="CL183" i="1"/>
  <c r="CE183" i="1"/>
  <c r="BQ183" i="1"/>
  <c r="BX183" i="1"/>
  <c r="DF319" i="1"/>
  <c r="CD304" i="1"/>
  <c r="CK304" i="1"/>
  <c r="BP304" i="1"/>
  <c r="BW304" i="1"/>
  <c r="CL216" i="1"/>
  <c r="BQ216" i="1"/>
  <c r="BX216" i="1"/>
  <c r="CE216" i="1"/>
  <c r="DF204" i="1"/>
  <c r="DF244" i="1"/>
  <c r="DA185" i="1"/>
  <c r="DD185" i="1"/>
  <c r="CY185" i="1"/>
  <c r="DF290" i="1"/>
  <c r="CK273" i="1"/>
  <c r="BW273" i="1"/>
  <c r="CD273" i="1"/>
  <c r="BP273" i="1"/>
  <c r="CY210" i="1"/>
  <c r="DA210" i="1"/>
  <c r="DD210" i="1"/>
  <c r="AR306" i="1"/>
  <c r="DD306" i="1"/>
  <c r="CY306" i="1"/>
  <c r="DA306" i="1"/>
  <c r="CK179" i="1"/>
  <c r="BW179" i="1"/>
  <c r="CD179" i="1"/>
  <c r="BP179" i="1"/>
  <c r="CY239" i="1"/>
  <c r="DA239" i="1"/>
  <c r="DD239" i="1"/>
  <c r="CL246" i="1"/>
  <c r="CE246" i="1"/>
  <c r="BQ246" i="1"/>
  <c r="BX246" i="1"/>
  <c r="CJ266" i="1"/>
  <c r="BO266" i="1"/>
  <c r="CC266" i="1"/>
  <c r="BV266" i="1"/>
  <c r="CK301" i="1"/>
  <c r="BW301" i="1"/>
  <c r="BP301" i="1"/>
  <c r="CD301" i="1"/>
  <c r="CY259" i="1"/>
  <c r="DA259" i="1"/>
  <c r="DD259" i="1"/>
  <c r="CL208" i="1"/>
  <c r="CE208" i="1"/>
  <c r="BQ208" i="1"/>
  <c r="BX208" i="1"/>
  <c r="CK353" i="1"/>
  <c r="CD353" i="1"/>
  <c r="BP353" i="1"/>
  <c r="BW353" i="1"/>
  <c r="CL282" i="1"/>
  <c r="CE282" i="1"/>
  <c r="BQ282" i="1"/>
  <c r="BX282" i="1"/>
  <c r="CK288" i="1"/>
  <c r="BP288" i="1"/>
  <c r="CD288" i="1"/>
  <c r="BW288" i="1"/>
  <c r="CK231" i="1"/>
  <c r="CD231" i="1"/>
  <c r="BW231" i="1"/>
  <c r="BP231" i="1"/>
  <c r="CL237" i="1"/>
  <c r="BQ237" i="1"/>
  <c r="BX237" i="1"/>
  <c r="CE237" i="1"/>
  <c r="CK289" i="1"/>
  <c r="BP289" i="1"/>
  <c r="CD289" i="1"/>
  <c r="BW289" i="1"/>
  <c r="DD310" i="1"/>
  <c r="CY310" i="1"/>
  <c r="DA310" i="1"/>
  <c r="AA310" i="1"/>
  <c r="AJ310" i="1"/>
  <c r="AR310" i="1"/>
  <c r="DF254" i="1"/>
  <c r="DF267" i="1"/>
  <c r="DF302" i="1"/>
  <c r="AA220" i="1"/>
  <c r="DA220" i="1"/>
  <c r="DD220" i="1"/>
  <c r="CY220" i="1"/>
  <c r="DE220" i="1" s="1"/>
  <c r="CE286" i="1"/>
  <c r="CL286" i="1"/>
  <c r="BX286" i="1"/>
  <c r="BQ286" i="1"/>
  <c r="CL326" i="1"/>
  <c r="CE326" i="1"/>
  <c r="BQ326" i="1"/>
  <c r="BX326" i="1"/>
  <c r="CL181" i="1"/>
  <c r="BX181" i="1"/>
  <c r="BQ181" i="1"/>
  <c r="CE181" i="1"/>
  <c r="DF291" i="1"/>
  <c r="CJ272" i="1"/>
  <c r="BV272" i="1"/>
  <c r="CC272" i="1"/>
  <c r="BO272" i="1"/>
  <c r="DA199" i="1"/>
  <c r="DD199" i="1"/>
  <c r="CY199" i="1"/>
  <c r="U199" i="1"/>
  <c r="CK201" i="1"/>
  <c r="CD201" i="1"/>
  <c r="BP201" i="1"/>
  <c r="BW201" i="1"/>
  <c r="CE277" i="1"/>
  <c r="CL277" i="1"/>
  <c r="BX277" i="1"/>
  <c r="BQ277" i="1"/>
  <c r="CL287" i="1"/>
  <c r="CE287" i="1"/>
  <c r="BX287" i="1"/>
  <c r="BQ287" i="1"/>
  <c r="DA252" i="1"/>
  <c r="DD252" i="1"/>
  <c r="CY252" i="1"/>
  <c r="CJ333" i="1"/>
  <c r="CC333" i="1"/>
  <c r="BO333" i="1"/>
  <c r="BV333" i="1"/>
  <c r="CJ327" i="1"/>
  <c r="CC327" i="1"/>
  <c r="BO327" i="1"/>
  <c r="BV327" i="1"/>
  <c r="DD236" i="1"/>
  <c r="CY236" i="1"/>
  <c r="DA236" i="1"/>
  <c r="AJ236" i="1"/>
  <c r="BX233" i="1"/>
  <c r="CL233" i="1"/>
  <c r="BQ233" i="1"/>
  <c r="CE233" i="1"/>
  <c r="BQ317" i="1"/>
  <c r="CL317" i="1"/>
  <c r="BX317" i="1"/>
  <c r="CE317" i="1"/>
  <c r="CY203" i="1"/>
  <c r="DA203" i="1"/>
  <c r="DD203" i="1"/>
  <c r="W203" i="1"/>
  <c r="T203" i="1"/>
  <c r="S203" i="1"/>
  <c r="CK320" i="1"/>
  <c r="CD320" i="1"/>
  <c r="BW320" i="1"/>
  <c r="BP320" i="1"/>
  <c r="CK228" i="1"/>
  <c r="CD228" i="1"/>
  <c r="BP228" i="1"/>
  <c r="BW228" i="1"/>
  <c r="CK262" i="1"/>
  <c r="CD262" i="1"/>
  <c r="BP262" i="1"/>
  <c r="BW262" i="1"/>
  <c r="CJ241" i="1"/>
  <c r="CC241" i="1"/>
  <c r="BO241" i="1"/>
  <c r="BV241" i="1"/>
  <c r="DA337" i="1"/>
  <c r="DD337" i="1"/>
  <c r="CY337" i="1"/>
  <c r="AR337" i="1"/>
  <c r="DD258" i="1"/>
  <c r="CY258" i="1"/>
  <c r="DA258" i="1"/>
  <c r="CK308" i="1"/>
  <c r="CD308" i="1"/>
  <c r="BW308" i="1"/>
  <c r="BP308" i="1"/>
  <c r="BP204" i="1"/>
  <c r="CD204" i="1"/>
  <c r="CK204" i="1"/>
  <c r="BW204" i="1"/>
  <c r="CY336" i="1"/>
  <c r="DA336" i="1"/>
  <c r="DD336" i="1"/>
  <c r="AA336" i="1"/>
  <c r="S336" i="1"/>
  <c r="W336" i="1"/>
  <c r="U336" i="1"/>
  <c r="CL304" i="1"/>
  <c r="CE304" i="1"/>
  <c r="BX304" i="1"/>
  <c r="BQ304" i="1"/>
  <c r="AA343" i="1"/>
  <c r="DD343" i="1"/>
  <c r="DA343" i="1"/>
  <c r="CY343" i="1"/>
  <c r="DE343" i="1" s="1"/>
  <c r="DG343" i="1" s="1"/>
  <c r="DF296" i="1"/>
  <c r="BX273" i="1"/>
  <c r="CE273" i="1"/>
  <c r="CL273" i="1"/>
  <c r="BQ273" i="1"/>
  <c r="CK264" i="1"/>
  <c r="CD264" i="1"/>
  <c r="BW264" i="1"/>
  <c r="BP264" i="1"/>
  <c r="DA276" i="1"/>
  <c r="CY276" i="1"/>
  <c r="DD276" i="1"/>
  <c r="AJ322" i="1"/>
  <c r="DD322" i="1"/>
  <c r="CY322" i="1"/>
  <c r="DA322" i="1"/>
  <c r="AA322" i="1"/>
  <c r="W322" i="1"/>
  <c r="AR322" i="1"/>
  <c r="CK234" i="1"/>
  <c r="CD234" i="1"/>
  <c r="BW234" i="1"/>
  <c r="BP234" i="1"/>
  <c r="CL266" i="1"/>
  <c r="CE266" i="1"/>
  <c r="BQ266" i="1"/>
  <c r="BX266" i="1"/>
  <c r="CJ301" i="1"/>
  <c r="CC301" i="1"/>
  <c r="BO301" i="1"/>
  <c r="BV301" i="1"/>
  <c r="CJ335" i="1"/>
  <c r="BV335" i="1"/>
  <c r="CC335" i="1"/>
  <c r="BO335" i="1"/>
  <c r="CD344" i="1"/>
  <c r="CK344" i="1"/>
  <c r="BP344" i="1"/>
  <c r="BW344" i="1"/>
  <c r="CK208" i="1"/>
  <c r="CD208" i="1"/>
  <c r="BW208" i="1"/>
  <c r="BP208" i="1"/>
  <c r="DD191" i="1"/>
  <c r="CY191" i="1"/>
  <c r="DA191" i="1"/>
  <c r="S191" i="1"/>
  <c r="W191" i="1"/>
  <c r="V191" i="1"/>
  <c r="CE288" i="1"/>
  <c r="CL288" i="1"/>
  <c r="BQ288" i="1"/>
  <c r="BX288" i="1"/>
  <c r="DA283" i="1"/>
  <c r="CY283" i="1"/>
  <c r="DD283" i="1"/>
  <c r="AJ283" i="1"/>
  <c r="CJ231" i="1"/>
  <c r="CC231" i="1"/>
  <c r="BV231" i="1"/>
  <c r="BO231" i="1"/>
  <c r="CJ289" i="1"/>
  <c r="CC289" i="1"/>
  <c r="BO289" i="1"/>
  <c r="BV289" i="1"/>
  <c r="CJ338" i="1"/>
  <c r="BV338" i="1"/>
  <c r="CC338" i="1"/>
  <c r="BO338" i="1"/>
  <c r="CK261" i="1"/>
  <c r="CD261" i="1"/>
  <c r="BP261" i="1"/>
  <c r="BW261" i="1"/>
  <c r="CJ286" i="1"/>
  <c r="CC286" i="1"/>
  <c r="BO286" i="1"/>
  <c r="BV286" i="1"/>
  <c r="DF258" i="1"/>
  <c r="CL187" i="1"/>
  <c r="BQ187" i="1"/>
  <c r="CE187" i="1"/>
  <c r="BX187" i="1"/>
  <c r="CK181" i="1"/>
  <c r="BW181" i="1"/>
  <c r="CD181" i="1"/>
  <c r="BP181" i="1"/>
  <c r="CL272" i="1"/>
  <c r="CE272" i="1"/>
  <c r="BQ272" i="1"/>
  <c r="BX272" i="1"/>
  <c r="DF259" i="1"/>
  <c r="CJ201" i="1"/>
  <c r="BV201" i="1"/>
  <c r="CC201" i="1"/>
  <c r="BO201" i="1"/>
  <c r="CL318" i="1"/>
  <c r="CE318" i="1"/>
  <c r="BX318" i="1"/>
  <c r="BQ318" i="1"/>
  <c r="CK277" i="1"/>
  <c r="BW277" i="1"/>
  <c r="CD277" i="1"/>
  <c r="BP277" i="1"/>
  <c r="CY212" i="1"/>
  <c r="DA212" i="1"/>
  <c r="DD212" i="1"/>
  <c r="CK287" i="1"/>
  <c r="CD287" i="1"/>
  <c r="BP287" i="1"/>
  <c r="BW287" i="1"/>
  <c r="CJ299" i="1"/>
  <c r="CC299" i="1"/>
  <c r="BO299" i="1"/>
  <c r="BV299" i="1"/>
  <c r="AJ343" i="1"/>
  <c r="CK317" i="1"/>
  <c r="BP317" i="1"/>
  <c r="CD317" i="1"/>
  <c r="BW317" i="1"/>
  <c r="DF219" i="1"/>
  <c r="CJ228" i="1"/>
  <c r="CC228" i="1"/>
  <c r="BO228" i="1"/>
  <c r="BV228" i="1"/>
  <c r="DA223" i="1"/>
  <c r="DD223" i="1"/>
  <c r="CY223" i="1"/>
  <c r="AA223" i="1"/>
  <c r="CJ262" i="1"/>
  <c r="BO262" i="1"/>
  <c r="CC262" i="1"/>
  <c r="BV262" i="1"/>
  <c r="DA189" i="1"/>
  <c r="DD189" i="1"/>
  <c r="CY189" i="1"/>
  <c r="CJ204" i="1"/>
  <c r="CC204" i="1"/>
  <c r="BV204" i="1"/>
  <c r="BO204" i="1"/>
  <c r="DF205" i="1"/>
  <c r="CC304" i="1"/>
  <c r="CJ304" i="1"/>
  <c r="BV304" i="1"/>
  <c r="BO304" i="1"/>
  <c r="DF242" i="1"/>
  <c r="DF239" i="1"/>
  <c r="DF232" i="1"/>
  <c r="CJ264" i="1"/>
  <c r="CC264" i="1"/>
  <c r="BV264" i="1"/>
  <c r="BO264" i="1"/>
  <c r="CJ254" i="1"/>
  <c r="BO254" i="1"/>
  <c r="CC254" i="1"/>
  <c r="BV254" i="1"/>
  <c r="CL190" i="1"/>
  <c r="CE190" i="1"/>
  <c r="BX190" i="1"/>
  <c r="BQ190" i="1"/>
  <c r="DF206" i="1"/>
  <c r="U325" i="1"/>
  <c r="CY325" i="1"/>
  <c r="DE325" i="1" s="1"/>
  <c r="DG325" i="1" s="1"/>
  <c r="DA325" i="1"/>
  <c r="DD325" i="1"/>
  <c r="V325" i="1"/>
  <c r="T325" i="1"/>
  <c r="S325" i="1"/>
  <c r="W325" i="1"/>
  <c r="CJ234" i="1"/>
  <c r="BO234" i="1"/>
  <c r="BV234" i="1"/>
  <c r="CC234" i="1"/>
  <c r="CY281" i="1"/>
  <c r="DA281" i="1"/>
  <c r="DD281" i="1"/>
  <c r="AA281" i="1"/>
  <c r="AR281" i="1"/>
  <c r="CK266" i="1"/>
  <c r="BW266" i="1"/>
  <c r="CD266" i="1"/>
  <c r="BP266" i="1"/>
  <c r="CJ208" i="1"/>
  <c r="CC208" i="1"/>
  <c r="BO208" i="1"/>
  <c r="BV208" i="1"/>
  <c r="DF243" i="1"/>
  <c r="DF282" i="1"/>
  <c r="CJ288" i="1"/>
  <c r="BO288" i="1"/>
  <c r="CC288" i="1"/>
  <c r="BV288" i="1"/>
  <c r="CL300" i="1"/>
  <c r="BX300" i="1"/>
  <c r="CE300" i="1"/>
  <c r="BQ300" i="1"/>
  <c r="CL231" i="1"/>
  <c r="CE231" i="1"/>
  <c r="BX231" i="1"/>
  <c r="BQ231" i="1"/>
  <c r="CY224" i="1"/>
  <c r="DA224" i="1"/>
  <c r="DD224" i="1"/>
  <c r="CL338" i="1"/>
  <c r="BQ338" i="1"/>
  <c r="BX338" i="1"/>
  <c r="CE338" i="1"/>
  <c r="DF289" i="1"/>
  <c r="DF350" i="1"/>
  <c r="CJ261" i="1"/>
  <c r="CC261" i="1"/>
  <c r="BV261" i="1"/>
  <c r="BO261" i="1"/>
  <c r="DD331" i="1"/>
  <c r="CY331" i="1"/>
  <c r="DA331" i="1"/>
  <c r="CK326" i="1"/>
  <c r="CD326" i="1"/>
  <c r="BP326" i="1"/>
  <c r="BW326" i="1"/>
  <c r="CL346" i="1"/>
  <c r="CE346" i="1"/>
  <c r="BQ346" i="1"/>
  <c r="BX346" i="1"/>
  <c r="CK187" i="1"/>
  <c r="CD187" i="1"/>
  <c r="BW187" i="1"/>
  <c r="BP187" i="1"/>
  <c r="BO181" i="1"/>
  <c r="CJ181" i="1"/>
  <c r="BV181" i="1"/>
  <c r="CC181" i="1"/>
  <c r="T351" i="1"/>
  <c r="DD351" i="1"/>
  <c r="CY351" i="1"/>
  <c r="DE351" i="1" s="1"/>
  <c r="DA351" i="1"/>
  <c r="U351" i="1"/>
  <c r="S351" i="1"/>
  <c r="W351" i="1"/>
  <c r="CD272" i="1"/>
  <c r="CK272" i="1"/>
  <c r="BP272" i="1"/>
  <c r="BW272" i="1"/>
  <c r="CY298" i="1"/>
  <c r="DE298" i="1" s="1"/>
  <c r="DG298" i="1" s="1"/>
  <c r="DA298" i="1"/>
  <c r="DD298" i="1"/>
  <c r="AA298" i="1"/>
  <c r="AR298" i="1"/>
  <c r="AJ298" i="1"/>
  <c r="CK180" i="1"/>
  <c r="BP180" i="1"/>
  <c r="CD180" i="1"/>
  <c r="BW180" i="1"/>
  <c r="CE201" i="1"/>
  <c r="CL201" i="1"/>
  <c r="BX201" i="1"/>
  <c r="BQ201" i="1"/>
  <c r="CK318" i="1"/>
  <c r="BW318" i="1"/>
  <c r="BP318" i="1"/>
  <c r="CD318" i="1"/>
  <c r="CJ277" i="1"/>
  <c r="BV277" i="1"/>
  <c r="CC277" i="1"/>
  <c r="BO277" i="1"/>
  <c r="CJ227" i="1"/>
  <c r="CC227" i="1"/>
  <c r="BV227" i="1"/>
  <c r="BO227" i="1"/>
  <c r="CL299" i="1"/>
  <c r="BQ299" i="1"/>
  <c r="CE299" i="1"/>
  <c r="BX299" i="1"/>
  <c r="CY333" i="1"/>
  <c r="DD333" i="1"/>
  <c r="DA333" i="1"/>
  <c r="AR318" i="1"/>
  <c r="AA280" i="1"/>
  <c r="CL228" i="1"/>
  <c r="CE228" i="1"/>
  <c r="BQ228" i="1"/>
  <c r="BX228" i="1"/>
  <c r="CL247" i="1"/>
  <c r="CE247" i="1"/>
  <c r="BX247" i="1"/>
  <c r="BQ247" i="1"/>
  <c r="DD307" i="1"/>
  <c r="CY307" i="1"/>
  <c r="DA307" i="1"/>
  <c r="AA307" i="1"/>
  <c r="AJ307" i="1"/>
  <c r="AR307" i="1"/>
  <c r="CE274" i="1"/>
  <c r="CL274" i="1"/>
  <c r="BQ274" i="1"/>
  <c r="BX274" i="1"/>
  <c r="DF314" i="1"/>
  <c r="CL204" i="1"/>
  <c r="BQ204" i="1"/>
  <c r="CE204" i="1"/>
  <c r="BX204" i="1"/>
  <c r="DF247" i="1"/>
  <c r="CJ255" i="1"/>
  <c r="CC255" i="1"/>
  <c r="BO255" i="1"/>
  <c r="BV255" i="1"/>
  <c r="DF216" i="1"/>
  <c r="CL345" i="1"/>
  <c r="BQ345" i="1"/>
  <c r="CE345" i="1"/>
  <c r="BX345" i="1"/>
  <c r="AJ232" i="1"/>
  <c r="CY232" i="1"/>
  <c r="DE232" i="1" s="1"/>
  <c r="DA232" i="1"/>
  <c r="DD232" i="1"/>
  <c r="DH232" i="1" s="1"/>
  <c r="AR232" i="1"/>
  <c r="CY315" i="1"/>
  <c r="DD315" i="1"/>
  <c r="DH315" i="1" s="1"/>
  <c r="DA315" i="1"/>
  <c r="CL254" i="1"/>
  <c r="CE254" i="1"/>
  <c r="BQ254" i="1"/>
  <c r="BX254" i="1"/>
  <c r="CY211" i="1"/>
  <c r="DA211" i="1"/>
  <c r="DD211" i="1"/>
  <c r="DH211" i="1" s="1"/>
  <c r="AA211" i="1"/>
  <c r="CK190" i="1"/>
  <c r="CD190" i="1"/>
  <c r="BP190" i="1"/>
  <c r="BW190" i="1"/>
  <c r="V206" i="1"/>
  <c r="DA206" i="1"/>
  <c r="DD206" i="1"/>
  <c r="CY206" i="1"/>
  <c r="DE206" i="1" s="1"/>
  <c r="S206" i="1"/>
  <c r="DF294" i="1"/>
  <c r="T347" i="1"/>
  <c r="DA347" i="1"/>
  <c r="DD347" i="1"/>
  <c r="CY347" i="1"/>
  <c r="W347" i="1"/>
  <c r="S347" i="1"/>
  <c r="U347" i="1"/>
  <c r="CL234" i="1"/>
  <c r="CE234" i="1"/>
  <c r="BX234" i="1"/>
  <c r="BQ234" i="1"/>
  <c r="CJ305" i="1"/>
  <c r="CC305" i="1"/>
  <c r="BV305" i="1"/>
  <c r="BO305" i="1"/>
  <c r="DF353" i="1"/>
  <c r="DD209" i="1"/>
  <c r="CY209" i="1"/>
  <c r="DA209" i="1"/>
  <c r="CK240" i="1"/>
  <c r="CD240" i="1"/>
  <c r="BP240" i="1"/>
  <c r="BW240" i="1"/>
  <c r="DF288" i="1"/>
  <c r="CK300" i="1"/>
  <c r="BW300" i="1"/>
  <c r="CD300" i="1"/>
  <c r="BP300" i="1"/>
  <c r="CJ251" i="1"/>
  <c r="CC251" i="1"/>
  <c r="BO251" i="1"/>
  <c r="BV251" i="1"/>
  <c r="CK338" i="1"/>
  <c r="BW338" i="1"/>
  <c r="BP338" i="1"/>
  <c r="CD338" i="1"/>
  <c r="CL261" i="1"/>
  <c r="CE261" i="1"/>
  <c r="BX261" i="1"/>
  <c r="BQ261" i="1"/>
  <c r="DF286" i="1"/>
  <c r="CJ323" i="1"/>
  <c r="CC323" i="1"/>
  <c r="BO323" i="1"/>
  <c r="BV323" i="1"/>
  <c r="CK346" i="1"/>
  <c r="CD346" i="1"/>
  <c r="BW346" i="1"/>
  <c r="BP346" i="1"/>
  <c r="CY178" i="1"/>
  <c r="DA178" i="1"/>
  <c r="DD178" i="1"/>
  <c r="V178" i="1"/>
  <c r="S178" i="1"/>
  <c r="W178" i="1"/>
  <c r="T178" i="1"/>
  <c r="DF305" i="1"/>
  <c r="CJ187" i="1"/>
  <c r="BO187" i="1"/>
  <c r="CC187" i="1"/>
  <c r="BV187" i="1"/>
  <c r="DF179" i="1"/>
  <c r="DF223" i="1"/>
  <c r="CJ180" i="1"/>
  <c r="BO180" i="1"/>
  <c r="CC180" i="1"/>
  <c r="BV180" i="1"/>
  <c r="T196" i="1"/>
  <c r="DD196" i="1"/>
  <c r="CY196" i="1"/>
  <c r="DA196" i="1"/>
  <c r="CJ318" i="1"/>
  <c r="CC318" i="1"/>
  <c r="BV318" i="1"/>
  <c r="BO318" i="1"/>
  <c r="CL227" i="1"/>
  <c r="CE227" i="1"/>
  <c r="BX227" i="1"/>
  <c r="BQ227" i="1"/>
  <c r="DD249" i="1"/>
  <c r="CY249" i="1"/>
  <c r="DA249" i="1"/>
  <c r="CK299" i="1"/>
  <c r="CD299" i="1"/>
  <c r="BW299" i="1"/>
  <c r="BP299" i="1"/>
  <c r="CL309" i="1"/>
  <c r="BQ309" i="1"/>
  <c r="CE309" i="1"/>
  <c r="BX309" i="1"/>
  <c r="DF327" i="1"/>
  <c r="DF297" i="1"/>
  <c r="DF280" i="1"/>
  <c r="CK198" i="1"/>
  <c r="BW198" i="1"/>
  <c r="CD198" i="1"/>
  <c r="BP198" i="1"/>
  <c r="CK195" i="1"/>
  <c r="BP195" i="1"/>
  <c r="BW195" i="1"/>
  <c r="CD195" i="1"/>
  <c r="T328" i="1"/>
  <c r="DA328" i="1"/>
  <c r="DD328" i="1"/>
  <c r="CY328" i="1"/>
  <c r="U328" i="1"/>
  <c r="CL290" i="1"/>
  <c r="CE290" i="1"/>
  <c r="BQ290" i="1"/>
  <c r="BX290" i="1"/>
  <c r="CE311" i="1"/>
  <c r="CL311" i="1"/>
  <c r="BQ311" i="1"/>
  <c r="BX311" i="1"/>
  <c r="DE214" i="1"/>
  <c r="CJ225" i="1"/>
  <c r="CC225" i="1"/>
  <c r="BO225" i="1"/>
  <c r="BV225" i="1"/>
  <c r="CK200" i="1"/>
  <c r="BP200" i="1"/>
  <c r="CD200" i="1"/>
  <c r="BW200" i="1"/>
  <c r="DF307" i="1"/>
  <c r="CK284" i="1"/>
  <c r="BP284" i="1"/>
  <c r="CD284" i="1"/>
  <c r="BW284" i="1"/>
  <c r="CK279" i="1"/>
  <c r="CD279" i="1"/>
  <c r="BP279" i="1"/>
  <c r="BW279" i="1"/>
  <c r="CJ229" i="1"/>
  <c r="BO229" i="1"/>
  <c r="CC229" i="1"/>
  <c r="BV229" i="1"/>
  <c r="CJ245" i="1"/>
  <c r="BV245" i="1"/>
  <c r="BO245" i="1"/>
  <c r="CC245" i="1"/>
  <c r="CL215" i="1"/>
  <c r="BX215" i="1"/>
  <c r="CE215" i="1"/>
  <c r="BQ215" i="1"/>
  <c r="CJ321" i="1"/>
  <c r="CC321" i="1"/>
  <c r="BO321" i="1"/>
  <c r="BV321" i="1"/>
  <c r="DA244" i="1"/>
  <c r="DD244" i="1"/>
  <c r="DH244" i="1" s="1"/>
  <c r="CY244" i="1"/>
  <c r="DF285" i="1"/>
  <c r="CJ297" i="1"/>
  <c r="BO297" i="1"/>
  <c r="CC297" i="1"/>
  <c r="BV297" i="1"/>
  <c r="DF250" i="1"/>
  <c r="CK226" i="1"/>
  <c r="CD226" i="1"/>
  <c r="BP226" i="1"/>
  <c r="BW226" i="1"/>
  <c r="CY349" i="1"/>
  <c r="DE349" i="1" s="1"/>
  <c r="DG349" i="1" s="1"/>
  <c r="DA349" i="1"/>
  <c r="DD349" i="1"/>
  <c r="U349" i="1"/>
  <c r="S349" i="1"/>
  <c r="W349" i="1"/>
  <c r="T349" i="1"/>
  <c r="V349" i="1"/>
  <c r="DD186" i="1"/>
  <c r="DH186" i="1" s="1"/>
  <c r="CY186" i="1"/>
  <c r="DE186" i="1" s="1"/>
  <c r="DG186" i="1" s="1"/>
  <c r="DA186" i="1"/>
  <c r="S186" i="1"/>
  <c r="DF211" i="1"/>
  <c r="DA320" i="1"/>
  <c r="DD320" i="1"/>
  <c r="CY320" i="1"/>
  <c r="AJ320" i="1"/>
  <c r="DF228" i="1"/>
  <c r="CK247" i="1"/>
  <c r="CD247" i="1"/>
  <c r="BP247" i="1"/>
  <c r="BW247" i="1"/>
  <c r="DD271" i="1"/>
  <c r="DH271" i="1" s="1"/>
  <c r="CY271" i="1"/>
  <c r="DA271" i="1"/>
  <c r="CJ341" i="1"/>
  <c r="CC341" i="1"/>
  <c r="BO341" i="1"/>
  <c r="BV341" i="1"/>
  <c r="CD274" i="1"/>
  <c r="CK274" i="1"/>
  <c r="BP274" i="1"/>
  <c r="BW274" i="1"/>
  <c r="DF238" i="1"/>
  <c r="T183" i="1"/>
  <c r="CY183" i="1"/>
  <c r="DA183" i="1"/>
  <c r="DD183" i="1"/>
  <c r="U183" i="1"/>
  <c r="W183" i="1"/>
  <c r="V183" i="1"/>
  <c r="S183" i="1"/>
  <c r="CD268" i="1"/>
  <c r="CK268" i="1"/>
  <c r="BP268" i="1"/>
  <c r="BW268" i="1"/>
  <c r="CK313" i="1"/>
  <c r="BP313" i="1"/>
  <c r="CD313" i="1"/>
  <c r="BW313" i="1"/>
  <c r="CK255" i="1"/>
  <c r="CD255" i="1"/>
  <c r="BP255" i="1"/>
  <c r="BW255" i="1"/>
  <c r="CY216" i="1"/>
  <c r="DA216" i="1"/>
  <c r="DD216" i="1"/>
  <c r="CD295" i="1"/>
  <c r="CK295" i="1"/>
  <c r="BP295" i="1"/>
  <c r="BW295" i="1"/>
  <c r="CK345" i="1"/>
  <c r="BP345" i="1"/>
  <c r="BW345" i="1"/>
  <c r="CD345" i="1"/>
  <c r="DF187" i="1"/>
  <c r="CL256" i="1"/>
  <c r="CE256" i="1"/>
  <c r="BQ256" i="1"/>
  <c r="BX256" i="1"/>
  <c r="CE264" i="1"/>
  <c r="CL264" i="1"/>
  <c r="BX264" i="1"/>
  <c r="BQ264" i="1"/>
  <c r="V319" i="1"/>
  <c r="CK254" i="1"/>
  <c r="CD254" i="1"/>
  <c r="BP254" i="1"/>
  <c r="BW254" i="1"/>
  <c r="CJ190" i="1"/>
  <c r="CC190" i="1"/>
  <c r="BO190" i="1"/>
  <c r="BV190" i="1"/>
  <c r="DF246" i="1"/>
  <c r="CY179" i="1"/>
  <c r="DA179" i="1"/>
  <c r="DD179" i="1"/>
  <c r="DF279" i="1"/>
  <c r="DF348" i="1"/>
  <c r="CL305" i="1"/>
  <c r="BX305" i="1"/>
  <c r="BQ305" i="1"/>
  <c r="CE305" i="1"/>
  <c r="CY246" i="1"/>
  <c r="DE246" i="1" s="1"/>
  <c r="DG246" i="1" s="1"/>
  <c r="DA246" i="1"/>
  <c r="DD246" i="1"/>
  <c r="DH246" i="1" s="1"/>
  <c r="CL335" i="1"/>
  <c r="CE335" i="1"/>
  <c r="BX335" i="1"/>
  <c r="BQ335" i="1"/>
  <c r="CY344" i="1"/>
  <c r="DA344" i="1"/>
  <c r="DD344" i="1"/>
  <c r="S344" i="1"/>
  <c r="W344" i="1"/>
  <c r="U344" i="1"/>
  <c r="T344" i="1"/>
  <c r="V344" i="1"/>
  <c r="DF336" i="1"/>
  <c r="DA353" i="1"/>
  <c r="DD353" i="1"/>
  <c r="CY353" i="1"/>
  <c r="T353" i="1"/>
  <c r="V353" i="1"/>
  <c r="W353" i="1"/>
  <c r="U353" i="1"/>
  <c r="S353" i="1"/>
  <c r="DF283" i="1"/>
  <c r="CJ240" i="1"/>
  <c r="BO240" i="1"/>
  <c r="CC240" i="1"/>
  <c r="BV240" i="1"/>
  <c r="CY282" i="1"/>
  <c r="DA282" i="1"/>
  <c r="DD282" i="1"/>
  <c r="DH282" i="1" s="1"/>
  <c r="AR282" i="1"/>
  <c r="AJ282" i="1"/>
  <c r="AA282" i="1"/>
  <c r="CJ300" i="1"/>
  <c r="CC300" i="1"/>
  <c r="BO300" i="1"/>
  <c r="BV300" i="1"/>
  <c r="CL251" i="1"/>
  <c r="CE251" i="1"/>
  <c r="BQ251" i="1"/>
  <c r="BX251" i="1"/>
  <c r="DD237" i="1"/>
  <c r="CY237" i="1"/>
  <c r="DA237" i="1"/>
  <c r="DF231" i="1"/>
  <c r="CL323" i="1"/>
  <c r="CE323" i="1"/>
  <c r="BQ323" i="1"/>
  <c r="BX323" i="1"/>
  <c r="CJ346" i="1"/>
  <c r="CC346" i="1"/>
  <c r="BO346" i="1"/>
  <c r="BV346" i="1"/>
  <c r="CC194" i="1"/>
  <c r="CJ194" i="1"/>
  <c r="BO194" i="1"/>
  <c r="BV194" i="1"/>
  <c r="DF306" i="1"/>
  <c r="AJ211" i="1"/>
  <c r="DF272" i="1"/>
  <c r="CL180" i="1"/>
  <c r="CE180" i="1"/>
  <c r="BQ180" i="1"/>
  <c r="BX180" i="1"/>
  <c r="DF201" i="1"/>
  <c r="CK227" i="1"/>
  <c r="CD227" i="1"/>
  <c r="BW227" i="1"/>
  <c r="BP227" i="1"/>
  <c r="CJ263" i="1"/>
  <c r="CC263" i="1"/>
  <c r="BV263" i="1"/>
  <c r="BO263" i="1"/>
  <c r="CK309" i="1"/>
  <c r="CD309" i="1"/>
  <c r="BP309" i="1"/>
  <c r="BW309" i="1"/>
  <c r="DA327" i="1"/>
  <c r="CY327" i="1"/>
  <c r="DE327" i="1" s="1"/>
  <c r="DD327" i="1"/>
  <c r="DH327" i="1" s="1"/>
  <c r="AJ253" i="1"/>
  <c r="CL235" i="1"/>
  <c r="CE235" i="1"/>
  <c r="BQ235" i="1"/>
  <c r="BX235" i="1"/>
  <c r="CL202" i="1"/>
  <c r="CE202" i="1"/>
  <c r="BX202" i="1"/>
  <c r="BQ202" i="1"/>
  <c r="CJ247" i="1"/>
  <c r="CC247" i="1"/>
  <c r="BO247" i="1"/>
  <c r="BV247" i="1"/>
  <c r="CL294" i="1"/>
  <c r="BX294" i="1"/>
  <c r="BQ294" i="1"/>
  <c r="CE294" i="1"/>
  <c r="CL341" i="1"/>
  <c r="CE341" i="1"/>
  <c r="BQ341" i="1"/>
  <c r="BX341" i="1"/>
  <c r="DD241" i="1"/>
  <c r="CY241" i="1"/>
  <c r="DA241" i="1"/>
  <c r="CJ274" i="1"/>
  <c r="CC274" i="1"/>
  <c r="BV274" i="1"/>
  <c r="BO274" i="1"/>
  <c r="DA308" i="1"/>
  <c r="DD308" i="1"/>
  <c r="DH308" i="1" s="1"/>
  <c r="CY308" i="1"/>
  <c r="CL334" i="1"/>
  <c r="CE334" i="1"/>
  <c r="BQ334" i="1"/>
  <c r="BX334" i="1"/>
  <c r="CL268" i="1"/>
  <c r="CE268" i="1"/>
  <c r="BX268" i="1"/>
  <c r="BQ268" i="1"/>
  <c r="CJ350" i="1"/>
  <c r="BV350" i="1"/>
  <c r="BO350" i="1"/>
  <c r="CC350" i="1"/>
  <c r="DF334" i="1"/>
  <c r="CL313" i="1"/>
  <c r="BQ313" i="1"/>
  <c r="CE313" i="1"/>
  <c r="BX313" i="1"/>
  <c r="CL255" i="1"/>
  <c r="CE255" i="1"/>
  <c r="BQ255" i="1"/>
  <c r="BX255" i="1"/>
  <c r="CL295" i="1"/>
  <c r="CE295" i="1"/>
  <c r="BX295" i="1"/>
  <c r="BQ295" i="1"/>
  <c r="CJ345" i="1"/>
  <c r="BV345" i="1"/>
  <c r="CC345" i="1"/>
  <c r="BO345" i="1"/>
  <c r="CK324" i="1"/>
  <c r="CD324" i="1"/>
  <c r="BW324" i="1"/>
  <c r="BP324" i="1"/>
  <c r="CK256" i="1"/>
  <c r="BW256" i="1"/>
  <c r="CD256" i="1"/>
  <c r="BP256" i="1"/>
  <c r="CY273" i="1"/>
  <c r="DA273" i="1"/>
  <c r="DD273" i="1"/>
  <c r="DH273" i="1" s="1"/>
  <c r="CC260" i="1"/>
  <c r="CJ260" i="1"/>
  <c r="BO260" i="1"/>
  <c r="BV260" i="1"/>
  <c r="DF190" i="1"/>
  <c r="DF213" i="1"/>
  <c r="DF342" i="1"/>
  <c r="CK305" i="1"/>
  <c r="BW305" i="1"/>
  <c r="BP305" i="1"/>
  <c r="CD305" i="1"/>
  <c r="CD243" i="1"/>
  <c r="CK243" i="1"/>
  <c r="BP243" i="1"/>
  <c r="BW243" i="1"/>
  <c r="CY301" i="1"/>
  <c r="DA301" i="1"/>
  <c r="DD301" i="1"/>
  <c r="CK335" i="1"/>
  <c r="BW335" i="1"/>
  <c r="CD335" i="1"/>
  <c r="BP335" i="1"/>
  <c r="CK192" i="1"/>
  <c r="CD192" i="1"/>
  <c r="BP192" i="1"/>
  <c r="BW192" i="1"/>
  <c r="DF265" i="1"/>
  <c r="CE240" i="1"/>
  <c r="CL240" i="1"/>
  <c r="BX240" i="1"/>
  <c r="BQ240" i="1"/>
  <c r="CK270" i="1"/>
  <c r="CD270" i="1"/>
  <c r="BP270" i="1"/>
  <c r="BW270" i="1"/>
  <c r="CK251" i="1"/>
  <c r="CD251" i="1"/>
  <c r="BP251" i="1"/>
  <c r="BW251" i="1"/>
  <c r="CY289" i="1"/>
  <c r="DA289" i="1"/>
  <c r="DD289" i="1"/>
  <c r="DH289" i="1" s="1"/>
  <c r="AR286" i="1"/>
  <c r="CY286" i="1"/>
  <c r="DE286" i="1" s="1"/>
  <c r="DA286" i="1"/>
  <c r="DD286" i="1"/>
  <c r="DH286" i="1" s="1"/>
  <c r="AJ286" i="1"/>
  <c r="CK323" i="1"/>
  <c r="BP323" i="1"/>
  <c r="CD323" i="1"/>
  <c r="BW323" i="1"/>
  <c r="CY326" i="1"/>
  <c r="DA326" i="1"/>
  <c r="DD326" i="1"/>
  <c r="DH326" i="1" s="1"/>
  <c r="AJ326" i="1"/>
  <c r="AA326" i="1"/>
  <c r="CE194" i="1"/>
  <c r="CL194" i="1"/>
  <c r="BQ194" i="1"/>
  <c r="BX194" i="1"/>
  <c r="DF178" i="1"/>
  <c r="CL319" i="1"/>
  <c r="CE319" i="1"/>
  <c r="BQ319" i="1"/>
  <c r="BX319" i="1"/>
  <c r="CL253" i="1"/>
  <c r="BQ253" i="1"/>
  <c r="BX253" i="1"/>
  <c r="CE253" i="1"/>
  <c r="DF281" i="1"/>
  <c r="CL263" i="1"/>
  <c r="CE263" i="1"/>
  <c r="BX263" i="1"/>
  <c r="BQ263" i="1"/>
  <c r="CY287" i="1"/>
  <c r="DD287" i="1"/>
  <c r="DH287" i="1" s="1"/>
  <c r="DA287" i="1"/>
  <c r="CC309" i="1"/>
  <c r="CJ309" i="1"/>
  <c r="BO309" i="1"/>
  <c r="BV309" i="1"/>
  <c r="AA247" i="1"/>
  <c r="CY280" i="1"/>
  <c r="DA280" i="1"/>
  <c r="DD280" i="1"/>
  <c r="DH280" i="1" s="1"/>
  <c r="T280" i="1"/>
  <c r="CL198" i="1"/>
  <c r="CE198" i="1"/>
  <c r="BQ198" i="1"/>
  <c r="BX198" i="1"/>
  <c r="CL195" i="1"/>
  <c r="BQ195" i="1"/>
  <c r="BX195" i="1"/>
  <c r="CE195" i="1"/>
  <c r="CK342" i="1"/>
  <c r="BP342" i="1"/>
  <c r="CD342" i="1"/>
  <c r="BW342" i="1"/>
  <c r="CL217" i="1"/>
  <c r="BX217" i="1"/>
  <c r="CE217" i="1"/>
  <c r="BQ217" i="1"/>
  <c r="CY296" i="1"/>
  <c r="DE296" i="1" s="1"/>
  <c r="DG296" i="1" s="1"/>
  <c r="DA296" i="1"/>
  <c r="DD296" i="1"/>
  <c r="AR296" i="1"/>
  <c r="CJ278" i="1"/>
  <c r="BO278" i="1"/>
  <c r="CC278" i="1"/>
  <c r="BV278" i="1"/>
  <c r="CJ269" i="1"/>
  <c r="CC269" i="1"/>
  <c r="BO269" i="1"/>
  <c r="BV269" i="1"/>
  <c r="DF322" i="1"/>
  <c r="CL221" i="1"/>
  <c r="BQ221" i="1"/>
  <c r="BX221" i="1"/>
  <c r="CE221" i="1"/>
  <c r="DA218" i="1"/>
  <c r="DD218" i="1"/>
  <c r="DH218" i="1" s="1"/>
  <c r="CY218" i="1"/>
  <c r="CL279" i="1"/>
  <c r="BX279" i="1"/>
  <c r="CE279" i="1"/>
  <c r="BQ279" i="1"/>
  <c r="CK245" i="1"/>
  <c r="BW245" i="1"/>
  <c r="BP245" i="1"/>
  <c r="CD245" i="1"/>
  <c r="CD205" i="1"/>
  <c r="CK205" i="1"/>
  <c r="BW205" i="1"/>
  <c r="BP205" i="1"/>
  <c r="CD316" i="1"/>
  <c r="CK316" i="1"/>
  <c r="BP316" i="1"/>
  <c r="BW316" i="1"/>
  <c r="DF316" i="1"/>
  <c r="CK292" i="1"/>
  <c r="CD292" i="1"/>
  <c r="BP292" i="1"/>
  <c r="BW292" i="1"/>
  <c r="CY285" i="1"/>
  <c r="DA285" i="1"/>
  <c r="DD285" i="1"/>
  <c r="DH285" i="1" s="1"/>
  <c r="CK238" i="1"/>
  <c r="CD238" i="1"/>
  <c r="BW238" i="1"/>
  <c r="BP238" i="1"/>
  <c r="DA250" i="1"/>
  <c r="DD250" i="1"/>
  <c r="CY250" i="1"/>
  <c r="DF222" i="1"/>
  <c r="CK235" i="1"/>
  <c r="CD235" i="1"/>
  <c r="BP235" i="1"/>
  <c r="BW235" i="1"/>
  <c r="AA233" i="1"/>
  <c r="DD233" i="1"/>
  <c r="DH233" i="1" s="1"/>
  <c r="CY233" i="1"/>
  <c r="DA233" i="1"/>
  <c r="AJ233" i="1"/>
  <c r="AR233" i="1"/>
  <c r="CK202" i="1"/>
  <c r="CD202" i="1"/>
  <c r="BP202" i="1"/>
  <c r="BW202" i="1"/>
  <c r="DF202" i="1"/>
  <c r="CY317" i="1"/>
  <c r="DD317" i="1"/>
  <c r="DH317" i="1" s="1"/>
  <c r="DA317" i="1"/>
  <c r="AJ317" i="1"/>
  <c r="AR317" i="1"/>
  <c r="AA317" i="1"/>
  <c r="DF203" i="1"/>
  <c r="CK294" i="1"/>
  <c r="CD294" i="1"/>
  <c r="BW294" i="1"/>
  <c r="BP294" i="1"/>
  <c r="CY262" i="1"/>
  <c r="DA262" i="1"/>
  <c r="DD262" i="1"/>
  <c r="DH262" i="1" s="1"/>
  <c r="CK341" i="1"/>
  <c r="CD341" i="1"/>
  <c r="BP341" i="1"/>
  <c r="BW341" i="1"/>
  <c r="S317" i="1"/>
  <c r="CK334" i="1"/>
  <c r="BP334" i="1"/>
  <c r="CD334" i="1"/>
  <c r="BW334" i="1"/>
  <c r="CJ188" i="1"/>
  <c r="CC188" i="1"/>
  <c r="BO188" i="1"/>
  <c r="BV188" i="1"/>
  <c r="CJ268" i="1"/>
  <c r="CC268" i="1"/>
  <c r="BO268" i="1"/>
  <c r="BV268" i="1"/>
  <c r="CL350" i="1"/>
  <c r="CE350" i="1"/>
  <c r="BQ350" i="1"/>
  <c r="BX350" i="1"/>
  <c r="CC313" i="1"/>
  <c r="CJ313" i="1"/>
  <c r="BO313" i="1"/>
  <c r="BV313" i="1"/>
  <c r="DD304" i="1"/>
  <c r="CY304" i="1"/>
  <c r="DA304" i="1"/>
  <c r="CC295" i="1"/>
  <c r="CJ295" i="1"/>
  <c r="BO295" i="1"/>
  <c r="BV295" i="1"/>
  <c r="CJ185" i="1"/>
  <c r="CC185" i="1"/>
  <c r="BO185" i="1"/>
  <c r="BV185" i="1"/>
  <c r="CL324" i="1"/>
  <c r="CE324" i="1"/>
  <c r="BQ324" i="1"/>
  <c r="BX324" i="1"/>
  <c r="DF340" i="1"/>
  <c r="CJ256" i="1"/>
  <c r="CC256" i="1"/>
  <c r="BV256" i="1"/>
  <c r="BO256" i="1"/>
  <c r="CK210" i="1"/>
  <c r="CD210" i="1"/>
  <c r="BP210" i="1"/>
  <c r="BW210" i="1"/>
  <c r="DF264" i="1"/>
  <c r="CL260" i="1"/>
  <c r="BQ260" i="1"/>
  <c r="CE260" i="1"/>
  <c r="BX260" i="1"/>
  <c r="CK306" i="1"/>
  <c r="BP306" i="1"/>
  <c r="BW306" i="1"/>
  <c r="CD306" i="1"/>
  <c r="DF237" i="1"/>
  <c r="CJ239" i="1"/>
  <c r="BO239" i="1"/>
  <c r="CC239" i="1"/>
  <c r="BV239" i="1"/>
  <c r="CJ243" i="1"/>
  <c r="CC243" i="1"/>
  <c r="BO243" i="1"/>
  <c r="BV243" i="1"/>
  <c r="CY266" i="1"/>
  <c r="DA266" i="1"/>
  <c r="DD266" i="1"/>
  <c r="DH266" i="1" s="1"/>
  <c r="W266" i="1"/>
  <c r="T266" i="1"/>
  <c r="CL259" i="1"/>
  <c r="BQ259" i="1"/>
  <c r="CE259" i="1"/>
  <c r="BX259" i="1"/>
  <c r="X2" i="1"/>
  <c r="Y2" i="1"/>
  <c r="AH2" i="1"/>
  <c r="CC192" i="1"/>
  <c r="CJ192" i="1"/>
  <c r="BV192" i="1"/>
  <c r="BO192" i="1"/>
  <c r="CY208" i="1"/>
  <c r="DA208" i="1"/>
  <c r="DD208" i="1"/>
  <c r="DH208" i="1" s="1"/>
  <c r="DF181" i="1"/>
  <c r="CJ270" i="1"/>
  <c r="BO270" i="1"/>
  <c r="CC270" i="1"/>
  <c r="BV270" i="1"/>
  <c r="CY288" i="1"/>
  <c r="DA288" i="1"/>
  <c r="DD288" i="1"/>
  <c r="DH288" i="1" s="1"/>
  <c r="AR288" i="1"/>
  <c r="AJ231" i="1"/>
  <c r="CY231" i="1"/>
  <c r="DA231" i="1"/>
  <c r="DD231" i="1"/>
  <c r="DH231" i="1" s="1"/>
  <c r="CL310" i="1"/>
  <c r="BQ310" i="1"/>
  <c r="BX310" i="1"/>
  <c r="CE310" i="1"/>
  <c r="CL220" i="1"/>
  <c r="CE220" i="1"/>
  <c r="BX220" i="1"/>
  <c r="BQ220" i="1"/>
  <c r="AR331" i="1"/>
  <c r="CD194" i="1"/>
  <c r="CK194" i="1"/>
  <c r="BP194" i="1"/>
  <c r="BW194" i="1"/>
  <c r="DD181" i="1"/>
  <c r="CY181" i="1"/>
  <c r="DA181" i="1"/>
  <c r="W181" i="1"/>
  <c r="S181" i="1"/>
  <c r="CK319" i="1"/>
  <c r="CD319" i="1"/>
  <c r="BW319" i="1"/>
  <c r="BP319" i="1"/>
  <c r="DF341" i="1"/>
  <c r="CK253" i="1"/>
  <c r="BP253" i="1"/>
  <c r="BW253" i="1"/>
  <c r="CD253" i="1"/>
  <c r="DA272" i="1"/>
  <c r="CY272" i="1"/>
  <c r="DD272" i="1"/>
  <c r="CL199" i="1"/>
  <c r="CE199" i="1"/>
  <c r="BQ199" i="1"/>
  <c r="BX199" i="1"/>
  <c r="AA201" i="1"/>
  <c r="DA201" i="1"/>
  <c r="DD201" i="1"/>
  <c r="DH201" i="1" s="1"/>
  <c r="CY201" i="1"/>
  <c r="CY277" i="1"/>
  <c r="DA277" i="1"/>
  <c r="DD277" i="1"/>
  <c r="CK263" i="1"/>
  <c r="CD263" i="1"/>
  <c r="BP263" i="1"/>
  <c r="BW263" i="1"/>
  <c r="CK252" i="1"/>
  <c r="CD252" i="1"/>
  <c r="BP252" i="1"/>
  <c r="BW252" i="1"/>
  <c r="CJ236" i="1"/>
  <c r="CC236" i="1"/>
  <c r="BV236" i="1"/>
  <c r="BO236" i="1"/>
  <c r="CJ235" i="1"/>
  <c r="BO235" i="1"/>
  <c r="CC235" i="1"/>
  <c r="BV235" i="1"/>
  <c r="CJ202" i="1"/>
  <c r="CC202" i="1"/>
  <c r="BO202" i="1"/>
  <c r="BV202" i="1"/>
  <c r="CJ203" i="1"/>
  <c r="CC203" i="1"/>
  <c r="BV203" i="1"/>
  <c r="BO203" i="1"/>
  <c r="DF330" i="1"/>
  <c r="DA228" i="1"/>
  <c r="CY228" i="1"/>
  <c r="DD228" i="1"/>
  <c r="CJ294" i="1"/>
  <c r="CC294" i="1"/>
  <c r="BO294" i="1"/>
  <c r="BV294" i="1"/>
  <c r="CK258" i="1"/>
  <c r="CD258" i="1"/>
  <c r="BW258" i="1"/>
  <c r="BP258" i="1"/>
  <c r="CE188" i="1"/>
  <c r="CL188" i="1"/>
  <c r="BQ188" i="1"/>
  <c r="BX188" i="1"/>
  <c r="CY204" i="1"/>
  <c r="DE204" i="1" s="1"/>
  <c r="DA204" i="1"/>
  <c r="DD204" i="1"/>
  <c r="DH204" i="1" s="1"/>
  <c r="CL343" i="1"/>
  <c r="BQ343" i="1"/>
  <c r="CE343" i="1"/>
  <c r="BX343" i="1"/>
  <c r="DF191" i="1"/>
  <c r="CL185" i="1"/>
  <c r="BX185" i="1"/>
  <c r="CE185" i="1"/>
  <c r="BQ185" i="1"/>
  <c r="CJ324" i="1"/>
  <c r="BO324" i="1"/>
  <c r="BV324" i="1"/>
  <c r="CC324" i="1"/>
  <c r="CJ210" i="1"/>
  <c r="CC210" i="1"/>
  <c r="BO210" i="1"/>
  <c r="BV210" i="1"/>
  <c r="DA264" i="1"/>
  <c r="DD264" i="1"/>
  <c r="DH264" i="1" s="1"/>
  <c r="CY264" i="1"/>
  <c r="CK276" i="1"/>
  <c r="BP276" i="1"/>
  <c r="CD276" i="1"/>
  <c r="BW276" i="1"/>
  <c r="CK260" i="1"/>
  <c r="BP260" i="1"/>
  <c r="CD260" i="1"/>
  <c r="BW260" i="1"/>
  <c r="CK322" i="1"/>
  <c r="CD322" i="1"/>
  <c r="BW322" i="1"/>
  <c r="BP322" i="1"/>
  <c r="CL306" i="1"/>
  <c r="CE306" i="1"/>
  <c r="BQ306" i="1"/>
  <c r="BX306" i="1"/>
  <c r="DF275" i="1"/>
  <c r="CL239" i="1"/>
  <c r="CE239" i="1"/>
  <c r="BX239" i="1"/>
  <c r="BQ239" i="1"/>
  <c r="DD234" i="1"/>
  <c r="DH234" i="1" s="1"/>
  <c r="CY234" i="1"/>
  <c r="DE234" i="1" s="1"/>
  <c r="DG234" i="1" s="1"/>
  <c r="DA234" i="1"/>
  <c r="CL243" i="1"/>
  <c r="CE243" i="1"/>
  <c r="BQ243" i="1"/>
  <c r="BX243" i="1"/>
  <c r="DF245" i="1"/>
  <c r="CK259" i="1"/>
  <c r="CD259" i="1"/>
  <c r="BP259" i="1"/>
  <c r="BW259" i="1"/>
  <c r="CY335" i="1"/>
  <c r="DA335" i="1"/>
  <c r="DE335" i="1" s="1"/>
  <c r="DD335" i="1"/>
  <c r="DH335" i="1" s="1"/>
  <c r="W335" i="1"/>
  <c r="CL192" i="1"/>
  <c r="CE192" i="1"/>
  <c r="BX192" i="1"/>
  <c r="BQ192" i="1"/>
  <c r="CJ191" i="1"/>
  <c r="CC191" i="1"/>
  <c r="BO191" i="1"/>
  <c r="BV191" i="1"/>
  <c r="DF260" i="1"/>
  <c r="CL270" i="1"/>
  <c r="BQ270" i="1"/>
  <c r="CE270" i="1"/>
  <c r="BX270" i="1"/>
  <c r="CL283" i="1"/>
  <c r="BQ283" i="1"/>
  <c r="CE283" i="1"/>
  <c r="BX283" i="1"/>
  <c r="DF241" i="1"/>
  <c r="CK310" i="1"/>
  <c r="BP310" i="1"/>
  <c r="BW310" i="1"/>
  <c r="CD310" i="1"/>
  <c r="DD338" i="1"/>
  <c r="DH338" i="1" s="1"/>
  <c r="CY338" i="1"/>
  <c r="DA338" i="1"/>
  <c r="AJ338" i="1"/>
  <c r="AA338" i="1"/>
  <c r="S338" i="1"/>
  <c r="W338" i="1"/>
  <c r="U338" i="1"/>
  <c r="CK220" i="1"/>
  <c r="CD220" i="1"/>
  <c r="BP220" i="1"/>
  <c r="BW220" i="1"/>
  <c r="DA261" i="1"/>
  <c r="DD261" i="1"/>
  <c r="DH261" i="1" s="1"/>
  <c r="CY261" i="1"/>
  <c r="DE261" i="1" s="1"/>
  <c r="DF220" i="1"/>
  <c r="DF194" i="1"/>
  <c r="V187" i="1"/>
  <c r="CY187" i="1"/>
  <c r="DA187" i="1"/>
  <c r="DD187" i="1"/>
  <c r="T187" i="1"/>
  <c r="W187" i="1"/>
  <c r="U187" i="1"/>
  <c r="S187" i="1"/>
  <c r="DF312" i="1"/>
  <c r="CJ319" i="1"/>
  <c r="CC319" i="1"/>
  <c r="BO319" i="1"/>
  <c r="BV319" i="1"/>
  <c r="CJ253" i="1"/>
  <c r="BV253" i="1"/>
  <c r="BO253" i="1"/>
  <c r="CC253" i="1"/>
  <c r="AR338" i="1"/>
  <c r="CK199" i="1"/>
  <c r="CD199" i="1"/>
  <c r="BP199" i="1"/>
  <c r="BW199" i="1"/>
  <c r="T186" i="1"/>
  <c r="DF295" i="1"/>
  <c r="CY318" i="1"/>
  <c r="DE318" i="1" s="1"/>
  <c r="DG318" i="1" s="1"/>
  <c r="DA318" i="1"/>
  <c r="DD318" i="1"/>
  <c r="CC212" i="1"/>
  <c r="CJ212" i="1"/>
  <c r="BV212" i="1"/>
  <c r="BO212" i="1"/>
  <c r="CJ252" i="1"/>
  <c r="CC252" i="1"/>
  <c r="BV252" i="1"/>
  <c r="BO252" i="1"/>
  <c r="DD299" i="1"/>
  <c r="CY299" i="1"/>
  <c r="DE299" i="1" s="1"/>
  <c r="DA299" i="1"/>
  <c r="AA299" i="1"/>
  <c r="CL236" i="1"/>
  <c r="CE236" i="1"/>
  <c r="BX236" i="1"/>
  <c r="BQ236" i="1"/>
  <c r="AJ241" i="1"/>
  <c r="AA212" i="1"/>
  <c r="DF320" i="1"/>
  <c r="CL203" i="1"/>
  <c r="CE203" i="1"/>
  <c r="BX203" i="1"/>
  <c r="BQ203" i="1"/>
  <c r="CL223" i="1"/>
  <c r="CE223" i="1"/>
  <c r="BQ223" i="1"/>
  <c r="BX223" i="1"/>
  <c r="CL337" i="1"/>
  <c r="CE337" i="1"/>
  <c r="BQ337" i="1"/>
  <c r="BX337" i="1"/>
  <c r="CC258" i="1"/>
  <c r="CJ258" i="1"/>
  <c r="BV258" i="1"/>
  <c r="BO258" i="1"/>
  <c r="DF274" i="1"/>
  <c r="CK189" i="1"/>
  <c r="BP189" i="1"/>
  <c r="BW189" i="1"/>
  <c r="CD189" i="1"/>
  <c r="CJ334" i="1"/>
  <c r="CC334" i="1"/>
  <c r="BO334" i="1"/>
  <c r="BV334" i="1"/>
  <c r="CK188" i="1"/>
  <c r="BP188" i="1"/>
  <c r="CD188" i="1"/>
  <c r="BW188" i="1"/>
  <c r="CL336" i="1"/>
  <c r="CE336" i="1"/>
  <c r="BX336" i="1"/>
  <c r="BQ336" i="1"/>
  <c r="CK350" i="1"/>
  <c r="BP350" i="1"/>
  <c r="CD350" i="1"/>
  <c r="BW350" i="1"/>
  <c r="CK343" i="1"/>
  <c r="CD343" i="1"/>
  <c r="BP343" i="1"/>
  <c r="BW343" i="1"/>
  <c r="CK185" i="1"/>
  <c r="CD185" i="1"/>
  <c r="BP185" i="1"/>
  <c r="BW185" i="1"/>
  <c r="CL210" i="1"/>
  <c r="CE210" i="1"/>
  <c r="BQ210" i="1"/>
  <c r="BX210" i="1"/>
  <c r="CJ276" i="1"/>
  <c r="CC276" i="1"/>
  <c r="BO276" i="1"/>
  <c r="BV276" i="1"/>
  <c r="DD254" i="1"/>
  <c r="DH254" i="1" s="1"/>
  <c r="CY254" i="1"/>
  <c r="DA254" i="1"/>
  <c r="V190" i="1"/>
  <c r="CY190" i="1"/>
  <c r="DA190" i="1"/>
  <c r="DD190" i="1"/>
  <c r="CJ306" i="1"/>
  <c r="BO306" i="1"/>
  <c r="CC306" i="1"/>
  <c r="BV306" i="1"/>
  <c r="DF304" i="1"/>
  <c r="CL325" i="1"/>
  <c r="BQ325" i="1"/>
  <c r="CE325" i="1"/>
  <c r="BX325" i="1"/>
  <c r="CK239" i="1"/>
  <c r="CD239" i="1"/>
  <c r="BP239" i="1"/>
  <c r="BW239" i="1"/>
  <c r="CJ281" i="1"/>
  <c r="CC281" i="1"/>
  <c r="BO281" i="1"/>
  <c r="BV281" i="1"/>
  <c r="CC259" i="1"/>
  <c r="CJ259" i="1"/>
  <c r="BV259" i="1"/>
  <c r="BO259" i="1"/>
  <c r="CL191" i="1"/>
  <c r="CE191" i="1"/>
  <c r="BX191" i="1"/>
  <c r="BQ191" i="1"/>
  <c r="DF221" i="1"/>
  <c r="CK283" i="1"/>
  <c r="CD283" i="1"/>
  <c r="BP283" i="1"/>
  <c r="BW283" i="1"/>
  <c r="DA300" i="1"/>
  <c r="DD300" i="1"/>
  <c r="DH300" i="1" s="1"/>
  <c r="CY300" i="1"/>
  <c r="AA300" i="1"/>
  <c r="CJ224" i="1"/>
  <c r="BO224" i="1"/>
  <c r="CC224" i="1"/>
  <c r="BV224" i="1"/>
  <c r="CJ310" i="1"/>
  <c r="BV310" i="1"/>
  <c r="BO310" i="1"/>
  <c r="CC310" i="1"/>
  <c r="DF192" i="1"/>
  <c r="DF229" i="1"/>
  <c r="CC220" i="1"/>
  <c r="CJ220" i="1"/>
  <c r="BV220" i="1"/>
  <c r="BO220" i="1"/>
  <c r="CK331" i="1"/>
  <c r="BP331" i="1"/>
  <c r="CD331" i="1"/>
  <c r="BW331" i="1"/>
  <c r="DA346" i="1"/>
  <c r="DD346" i="1"/>
  <c r="DH346" i="1" s="1"/>
  <c r="CY346" i="1"/>
  <c r="DE346" i="1" s="1"/>
  <c r="S346" i="1"/>
  <c r="W346" i="1"/>
  <c r="V346" i="1"/>
  <c r="U346" i="1"/>
  <c r="DF235" i="1"/>
  <c r="CL351" i="1"/>
  <c r="BX351" i="1"/>
  <c r="BQ351" i="1"/>
  <c r="CE351" i="1"/>
  <c r="BX298" i="1"/>
  <c r="CL298" i="1"/>
  <c r="BQ298" i="1"/>
  <c r="CE298" i="1"/>
  <c r="U180" i="1"/>
  <c r="CY180" i="1"/>
  <c r="DA180" i="1"/>
  <c r="DD180" i="1"/>
  <c r="DH180" i="1" s="1"/>
  <c r="CJ199" i="1"/>
  <c r="CC199" i="1"/>
  <c r="BO199" i="1"/>
  <c r="BV199" i="1"/>
  <c r="DF183" i="1"/>
  <c r="CE212" i="1"/>
  <c r="CL212" i="1"/>
  <c r="BQ212" i="1"/>
  <c r="BX212" i="1"/>
  <c r="CY227" i="1"/>
  <c r="DA227" i="1"/>
  <c r="DD227" i="1"/>
  <c r="DH227" i="1" s="1"/>
  <c r="CL252" i="1"/>
  <c r="BQ252" i="1"/>
  <c r="CE252" i="1"/>
  <c r="BX252" i="1"/>
  <c r="CK333" i="1"/>
  <c r="BP333" i="1"/>
  <c r="CD333" i="1"/>
  <c r="BW333" i="1"/>
  <c r="CK236" i="1"/>
  <c r="CD236" i="1"/>
  <c r="BP236" i="1"/>
  <c r="BW236" i="1"/>
  <c r="AR216" i="1"/>
  <c r="CK203" i="1"/>
  <c r="CD203" i="1"/>
  <c r="BW203" i="1"/>
  <c r="BP203" i="1"/>
  <c r="DF293" i="1"/>
  <c r="CK223" i="1"/>
  <c r="CD223" i="1"/>
  <c r="BP223" i="1"/>
  <c r="BW223" i="1"/>
  <c r="CY247" i="1"/>
  <c r="DA247" i="1"/>
  <c r="DD247" i="1"/>
  <c r="CL307" i="1"/>
  <c r="BX307" i="1"/>
  <c r="CE307" i="1"/>
  <c r="BQ307" i="1"/>
  <c r="DF337" i="1"/>
  <c r="CE258" i="1"/>
  <c r="CL258" i="1"/>
  <c r="BX258" i="1"/>
  <c r="BQ258" i="1"/>
  <c r="CY274" i="1"/>
  <c r="DA274" i="1"/>
  <c r="DD274" i="1"/>
  <c r="CJ189" i="1"/>
  <c r="CC189" i="1"/>
  <c r="BO189" i="1"/>
  <c r="BV189" i="1"/>
  <c r="BW336" i="1"/>
  <c r="CK336" i="1"/>
  <c r="CD336" i="1"/>
  <c r="BP336" i="1"/>
  <c r="CJ343" i="1"/>
  <c r="BO343" i="1"/>
  <c r="CC343" i="1"/>
  <c r="BV343" i="1"/>
  <c r="CY255" i="1"/>
  <c r="DA255" i="1"/>
  <c r="DD255" i="1"/>
  <c r="DH255" i="1" s="1"/>
  <c r="DA345" i="1"/>
  <c r="CY345" i="1"/>
  <c r="DD345" i="1"/>
  <c r="V345" i="1"/>
  <c r="U345" i="1"/>
  <c r="AR345" i="1"/>
  <c r="CK232" i="1"/>
  <c r="CD232" i="1"/>
  <c r="BP232" i="1"/>
  <c r="BW232" i="1"/>
  <c r="DF256" i="1"/>
  <c r="CD315" i="1"/>
  <c r="CK315" i="1"/>
  <c r="BP315" i="1"/>
  <c r="BW315" i="1"/>
  <c r="CL276" i="1"/>
  <c r="CE276" i="1"/>
  <c r="BQ276" i="1"/>
  <c r="BX276" i="1"/>
  <c r="CL211" i="1"/>
  <c r="CE211" i="1"/>
  <c r="BX211" i="1"/>
  <c r="BQ211" i="1"/>
  <c r="CL322" i="1"/>
  <c r="CE322" i="1"/>
  <c r="BQ322" i="1"/>
  <c r="BX322" i="1"/>
  <c r="CJ206" i="1"/>
  <c r="CC206" i="1"/>
  <c r="BO206" i="1"/>
  <c r="BV206" i="1"/>
  <c r="DF255" i="1"/>
  <c r="CK325" i="1"/>
  <c r="BP325" i="1"/>
  <c r="CD325" i="1"/>
  <c r="BW325" i="1"/>
  <c r="CJ347" i="1"/>
  <c r="BO347" i="1"/>
  <c r="CC347" i="1"/>
  <c r="BV347" i="1"/>
  <c r="CL281" i="1"/>
  <c r="CE281" i="1"/>
  <c r="BQ281" i="1"/>
  <c r="BX281" i="1"/>
  <c r="CY305" i="1"/>
  <c r="DA305" i="1"/>
  <c r="DD305" i="1"/>
  <c r="CK191" i="1"/>
  <c r="CD191" i="1"/>
  <c r="BW191" i="1"/>
  <c r="BP191" i="1"/>
  <c r="CJ209" i="1"/>
  <c r="BV209" i="1"/>
  <c r="CC209" i="1"/>
  <c r="BO209" i="1"/>
  <c r="CY240" i="1"/>
  <c r="DA240" i="1"/>
  <c r="DD240" i="1"/>
  <c r="DH240" i="1" s="1"/>
  <c r="AR240" i="1"/>
  <c r="CJ283" i="1"/>
  <c r="CC283" i="1"/>
  <c r="BO283" i="1"/>
  <c r="BV283" i="1"/>
  <c r="CL224" i="1"/>
  <c r="BQ224" i="1"/>
  <c r="CE224" i="1"/>
  <c r="BX224" i="1"/>
  <c r="DA251" i="1"/>
  <c r="DD251" i="1"/>
  <c r="DH251" i="1" s="1"/>
  <c r="CY251" i="1"/>
  <c r="DF292" i="1"/>
  <c r="DF335" i="1"/>
  <c r="CL331" i="1"/>
  <c r="CE331" i="1"/>
  <c r="BQ331" i="1"/>
  <c r="BX331" i="1"/>
  <c r="CY323" i="1"/>
  <c r="DE323" i="1" s="1"/>
  <c r="DG323" i="1" s="1"/>
  <c r="DI323" i="1" s="1"/>
  <c r="DD323" i="1"/>
  <c r="DH323" i="1" s="1"/>
  <c r="DA323" i="1"/>
  <c r="DF347" i="1"/>
  <c r="CL178" i="1"/>
  <c r="CE178" i="1"/>
  <c r="BQ178" i="1"/>
  <c r="BX178" i="1"/>
  <c r="DF273" i="1"/>
  <c r="CK351" i="1"/>
  <c r="BW351" i="1"/>
  <c r="CD351" i="1"/>
  <c r="BP351" i="1"/>
  <c r="BW298" i="1"/>
  <c r="CK298" i="1"/>
  <c r="BP298" i="1"/>
  <c r="CD298" i="1"/>
  <c r="CL196" i="1"/>
  <c r="BQ196" i="1"/>
  <c r="CE196" i="1"/>
  <c r="BX196" i="1"/>
  <c r="CD212" i="1"/>
  <c r="CK212" i="1"/>
  <c r="BW212" i="1"/>
  <c r="BP212" i="1"/>
  <c r="CK249" i="1"/>
  <c r="BP249" i="1"/>
  <c r="CD249" i="1"/>
  <c r="BW249" i="1"/>
  <c r="DF252" i="1"/>
  <c r="DA309" i="1"/>
  <c r="CY309" i="1"/>
  <c r="DD309" i="1"/>
  <c r="AJ289" i="1"/>
  <c r="CL182" i="1"/>
  <c r="CE182" i="1"/>
  <c r="BX182" i="1"/>
  <c r="BQ182" i="1"/>
  <c r="CY198" i="1"/>
  <c r="DE198" i="1" s="1"/>
  <c r="DA198" i="1"/>
  <c r="DD198" i="1"/>
  <c r="DH198" i="1" s="1"/>
  <c r="AJ198" i="1"/>
  <c r="CJ267" i="1"/>
  <c r="CC267" i="1"/>
  <c r="BV267" i="1"/>
  <c r="BO267" i="1"/>
  <c r="CY195" i="1"/>
  <c r="DA195" i="1"/>
  <c r="DD195" i="1"/>
  <c r="DH195" i="1" s="1"/>
  <c r="AR195" i="1"/>
  <c r="AA195" i="1"/>
  <c r="V195" i="1"/>
  <c r="S195" i="1"/>
  <c r="AJ195" i="1"/>
  <c r="CL328" i="1"/>
  <c r="CE328" i="1"/>
  <c r="BQ328" i="1"/>
  <c r="BX328" i="1"/>
  <c r="CK352" i="1"/>
  <c r="CD352" i="1"/>
  <c r="BP352" i="1"/>
  <c r="BW352" i="1"/>
  <c r="CJ265" i="1"/>
  <c r="CC265" i="1"/>
  <c r="BV265" i="1"/>
  <c r="BO265" i="1"/>
  <c r="CK230" i="1"/>
  <c r="CD230" i="1"/>
  <c r="BW230" i="1"/>
  <c r="BP230" i="1"/>
  <c r="CL329" i="1"/>
  <c r="BQ329" i="1"/>
  <c r="CE329" i="1"/>
  <c r="BX329" i="1"/>
  <c r="CJ330" i="1"/>
  <c r="BO330" i="1"/>
  <c r="BV330" i="1"/>
  <c r="CC330" i="1"/>
  <c r="CJ291" i="1"/>
  <c r="BV291" i="1"/>
  <c r="CC291" i="1"/>
  <c r="BO291" i="1"/>
  <c r="CK303" i="1"/>
  <c r="CD303" i="1"/>
  <c r="BW303" i="1"/>
  <c r="BP303" i="1"/>
  <c r="DA279" i="1"/>
  <c r="DD279" i="1"/>
  <c r="DH279" i="1" s="1"/>
  <c r="CY279" i="1"/>
  <c r="CL275" i="1"/>
  <c r="CE275" i="1"/>
  <c r="BQ275" i="1"/>
  <c r="BX275" i="1"/>
  <c r="DD245" i="1"/>
  <c r="DH245" i="1" s="1"/>
  <c r="CY245" i="1"/>
  <c r="DA245" i="1"/>
  <c r="CK242" i="1"/>
  <c r="CD242" i="1"/>
  <c r="BW242" i="1"/>
  <c r="BP242" i="1"/>
  <c r="CK348" i="1"/>
  <c r="CD348" i="1"/>
  <c r="BW348" i="1"/>
  <c r="BP348" i="1"/>
  <c r="CL244" i="1"/>
  <c r="BQ244" i="1"/>
  <c r="CE244" i="1"/>
  <c r="BX244" i="1"/>
  <c r="CL340" i="1"/>
  <c r="CE340" i="1"/>
  <c r="BQ340" i="1"/>
  <c r="BX340" i="1"/>
  <c r="CJ339" i="1"/>
  <c r="CC339" i="1"/>
  <c r="BV339" i="1"/>
  <c r="BO339" i="1"/>
  <c r="CK332" i="1"/>
  <c r="BP332" i="1"/>
  <c r="CD332" i="1"/>
  <c r="BW332" i="1"/>
  <c r="CL349" i="1"/>
  <c r="CE349" i="1"/>
  <c r="BQ349" i="1"/>
  <c r="BX349" i="1"/>
  <c r="CK186" i="1"/>
  <c r="CD186" i="1"/>
  <c r="BW186" i="1"/>
  <c r="BP186" i="1"/>
  <c r="DF217" i="1"/>
  <c r="CC320" i="1"/>
  <c r="CJ320" i="1"/>
  <c r="BV320" i="1"/>
  <c r="BO320" i="1"/>
  <c r="CJ223" i="1"/>
  <c r="BO223" i="1"/>
  <c r="CC223" i="1"/>
  <c r="BV223" i="1"/>
  <c r="CL271" i="1"/>
  <c r="CE271" i="1"/>
  <c r="BX271" i="1"/>
  <c r="BQ271" i="1"/>
  <c r="CK307" i="1"/>
  <c r="BW307" i="1"/>
  <c r="BP307" i="1"/>
  <c r="CD307" i="1"/>
  <c r="DD341" i="1"/>
  <c r="DH341" i="1" s="1"/>
  <c r="CY341" i="1"/>
  <c r="DE341" i="1" s="1"/>
  <c r="DG341" i="1" s="1"/>
  <c r="DA341" i="1"/>
  <c r="AA341" i="1"/>
  <c r="AR341" i="1"/>
  <c r="AJ341" i="1"/>
  <c r="CK337" i="1"/>
  <c r="CD337" i="1"/>
  <c r="BP337" i="1"/>
  <c r="BW337" i="1"/>
  <c r="AR223" i="1"/>
  <c r="CL189" i="1"/>
  <c r="CE189" i="1"/>
  <c r="BX189" i="1"/>
  <c r="BQ189" i="1"/>
  <c r="CD183" i="1"/>
  <c r="CK183" i="1"/>
  <c r="BP183" i="1"/>
  <c r="BW183" i="1"/>
  <c r="CJ336" i="1"/>
  <c r="CC336" i="1"/>
  <c r="BV336" i="1"/>
  <c r="BO336" i="1"/>
  <c r="DA268" i="1"/>
  <c r="DD268" i="1"/>
  <c r="CY268" i="1"/>
  <c r="DF332" i="1"/>
  <c r="AR313" i="1"/>
  <c r="CY313" i="1"/>
  <c r="DA313" i="1"/>
  <c r="DD313" i="1"/>
  <c r="DH313" i="1" s="1"/>
  <c r="CK216" i="1"/>
  <c r="CD216" i="1"/>
  <c r="BP216" i="1"/>
  <c r="BW216" i="1"/>
  <c r="DF188" i="1"/>
  <c r="DD295" i="1"/>
  <c r="DH295" i="1" s="1"/>
  <c r="DA295" i="1"/>
  <c r="CY295" i="1"/>
  <c r="AR295" i="1"/>
  <c r="AJ295" i="1"/>
  <c r="V295" i="1"/>
  <c r="U295" i="1"/>
  <c r="S295" i="1"/>
  <c r="W295" i="1"/>
  <c r="AA295" i="1"/>
  <c r="T295" i="1"/>
  <c r="DF269" i="1"/>
  <c r="CL232" i="1"/>
  <c r="CE232" i="1"/>
  <c r="BQ232" i="1"/>
  <c r="BX232" i="1"/>
  <c r="DD256" i="1"/>
  <c r="CY256" i="1"/>
  <c r="DA256" i="1"/>
  <c r="AR256" i="1"/>
  <c r="CE315" i="1"/>
  <c r="CL315" i="1"/>
  <c r="BQ315" i="1"/>
  <c r="BX315" i="1"/>
  <c r="DE276" i="1"/>
  <c r="CK211" i="1"/>
  <c r="BP211" i="1"/>
  <c r="CD211" i="1"/>
  <c r="BW211" i="1"/>
  <c r="CJ322" i="1"/>
  <c r="BO322" i="1"/>
  <c r="CC322" i="1"/>
  <c r="BV322" i="1"/>
  <c r="CL206" i="1"/>
  <c r="BQ206" i="1"/>
  <c r="CE206" i="1"/>
  <c r="BX206" i="1"/>
  <c r="CJ179" i="1"/>
  <c r="CC179" i="1"/>
  <c r="BV179" i="1"/>
  <c r="BO179" i="1"/>
  <c r="CJ325" i="1"/>
  <c r="CC325" i="1"/>
  <c r="BO325" i="1"/>
  <c r="BV325" i="1"/>
  <c r="CL347" i="1"/>
  <c r="BQ347" i="1"/>
  <c r="CE347" i="1"/>
  <c r="BX347" i="1"/>
  <c r="CK281" i="1"/>
  <c r="CD281" i="1"/>
  <c r="BP281" i="1"/>
  <c r="BW281" i="1"/>
  <c r="CK246" i="1"/>
  <c r="CD246" i="1"/>
  <c r="BP246" i="1"/>
  <c r="BW246" i="1"/>
  <c r="CJ344" i="1"/>
  <c r="CC344" i="1"/>
  <c r="BV344" i="1"/>
  <c r="BO344" i="1"/>
  <c r="CJ353" i="1"/>
  <c r="CC353" i="1"/>
  <c r="BO353" i="1"/>
  <c r="BV353" i="1"/>
  <c r="CL209" i="1"/>
  <c r="CE209" i="1"/>
  <c r="BX209" i="1"/>
  <c r="BQ209" i="1"/>
  <c r="DF346" i="1"/>
  <c r="CK282" i="1"/>
  <c r="CD282" i="1"/>
  <c r="BP282" i="1"/>
  <c r="BW282" i="1"/>
  <c r="CK224" i="1"/>
  <c r="BP224" i="1"/>
  <c r="CD224" i="1"/>
  <c r="BW224" i="1"/>
  <c r="CJ237" i="1"/>
  <c r="CC237" i="1"/>
  <c r="BV237" i="1"/>
  <c r="BO237" i="1"/>
  <c r="DF208" i="1"/>
  <c r="AR247" i="1"/>
  <c r="CK178" i="1"/>
  <c r="CD178" i="1"/>
  <c r="BW178" i="1"/>
  <c r="BP178" i="1"/>
  <c r="CY194" i="1"/>
  <c r="DA194" i="1"/>
  <c r="DD194" i="1"/>
  <c r="S194" i="1"/>
  <c r="W194" i="1"/>
  <c r="V194" i="1"/>
  <c r="U194" i="1"/>
  <c r="DF344" i="1"/>
  <c r="CJ351" i="1"/>
  <c r="BO351" i="1"/>
  <c r="BV351" i="1"/>
  <c r="CC351" i="1"/>
  <c r="CJ298" i="1"/>
  <c r="BO298" i="1"/>
  <c r="BV298" i="1"/>
  <c r="CC298" i="1"/>
  <c r="DF262" i="1"/>
  <c r="BP196" i="1"/>
  <c r="CK196" i="1"/>
  <c r="CD196" i="1"/>
  <c r="BW196" i="1"/>
  <c r="DF271" i="1"/>
  <c r="DF284" i="1"/>
  <c r="CJ249" i="1"/>
  <c r="BO249" i="1"/>
  <c r="CC249" i="1"/>
  <c r="BV249" i="1"/>
  <c r="CY263" i="1"/>
  <c r="DE263" i="1" s="1"/>
  <c r="DA263" i="1"/>
  <c r="DD263" i="1"/>
  <c r="DH263" i="1" s="1"/>
  <c r="CL327" i="1"/>
  <c r="BQ327" i="1"/>
  <c r="CE327" i="1"/>
  <c r="BX327" i="1"/>
  <c r="AR280" i="1"/>
  <c r="BF60" i="1"/>
  <c r="AW60" i="1"/>
  <c r="AW15" i="1"/>
  <c r="BF15" i="1"/>
  <c r="AF19" i="1"/>
  <c r="BD19" i="1"/>
  <c r="Y27" i="1"/>
  <c r="AH27" i="1"/>
  <c r="AQ27" i="1" s="1"/>
  <c r="AW35" i="1"/>
  <c r="BF35" i="1"/>
  <c r="CE100" i="1"/>
  <c r="BX100" i="1"/>
  <c r="BQ100" i="1"/>
  <c r="CL100" i="1"/>
  <c r="AO103" i="1"/>
  <c r="BB103" i="1"/>
  <c r="BD63" i="1"/>
  <c r="BB11" i="1"/>
  <c r="X279" i="1"/>
  <c r="AI279" i="1" s="1"/>
  <c r="Y279" i="1"/>
  <c r="AB279" i="1" s="1"/>
  <c r="AH15" i="1"/>
  <c r="AS15" i="1" s="1"/>
  <c r="X15" i="1"/>
  <c r="X283" i="1"/>
  <c r="AH283" i="1"/>
  <c r="BF61" i="1"/>
  <c r="AW61" i="1"/>
  <c r="AH65" i="1"/>
  <c r="X65" i="1"/>
  <c r="BF39" i="1"/>
  <c r="X315" i="1"/>
  <c r="AH48" i="1"/>
  <c r="X48" i="1"/>
  <c r="AK48" i="1" s="1"/>
  <c r="AH64" i="1"/>
  <c r="AS64" i="1" s="1"/>
  <c r="Y64" i="1"/>
  <c r="Z64" i="1" s="1"/>
  <c r="X64" i="1"/>
  <c r="X255" i="1"/>
  <c r="AK255" i="1" s="1"/>
  <c r="AH255" i="1"/>
  <c r="AS255" i="1" s="1"/>
  <c r="BW15" i="1"/>
  <c r="CD15" i="1"/>
  <c r="CK15" i="1"/>
  <c r="BP15" i="1"/>
  <c r="CD109" i="1"/>
  <c r="CK109" i="1"/>
  <c r="U120" i="1"/>
  <c r="S120" i="1"/>
  <c r="T120" i="1"/>
  <c r="CY120" i="1"/>
  <c r="DA120" i="1"/>
  <c r="W120" i="1"/>
  <c r="V120" i="1"/>
  <c r="DD120" i="1"/>
  <c r="AA120" i="1"/>
  <c r="AJ120" i="1"/>
  <c r="AR120" i="1"/>
  <c r="CK86" i="1"/>
  <c r="CD86" i="1"/>
  <c r="BW86" i="1"/>
  <c r="BQ132" i="1"/>
  <c r="CL132" i="1"/>
  <c r="BX132" i="1"/>
  <c r="CE132" i="1"/>
  <c r="BO132" i="1"/>
  <c r="CC132" i="1"/>
  <c r="BV132" i="1"/>
  <c r="CJ132" i="1"/>
  <c r="BW176" i="1"/>
  <c r="CK176" i="1"/>
  <c r="BP176" i="1"/>
  <c r="CD176" i="1"/>
  <c r="BX76" i="1"/>
  <c r="BQ76" i="1"/>
  <c r="CE76" i="1"/>
  <c r="CL76" i="1"/>
  <c r="CK141" i="1"/>
  <c r="BW141" i="1"/>
  <c r="BP141" i="1"/>
  <c r="CD141" i="1"/>
  <c r="S141" i="1"/>
  <c r="DD141" i="1"/>
  <c r="T141" i="1"/>
  <c r="DA141" i="1"/>
  <c r="V141" i="1"/>
  <c r="CY141" i="1"/>
  <c r="W141" i="1"/>
  <c r="U141" i="1"/>
  <c r="AR141" i="1"/>
  <c r="AA141" i="1"/>
  <c r="AJ141" i="1"/>
  <c r="CE95" i="1"/>
  <c r="BQ95" i="1"/>
  <c r="BW171" i="1"/>
  <c r="BP171" i="1"/>
  <c r="CD171" i="1"/>
  <c r="CK171" i="1"/>
  <c r="CK92" i="1"/>
  <c r="CD92" i="1"/>
  <c r="BW92" i="1"/>
  <c r="CL79" i="1"/>
  <c r="CD79" i="1"/>
  <c r="CK79" i="1"/>
  <c r="BW79" i="1"/>
  <c r="BP79" i="1"/>
  <c r="T137" i="1"/>
  <c r="W137" i="1"/>
  <c r="DA137" i="1"/>
  <c r="U137" i="1"/>
  <c r="S137" i="1"/>
  <c r="CY137" i="1"/>
  <c r="DD137" i="1"/>
  <c r="DH137" i="1" s="1"/>
  <c r="V137" i="1"/>
  <c r="AR137" i="1"/>
  <c r="X189" i="1"/>
  <c r="AH189" i="1"/>
  <c r="Y189" i="1"/>
  <c r="BW73" i="1"/>
  <c r="BP73" i="1"/>
  <c r="CK73" i="1"/>
  <c r="CD73" i="1"/>
  <c r="T145" i="1"/>
  <c r="V145" i="1"/>
  <c r="DD145" i="1"/>
  <c r="S145" i="1"/>
  <c r="W145" i="1"/>
  <c r="DA145" i="1"/>
  <c r="CY145" i="1"/>
  <c r="U145" i="1"/>
  <c r="AA145" i="1"/>
  <c r="AJ145" i="1"/>
  <c r="CD14" i="1"/>
  <c r="CK14" i="1"/>
  <c r="DD14" i="1"/>
  <c r="DH14" i="1" s="1"/>
  <c r="DA14" i="1"/>
  <c r="CY14" i="1"/>
  <c r="W14" i="1"/>
  <c r="V14" i="1"/>
  <c r="AR14" i="1"/>
  <c r="U14" i="1"/>
  <c r="BW30" i="1"/>
  <c r="BP30" i="1"/>
  <c r="CK30" i="1"/>
  <c r="CD30" i="1"/>
  <c r="BV46" i="1"/>
  <c r="CC46" i="1"/>
  <c r="CJ46" i="1"/>
  <c r="BO46" i="1"/>
  <c r="CJ62" i="1"/>
  <c r="BV62" i="1"/>
  <c r="CC62" i="1"/>
  <c r="BO62" i="1"/>
  <c r="T74" i="1"/>
  <c r="S74" i="1"/>
  <c r="W74" i="1"/>
  <c r="DA74" i="1"/>
  <c r="U74" i="1"/>
  <c r="DD74" i="1"/>
  <c r="DH74" i="1" s="1"/>
  <c r="CY74" i="1"/>
  <c r="V74" i="1"/>
  <c r="CL90" i="1"/>
  <c r="BX90" i="1"/>
  <c r="CE90" i="1"/>
  <c r="BQ90" i="1"/>
  <c r="CJ90" i="1"/>
  <c r="BO90" i="1"/>
  <c r="BV90" i="1"/>
  <c r="CC90" i="1"/>
  <c r="BO98" i="1"/>
  <c r="CJ98" i="1"/>
  <c r="CC98" i="1"/>
  <c r="BV98" i="1"/>
  <c r="CD98" i="1"/>
  <c r="BP98" i="1"/>
  <c r="BW98" i="1"/>
  <c r="CK98" i="1"/>
  <c r="CJ3" i="1"/>
  <c r="BV3" i="1"/>
  <c r="CC3" i="1"/>
  <c r="BO3" i="1"/>
  <c r="AA3" i="1"/>
  <c r="W3" i="1"/>
  <c r="U3" i="1"/>
  <c r="DD3" i="1"/>
  <c r="CY3" i="1"/>
  <c r="T3" i="1"/>
  <c r="AJ3" i="1"/>
  <c r="AR3" i="1"/>
  <c r="DA3" i="1"/>
  <c r="S3" i="1"/>
  <c r="V3" i="1"/>
  <c r="CC29" i="1"/>
  <c r="CJ29" i="1"/>
  <c r="BV29" i="1"/>
  <c r="BX61" i="1"/>
  <c r="CL61" i="1"/>
  <c r="CE61" i="1"/>
  <c r="BQ61" i="1"/>
  <c r="DA61" i="1"/>
  <c r="DD61" i="1"/>
  <c r="CY61" i="1"/>
  <c r="AR61" i="1"/>
  <c r="AA61" i="1"/>
  <c r="U61" i="1"/>
  <c r="AF61" i="1" s="1"/>
  <c r="AJ61" i="1"/>
  <c r="T61" i="1"/>
  <c r="AO61" i="1" s="1"/>
  <c r="CD75" i="1"/>
  <c r="BW75" i="1"/>
  <c r="CK75" i="1"/>
  <c r="BP75" i="1"/>
  <c r="CE83" i="1"/>
  <c r="CL83" i="1"/>
  <c r="BQ83" i="1"/>
  <c r="CJ91" i="1"/>
  <c r="CC91" i="1"/>
  <c r="BV91" i="1"/>
  <c r="BO91" i="1"/>
  <c r="BW91" i="1"/>
  <c r="CD91" i="1"/>
  <c r="CK91" i="1"/>
  <c r="BP91" i="1"/>
  <c r="BQ99" i="1"/>
  <c r="BX99" i="1"/>
  <c r="CE99" i="1"/>
  <c r="CL99" i="1"/>
  <c r="DD99" i="1"/>
  <c r="V99" i="1"/>
  <c r="DA99" i="1"/>
  <c r="T99" i="1"/>
  <c r="S99" i="1"/>
  <c r="CY99" i="1"/>
  <c r="W99" i="1"/>
  <c r="U99" i="1"/>
  <c r="AJ99" i="1"/>
  <c r="AA99" i="1"/>
  <c r="AR99" i="1"/>
  <c r="CY18" i="1"/>
  <c r="DD18" i="1"/>
  <c r="DA18" i="1"/>
  <c r="AR18" i="1"/>
  <c r="W18" i="1"/>
  <c r="AJ18" i="1"/>
  <c r="T18" i="1"/>
  <c r="U18" i="1"/>
  <c r="AF18" i="1" s="1"/>
  <c r="AA18" i="1"/>
  <c r="V18" i="1"/>
  <c r="BP50" i="1"/>
  <c r="BW50" i="1"/>
  <c r="CK50" i="1"/>
  <c r="CD50" i="1"/>
  <c r="CJ78" i="1"/>
  <c r="BV78" i="1"/>
  <c r="CC78" i="1"/>
  <c r="BO78" i="1"/>
  <c r="CE105" i="1"/>
  <c r="BX105" i="1"/>
  <c r="BQ105" i="1"/>
  <c r="CL105" i="1"/>
  <c r="U105" i="1"/>
  <c r="DA105" i="1"/>
  <c r="T105" i="1"/>
  <c r="DD105" i="1"/>
  <c r="V105" i="1"/>
  <c r="CY105" i="1"/>
  <c r="W105" i="1"/>
  <c r="S105" i="1"/>
  <c r="AA105" i="1"/>
  <c r="AR105" i="1"/>
  <c r="BQ118" i="1"/>
  <c r="BX118" i="1"/>
  <c r="CE118" i="1"/>
  <c r="CL118" i="1"/>
  <c r="CY17" i="1"/>
  <c r="DA17" i="1"/>
  <c r="DD17" i="1"/>
  <c r="AA17" i="1"/>
  <c r="U17" i="1"/>
  <c r="AF17" i="1" s="1"/>
  <c r="S17" i="1"/>
  <c r="AH17" i="1" s="1"/>
  <c r="AR17" i="1"/>
  <c r="V17" i="1"/>
  <c r="CL49" i="1"/>
  <c r="BX49" i="1"/>
  <c r="BQ49" i="1"/>
  <c r="CE49" i="1"/>
  <c r="CC81" i="1"/>
  <c r="BO81" i="1"/>
  <c r="CJ81" i="1"/>
  <c r="BV81" i="1"/>
  <c r="CK81" i="1"/>
  <c r="BW81" i="1"/>
  <c r="CD81" i="1"/>
  <c r="BP81" i="1"/>
  <c r="CD97" i="1"/>
  <c r="CK97" i="1"/>
  <c r="BW97" i="1"/>
  <c r="U106" i="1"/>
  <c r="W106" i="1"/>
  <c r="S106" i="1"/>
  <c r="DA106" i="1"/>
  <c r="CY106" i="1"/>
  <c r="T106" i="1"/>
  <c r="DD106" i="1"/>
  <c r="DH106" i="1" s="1"/>
  <c r="V106" i="1"/>
  <c r="CD119" i="1"/>
  <c r="CK119" i="1"/>
  <c r="BP119" i="1"/>
  <c r="BW119" i="1"/>
  <c r="BQ119" i="1"/>
  <c r="BX119" i="1"/>
  <c r="CE119" i="1"/>
  <c r="CL119" i="1"/>
  <c r="CC135" i="1"/>
  <c r="BV135" i="1"/>
  <c r="CJ135" i="1"/>
  <c r="BO135" i="1"/>
  <c r="CK58" i="1"/>
  <c r="CD58" i="1"/>
  <c r="BP58" i="1"/>
  <c r="BW58" i="1"/>
  <c r="BO58" i="1"/>
  <c r="CJ58" i="1"/>
  <c r="CC58" i="1"/>
  <c r="BV58" i="1"/>
  <c r="DF140" i="1"/>
  <c r="CC164" i="1"/>
  <c r="CJ164" i="1"/>
  <c r="BO164" i="1"/>
  <c r="S117" i="1"/>
  <c r="CY117" i="1"/>
  <c r="T117" i="1"/>
  <c r="DA117" i="1"/>
  <c r="V117" i="1"/>
  <c r="DD117" i="1"/>
  <c r="DH117" i="1" s="1"/>
  <c r="U117" i="1"/>
  <c r="W117" i="1"/>
  <c r="AA117" i="1"/>
  <c r="AJ117" i="1"/>
  <c r="CK41" i="1"/>
  <c r="BP41" i="1"/>
  <c r="CD41" i="1"/>
  <c r="BW41" i="1"/>
  <c r="DD9" i="1"/>
  <c r="CY9" i="1"/>
  <c r="DA9" i="1"/>
  <c r="AR9" i="1"/>
  <c r="AJ9" i="1"/>
  <c r="U9" i="1"/>
  <c r="AF9" i="1" s="1"/>
  <c r="AA9" i="1"/>
  <c r="W9" i="1"/>
  <c r="S9" i="1"/>
  <c r="CD11" i="1"/>
  <c r="BP11" i="1"/>
  <c r="BW11" i="1"/>
  <c r="CK11" i="1"/>
  <c r="CY11" i="1"/>
  <c r="DD11" i="1"/>
  <c r="DA11" i="1"/>
  <c r="CE27" i="1"/>
  <c r="CL27" i="1"/>
  <c r="BQ43" i="1"/>
  <c r="CL43" i="1"/>
  <c r="CE43" i="1"/>
  <c r="BX43" i="1"/>
  <c r="BV43" i="1"/>
  <c r="BO43" i="1"/>
  <c r="CC43" i="1"/>
  <c r="CJ43" i="1"/>
  <c r="CD59" i="1"/>
  <c r="BP59" i="1"/>
  <c r="BW59" i="1"/>
  <c r="CK59" i="1"/>
  <c r="CD56" i="1"/>
  <c r="BP56" i="1"/>
  <c r="BW56" i="1"/>
  <c r="CK56" i="1"/>
  <c r="CY56" i="1"/>
  <c r="DD56" i="1"/>
  <c r="DA56" i="1"/>
  <c r="S56" i="1"/>
  <c r="AA56" i="1"/>
  <c r="AJ56" i="1"/>
  <c r="U56" i="1"/>
  <c r="AR56" i="1"/>
  <c r="T56" i="1"/>
  <c r="V56" i="1"/>
  <c r="CL111" i="1"/>
  <c r="CE111" i="1"/>
  <c r="BX111" i="1"/>
  <c r="BQ111" i="1"/>
  <c r="CL12" i="1"/>
  <c r="CE12" i="1"/>
  <c r="BX12" i="1"/>
  <c r="BQ12" i="1"/>
  <c r="DD44" i="1"/>
  <c r="DA44" i="1"/>
  <c r="CY44" i="1"/>
  <c r="T44" i="1"/>
  <c r="U44" i="1"/>
  <c r="AR44" i="1"/>
  <c r="S44" i="1"/>
  <c r="AH44" i="1" s="1"/>
  <c r="AJ44" i="1"/>
  <c r="CD123" i="1"/>
  <c r="BW123" i="1"/>
  <c r="CK123" i="1"/>
  <c r="BP123" i="1"/>
  <c r="BO139" i="1"/>
  <c r="BV139" i="1"/>
  <c r="CC139" i="1"/>
  <c r="CJ139" i="1"/>
  <c r="DD63" i="1"/>
  <c r="DH63" i="1" s="1"/>
  <c r="DA63" i="1"/>
  <c r="CY63" i="1"/>
  <c r="BW124" i="1"/>
  <c r="CD124" i="1"/>
  <c r="BP124" i="1"/>
  <c r="CK124" i="1"/>
  <c r="DF134" i="1"/>
  <c r="CJ172" i="1"/>
  <c r="CK172" i="1"/>
  <c r="BP172" i="1"/>
  <c r="BW172" i="1"/>
  <c r="CD172" i="1"/>
  <c r="CL89" i="1"/>
  <c r="CE89" i="1"/>
  <c r="CK89" i="1"/>
  <c r="CD89" i="1"/>
  <c r="BP89" i="1"/>
  <c r="CJ125" i="1"/>
  <c r="CC125" i="1"/>
  <c r="BV125" i="1"/>
  <c r="U125" i="1"/>
  <c r="W125" i="1"/>
  <c r="DD125" i="1"/>
  <c r="DH125" i="1" s="1"/>
  <c r="DA125" i="1"/>
  <c r="CY125" i="1"/>
  <c r="T125" i="1"/>
  <c r="S125" i="1"/>
  <c r="V125" i="1"/>
  <c r="AA125" i="1"/>
  <c r="AJ125" i="1"/>
  <c r="AR125" i="1"/>
  <c r="BP25" i="1"/>
  <c r="CD25" i="1"/>
  <c r="CK25" i="1"/>
  <c r="BW25" i="1"/>
  <c r="BV163" i="1"/>
  <c r="BO163" i="1"/>
  <c r="CC163" i="1"/>
  <c r="S110" i="1"/>
  <c r="DA110" i="1"/>
  <c r="V110" i="1"/>
  <c r="W110" i="1"/>
  <c r="T110" i="1"/>
  <c r="U110" i="1"/>
  <c r="CY110" i="1"/>
  <c r="DD110" i="1"/>
  <c r="BO152" i="1"/>
  <c r="CC152" i="1"/>
  <c r="CJ152" i="1"/>
  <c r="BV152" i="1"/>
  <c r="X197" i="1"/>
  <c r="AH197" i="1"/>
  <c r="AS197" i="1" s="1"/>
  <c r="BX113" i="1"/>
  <c r="CE113" i="1"/>
  <c r="BQ113" i="1"/>
  <c r="CL113" i="1"/>
  <c r="CK113" i="1"/>
  <c r="CD113" i="1"/>
  <c r="BW113" i="1"/>
  <c r="BP113" i="1"/>
  <c r="CD177" i="1"/>
  <c r="BW177" i="1"/>
  <c r="CK177" i="1"/>
  <c r="BP177" i="1"/>
  <c r="BQ177" i="1"/>
  <c r="CE177" i="1"/>
  <c r="CL177" i="1"/>
  <c r="BX177" i="1"/>
  <c r="BP52" i="1"/>
  <c r="CD52" i="1"/>
  <c r="CK52" i="1"/>
  <c r="BW52" i="1"/>
  <c r="CY52" i="1"/>
  <c r="DD52" i="1"/>
  <c r="DA52" i="1"/>
  <c r="U52" i="1"/>
  <c r="S52" i="1"/>
  <c r="AR52" i="1"/>
  <c r="T52" i="1"/>
  <c r="W52" i="1"/>
  <c r="AJ52" i="1"/>
  <c r="CD19" i="1"/>
  <c r="CK19" i="1"/>
  <c r="BW19" i="1"/>
  <c r="CY35" i="1"/>
  <c r="DD35" i="1"/>
  <c r="DA35" i="1"/>
  <c r="AA35" i="1"/>
  <c r="AR35" i="1"/>
  <c r="CD51" i="1"/>
  <c r="CK51" i="1"/>
  <c r="BW51" i="1"/>
  <c r="BW67" i="1"/>
  <c r="CK67" i="1"/>
  <c r="BP67" i="1"/>
  <c r="CD67" i="1"/>
  <c r="CE16" i="1"/>
  <c r="CL16" i="1"/>
  <c r="CC32" i="1"/>
  <c r="BO32" i="1"/>
  <c r="CJ32" i="1"/>
  <c r="CD32" i="1"/>
  <c r="CK32" i="1"/>
  <c r="BP32" i="1"/>
  <c r="CC48" i="1"/>
  <c r="BV48" i="1"/>
  <c r="CJ48" i="1"/>
  <c r="BO48" i="1"/>
  <c r="DD48" i="1"/>
  <c r="CY48" i="1"/>
  <c r="DA48" i="1"/>
  <c r="U48" i="1"/>
  <c r="AR48" i="1"/>
  <c r="V48" i="1"/>
  <c r="T48" i="1"/>
  <c r="AA48" i="1"/>
  <c r="AJ48" i="1"/>
  <c r="W48" i="1"/>
  <c r="CL64" i="1"/>
  <c r="BQ64" i="1"/>
  <c r="CE64" i="1"/>
  <c r="BX64" i="1"/>
  <c r="DD85" i="1"/>
  <c r="DH85" i="1" s="1"/>
  <c r="CY85" i="1"/>
  <c r="DA85" i="1"/>
  <c r="W85" i="1"/>
  <c r="V85" i="1"/>
  <c r="U85" i="1"/>
  <c r="S85" i="1"/>
  <c r="T85" i="1"/>
  <c r="AR85" i="1"/>
  <c r="AA85" i="1"/>
  <c r="CE85" i="1"/>
  <c r="CL85" i="1"/>
  <c r="BX85" i="1"/>
  <c r="BV93" i="1"/>
  <c r="CC93" i="1"/>
  <c r="BO93" i="1"/>
  <c r="CJ93" i="1"/>
  <c r="U93" i="1"/>
  <c r="T93" i="1"/>
  <c r="CY93" i="1"/>
  <c r="DD93" i="1"/>
  <c r="DA93" i="1"/>
  <c r="V93" i="1"/>
  <c r="S93" i="1"/>
  <c r="W93" i="1"/>
  <c r="AR93" i="1"/>
  <c r="AA93" i="1"/>
  <c r="BV101" i="1"/>
  <c r="CC101" i="1"/>
  <c r="CJ101" i="1"/>
  <c r="BO101" i="1"/>
  <c r="CC55" i="1"/>
  <c r="CJ55" i="1"/>
  <c r="BV55" i="1"/>
  <c r="BO55" i="1"/>
  <c r="CC114" i="1"/>
  <c r="CJ114" i="1"/>
  <c r="BV114" i="1"/>
  <c r="CY114" i="1"/>
  <c r="V114" i="1"/>
  <c r="DD114" i="1"/>
  <c r="DH114" i="1" s="1"/>
  <c r="S114" i="1"/>
  <c r="T114" i="1"/>
  <c r="W114" i="1"/>
  <c r="U114" i="1"/>
  <c r="DA114" i="1"/>
  <c r="AR114" i="1"/>
  <c r="AJ114" i="1"/>
  <c r="CJ130" i="1"/>
  <c r="CD130" i="1"/>
  <c r="BW130" i="1"/>
  <c r="BP130" i="1"/>
  <c r="CK130" i="1"/>
  <c r="CC130" i="1"/>
  <c r="BO130" i="1"/>
  <c r="BV130" i="1"/>
  <c r="BW146" i="1"/>
  <c r="BP146" i="1"/>
  <c r="CD146" i="1"/>
  <c r="CK146" i="1"/>
  <c r="DA8" i="1"/>
  <c r="DD8" i="1"/>
  <c r="DH8" i="1" s="1"/>
  <c r="CY8" i="1"/>
  <c r="V8" i="1"/>
  <c r="U8" i="1"/>
  <c r="AR8" i="1"/>
  <c r="T8" i="1"/>
  <c r="S8" i="1"/>
  <c r="Y8" i="1" s="1"/>
  <c r="Z8" i="1" s="1"/>
  <c r="AA8" i="1"/>
  <c r="AJ8" i="1"/>
  <c r="BQ24" i="1"/>
  <c r="CE24" i="1"/>
  <c r="CL24" i="1"/>
  <c r="BX24" i="1"/>
  <c r="CL40" i="1"/>
  <c r="CE40" i="1"/>
  <c r="CK40" i="1"/>
  <c r="CD40" i="1"/>
  <c r="CJ72" i="1"/>
  <c r="CC72" i="1"/>
  <c r="T96" i="1"/>
  <c r="CY96" i="1"/>
  <c r="S96" i="1"/>
  <c r="U96" i="1"/>
  <c r="DD96" i="1"/>
  <c r="V96" i="1"/>
  <c r="W96" i="1"/>
  <c r="DA96" i="1"/>
  <c r="AJ96" i="1"/>
  <c r="BQ39" i="1"/>
  <c r="BX39" i="1"/>
  <c r="CL39" i="1"/>
  <c r="CE39" i="1"/>
  <c r="AK269" i="1"/>
  <c r="AI269" i="1"/>
  <c r="X182" i="1"/>
  <c r="AH182" i="1"/>
  <c r="Z169" i="1"/>
  <c r="AB169" i="1"/>
  <c r="DA31" i="1"/>
  <c r="CY31" i="1"/>
  <c r="DD31" i="1"/>
  <c r="DD7" i="1"/>
  <c r="DH7" i="1" s="1"/>
  <c r="CY7" i="1"/>
  <c r="DA7" i="1"/>
  <c r="AR7" i="1"/>
  <c r="AJ7" i="1"/>
  <c r="CK71" i="1"/>
  <c r="CD71" i="1"/>
  <c r="DA138" i="1"/>
  <c r="W138" i="1"/>
  <c r="T138" i="1"/>
  <c r="DD138" i="1"/>
  <c r="S138" i="1"/>
  <c r="V138" i="1"/>
  <c r="U138" i="1"/>
  <c r="CY138" i="1"/>
  <c r="AR138" i="1"/>
  <c r="Y47" i="1"/>
  <c r="AH47" i="1"/>
  <c r="AS47" i="1" s="1"/>
  <c r="DA60" i="1"/>
  <c r="DD60" i="1"/>
  <c r="CY60" i="1"/>
  <c r="W60" i="1"/>
  <c r="AA60" i="1"/>
  <c r="T60" i="1"/>
  <c r="AR60" i="1"/>
  <c r="U60" i="1"/>
  <c r="AJ60" i="1"/>
  <c r="CC115" i="1"/>
  <c r="BO115" i="1"/>
  <c r="BV115" i="1"/>
  <c r="CJ115" i="1"/>
  <c r="BO102" i="1"/>
  <c r="CJ102" i="1"/>
  <c r="CC102" i="1"/>
  <c r="BV102" i="1"/>
  <c r="CK57" i="1"/>
  <c r="CD57" i="1"/>
  <c r="BP57" i="1"/>
  <c r="T155" i="1"/>
  <c r="W155" i="1"/>
  <c r="U155" i="1"/>
  <c r="DD155" i="1"/>
  <c r="S155" i="1"/>
  <c r="V155" i="1"/>
  <c r="CY155" i="1"/>
  <c r="DA155" i="1"/>
  <c r="AJ155" i="1"/>
  <c r="AA155" i="1"/>
  <c r="BV10" i="1"/>
  <c r="BO10" i="1"/>
  <c r="CC10" i="1"/>
  <c r="CJ10" i="1"/>
  <c r="CE104" i="1"/>
  <c r="CL104" i="1"/>
  <c r="BX104" i="1"/>
  <c r="BQ104" i="1"/>
  <c r="CK104" i="1"/>
  <c r="CD104" i="1"/>
  <c r="BW104" i="1"/>
  <c r="BP104" i="1"/>
  <c r="CK148" i="1"/>
  <c r="CD148" i="1"/>
  <c r="BP148" i="1"/>
  <c r="DA156" i="1"/>
  <c r="W156" i="1"/>
  <c r="DD156" i="1"/>
  <c r="U156" i="1"/>
  <c r="T156" i="1"/>
  <c r="V156" i="1"/>
  <c r="CY156" i="1"/>
  <c r="DE156" i="1" s="1"/>
  <c r="S156" i="1"/>
  <c r="AR156" i="1"/>
  <c r="AA156" i="1"/>
  <c r="AJ156" i="1"/>
  <c r="BV168" i="1"/>
  <c r="CC168" i="1"/>
  <c r="BO168" i="1"/>
  <c r="CJ168" i="1"/>
  <c r="CD36" i="1"/>
  <c r="CK36" i="1"/>
  <c r="BW36" i="1"/>
  <c r="S151" i="1"/>
  <c r="W151" i="1"/>
  <c r="DA151" i="1"/>
  <c r="DD151" i="1"/>
  <c r="T151" i="1"/>
  <c r="U151" i="1"/>
  <c r="CY151" i="1"/>
  <c r="V151" i="1"/>
  <c r="BV175" i="1"/>
  <c r="CC175" i="1"/>
  <c r="CJ175" i="1"/>
  <c r="BO175" i="1"/>
  <c r="CC68" i="1"/>
  <c r="BO68" i="1"/>
  <c r="BV68" i="1"/>
  <c r="CJ68" i="1"/>
  <c r="BW133" i="1"/>
  <c r="BP133" i="1"/>
  <c r="CD133" i="1"/>
  <c r="CK133" i="1"/>
  <c r="CK159" i="1"/>
  <c r="CD159" i="1"/>
  <c r="BW159" i="1"/>
  <c r="U159" i="1"/>
  <c r="W159" i="1"/>
  <c r="T159" i="1"/>
  <c r="DA159" i="1"/>
  <c r="S159" i="1"/>
  <c r="CY159" i="1"/>
  <c r="V159" i="1"/>
  <c r="DD159" i="1"/>
  <c r="DH159" i="1" s="1"/>
  <c r="AR159" i="1"/>
  <c r="AJ159" i="1"/>
  <c r="BV129" i="1"/>
  <c r="CC129" i="1"/>
  <c r="BO129" i="1"/>
  <c r="CJ129" i="1"/>
  <c r="V161" i="1"/>
  <c r="W161" i="1"/>
  <c r="T161" i="1"/>
  <c r="U161" i="1"/>
  <c r="S161" i="1"/>
  <c r="DA161" i="1"/>
  <c r="CY161" i="1"/>
  <c r="DE161" i="1" s="1"/>
  <c r="DD161" i="1"/>
  <c r="AJ161" i="1"/>
  <c r="AA161" i="1"/>
  <c r="AR161" i="1"/>
  <c r="Y329" i="1"/>
  <c r="AH329" i="1"/>
  <c r="X329" i="1"/>
  <c r="AQ198" i="1"/>
  <c r="AS198" i="1"/>
  <c r="Y95" i="1"/>
  <c r="X95" i="1"/>
  <c r="BD31" i="1"/>
  <c r="BD95" i="1"/>
  <c r="Y264" i="1"/>
  <c r="AR153" i="1"/>
  <c r="X303" i="1"/>
  <c r="AK303" i="1" s="1"/>
  <c r="Y303" i="1"/>
  <c r="AO31" i="1"/>
  <c r="BB31" i="1"/>
  <c r="AO55" i="1"/>
  <c r="BB55" i="1"/>
  <c r="BF55" i="1"/>
  <c r="AW55" i="1"/>
  <c r="AH11" i="1"/>
  <c r="AH31" i="1"/>
  <c r="AQ31" i="1" s="1"/>
  <c r="X247" i="1"/>
  <c r="AK247" i="1" s="1"/>
  <c r="AH247" i="1"/>
  <c r="AA159" i="1"/>
  <c r="AW29" i="1"/>
  <c r="BF29" i="1"/>
  <c r="AH275" i="1"/>
  <c r="X275" i="1"/>
  <c r="Y236" i="1"/>
  <c r="Z236" i="1" s="1"/>
  <c r="BB68" i="1"/>
  <c r="AW6" i="1"/>
  <c r="BF6" i="1"/>
  <c r="T14" i="1"/>
  <c r="AO14" i="1" s="1"/>
  <c r="Y48" i="1"/>
  <c r="W44" i="1"/>
  <c r="W56" i="1"/>
  <c r="CL26" i="1"/>
  <c r="CE26" i="1"/>
  <c r="BQ26" i="1"/>
  <c r="S112" i="1"/>
  <c r="DD112" i="1"/>
  <c r="V112" i="1"/>
  <c r="CY112" i="1"/>
  <c r="T112" i="1"/>
  <c r="U112" i="1"/>
  <c r="W112" i="1"/>
  <c r="DA112" i="1"/>
  <c r="AR112" i="1"/>
  <c r="AJ112" i="1"/>
  <c r="AA112" i="1"/>
  <c r="BX144" i="1"/>
  <c r="CE144" i="1"/>
  <c r="CL144" i="1"/>
  <c r="BQ144" i="1"/>
  <c r="BW144" i="1"/>
  <c r="CD144" i="1"/>
  <c r="BP144" i="1"/>
  <c r="CK144" i="1"/>
  <c r="BO166" i="1"/>
  <c r="CJ166" i="1"/>
  <c r="CC166" i="1"/>
  <c r="BV166" i="1"/>
  <c r="V166" i="1"/>
  <c r="DD166" i="1"/>
  <c r="S166" i="1"/>
  <c r="W166" i="1"/>
  <c r="U166" i="1"/>
  <c r="DA166" i="1"/>
  <c r="T166" i="1"/>
  <c r="CY166" i="1"/>
  <c r="AD185" i="1"/>
  <c r="BV4" i="1"/>
  <c r="BO4" i="1"/>
  <c r="CC4" i="1"/>
  <c r="CJ4" i="1"/>
  <c r="BO34" i="1"/>
  <c r="BV34" i="1"/>
  <c r="CC34" i="1"/>
  <c r="CJ34" i="1"/>
  <c r="DA34" i="1"/>
  <c r="DD34" i="1"/>
  <c r="CY34" i="1"/>
  <c r="V34" i="1"/>
  <c r="T34" i="1"/>
  <c r="U34" i="1"/>
  <c r="W34" i="1"/>
  <c r="CK108" i="1"/>
  <c r="BP108" i="1"/>
  <c r="CD108" i="1"/>
  <c r="BW108" i="1"/>
  <c r="CL126" i="1"/>
  <c r="CE126" i="1"/>
  <c r="BQ126" i="1"/>
  <c r="CL158" i="1"/>
  <c r="CE158" i="1"/>
  <c r="BX158" i="1"/>
  <c r="BQ158" i="1"/>
  <c r="CC87" i="1"/>
  <c r="CJ87" i="1"/>
  <c r="BV87" i="1"/>
  <c r="BO87" i="1"/>
  <c r="Z190" i="1"/>
  <c r="AB190" i="1"/>
  <c r="AK188" i="1"/>
  <c r="AI188" i="1"/>
  <c r="BB67" i="1"/>
  <c r="AO67" i="1"/>
  <c r="X319" i="1"/>
  <c r="AI319" i="1" s="1"/>
  <c r="AH319" i="1"/>
  <c r="BB51" i="1"/>
  <c r="AW52" i="1"/>
  <c r="BF52" i="1"/>
  <c r="Z209" i="1"/>
  <c r="AB209" i="1"/>
  <c r="CL28" i="1"/>
  <c r="CE28" i="1"/>
  <c r="BX28" i="1"/>
  <c r="BQ28" i="1"/>
  <c r="CE131" i="1"/>
  <c r="CL131" i="1"/>
  <c r="BX131" i="1"/>
  <c r="BO147" i="1"/>
  <c r="BV147" i="1"/>
  <c r="CC147" i="1"/>
  <c r="CJ147" i="1"/>
  <c r="W128" i="1"/>
  <c r="U128" i="1"/>
  <c r="CY128" i="1"/>
  <c r="T128" i="1"/>
  <c r="S128" i="1"/>
  <c r="DA128" i="1"/>
  <c r="V128" i="1"/>
  <c r="DD128" i="1"/>
  <c r="AA128" i="1"/>
  <c r="CD20" i="1"/>
  <c r="CK20" i="1"/>
  <c r="BP20" i="1"/>
  <c r="BW20" i="1"/>
  <c r="CE165" i="1"/>
  <c r="BQ165" i="1"/>
  <c r="BX165" i="1"/>
  <c r="CL165" i="1"/>
  <c r="CE136" i="1"/>
  <c r="BQ136" i="1"/>
  <c r="BX136" i="1"/>
  <c r="CL136" i="1"/>
  <c r="S116" i="1"/>
  <c r="V116" i="1"/>
  <c r="U116" i="1"/>
  <c r="W116" i="1"/>
  <c r="T116" i="1"/>
  <c r="DD116" i="1"/>
  <c r="CY116" i="1"/>
  <c r="DA116" i="1"/>
  <c r="AJ116" i="1"/>
  <c r="AR116" i="1"/>
  <c r="CL68" i="1"/>
  <c r="BQ68" i="1"/>
  <c r="CE68" i="1"/>
  <c r="BX68" i="1"/>
  <c r="T153" i="1"/>
  <c r="CY153" i="1"/>
  <c r="V153" i="1"/>
  <c r="DD153" i="1"/>
  <c r="DA153" i="1"/>
  <c r="S153" i="1"/>
  <c r="W153" i="1"/>
  <c r="U153" i="1"/>
  <c r="BV121" i="1"/>
  <c r="CC121" i="1"/>
  <c r="CJ121" i="1"/>
  <c r="BO121" i="1"/>
  <c r="DF115" i="1"/>
  <c r="BX161" i="1"/>
  <c r="CL161" i="1"/>
  <c r="CE161" i="1"/>
  <c r="BQ161" i="1"/>
  <c r="BQ131" i="1"/>
  <c r="BF71" i="1"/>
  <c r="BF103" i="1"/>
  <c r="AW103" i="1"/>
  <c r="AO95" i="1"/>
  <c r="BB95" i="1"/>
  <c r="BD47" i="1"/>
  <c r="BW148" i="1"/>
  <c r="Y235" i="1"/>
  <c r="Y228" i="1"/>
  <c r="AA153" i="1"/>
  <c r="AR151" i="1"/>
  <c r="Y11" i="1"/>
  <c r="AB11" i="1" s="1"/>
  <c r="AO21" i="1"/>
  <c r="Y31" i="1"/>
  <c r="BW57" i="1"/>
  <c r="AF206" i="1"/>
  <c r="BF169" i="1"/>
  <c r="BD23" i="1"/>
  <c r="Y247" i="1"/>
  <c r="Z247" i="1" s="1"/>
  <c r="AH240" i="1"/>
  <c r="AQ240" i="1" s="1"/>
  <c r="Y240" i="1"/>
  <c r="AA137" i="1"/>
  <c r="BB17" i="1"/>
  <c r="AO17" i="1"/>
  <c r="Y250" i="1"/>
  <c r="Z250" i="1" s="1"/>
  <c r="S14" i="1"/>
  <c r="X14" i="1" s="1"/>
  <c r="AI14" i="1" s="1"/>
  <c r="X50" i="1"/>
  <c r="AH50" i="1"/>
  <c r="AS50" i="1" s="1"/>
  <c r="AR128" i="1"/>
  <c r="V44" i="1"/>
  <c r="S60" i="1"/>
  <c r="AS266" i="1"/>
  <c r="AQ266" i="1"/>
  <c r="AS268" i="1"/>
  <c r="AQ268" i="1"/>
  <c r="CE6" i="1"/>
  <c r="BX6" i="1"/>
  <c r="CJ22" i="1"/>
  <c r="CK22" i="1"/>
  <c r="BW22" i="1"/>
  <c r="CD22" i="1"/>
  <c r="BP22" i="1"/>
  <c r="BX38" i="1"/>
  <c r="CL38" i="1"/>
  <c r="CE38" i="1"/>
  <c r="BQ38" i="1"/>
  <c r="DD38" i="1"/>
  <c r="DA38" i="1"/>
  <c r="CY38" i="1"/>
  <c r="U38" i="1"/>
  <c r="T38" i="1"/>
  <c r="W38" i="1"/>
  <c r="S38" i="1"/>
  <c r="BV37" i="1"/>
  <c r="BO37" i="1"/>
  <c r="CC37" i="1"/>
  <c r="CJ37" i="1"/>
  <c r="BX37" i="1"/>
  <c r="BQ37" i="1"/>
  <c r="CL37" i="1"/>
  <c r="CE37" i="1"/>
  <c r="BV53" i="1"/>
  <c r="BO53" i="1"/>
  <c r="CJ53" i="1"/>
  <c r="CC53" i="1"/>
  <c r="BX69" i="1"/>
  <c r="BQ69" i="1"/>
  <c r="CL69" i="1"/>
  <c r="CE69" i="1"/>
  <c r="DD69" i="1"/>
  <c r="CY69" i="1"/>
  <c r="DA69" i="1"/>
  <c r="T69" i="1"/>
  <c r="S69" i="1"/>
  <c r="AB193" i="1"/>
  <c r="Z193" i="1"/>
  <c r="AQ188" i="1"/>
  <c r="AS188" i="1"/>
  <c r="DH120" i="1"/>
  <c r="BD10" i="1"/>
  <c r="AH237" i="1"/>
  <c r="AS237" i="1" s="1"/>
  <c r="BB40" i="1"/>
  <c r="AJ160" i="1"/>
  <c r="AJ176" i="1"/>
  <c r="X244" i="1"/>
  <c r="AI244" i="1" s="1"/>
  <c r="Y29" i="1"/>
  <c r="CE109" i="1"/>
  <c r="CL109" i="1"/>
  <c r="CL120" i="1"/>
  <c r="CK120" i="1"/>
  <c r="CD120" i="1"/>
  <c r="T170" i="1"/>
  <c r="DD170" i="1"/>
  <c r="DH170" i="1" s="1"/>
  <c r="S170" i="1"/>
  <c r="CY170" i="1"/>
  <c r="U170" i="1"/>
  <c r="DA170" i="1"/>
  <c r="W170" i="1"/>
  <c r="V170" i="1"/>
  <c r="DD42" i="1"/>
  <c r="CY42" i="1"/>
  <c r="DA42" i="1"/>
  <c r="DF142" i="1"/>
  <c r="T76" i="1"/>
  <c r="DD76" i="1"/>
  <c r="V76" i="1"/>
  <c r="S76" i="1"/>
  <c r="CY76" i="1"/>
  <c r="U76" i="1"/>
  <c r="DA76" i="1"/>
  <c r="W76" i="1"/>
  <c r="CL141" i="1"/>
  <c r="BQ141" i="1"/>
  <c r="BX141" i="1"/>
  <c r="CE141" i="1"/>
  <c r="CE160" i="1"/>
  <c r="CL160" i="1"/>
  <c r="BQ160" i="1"/>
  <c r="BX160" i="1"/>
  <c r="BQ171" i="1"/>
  <c r="CL171" i="1"/>
  <c r="CE171" i="1"/>
  <c r="BX171" i="1"/>
  <c r="DF171" i="1"/>
  <c r="CE92" i="1"/>
  <c r="CL92" i="1"/>
  <c r="BQ79" i="1"/>
  <c r="BX79" i="1"/>
  <c r="CE79" i="1"/>
  <c r="CK137" i="1"/>
  <c r="CD137" i="1"/>
  <c r="CL137" i="1"/>
  <c r="CE137" i="1"/>
  <c r="BP145" i="1"/>
  <c r="CD145" i="1"/>
  <c r="CK145" i="1"/>
  <c r="BW145" i="1"/>
  <c r="CE14" i="1"/>
  <c r="CL14" i="1"/>
  <c r="CJ14" i="1"/>
  <c r="CC14" i="1"/>
  <c r="BO30" i="1"/>
  <c r="CC30" i="1"/>
  <c r="BV30" i="1"/>
  <c r="CJ30" i="1"/>
  <c r="BW46" i="1"/>
  <c r="CK46" i="1"/>
  <c r="CD46" i="1"/>
  <c r="BP46" i="1"/>
  <c r="BP62" i="1"/>
  <c r="BW62" i="1"/>
  <c r="CK62" i="1"/>
  <c r="CD62" i="1"/>
  <c r="CE82" i="1"/>
  <c r="CL82" i="1"/>
  <c r="BX82" i="1"/>
  <c r="BQ82" i="1"/>
  <c r="W82" i="1"/>
  <c r="T82" i="1"/>
  <c r="CY82" i="1"/>
  <c r="S82" i="1"/>
  <c r="DA82" i="1"/>
  <c r="U82" i="1"/>
  <c r="DD82" i="1"/>
  <c r="V82" i="1"/>
  <c r="CD90" i="1"/>
  <c r="CK90" i="1"/>
  <c r="BP90" i="1"/>
  <c r="BW90" i="1"/>
  <c r="BQ98" i="1"/>
  <c r="CL98" i="1"/>
  <c r="BX98" i="1"/>
  <c r="CE98" i="1"/>
  <c r="CK3" i="1"/>
  <c r="BW3" i="1"/>
  <c r="CD3" i="1"/>
  <c r="BP3" i="1"/>
  <c r="CC13" i="1"/>
  <c r="BV13" i="1"/>
  <c r="BO13" i="1"/>
  <c r="CJ13" i="1"/>
  <c r="DA13" i="1"/>
  <c r="DD13" i="1"/>
  <c r="CY13" i="1"/>
  <c r="CJ45" i="1"/>
  <c r="BO45" i="1"/>
  <c r="CC45" i="1"/>
  <c r="BV45" i="1"/>
  <c r="CL45" i="1"/>
  <c r="BX45" i="1"/>
  <c r="BQ45" i="1"/>
  <c r="CE45" i="1"/>
  <c r="CK61" i="1"/>
  <c r="BW61" i="1"/>
  <c r="BP61" i="1"/>
  <c r="CD61" i="1"/>
  <c r="S75" i="1"/>
  <c r="DD75" i="1"/>
  <c r="U75" i="1"/>
  <c r="CY75" i="1"/>
  <c r="DE75" i="1" s="1"/>
  <c r="W75" i="1"/>
  <c r="DA75" i="1"/>
  <c r="V75" i="1"/>
  <c r="T75" i="1"/>
  <c r="CC83" i="1"/>
  <c r="CJ83" i="1"/>
  <c r="BQ91" i="1"/>
  <c r="CL91" i="1"/>
  <c r="BX91" i="1"/>
  <c r="CE91" i="1"/>
  <c r="BP99" i="1"/>
  <c r="CK99" i="1"/>
  <c r="BW99" i="1"/>
  <c r="CD99" i="1"/>
  <c r="CK18" i="1"/>
  <c r="BP18" i="1"/>
  <c r="BW18" i="1"/>
  <c r="CD18" i="1"/>
  <c r="CY50" i="1"/>
  <c r="DA50" i="1"/>
  <c r="DD50" i="1"/>
  <c r="BQ78" i="1"/>
  <c r="BX78" i="1"/>
  <c r="CE78" i="1"/>
  <c r="CL78" i="1"/>
  <c r="CC94" i="1"/>
  <c r="CJ94" i="1"/>
  <c r="CK105" i="1"/>
  <c r="BW105" i="1"/>
  <c r="BP105" i="1"/>
  <c r="CD105" i="1"/>
  <c r="CJ105" i="1"/>
  <c r="BV105" i="1"/>
  <c r="BO105" i="1"/>
  <c r="CC105" i="1"/>
  <c r="CJ118" i="1"/>
  <c r="CD118" i="1"/>
  <c r="BP118" i="1"/>
  <c r="CK118" i="1"/>
  <c r="BW118" i="1"/>
  <c r="CL134" i="1"/>
  <c r="CE134" i="1"/>
  <c r="DF144" i="1"/>
  <c r="DF150" i="1"/>
  <c r="U150" i="1"/>
  <c r="DA150" i="1"/>
  <c r="V150" i="1"/>
  <c r="CY150" i="1"/>
  <c r="DD150" i="1"/>
  <c r="DH150" i="1" s="1"/>
  <c r="W150" i="1"/>
  <c r="S150" i="1"/>
  <c r="T150" i="1"/>
  <c r="BV17" i="1"/>
  <c r="CC17" i="1"/>
  <c r="BO17" i="1"/>
  <c r="CJ17" i="1"/>
  <c r="BV49" i="1"/>
  <c r="CJ49" i="1"/>
  <c r="CC49" i="1"/>
  <c r="BO49" i="1"/>
  <c r="CY49" i="1"/>
  <c r="DD49" i="1"/>
  <c r="DA49" i="1"/>
  <c r="CE81" i="1"/>
  <c r="BQ81" i="1"/>
  <c r="BX81" i="1"/>
  <c r="CL81" i="1"/>
  <c r="BX97" i="1"/>
  <c r="CL97" i="1"/>
  <c r="CE97" i="1"/>
  <c r="CL106" i="1"/>
  <c r="CD106" i="1"/>
  <c r="CK106" i="1"/>
  <c r="BO119" i="1"/>
  <c r="CC119" i="1"/>
  <c r="BV119" i="1"/>
  <c r="CJ119" i="1"/>
  <c r="CE135" i="1"/>
  <c r="BX135" i="1"/>
  <c r="CL135" i="1"/>
  <c r="BQ135" i="1"/>
  <c r="BB5" i="1"/>
  <c r="X266" i="1"/>
  <c r="BX58" i="1"/>
  <c r="CL58" i="1"/>
  <c r="BQ58" i="1"/>
  <c r="CE58" i="1"/>
  <c r="CL140" i="1"/>
  <c r="CE140" i="1"/>
  <c r="CD164" i="1"/>
  <c r="CK164" i="1"/>
  <c r="CD117" i="1"/>
  <c r="CK117" i="1"/>
  <c r="BW117" i="1"/>
  <c r="CJ41" i="1"/>
  <c r="BO41" i="1"/>
  <c r="CC41" i="1"/>
  <c r="BV41" i="1"/>
  <c r="BW9" i="1"/>
  <c r="CD9" i="1"/>
  <c r="CK9" i="1"/>
  <c r="BP9" i="1"/>
  <c r="CC11" i="1"/>
  <c r="BO11" i="1"/>
  <c r="BV11" i="1"/>
  <c r="CJ11" i="1"/>
  <c r="CY27" i="1"/>
  <c r="DA27" i="1"/>
  <c r="DD27" i="1"/>
  <c r="DH27" i="1" s="1"/>
  <c r="BX59" i="1"/>
  <c r="CL59" i="1"/>
  <c r="CE59" i="1"/>
  <c r="BQ59" i="1"/>
  <c r="CJ56" i="1"/>
  <c r="BO56" i="1"/>
  <c r="CC56" i="1"/>
  <c r="BV56" i="1"/>
  <c r="U88" i="1"/>
  <c r="CY88" i="1"/>
  <c r="V88" i="1"/>
  <c r="DD88" i="1"/>
  <c r="DA88" i="1"/>
  <c r="T88" i="1"/>
  <c r="W88" i="1"/>
  <c r="S88" i="1"/>
  <c r="BW12" i="1"/>
  <c r="CD12" i="1"/>
  <c r="BP12" i="1"/>
  <c r="CK12" i="1"/>
  <c r="BV12" i="1"/>
  <c r="CJ12" i="1"/>
  <c r="BO12" i="1"/>
  <c r="CC12" i="1"/>
  <c r="BQ44" i="1"/>
  <c r="CL44" i="1"/>
  <c r="CE44" i="1"/>
  <c r="CK44" i="1"/>
  <c r="CD44" i="1"/>
  <c r="BP44" i="1"/>
  <c r="DF123" i="1"/>
  <c r="S123" i="1"/>
  <c r="U123" i="1"/>
  <c r="DA123" i="1"/>
  <c r="CY123" i="1"/>
  <c r="W123" i="1"/>
  <c r="T123" i="1"/>
  <c r="V123" i="1"/>
  <c r="DD123" i="1"/>
  <c r="CK26" i="1"/>
  <c r="CD26" i="1"/>
  <c r="BP26" i="1"/>
  <c r="CC26" i="1"/>
  <c r="CJ26" i="1"/>
  <c r="BO26" i="1"/>
  <c r="CE112" i="1"/>
  <c r="BQ112" i="1"/>
  <c r="BX112" i="1"/>
  <c r="CC144" i="1"/>
  <c r="CJ144" i="1"/>
  <c r="BO144" i="1"/>
  <c r="BV144" i="1"/>
  <c r="BQ166" i="1"/>
  <c r="CL166" i="1"/>
  <c r="BX166" i="1"/>
  <c r="CE166" i="1"/>
  <c r="CD63" i="1"/>
  <c r="CK63" i="1"/>
  <c r="CY124" i="1"/>
  <c r="DE124" i="1" s="1"/>
  <c r="U124" i="1"/>
  <c r="W124" i="1"/>
  <c r="T124" i="1"/>
  <c r="S124" i="1"/>
  <c r="V124" i="1"/>
  <c r="DA124" i="1"/>
  <c r="DD124" i="1"/>
  <c r="DF166" i="1"/>
  <c r="DF172" i="1"/>
  <c r="CD125" i="1"/>
  <c r="CK125" i="1"/>
  <c r="BX25" i="1"/>
  <c r="CL25" i="1"/>
  <c r="CE25" i="1"/>
  <c r="BQ25" i="1"/>
  <c r="BX149" i="1"/>
  <c r="CE149" i="1"/>
  <c r="BQ149" i="1"/>
  <c r="BQ163" i="1"/>
  <c r="CL163" i="1"/>
  <c r="BX163" i="1"/>
  <c r="CE163" i="1"/>
  <c r="BP110" i="1"/>
  <c r="CD110" i="1"/>
  <c r="CK110" i="1"/>
  <c r="BW110" i="1"/>
  <c r="DD152" i="1"/>
  <c r="DH152" i="1" s="1"/>
  <c r="CY152" i="1"/>
  <c r="T152" i="1"/>
  <c r="U152" i="1"/>
  <c r="W152" i="1"/>
  <c r="DA152" i="1"/>
  <c r="V152" i="1"/>
  <c r="S152" i="1"/>
  <c r="V173" i="1"/>
  <c r="CY173" i="1"/>
  <c r="T173" i="1"/>
  <c r="DD173" i="1"/>
  <c r="DA173" i="1"/>
  <c r="S173" i="1"/>
  <c r="W173" i="1"/>
  <c r="U173" i="1"/>
  <c r="BQ52" i="1"/>
  <c r="CL52" i="1"/>
  <c r="BX52" i="1"/>
  <c r="CE52" i="1"/>
  <c r="CC52" i="1"/>
  <c r="BV52" i="1"/>
  <c r="BO52" i="1"/>
  <c r="CJ52" i="1"/>
  <c r="CJ19" i="1"/>
  <c r="CC19" i="1"/>
  <c r="BP35" i="1"/>
  <c r="CK35" i="1"/>
  <c r="BW35" i="1"/>
  <c r="CD35" i="1"/>
  <c r="DD51" i="1"/>
  <c r="DH51" i="1" s="1"/>
  <c r="CY51" i="1"/>
  <c r="DA51" i="1"/>
  <c r="CE67" i="1"/>
  <c r="CL67" i="1"/>
  <c r="BX67" i="1"/>
  <c r="BQ67" i="1"/>
  <c r="CE32" i="1"/>
  <c r="BQ32" i="1"/>
  <c r="CL32" i="1"/>
  <c r="CD48" i="1"/>
  <c r="BW48" i="1"/>
  <c r="CK48" i="1"/>
  <c r="BP48" i="1"/>
  <c r="DA64" i="1"/>
  <c r="DD64" i="1"/>
  <c r="CY64" i="1"/>
  <c r="CE77" i="1"/>
  <c r="CL77" i="1"/>
  <c r="CJ85" i="1"/>
  <c r="CD85" i="1"/>
  <c r="CK85" i="1"/>
  <c r="T101" i="1"/>
  <c r="CY101" i="1"/>
  <c r="S101" i="1"/>
  <c r="DA101" i="1"/>
  <c r="U101" i="1"/>
  <c r="W101" i="1"/>
  <c r="V101" i="1"/>
  <c r="DD101" i="1"/>
  <c r="CE55" i="1"/>
  <c r="BQ55" i="1"/>
  <c r="CL55" i="1"/>
  <c r="BX55" i="1"/>
  <c r="CK114" i="1"/>
  <c r="CD114" i="1"/>
  <c r="DF130" i="1"/>
  <c r="BX130" i="1"/>
  <c r="CE130" i="1"/>
  <c r="BQ130" i="1"/>
  <c r="CL130" i="1"/>
  <c r="BX146" i="1"/>
  <c r="BQ146" i="1"/>
  <c r="CE146" i="1"/>
  <c r="CL146" i="1"/>
  <c r="BW28" i="1"/>
  <c r="CD28" i="1"/>
  <c r="CK28" i="1"/>
  <c r="BP28" i="1"/>
  <c r="CJ60" i="1"/>
  <c r="BO60" i="1"/>
  <c r="BV60" i="1"/>
  <c r="CC60" i="1"/>
  <c r="BQ84" i="1"/>
  <c r="CE84" i="1"/>
  <c r="BX84" i="1"/>
  <c r="CL84" i="1"/>
  <c r="DD84" i="1"/>
  <c r="V84" i="1"/>
  <c r="W84" i="1"/>
  <c r="S84" i="1"/>
  <c r="T84" i="1"/>
  <c r="DA84" i="1"/>
  <c r="U84" i="1"/>
  <c r="CY84" i="1"/>
  <c r="BO100" i="1"/>
  <c r="BV100" i="1"/>
  <c r="CJ100" i="1"/>
  <c r="CC100" i="1"/>
  <c r="DF131" i="1"/>
  <c r="BQ147" i="1"/>
  <c r="BX147" i="1"/>
  <c r="CL147" i="1"/>
  <c r="CE147" i="1"/>
  <c r="U147" i="1"/>
  <c r="DD147" i="1"/>
  <c r="DA147" i="1"/>
  <c r="S147" i="1"/>
  <c r="CY147" i="1"/>
  <c r="V147" i="1"/>
  <c r="T147" i="1"/>
  <c r="W147" i="1"/>
  <c r="DE169" i="1"/>
  <c r="DG169" i="1" s="1"/>
  <c r="DI169" i="1" s="1"/>
  <c r="CD102" i="1"/>
  <c r="BP102" i="1"/>
  <c r="BW102" i="1"/>
  <c r="CK102" i="1"/>
  <c r="BX102" i="1"/>
  <c r="CL102" i="1"/>
  <c r="BQ102" i="1"/>
  <c r="CE102" i="1"/>
  <c r="CC128" i="1"/>
  <c r="CJ128" i="1"/>
  <c r="CE128" i="1"/>
  <c r="CL128" i="1"/>
  <c r="S157" i="1"/>
  <c r="W157" i="1"/>
  <c r="U157" i="1"/>
  <c r="DD157" i="1"/>
  <c r="V157" i="1"/>
  <c r="CY157" i="1"/>
  <c r="T157" i="1"/>
  <c r="DA157" i="1"/>
  <c r="BW174" i="1"/>
  <c r="CK174" i="1"/>
  <c r="CD174" i="1"/>
  <c r="BP174" i="1"/>
  <c r="BO107" i="1"/>
  <c r="CC107" i="1"/>
  <c r="CJ107" i="1"/>
  <c r="BV107" i="1"/>
  <c r="T107" i="1"/>
  <c r="CY107" i="1"/>
  <c r="DE107" i="1" s="1"/>
  <c r="W107" i="1"/>
  <c r="DD107" i="1"/>
  <c r="U107" i="1"/>
  <c r="S107" i="1"/>
  <c r="DA107" i="1"/>
  <c r="V107" i="1"/>
  <c r="DF174" i="1"/>
  <c r="DF154" i="1"/>
  <c r="DA20" i="1"/>
  <c r="CY20" i="1"/>
  <c r="DD20" i="1"/>
  <c r="CK24" i="1"/>
  <c r="BW24" i="1"/>
  <c r="CD24" i="1"/>
  <c r="BP24" i="1"/>
  <c r="CY24" i="1"/>
  <c r="DA24" i="1"/>
  <c r="DD24" i="1"/>
  <c r="CL72" i="1"/>
  <c r="CE72" i="1"/>
  <c r="CD96" i="1"/>
  <c r="BW96" i="1"/>
  <c r="BP96" i="1"/>
  <c r="CK96" i="1"/>
  <c r="CJ96" i="1"/>
  <c r="BO96" i="1"/>
  <c r="CC96" i="1"/>
  <c r="BV96" i="1"/>
  <c r="DA39" i="1"/>
  <c r="CY39" i="1"/>
  <c r="DD39" i="1"/>
  <c r="DF132" i="1"/>
  <c r="DF149" i="1"/>
  <c r="BP47" i="1"/>
  <c r="CK47" i="1"/>
  <c r="CD47" i="1"/>
  <c r="BW47" i="1"/>
  <c r="V136" i="1"/>
  <c r="W136" i="1"/>
  <c r="DA136" i="1"/>
  <c r="S136" i="1"/>
  <c r="T136" i="1"/>
  <c r="DD136" i="1"/>
  <c r="U136" i="1"/>
  <c r="CY136" i="1"/>
  <c r="CE155" i="1"/>
  <c r="BQ155" i="1"/>
  <c r="CL155" i="1"/>
  <c r="BX155" i="1"/>
  <c r="CY162" i="1"/>
  <c r="S162" i="1"/>
  <c r="DA162" i="1"/>
  <c r="U162" i="1"/>
  <c r="V162" i="1"/>
  <c r="T162" i="1"/>
  <c r="W162" i="1"/>
  <c r="DD162" i="1"/>
  <c r="CL10" i="1"/>
  <c r="CE10" i="1"/>
  <c r="BX10" i="1"/>
  <c r="BQ10" i="1"/>
  <c r="BV104" i="1"/>
  <c r="CC104" i="1"/>
  <c r="CJ104" i="1"/>
  <c r="BO104" i="1"/>
  <c r="CK116" i="1"/>
  <c r="CD116" i="1"/>
  <c r="BP116" i="1"/>
  <c r="BW116" i="1"/>
  <c r="DF148" i="1"/>
  <c r="CL156" i="1"/>
  <c r="BX156" i="1"/>
  <c r="CE156" i="1"/>
  <c r="BQ156" i="1"/>
  <c r="BP156" i="1"/>
  <c r="CD156" i="1"/>
  <c r="CK156" i="1"/>
  <c r="BW156" i="1"/>
  <c r="CE168" i="1"/>
  <c r="BQ168" i="1"/>
  <c r="CL168" i="1"/>
  <c r="BX168" i="1"/>
  <c r="DF168" i="1"/>
  <c r="CE36" i="1"/>
  <c r="CL36" i="1"/>
  <c r="BW151" i="1"/>
  <c r="BP151" i="1"/>
  <c r="CD151" i="1"/>
  <c r="CK151" i="1"/>
  <c r="BQ151" i="1"/>
  <c r="CL151" i="1"/>
  <c r="BX151" i="1"/>
  <c r="CE151" i="1"/>
  <c r="DF175" i="1"/>
  <c r="S175" i="1"/>
  <c r="CY175" i="1"/>
  <c r="T175" i="1"/>
  <c r="V175" i="1"/>
  <c r="DD175" i="1"/>
  <c r="U175" i="1"/>
  <c r="DA175" i="1"/>
  <c r="W175" i="1"/>
  <c r="BX133" i="1"/>
  <c r="CL133" i="1"/>
  <c r="BQ133" i="1"/>
  <c r="CE133" i="1"/>
  <c r="CK153" i="1"/>
  <c r="CD153" i="1"/>
  <c r="BW153" i="1"/>
  <c r="BP153" i="1"/>
  <c r="DF153" i="1"/>
  <c r="BW121" i="1"/>
  <c r="CD121" i="1"/>
  <c r="CK121" i="1"/>
  <c r="BP121" i="1"/>
  <c r="CL159" i="1"/>
  <c r="CE159" i="1"/>
  <c r="CC159" i="1"/>
  <c r="CJ159" i="1"/>
  <c r="DF155" i="1"/>
  <c r="CL129" i="1"/>
  <c r="BQ129" i="1"/>
  <c r="BX129" i="1"/>
  <c r="CE129" i="1"/>
  <c r="BV161" i="1"/>
  <c r="CC161" i="1"/>
  <c r="BO161" i="1"/>
  <c r="CJ161" i="1"/>
  <c r="CE22" i="1"/>
  <c r="BX22" i="1"/>
  <c r="CL22" i="1"/>
  <c r="BQ22" i="1"/>
  <c r="CC38" i="1"/>
  <c r="BV38" i="1"/>
  <c r="BO38" i="1"/>
  <c r="CJ38" i="1"/>
  <c r="CY54" i="1"/>
  <c r="DA54" i="1"/>
  <c r="DD54" i="1"/>
  <c r="DH54" i="1" s="1"/>
  <c r="CY21" i="1"/>
  <c r="DA21" i="1"/>
  <c r="DD21" i="1"/>
  <c r="DH21" i="1" s="1"/>
  <c r="AJ21" i="1"/>
  <c r="CK69" i="1"/>
  <c r="BP69" i="1"/>
  <c r="CD69" i="1"/>
  <c r="BW69" i="1"/>
  <c r="CL4" i="1"/>
  <c r="BX4" i="1"/>
  <c r="BQ4" i="1"/>
  <c r="CE4" i="1"/>
  <c r="CD34" i="1"/>
  <c r="CK34" i="1"/>
  <c r="BW34" i="1"/>
  <c r="BP34" i="1"/>
  <c r="CL66" i="1"/>
  <c r="BX66" i="1"/>
  <c r="BQ66" i="1"/>
  <c r="CE66" i="1"/>
  <c r="DD66" i="1"/>
  <c r="DA66" i="1"/>
  <c r="CY66" i="1"/>
  <c r="DA126" i="1"/>
  <c r="U126" i="1"/>
  <c r="DD126" i="1"/>
  <c r="DH126" i="1" s="1"/>
  <c r="S126" i="1"/>
  <c r="V126" i="1"/>
  <c r="T126" i="1"/>
  <c r="CY126" i="1"/>
  <c r="W126" i="1"/>
  <c r="CE142" i="1"/>
  <c r="CL142" i="1"/>
  <c r="DF152" i="1"/>
  <c r="CC158" i="1"/>
  <c r="CJ158" i="1"/>
  <c r="BV158" i="1"/>
  <c r="BO158" i="1"/>
  <c r="DF3" i="1"/>
  <c r="DD33" i="1"/>
  <c r="CY33" i="1"/>
  <c r="DE33" i="1" s="1"/>
  <c r="DA33" i="1"/>
  <c r="CK65" i="1"/>
  <c r="CD65" i="1"/>
  <c r="BX87" i="1"/>
  <c r="CE87" i="1"/>
  <c r="CL87" i="1"/>
  <c r="BQ87" i="1"/>
  <c r="CL127" i="1"/>
  <c r="BQ127" i="1"/>
  <c r="CE127" i="1"/>
  <c r="BX127" i="1"/>
  <c r="DF137" i="1"/>
  <c r="BX143" i="1"/>
  <c r="CE143" i="1"/>
  <c r="CL143" i="1"/>
  <c r="BQ143" i="1"/>
  <c r="T143" i="1"/>
  <c r="S143" i="1"/>
  <c r="V143" i="1"/>
  <c r="CY143" i="1"/>
  <c r="U143" i="1"/>
  <c r="DD143" i="1"/>
  <c r="DA143" i="1"/>
  <c r="W143" i="1"/>
  <c r="CC31" i="1"/>
  <c r="BV31" i="1"/>
  <c r="CJ31" i="1"/>
  <c r="BO31" i="1"/>
  <c r="S167" i="1"/>
  <c r="CY167" i="1"/>
  <c r="V167" i="1"/>
  <c r="DD167" i="1"/>
  <c r="DA167" i="1"/>
  <c r="U167" i="1"/>
  <c r="W167" i="1"/>
  <c r="T167" i="1"/>
  <c r="CL80" i="1"/>
  <c r="CE80" i="1"/>
  <c r="BQ80" i="1"/>
  <c r="BX80" i="1"/>
  <c r="DA80" i="1"/>
  <c r="W80" i="1"/>
  <c r="T80" i="1"/>
  <c r="S80" i="1"/>
  <c r="DD80" i="1"/>
  <c r="V80" i="1"/>
  <c r="CY80" i="1"/>
  <c r="U80" i="1"/>
  <c r="CE7" i="1"/>
  <c r="CL7" i="1"/>
  <c r="DD71" i="1"/>
  <c r="DH71" i="1" s="1"/>
  <c r="DA71" i="1"/>
  <c r="CY71" i="1"/>
  <c r="CJ122" i="1"/>
  <c r="BV122" i="1"/>
  <c r="BO122" i="1"/>
  <c r="CC122" i="1"/>
  <c r="CC138" i="1"/>
  <c r="BV138" i="1"/>
  <c r="CJ138" i="1"/>
  <c r="BO138" i="1"/>
  <c r="CJ154" i="1"/>
  <c r="CC154" i="1"/>
  <c r="S154" i="1"/>
  <c r="DA154" i="1"/>
  <c r="U154" i="1"/>
  <c r="W154" i="1"/>
  <c r="DD154" i="1"/>
  <c r="DH154" i="1" s="1"/>
  <c r="T154" i="1"/>
  <c r="CY154" i="1"/>
  <c r="V154" i="1"/>
  <c r="X45" i="1"/>
  <c r="DF95" i="1"/>
  <c r="X29" i="1"/>
  <c r="AK29" i="1" s="1"/>
  <c r="BX15" i="1"/>
  <c r="CE15" i="1"/>
  <c r="BQ15" i="1"/>
  <c r="CL15" i="1"/>
  <c r="CJ15" i="1"/>
  <c r="BV15" i="1"/>
  <c r="CC15" i="1"/>
  <c r="BO15" i="1"/>
  <c r="S109" i="1"/>
  <c r="DD109" i="1"/>
  <c r="DH109" i="1" s="1"/>
  <c r="U109" i="1"/>
  <c r="CY109" i="1"/>
  <c r="T109" i="1"/>
  <c r="W109" i="1"/>
  <c r="V109" i="1"/>
  <c r="DA109" i="1"/>
  <c r="CC170" i="1"/>
  <c r="CJ170" i="1"/>
  <c r="CE42" i="1"/>
  <c r="CL42" i="1"/>
  <c r="BX42" i="1"/>
  <c r="BQ42" i="1"/>
  <c r="BV42" i="1"/>
  <c r="BO42" i="1"/>
  <c r="CJ42" i="1"/>
  <c r="CC42" i="1"/>
  <c r="CJ86" i="1"/>
  <c r="CC86" i="1"/>
  <c r="DD132" i="1"/>
  <c r="DH132" i="1" s="1"/>
  <c r="CY132" i="1"/>
  <c r="T132" i="1"/>
  <c r="V132" i="1"/>
  <c r="W132" i="1"/>
  <c r="S132" i="1"/>
  <c r="U132" i="1"/>
  <c r="DA132" i="1"/>
  <c r="BX176" i="1"/>
  <c r="CL176" i="1"/>
  <c r="BQ176" i="1"/>
  <c r="CE176" i="1"/>
  <c r="CJ176" i="1"/>
  <c r="CC176" i="1"/>
  <c r="BV176" i="1"/>
  <c r="BO176" i="1"/>
  <c r="BV141" i="1"/>
  <c r="BO141" i="1"/>
  <c r="CJ141" i="1"/>
  <c r="CC141" i="1"/>
  <c r="CC160" i="1"/>
  <c r="BV160" i="1"/>
  <c r="CJ160" i="1"/>
  <c r="BO160" i="1"/>
  <c r="DF160" i="1"/>
  <c r="U171" i="1"/>
  <c r="CY171" i="1"/>
  <c r="DA171" i="1"/>
  <c r="S171" i="1"/>
  <c r="W171" i="1"/>
  <c r="V171" i="1"/>
  <c r="T171" i="1"/>
  <c r="DD171" i="1"/>
  <c r="CJ92" i="1"/>
  <c r="CC92" i="1"/>
  <c r="BV79" i="1"/>
  <c r="CC79" i="1"/>
  <c r="CJ79" i="1"/>
  <c r="BO79" i="1"/>
  <c r="S79" i="1"/>
  <c r="DD79" i="1"/>
  <c r="W79" i="1"/>
  <c r="V79" i="1"/>
  <c r="DA79" i="1"/>
  <c r="U79" i="1"/>
  <c r="CY79" i="1"/>
  <c r="T79" i="1"/>
  <c r="DF167" i="1"/>
  <c r="BQ73" i="1"/>
  <c r="BX73" i="1"/>
  <c r="CL73" i="1"/>
  <c r="CE73" i="1"/>
  <c r="CJ145" i="1"/>
  <c r="BV145" i="1"/>
  <c r="CC145" i="1"/>
  <c r="BO145" i="1"/>
  <c r="CL30" i="1"/>
  <c r="BQ30" i="1"/>
  <c r="CE30" i="1"/>
  <c r="BX30" i="1"/>
  <c r="CY30" i="1"/>
  <c r="DA30" i="1"/>
  <c r="DD30" i="1"/>
  <c r="DH30" i="1" s="1"/>
  <c r="CE46" i="1"/>
  <c r="BX46" i="1"/>
  <c r="CL46" i="1"/>
  <c r="BQ46" i="1"/>
  <c r="CY62" i="1"/>
  <c r="DA62" i="1"/>
  <c r="DD62" i="1"/>
  <c r="CL74" i="1"/>
  <c r="CE74" i="1"/>
  <c r="CJ82" i="1"/>
  <c r="BP82" i="1"/>
  <c r="CD82" i="1"/>
  <c r="BW82" i="1"/>
  <c r="CK82" i="1"/>
  <c r="U98" i="1"/>
  <c r="W98" i="1"/>
  <c r="V98" i="1"/>
  <c r="CY98" i="1"/>
  <c r="DA98" i="1"/>
  <c r="S98" i="1"/>
  <c r="DD98" i="1"/>
  <c r="T98" i="1"/>
  <c r="CK13" i="1"/>
  <c r="CD13" i="1"/>
  <c r="BP13" i="1"/>
  <c r="BW13" i="1"/>
  <c r="CK29" i="1"/>
  <c r="BW29" i="1"/>
  <c r="CD29" i="1"/>
  <c r="CY45" i="1"/>
  <c r="DD45" i="1"/>
  <c r="DA45" i="1"/>
  <c r="BV61" i="1"/>
  <c r="CJ61" i="1"/>
  <c r="CC61" i="1"/>
  <c r="BO61" i="1"/>
  <c r="BX75" i="1"/>
  <c r="CE75" i="1"/>
  <c r="CL75" i="1"/>
  <c r="BQ75" i="1"/>
  <c r="CK83" i="1"/>
  <c r="CD83" i="1"/>
  <c r="V91" i="1"/>
  <c r="DA91" i="1"/>
  <c r="T91" i="1"/>
  <c r="DD91" i="1"/>
  <c r="W91" i="1"/>
  <c r="CY91" i="1"/>
  <c r="S91" i="1"/>
  <c r="U91" i="1"/>
  <c r="BO99" i="1"/>
  <c r="BV99" i="1"/>
  <c r="CC99" i="1"/>
  <c r="CJ99" i="1"/>
  <c r="BV18" i="1"/>
  <c r="BO18" i="1"/>
  <c r="DH18" i="1" s="1"/>
  <c r="CJ18" i="1"/>
  <c r="CC18" i="1"/>
  <c r="BO50" i="1"/>
  <c r="BV50" i="1"/>
  <c r="CJ50" i="1"/>
  <c r="CC50" i="1"/>
  <c r="BP78" i="1"/>
  <c r="CK78" i="1"/>
  <c r="CD78" i="1"/>
  <c r="BW78" i="1"/>
  <c r="U94" i="1"/>
  <c r="CY94" i="1"/>
  <c r="W94" i="1"/>
  <c r="S94" i="1"/>
  <c r="DA94" i="1"/>
  <c r="T94" i="1"/>
  <c r="DD94" i="1"/>
  <c r="V94" i="1"/>
  <c r="BV118" i="1"/>
  <c r="CC118" i="1"/>
  <c r="BO118" i="1"/>
  <c r="W118" i="1"/>
  <c r="DD118" i="1"/>
  <c r="T118" i="1"/>
  <c r="V118" i="1"/>
  <c r="DA118" i="1"/>
  <c r="S118" i="1"/>
  <c r="CY118" i="1"/>
  <c r="U118" i="1"/>
  <c r="CK150" i="1"/>
  <c r="CD150" i="1"/>
  <c r="CL150" i="1"/>
  <c r="CE150" i="1"/>
  <c r="CJ97" i="1"/>
  <c r="BV97" i="1"/>
  <c r="CC97" i="1"/>
  <c r="DA97" i="1"/>
  <c r="V97" i="1"/>
  <c r="DD97" i="1"/>
  <c r="U97" i="1"/>
  <c r="W97" i="1"/>
  <c r="T97" i="1"/>
  <c r="CY97" i="1"/>
  <c r="S97" i="1"/>
  <c r="S119" i="1"/>
  <c r="DA119" i="1"/>
  <c r="U119" i="1"/>
  <c r="CY119" i="1"/>
  <c r="DE119" i="1" s="1"/>
  <c r="T119" i="1"/>
  <c r="W119" i="1"/>
  <c r="DD119" i="1"/>
  <c r="DH119" i="1" s="1"/>
  <c r="V119" i="1"/>
  <c r="BP135" i="1"/>
  <c r="CD135" i="1"/>
  <c r="CK135" i="1"/>
  <c r="BW135" i="1"/>
  <c r="DD58" i="1"/>
  <c r="DA58" i="1"/>
  <c r="CY58" i="1"/>
  <c r="CD140" i="1"/>
  <c r="CK140" i="1"/>
  <c r="CJ140" i="1"/>
  <c r="CC140" i="1"/>
  <c r="DF164" i="1"/>
  <c r="CY164" i="1"/>
  <c r="S164" i="1"/>
  <c r="U164" i="1"/>
  <c r="W164" i="1"/>
  <c r="T164" i="1"/>
  <c r="V164" i="1"/>
  <c r="DD164" i="1"/>
  <c r="DA164" i="1"/>
  <c r="AK196" i="1"/>
  <c r="AI196" i="1"/>
  <c r="CE117" i="1"/>
  <c r="CL117" i="1"/>
  <c r="BX117" i="1"/>
  <c r="CL41" i="1"/>
  <c r="BQ41" i="1"/>
  <c r="CE41" i="1"/>
  <c r="BX41" i="1"/>
  <c r="DA41" i="1"/>
  <c r="CY41" i="1"/>
  <c r="DD41" i="1"/>
  <c r="BV9" i="1"/>
  <c r="CJ9" i="1"/>
  <c r="CC9" i="1"/>
  <c r="BO9" i="1"/>
  <c r="DH9" i="1" s="1"/>
  <c r="CK27" i="1"/>
  <c r="CD27" i="1"/>
  <c r="CC59" i="1"/>
  <c r="BV59" i="1"/>
  <c r="BO59" i="1"/>
  <c r="CJ59" i="1"/>
  <c r="DD59" i="1"/>
  <c r="CY59" i="1"/>
  <c r="DA59" i="1"/>
  <c r="CE56" i="1"/>
  <c r="CL56" i="1"/>
  <c r="BQ56" i="1"/>
  <c r="BX56" i="1"/>
  <c r="BQ88" i="1"/>
  <c r="CL88" i="1"/>
  <c r="CE88" i="1"/>
  <c r="BX88" i="1"/>
  <c r="CJ111" i="1"/>
  <c r="CC111" i="1"/>
  <c r="BV111" i="1"/>
  <c r="BO111" i="1"/>
  <c r="CD111" i="1"/>
  <c r="BW111" i="1"/>
  <c r="CK111" i="1"/>
  <c r="BP111" i="1"/>
  <c r="DD12" i="1"/>
  <c r="CY12" i="1"/>
  <c r="DE12" i="1" s="1"/>
  <c r="DA12" i="1"/>
  <c r="BO123" i="1"/>
  <c r="CJ123" i="1"/>
  <c r="BV123" i="1"/>
  <c r="CC123" i="1"/>
  <c r="CK139" i="1"/>
  <c r="BW139" i="1"/>
  <c r="CD139" i="1"/>
  <c r="BP139" i="1"/>
  <c r="AO338" i="1"/>
  <c r="DD26" i="1"/>
  <c r="CY26" i="1"/>
  <c r="DA26" i="1"/>
  <c r="DD144" i="1"/>
  <c r="U144" i="1"/>
  <c r="T144" i="1"/>
  <c r="W144" i="1"/>
  <c r="DA144" i="1"/>
  <c r="S144" i="1"/>
  <c r="CY144" i="1"/>
  <c r="V144" i="1"/>
  <c r="CL63" i="1"/>
  <c r="CE63" i="1"/>
  <c r="BO172" i="1"/>
  <c r="CC172" i="1"/>
  <c r="BV172" i="1"/>
  <c r="BQ172" i="1"/>
  <c r="CE172" i="1"/>
  <c r="CL172" i="1"/>
  <c r="BX172" i="1"/>
  <c r="T89" i="1"/>
  <c r="CY89" i="1"/>
  <c r="V89" i="1"/>
  <c r="S89" i="1"/>
  <c r="U89" i="1"/>
  <c r="DA89" i="1"/>
  <c r="DD89" i="1"/>
  <c r="W89" i="1"/>
  <c r="DD25" i="1"/>
  <c r="DA25" i="1"/>
  <c r="CY25" i="1"/>
  <c r="CL149" i="1"/>
  <c r="CD149" i="1"/>
  <c r="CK149" i="1"/>
  <c r="BP149" i="1"/>
  <c r="BW149" i="1"/>
  <c r="CJ149" i="1"/>
  <c r="BO149" i="1"/>
  <c r="BV149" i="1"/>
  <c r="CC149" i="1"/>
  <c r="CJ163" i="1"/>
  <c r="BW163" i="1"/>
  <c r="BP163" i="1"/>
  <c r="CD163" i="1"/>
  <c r="CK163" i="1"/>
  <c r="S163" i="1"/>
  <c r="CY163" i="1"/>
  <c r="V163" i="1"/>
  <c r="DD163" i="1"/>
  <c r="W163" i="1"/>
  <c r="U163" i="1"/>
  <c r="DA163" i="1"/>
  <c r="T163" i="1"/>
  <c r="CL152" i="1"/>
  <c r="BP152" i="1"/>
  <c r="CK152" i="1"/>
  <c r="CD152" i="1"/>
  <c r="BW152" i="1"/>
  <c r="CC173" i="1"/>
  <c r="CJ173" i="1"/>
  <c r="CC113" i="1"/>
  <c r="CJ113" i="1"/>
  <c r="BV113" i="1"/>
  <c r="BO113" i="1"/>
  <c r="S177" i="1"/>
  <c r="DD177" i="1"/>
  <c r="DA177" i="1"/>
  <c r="CY177" i="1"/>
  <c r="DE177" i="1" s="1"/>
  <c r="DG177" i="1" s="1"/>
  <c r="T177" i="1"/>
  <c r="W177" i="1"/>
  <c r="V177" i="1"/>
  <c r="U177" i="1"/>
  <c r="DH5" i="1"/>
  <c r="DI5" i="1" s="1"/>
  <c r="Y5" i="1"/>
  <c r="X5" i="1"/>
  <c r="DF4" i="1"/>
  <c r="CY19" i="1"/>
  <c r="DD19" i="1"/>
  <c r="DH19" i="1" s="1"/>
  <c r="DA19" i="1"/>
  <c r="CC35" i="1"/>
  <c r="BO35" i="1"/>
  <c r="BV35" i="1"/>
  <c r="CJ35" i="1"/>
  <c r="CC67" i="1"/>
  <c r="BV67" i="1"/>
  <c r="BO67" i="1"/>
  <c r="CJ67" i="1"/>
  <c r="CJ16" i="1"/>
  <c r="CC16" i="1"/>
  <c r="DD32" i="1"/>
  <c r="DA32" i="1"/>
  <c r="CY32" i="1"/>
  <c r="DE32" i="1" s="1"/>
  <c r="BP64" i="1"/>
  <c r="BW64" i="1"/>
  <c r="CD64" i="1"/>
  <c r="CK64" i="1"/>
  <c r="CJ77" i="1"/>
  <c r="CK77" i="1"/>
  <c r="CD77" i="1"/>
  <c r="BQ101" i="1"/>
  <c r="BX101" i="1"/>
  <c r="CL101" i="1"/>
  <c r="CE101" i="1"/>
  <c r="BO23" i="1"/>
  <c r="BV23" i="1"/>
  <c r="CC23" i="1"/>
  <c r="CJ23" i="1"/>
  <c r="BX23" i="1"/>
  <c r="CE23" i="1"/>
  <c r="BQ23" i="1"/>
  <c r="CL23" i="1"/>
  <c r="CD55" i="1"/>
  <c r="BW55" i="1"/>
  <c r="BP55" i="1"/>
  <c r="CK55" i="1"/>
  <c r="DD55" i="1"/>
  <c r="DA55" i="1"/>
  <c r="CY55" i="1"/>
  <c r="CE114" i="1"/>
  <c r="CL114" i="1"/>
  <c r="DF124" i="1"/>
  <c r="DA130" i="1"/>
  <c r="CY130" i="1"/>
  <c r="U130" i="1"/>
  <c r="W130" i="1"/>
  <c r="S130" i="1"/>
  <c r="V130" i="1"/>
  <c r="DD130" i="1"/>
  <c r="T130" i="1"/>
  <c r="DA28" i="1"/>
  <c r="DD28" i="1"/>
  <c r="CY28" i="1"/>
  <c r="CD60" i="1"/>
  <c r="CK60" i="1"/>
  <c r="BW60" i="1"/>
  <c r="BP60" i="1"/>
  <c r="CJ84" i="1"/>
  <c r="CD84" i="1"/>
  <c r="CK84" i="1"/>
  <c r="BW84" i="1"/>
  <c r="BP84" i="1"/>
  <c r="CD100" i="1"/>
  <c r="BP100" i="1"/>
  <c r="CK100" i="1"/>
  <c r="BW100" i="1"/>
  <c r="CD115" i="1"/>
  <c r="CK115" i="1"/>
  <c r="BW115" i="1"/>
  <c r="BP115" i="1"/>
  <c r="DA115" i="1"/>
  <c r="T115" i="1"/>
  <c r="V115" i="1"/>
  <c r="DD115" i="1"/>
  <c r="CY115" i="1"/>
  <c r="W115" i="1"/>
  <c r="S115" i="1"/>
  <c r="U115" i="1"/>
  <c r="AS190" i="1"/>
  <c r="AQ190" i="1"/>
  <c r="V102" i="1"/>
  <c r="W102" i="1"/>
  <c r="U102" i="1"/>
  <c r="T102" i="1"/>
  <c r="CY102" i="1"/>
  <c r="S102" i="1"/>
  <c r="DA102" i="1"/>
  <c r="DD102" i="1"/>
  <c r="CD128" i="1"/>
  <c r="CK128" i="1"/>
  <c r="BV157" i="1"/>
  <c r="BO157" i="1"/>
  <c r="CC157" i="1"/>
  <c r="CJ157" i="1"/>
  <c r="CK157" i="1"/>
  <c r="BP157" i="1"/>
  <c r="CD157" i="1"/>
  <c r="BW157" i="1"/>
  <c r="CE174" i="1"/>
  <c r="BX174" i="1"/>
  <c r="CL174" i="1"/>
  <c r="BQ174" i="1"/>
  <c r="BO174" i="1"/>
  <c r="BV174" i="1"/>
  <c r="CC174" i="1"/>
  <c r="CJ174" i="1"/>
  <c r="CE107" i="1"/>
  <c r="BQ107" i="1"/>
  <c r="BX107" i="1"/>
  <c r="CL107" i="1"/>
  <c r="BW107" i="1"/>
  <c r="CD107" i="1"/>
  <c r="CK107" i="1"/>
  <c r="BP107" i="1"/>
  <c r="CL57" i="1"/>
  <c r="CE57" i="1"/>
  <c r="BQ57" i="1"/>
  <c r="CC165" i="1"/>
  <c r="CJ165" i="1"/>
  <c r="BV165" i="1"/>
  <c r="BO165" i="1"/>
  <c r="CJ8" i="1"/>
  <c r="CC8" i="1"/>
  <c r="CC24" i="1"/>
  <c r="BO24" i="1"/>
  <c r="CJ24" i="1"/>
  <c r="BV24" i="1"/>
  <c r="CK72" i="1"/>
  <c r="CD72" i="1"/>
  <c r="T72" i="1"/>
  <c r="W72" i="1"/>
  <c r="DA72" i="1"/>
  <c r="V72" i="1"/>
  <c r="DD72" i="1"/>
  <c r="DH72" i="1" s="1"/>
  <c r="U72" i="1"/>
  <c r="S72" i="1"/>
  <c r="CY72" i="1"/>
  <c r="CJ39" i="1"/>
  <c r="CC39" i="1"/>
  <c r="BO39" i="1"/>
  <c r="BV39" i="1"/>
  <c r="DF116" i="1"/>
  <c r="AR51" i="1"/>
  <c r="BO47" i="1"/>
  <c r="CJ47" i="1"/>
  <c r="CC47" i="1"/>
  <c r="BV47" i="1"/>
  <c r="BO136" i="1"/>
  <c r="CC136" i="1"/>
  <c r="BV136" i="1"/>
  <c r="CC155" i="1"/>
  <c r="BO155" i="1"/>
  <c r="CJ155" i="1"/>
  <c r="BV155" i="1"/>
  <c r="BP162" i="1"/>
  <c r="CD162" i="1"/>
  <c r="BW162" i="1"/>
  <c r="CK162" i="1"/>
  <c r="V104" i="1"/>
  <c r="W104" i="1"/>
  <c r="U104" i="1"/>
  <c r="T104" i="1"/>
  <c r="DA104" i="1"/>
  <c r="CY104" i="1"/>
  <c r="S104" i="1"/>
  <c r="DD104" i="1"/>
  <c r="CL148" i="1"/>
  <c r="CE148" i="1"/>
  <c r="T148" i="1"/>
  <c r="S148" i="1"/>
  <c r="W148" i="1"/>
  <c r="U148" i="1"/>
  <c r="CY148" i="1"/>
  <c r="DD148" i="1"/>
  <c r="DH148" i="1" s="1"/>
  <c r="DA148" i="1"/>
  <c r="V148" i="1"/>
  <c r="DF156" i="1"/>
  <c r="DF162" i="1"/>
  <c r="BP168" i="1"/>
  <c r="CD168" i="1"/>
  <c r="CK168" i="1"/>
  <c r="BW168" i="1"/>
  <c r="T168" i="1"/>
  <c r="U168" i="1"/>
  <c r="S168" i="1"/>
  <c r="DA168" i="1"/>
  <c r="W168" i="1"/>
  <c r="CY168" i="1"/>
  <c r="V168" i="1"/>
  <c r="DD168" i="1"/>
  <c r="CY36" i="1"/>
  <c r="DA36" i="1"/>
  <c r="DD36" i="1"/>
  <c r="DH36" i="1" s="1"/>
  <c r="DF151" i="1"/>
  <c r="BW68" i="1"/>
  <c r="BP68" i="1"/>
  <c r="CD68" i="1"/>
  <c r="CK68" i="1"/>
  <c r="BV133" i="1"/>
  <c r="CJ133" i="1"/>
  <c r="BO133" i="1"/>
  <c r="CC133" i="1"/>
  <c r="U133" i="1"/>
  <c r="DA133" i="1"/>
  <c r="V133" i="1"/>
  <c r="CY133" i="1"/>
  <c r="S133" i="1"/>
  <c r="DD133" i="1"/>
  <c r="W133" i="1"/>
  <c r="T133" i="1"/>
  <c r="BV153" i="1"/>
  <c r="CC153" i="1"/>
  <c r="CJ153" i="1"/>
  <c r="BO153" i="1"/>
  <c r="CE121" i="1"/>
  <c r="BX121" i="1"/>
  <c r="BQ121" i="1"/>
  <c r="CL121" i="1"/>
  <c r="T121" i="1"/>
  <c r="W121" i="1"/>
  <c r="CY121" i="1"/>
  <c r="V121" i="1"/>
  <c r="U121" i="1"/>
  <c r="S121" i="1"/>
  <c r="DD121" i="1"/>
  <c r="DA121" i="1"/>
  <c r="DF129" i="1"/>
  <c r="CC6" i="1"/>
  <c r="CJ6" i="1"/>
  <c r="BV22" i="1"/>
  <c r="CC22" i="1"/>
  <c r="BO22" i="1"/>
  <c r="DD22" i="1"/>
  <c r="CY22" i="1"/>
  <c r="DA22" i="1"/>
  <c r="CL54" i="1"/>
  <c r="CK54" i="1"/>
  <c r="CD54" i="1"/>
  <c r="CD70" i="1"/>
  <c r="BW70" i="1"/>
  <c r="CK70" i="1"/>
  <c r="BP70" i="1"/>
  <c r="BO70" i="1"/>
  <c r="BV70" i="1"/>
  <c r="CC70" i="1"/>
  <c r="CJ70" i="1"/>
  <c r="CE21" i="1"/>
  <c r="CL21" i="1"/>
  <c r="CE53" i="1"/>
  <c r="BX53" i="1"/>
  <c r="BQ53" i="1"/>
  <c r="CL53" i="1"/>
  <c r="DA53" i="1"/>
  <c r="CY53" i="1"/>
  <c r="DD53" i="1"/>
  <c r="AA4" i="1"/>
  <c r="V4" i="1"/>
  <c r="DA4" i="1"/>
  <c r="S4" i="1"/>
  <c r="DD4" i="1"/>
  <c r="U4" i="1"/>
  <c r="W4" i="1"/>
  <c r="CY4" i="1"/>
  <c r="T4" i="1"/>
  <c r="AR4" i="1"/>
  <c r="AJ4" i="1"/>
  <c r="CJ66" i="1"/>
  <c r="BP66" i="1"/>
  <c r="BW66" i="1"/>
  <c r="CD66" i="1"/>
  <c r="CK66" i="1"/>
  <c r="CL108" i="1"/>
  <c r="BX108" i="1"/>
  <c r="CE108" i="1"/>
  <c r="BQ108" i="1"/>
  <c r="DF136" i="1"/>
  <c r="CK142" i="1"/>
  <c r="CD142" i="1"/>
  <c r="S142" i="1"/>
  <c r="DA142" i="1"/>
  <c r="T142" i="1"/>
  <c r="DD142" i="1"/>
  <c r="DH142" i="1" s="1"/>
  <c r="V142" i="1"/>
  <c r="CY142" i="1"/>
  <c r="W142" i="1"/>
  <c r="U142" i="1"/>
  <c r="CK158" i="1"/>
  <c r="BW158" i="1"/>
  <c r="CD158" i="1"/>
  <c r="BP158" i="1"/>
  <c r="BO33" i="1"/>
  <c r="CJ33" i="1"/>
  <c r="CC33" i="1"/>
  <c r="BV33" i="1"/>
  <c r="CJ65" i="1"/>
  <c r="CC65" i="1"/>
  <c r="T87" i="1"/>
  <c r="DA87" i="1"/>
  <c r="V87" i="1"/>
  <c r="CY87" i="1"/>
  <c r="DE87" i="1" s="1"/>
  <c r="DD87" i="1"/>
  <c r="S87" i="1"/>
  <c r="W87" i="1"/>
  <c r="U87" i="1"/>
  <c r="CC127" i="1"/>
  <c r="CJ127" i="1"/>
  <c r="BO127" i="1"/>
  <c r="BV127" i="1"/>
  <c r="CK127" i="1"/>
  <c r="BW127" i="1"/>
  <c r="CD127" i="1"/>
  <c r="BP127" i="1"/>
  <c r="CJ143" i="1"/>
  <c r="BV143" i="1"/>
  <c r="BO143" i="1"/>
  <c r="CC143" i="1"/>
  <c r="X350" i="1"/>
  <c r="AH350" i="1"/>
  <c r="CJ167" i="1"/>
  <c r="BV167" i="1"/>
  <c r="CC167" i="1"/>
  <c r="BO167" i="1"/>
  <c r="CJ7" i="1"/>
  <c r="CC7" i="1"/>
  <c r="CD103" i="1"/>
  <c r="BP103" i="1"/>
  <c r="BW103" i="1"/>
  <c r="CK103" i="1"/>
  <c r="CE122" i="1"/>
  <c r="BX122" i="1"/>
  <c r="CL122" i="1"/>
  <c r="BQ122" i="1"/>
  <c r="T122" i="1"/>
  <c r="S122" i="1"/>
  <c r="U122" i="1"/>
  <c r="V122" i="1"/>
  <c r="DD122" i="1"/>
  <c r="W122" i="1"/>
  <c r="CY122" i="1"/>
  <c r="DA122" i="1"/>
  <c r="BX138" i="1"/>
  <c r="BQ138" i="1"/>
  <c r="CL138" i="1"/>
  <c r="CE138" i="1"/>
  <c r="CD154" i="1"/>
  <c r="CK154" i="1"/>
  <c r="AR148" i="1"/>
  <c r="AA177" i="1"/>
  <c r="DF103" i="1"/>
  <c r="DD15" i="1"/>
  <c r="DA15" i="1"/>
  <c r="CY15" i="1"/>
  <c r="CJ109" i="1"/>
  <c r="CC109" i="1"/>
  <c r="CC120" i="1"/>
  <c r="CJ120" i="1"/>
  <c r="DF158" i="1"/>
  <c r="CK170" i="1"/>
  <c r="CD170" i="1"/>
  <c r="CL170" i="1"/>
  <c r="CE170" i="1"/>
  <c r="BW42" i="1"/>
  <c r="CD42" i="1"/>
  <c r="CK42" i="1"/>
  <c r="BP42" i="1"/>
  <c r="CE86" i="1"/>
  <c r="CL86" i="1"/>
  <c r="W86" i="1"/>
  <c r="T86" i="1"/>
  <c r="DA86" i="1"/>
  <c r="V86" i="1"/>
  <c r="CY86" i="1"/>
  <c r="S86" i="1"/>
  <c r="DD86" i="1"/>
  <c r="DH86" i="1" s="1"/>
  <c r="U86" i="1"/>
  <c r="BW132" i="1"/>
  <c r="CD132" i="1"/>
  <c r="BP132" i="1"/>
  <c r="CK132" i="1"/>
  <c r="DF170" i="1"/>
  <c r="V176" i="1"/>
  <c r="T176" i="1"/>
  <c r="DD176" i="1"/>
  <c r="W176" i="1"/>
  <c r="U176" i="1"/>
  <c r="DA176" i="1"/>
  <c r="CY176" i="1"/>
  <c r="S176" i="1"/>
  <c r="CJ76" i="1"/>
  <c r="BP76" i="1"/>
  <c r="CK76" i="1"/>
  <c r="BW76" i="1"/>
  <c r="CD76" i="1"/>
  <c r="CC76" i="1"/>
  <c r="BO76" i="1"/>
  <c r="BV76" i="1"/>
  <c r="BW160" i="1"/>
  <c r="CK160" i="1"/>
  <c r="CD160" i="1"/>
  <c r="BP160" i="1"/>
  <c r="DA160" i="1"/>
  <c r="DD160" i="1"/>
  <c r="CY160" i="1"/>
  <c r="S160" i="1"/>
  <c r="T160" i="1"/>
  <c r="W160" i="1"/>
  <c r="U160" i="1"/>
  <c r="V160" i="1"/>
  <c r="CC171" i="1"/>
  <c r="BV171" i="1"/>
  <c r="BO171" i="1"/>
  <c r="DH171" i="1" s="1"/>
  <c r="CJ171" i="1"/>
  <c r="T92" i="1"/>
  <c r="DA92" i="1"/>
  <c r="S92" i="1"/>
  <c r="U92" i="1"/>
  <c r="CY92" i="1"/>
  <c r="DD92" i="1"/>
  <c r="V92" i="1"/>
  <c r="W92" i="1"/>
  <c r="CJ137" i="1"/>
  <c r="CC137" i="1"/>
  <c r="BO73" i="1"/>
  <c r="BV73" i="1"/>
  <c r="CJ73" i="1"/>
  <c r="CC73" i="1"/>
  <c r="V73" i="1"/>
  <c r="W73" i="1"/>
  <c r="DD73" i="1"/>
  <c r="U73" i="1"/>
  <c r="T73" i="1"/>
  <c r="CY73" i="1"/>
  <c r="DA73" i="1"/>
  <c r="S73" i="1"/>
  <c r="CL145" i="1"/>
  <c r="BX145" i="1"/>
  <c r="BQ145" i="1"/>
  <c r="CE145" i="1"/>
  <c r="DA46" i="1"/>
  <c r="CY46" i="1"/>
  <c r="DD46" i="1"/>
  <c r="BX62" i="1"/>
  <c r="CE62" i="1"/>
  <c r="BQ62" i="1"/>
  <c r="CL62" i="1"/>
  <c r="CC74" i="1"/>
  <c r="CJ74" i="1"/>
  <c r="CK74" i="1"/>
  <c r="CD74" i="1"/>
  <c r="BO82" i="1"/>
  <c r="CC82" i="1"/>
  <c r="BV82" i="1"/>
  <c r="S90" i="1"/>
  <c r="DD90" i="1"/>
  <c r="DH90" i="1" s="1"/>
  <c r="T90" i="1"/>
  <c r="W90" i="1"/>
  <c r="DA90" i="1"/>
  <c r="U90" i="1"/>
  <c r="V90" i="1"/>
  <c r="CY90" i="1"/>
  <c r="BQ3" i="1"/>
  <c r="CL3" i="1"/>
  <c r="BX3" i="1"/>
  <c r="CE3" i="1"/>
  <c r="CL13" i="1"/>
  <c r="CE13" i="1"/>
  <c r="BQ13" i="1"/>
  <c r="BX13" i="1"/>
  <c r="CE29" i="1"/>
  <c r="CL29" i="1"/>
  <c r="BX29" i="1"/>
  <c r="DA29" i="1"/>
  <c r="CY29" i="1"/>
  <c r="DD29" i="1"/>
  <c r="DH29" i="1" s="1"/>
  <c r="CK45" i="1"/>
  <c r="CD45" i="1"/>
  <c r="BW45" i="1"/>
  <c r="BP45" i="1"/>
  <c r="BO75" i="1"/>
  <c r="CC75" i="1"/>
  <c r="BV75" i="1"/>
  <c r="CJ75" i="1"/>
  <c r="DA83" i="1"/>
  <c r="V83" i="1"/>
  <c r="U83" i="1"/>
  <c r="T83" i="1"/>
  <c r="CY83" i="1"/>
  <c r="W83" i="1"/>
  <c r="S83" i="1"/>
  <c r="DD83" i="1"/>
  <c r="DH83" i="1" s="1"/>
  <c r="BQ18" i="1"/>
  <c r="CL18" i="1"/>
  <c r="BX18" i="1"/>
  <c r="CE18" i="1"/>
  <c r="CE50" i="1"/>
  <c r="BX50" i="1"/>
  <c r="BQ50" i="1"/>
  <c r="CL50" i="1"/>
  <c r="DD78" i="1"/>
  <c r="V78" i="1"/>
  <c r="DA78" i="1"/>
  <c r="T78" i="1"/>
  <c r="W78" i="1"/>
  <c r="U78" i="1"/>
  <c r="CY78" i="1"/>
  <c r="DE78" i="1" s="1"/>
  <c r="S78" i="1"/>
  <c r="CL94" i="1"/>
  <c r="CK94" i="1"/>
  <c r="CD94" i="1"/>
  <c r="DF128" i="1"/>
  <c r="CJ134" i="1"/>
  <c r="CK134" i="1"/>
  <c r="CD134" i="1"/>
  <c r="DD134" i="1"/>
  <c r="DH134" i="1" s="1"/>
  <c r="U134" i="1"/>
  <c r="DA134" i="1"/>
  <c r="S134" i="1"/>
  <c r="W134" i="1"/>
  <c r="T134" i="1"/>
  <c r="CY134" i="1"/>
  <c r="V134" i="1"/>
  <c r="CC150" i="1"/>
  <c r="CJ150" i="1"/>
  <c r="BP17" i="1"/>
  <c r="BW17" i="1"/>
  <c r="CD17" i="1"/>
  <c r="CK17" i="1"/>
  <c r="BX17" i="1"/>
  <c r="BQ17" i="1"/>
  <c r="CL17" i="1"/>
  <c r="CE17" i="1"/>
  <c r="CK49" i="1"/>
  <c r="BP49" i="1"/>
  <c r="CD49" i="1"/>
  <c r="BW49" i="1"/>
  <c r="U81" i="1"/>
  <c r="DD81" i="1"/>
  <c r="DH81" i="1" s="1"/>
  <c r="V81" i="1"/>
  <c r="W81" i="1"/>
  <c r="S81" i="1"/>
  <c r="CY81" i="1"/>
  <c r="DA81" i="1"/>
  <c r="T81" i="1"/>
  <c r="CC106" i="1"/>
  <c r="CJ106" i="1"/>
  <c r="DF119" i="1"/>
  <c r="S135" i="1"/>
  <c r="U135" i="1"/>
  <c r="T135" i="1"/>
  <c r="CY135" i="1"/>
  <c r="DD135" i="1"/>
  <c r="DH135" i="1" s="1"/>
  <c r="V135" i="1"/>
  <c r="DA135" i="1"/>
  <c r="W135" i="1"/>
  <c r="AS5" i="1"/>
  <c r="AQ5" i="1"/>
  <c r="AK198" i="1"/>
  <c r="AI198" i="1"/>
  <c r="DF138" i="1"/>
  <c r="S140" i="1"/>
  <c r="CY140" i="1"/>
  <c r="DD140" i="1"/>
  <c r="DH140" i="1" s="1"/>
  <c r="U140" i="1"/>
  <c r="DA140" i="1"/>
  <c r="T140" i="1"/>
  <c r="W140" i="1"/>
  <c r="V140" i="1"/>
  <c r="CE164" i="1"/>
  <c r="CL164" i="1"/>
  <c r="DF135" i="1"/>
  <c r="CC117" i="1"/>
  <c r="BV117" i="1"/>
  <c r="CJ117" i="1"/>
  <c r="CE9" i="1"/>
  <c r="CL9" i="1"/>
  <c r="BX9" i="1"/>
  <c r="BQ9" i="1"/>
  <c r="BX11" i="1"/>
  <c r="BQ11" i="1"/>
  <c r="CE11" i="1"/>
  <c r="CL11" i="1"/>
  <c r="CJ27" i="1"/>
  <c r="CC27" i="1"/>
  <c r="BP43" i="1"/>
  <c r="BW43" i="1"/>
  <c r="CD43" i="1"/>
  <c r="CK43" i="1"/>
  <c r="CY43" i="1"/>
  <c r="DD43" i="1"/>
  <c r="DA43" i="1"/>
  <c r="CD88" i="1"/>
  <c r="CK88" i="1"/>
  <c r="BP88" i="1"/>
  <c r="BW88" i="1"/>
  <c r="BO88" i="1"/>
  <c r="CC88" i="1"/>
  <c r="CJ88" i="1"/>
  <c r="BV88" i="1"/>
  <c r="S111" i="1"/>
  <c r="DD111" i="1"/>
  <c r="T111" i="1"/>
  <c r="W111" i="1"/>
  <c r="CY111" i="1"/>
  <c r="V111" i="1"/>
  <c r="DA111" i="1"/>
  <c r="U111" i="1"/>
  <c r="CJ44" i="1"/>
  <c r="BO44" i="1"/>
  <c r="CC44" i="1"/>
  <c r="BX123" i="1"/>
  <c r="CL123" i="1"/>
  <c r="CE123" i="1"/>
  <c r="BQ123" i="1"/>
  <c r="CE139" i="1"/>
  <c r="CL139" i="1"/>
  <c r="BX139" i="1"/>
  <c r="BQ139" i="1"/>
  <c r="T139" i="1"/>
  <c r="DA139" i="1"/>
  <c r="S139" i="1"/>
  <c r="W139" i="1"/>
  <c r="CY139" i="1"/>
  <c r="V139" i="1"/>
  <c r="DD139" i="1"/>
  <c r="DH139" i="1" s="1"/>
  <c r="U139" i="1"/>
  <c r="AW338" i="1"/>
  <c r="BV112" i="1"/>
  <c r="CJ112" i="1"/>
  <c r="CC112" i="1"/>
  <c r="BO112" i="1"/>
  <c r="DH112" i="1" s="1"/>
  <c r="CL112" i="1"/>
  <c r="BW112" i="1"/>
  <c r="BP112" i="1"/>
  <c r="CK112" i="1"/>
  <c r="CD112" i="1"/>
  <c r="BP166" i="1"/>
  <c r="BW166" i="1"/>
  <c r="CK166" i="1"/>
  <c r="CD166" i="1"/>
  <c r="DF176" i="1"/>
  <c r="CC63" i="1"/>
  <c r="CJ63" i="1"/>
  <c r="BQ124" i="1"/>
  <c r="CE124" i="1"/>
  <c r="CL124" i="1"/>
  <c r="BX124" i="1"/>
  <c r="CC124" i="1"/>
  <c r="BO124" i="1"/>
  <c r="BV124" i="1"/>
  <c r="CJ124" i="1"/>
  <c r="T172" i="1"/>
  <c r="DD172" i="1"/>
  <c r="W172" i="1"/>
  <c r="DA172" i="1"/>
  <c r="V172" i="1"/>
  <c r="CY172" i="1"/>
  <c r="S172" i="1"/>
  <c r="U172" i="1"/>
  <c r="CC89" i="1"/>
  <c r="CJ89" i="1"/>
  <c r="CE125" i="1"/>
  <c r="CL125" i="1"/>
  <c r="BO25" i="1"/>
  <c r="CC25" i="1"/>
  <c r="BV25" i="1"/>
  <c r="CJ25" i="1"/>
  <c r="S149" i="1"/>
  <c r="DA149" i="1"/>
  <c r="DD149" i="1"/>
  <c r="U149" i="1"/>
  <c r="W149" i="1"/>
  <c r="T149" i="1"/>
  <c r="CY149" i="1"/>
  <c r="V149" i="1"/>
  <c r="BV110" i="1"/>
  <c r="CJ110" i="1"/>
  <c r="CC110" i="1"/>
  <c r="BO110" i="1"/>
  <c r="CE110" i="1"/>
  <c r="BX110" i="1"/>
  <c r="BQ110" i="1"/>
  <c r="CL110" i="1"/>
  <c r="CE152" i="1"/>
  <c r="BX152" i="1"/>
  <c r="BQ152" i="1"/>
  <c r="CL173" i="1"/>
  <c r="CE173" i="1"/>
  <c r="CK173" i="1"/>
  <c r="CD173" i="1"/>
  <c r="S113" i="1"/>
  <c r="DD113" i="1"/>
  <c r="T113" i="1"/>
  <c r="DA113" i="1"/>
  <c r="CY113" i="1"/>
  <c r="U113" i="1"/>
  <c r="V113" i="1"/>
  <c r="W113" i="1"/>
  <c r="BV177" i="1"/>
  <c r="CC177" i="1"/>
  <c r="BO177" i="1"/>
  <c r="CJ177" i="1"/>
  <c r="CE19" i="1"/>
  <c r="CL19" i="1"/>
  <c r="BQ35" i="1"/>
  <c r="CE35" i="1"/>
  <c r="BX35" i="1"/>
  <c r="CL35" i="1"/>
  <c r="CC51" i="1"/>
  <c r="CJ51" i="1"/>
  <c r="BV51" i="1"/>
  <c r="CL51" i="1"/>
  <c r="CE51" i="1"/>
  <c r="BX51" i="1"/>
  <c r="DA67" i="1"/>
  <c r="DE67" i="1" s="1"/>
  <c r="CY67" i="1"/>
  <c r="DD67" i="1"/>
  <c r="CD16" i="1"/>
  <c r="CK16" i="1"/>
  <c r="CY16" i="1"/>
  <c r="DD16" i="1"/>
  <c r="DH16" i="1" s="1"/>
  <c r="DA16" i="1"/>
  <c r="CE48" i="1"/>
  <c r="BQ48" i="1"/>
  <c r="CL48" i="1"/>
  <c r="BX48" i="1"/>
  <c r="BO64" i="1"/>
  <c r="CC64" i="1"/>
  <c r="CJ64" i="1"/>
  <c r="BV64" i="1"/>
  <c r="T77" i="1"/>
  <c r="DA77" i="1"/>
  <c r="U77" i="1"/>
  <c r="DD77" i="1"/>
  <c r="DH77" i="1" s="1"/>
  <c r="V77" i="1"/>
  <c r="W77" i="1"/>
  <c r="CY77" i="1"/>
  <c r="S77" i="1"/>
  <c r="BX93" i="1"/>
  <c r="BQ93" i="1"/>
  <c r="CL93" i="1"/>
  <c r="CE93" i="1"/>
  <c r="BW93" i="1"/>
  <c r="BP93" i="1"/>
  <c r="CD93" i="1"/>
  <c r="CK93" i="1"/>
  <c r="BP101" i="1"/>
  <c r="BW101" i="1"/>
  <c r="CD101" i="1"/>
  <c r="CK101" i="1"/>
  <c r="CK23" i="1"/>
  <c r="CD23" i="1"/>
  <c r="BP23" i="1"/>
  <c r="BW23" i="1"/>
  <c r="DD23" i="1"/>
  <c r="DA23" i="1"/>
  <c r="CY23" i="1"/>
  <c r="DF114" i="1"/>
  <c r="BO146" i="1"/>
  <c r="BV146" i="1"/>
  <c r="CJ146" i="1"/>
  <c r="CC146" i="1"/>
  <c r="T146" i="1"/>
  <c r="W146" i="1"/>
  <c r="S146" i="1"/>
  <c r="CY146" i="1"/>
  <c r="V146" i="1"/>
  <c r="DD146" i="1"/>
  <c r="U146" i="1"/>
  <c r="DA146" i="1"/>
  <c r="CC28" i="1"/>
  <c r="CJ28" i="1"/>
  <c r="BV28" i="1"/>
  <c r="BO28" i="1"/>
  <c r="BQ60" i="1"/>
  <c r="CE60" i="1"/>
  <c r="CL60" i="1"/>
  <c r="BX60" i="1"/>
  <c r="BV84" i="1"/>
  <c r="BO84" i="1"/>
  <c r="CC84" i="1"/>
  <c r="S100" i="1"/>
  <c r="DA100" i="1"/>
  <c r="V100" i="1"/>
  <c r="DD100" i="1"/>
  <c r="T100" i="1"/>
  <c r="U100" i="1"/>
  <c r="CY100" i="1"/>
  <c r="W100" i="1"/>
  <c r="BQ115" i="1"/>
  <c r="CE115" i="1"/>
  <c r="BX115" i="1"/>
  <c r="CL115" i="1"/>
  <c r="DF125" i="1"/>
  <c r="CJ131" i="1"/>
  <c r="CD131" i="1"/>
  <c r="CK131" i="1"/>
  <c r="CY131" i="1"/>
  <c r="S131" i="1"/>
  <c r="U131" i="1"/>
  <c r="T131" i="1"/>
  <c r="DD131" i="1"/>
  <c r="DH131" i="1" s="1"/>
  <c r="W131" i="1"/>
  <c r="DA131" i="1"/>
  <c r="CD147" i="1"/>
  <c r="BP147" i="1"/>
  <c r="CK147" i="1"/>
  <c r="BW147" i="1"/>
  <c r="BQ157" i="1"/>
  <c r="CL157" i="1"/>
  <c r="BX157" i="1"/>
  <c r="CE157" i="1"/>
  <c r="T174" i="1"/>
  <c r="W174" i="1"/>
  <c r="CY174" i="1"/>
  <c r="S174" i="1"/>
  <c r="V174" i="1"/>
  <c r="DD174" i="1"/>
  <c r="DH174" i="1" s="1"/>
  <c r="DA174" i="1"/>
  <c r="U174" i="1"/>
  <c r="CC57" i="1"/>
  <c r="CJ57" i="1"/>
  <c r="BO57" i="1"/>
  <c r="CY57" i="1"/>
  <c r="DE57" i="1" s="1"/>
  <c r="DD57" i="1"/>
  <c r="DA57" i="1"/>
  <c r="BQ20" i="1"/>
  <c r="BX20" i="1"/>
  <c r="CL20" i="1"/>
  <c r="CE20" i="1"/>
  <c r="BV20" i="1"/>
  <c r="BO20" i="1"/>
  <c r="CJ20" i="1"/>
  <c r="CC20" i="1"/>
  <c r="BP165" i="1"/>
  <c r="CK165" i="1"/>
  <c r="BW165" i="1"/>
  <c r="CD165" i="1"/>
  <c r="U165" i="1"/>
  <c r="DA165" i="1"/>
  <c r="S165" i="1"/>
  <c r="DD165" i="1"/>
  <c r="V165" i="1"/>
  <c r="T165" i="1"/>
  <c r="W165" i="1"/>
  <c r="CY165" i="1"/>
  <c r="AJ83" i="1"/>
  <c r="CL8" i="1"/>
  <c r="CD8" i="1"/>
  <c r="CK8" i="1"/>
  <c r="CJ40" i="1"/>
  <c r="CC40" i="1"/>
  <c r="DD40" i="1"/>
  <c r="DH40" i="1" s="1"/>
  <c r="DA40" i="1"/>
  <c r="DE40" i="1" s="1"/>
  <c r="CY40" i="1"/>
  <c r="BQ96" i="1"/>
  <c r="CE96" i="1"/>
  <c r="BX96" i="1"/>
  <c r="CL96" i="1"/>
  <c r="BP39" i="1"/>
  <c r="CD39" i="1"/>
  <c r="CK39" i="1"/>
  <c r="BW39" i="1"/>
  <c r="CE47" i="1"/>
  <c r="BQ47" i="1"/>
  <c r="CL47" i="1"/>
  <c r="BX47" i="1"/>
  <c r="DA47" i="1"/>
  <c r="CY47" i="1"/>
  <c r="DE47" i="1" s="1"/>
  <c r="DD47" i="1"/>
  <c r="CJ136" i="1"/>
  <c r="BP136" i="1"/>
  <c r="CK136" i="1"/>
  <c r="CD136" i="1"/>
  <c r="BW136" i="1"/>
  <c r="CK155" i="1"/>
  <c r="BW155" i="1"/>
  <c r="BP155" i="1"/>
  <c r="CD155" i="1"/>
  <c r="CC162" i="1"/>
  <c r="BV162" i="1"/>
  <c r="BO162" i="1"/>
  <c r="CJ162" i="1"/>
  <c r="BX162" i="1"/>
  <c r="CE162" i="1"/>
  <c r="CL162" i="1"/>
  <c r="BQ162" i="1"/>
  <c r="CD10" i="1"/>
  <c r="BP10" i="1"/>
  <c r="BW10" i="1"/>
  <c r="CK10" i="1"/>
  <c r="DA10" i="1"/>
  <c r="DD10" i="1"/>
  <c r="DH10" i="1" s="1"/>
  <c r="CY10" i="1"/>
  <c r="CL116" i="1"/>
  <c r="BQ116" i="1"/>
  <c r="CE116" i="1"/>
  <c r="BX116" i="1"/>
  <c r="BO116" i="1"/>
  <c r="BV116" i="1"/>
  <c r="CC116" i="1"/>
  <c r="CJ116" i="1"/>
  <c r="CJ148" i="1"/>
  <c r="CC148" i="1"/>
  <c r="CJ156" i="1"/>
  <c r="BO156" i="1"/>
  <c r="CC156" i="1"/>
  <c r="BV156" i="1"/>
  <c r="CC36" i="1"/>
  <c r="CJ36" i="1"/>
  <c r="BV151" i="1"/>
  <c r="CC151" i="1"/>
  <c r="CJ151" i="1"/>
  <c r="BO151" i="1"/>
  <c r="BQ175" i="1"/>
  <c r="BX175" i="1"/>
  <c r="CL175" i="1"/>
  <c r="CE175" i="1"/>
  <c r="BP175" i="1"/>
  <c r="CD175" i="1"/>
  <c r="CK175" i="1"/>
  <c r="BW175" i="1"/>
  <c r="DD68" i="1"/>
  <c r="DH68" i="1" s="1"/>
  <c r="DA68" i="1"/>
  <c r="CY68" i="1"/>
  <c r="CE153" i="1"/>
  <c r="BX153" i="1"/>
  <c r="BQ153" i="1"/>
  <c r="CL153" i="1"/>
  <c r="CK129" i="1"/>
  <c r="BP129" i="1"/>
  <c r="BW129" i="1"/>
  <c r="CD129" i="1"/>
  <c r="DA129" i="1"/>
  <c r="CY129" i="1"/>
  <c r="DD129" i="1"/>
  <c r="W129" i="1"/>
  <c r="V129" i="1"/>
  <c r="S129" i="1"/>
  <c r="U129" i="1"/>
  <c r="T129" i="1"/>
  <c r="BW161" i="1"/>
  <c r="CD161" i="1"/>
  <c r="CK161" i="1"/>
  <c r="BP161" i="1"/>
  <c r="CL6" i="1"/>
  <c r="CD6" i="1"/>
  <c r="CK6" i="1"/>
  <c r="DD6" i="1"/>
  <c r="DH6" i="1" s="1"/>
  <c r="DA6" i="1"/>
  <c r="CY6" i="1"/>
  <c r="BP38" i="1"/>
  <c r="BW38" i="1"/>
  <c r="CD38" i="1"/>
  <c r="CK38" i="1"/>
  <c r="CC54" i="1"/>
  <c r="CJ54" i="1"/>
  <c r="BX70" i="1"/>
  <c r="BQ70" i="1"/>
  <c r="CL70" i="1"/>
  <c r="CE70" i="1"/>
  <c r="DD70" i="1"/>
  <c r="DA70" i="1"/>
  <c r="CY70" i="1"/>
  <c r="CJ21" i="1"/>
  <c r="CK21" i="1"/>
  <c r="CD21" i="1"/>
  <c r="BP37" i="1"/>
  <c r="BW37" i="1"/>
  <c r="CK37" i="1"/>
  <c r="CD37" i="1"/>
  <c r="DD37" i="1"/>
  <c r="DH37" i="1" s="1"/>
  <c r="CY37" i="1"/>
  <c r="DA37" i="1"/>
  <c r="BW53" i="1"/>
  <c r="BP53" i="1"/>
  <c r="CD53" i="1"/>
  <c r="CK53" i="1"/>
  <c r="BV69" i="1"/>
  <c r="BO69" i="1"/>
  <c r="DH69" i="1" s="1"/>
  <c r="CC69" i="1"/>
  <c r="CJ69" i="1"/>
  <c r="AJ163" i="1"/>
  <c r="CK4" i="1"/>
  <c r="CD4" i="1"/>
  <c r="BW4" i="1"/>
  <c r="BP4" i="1"/>
  <c r="BQ34" i="1"/>
  <c r="BX34" i="1"/>
  <c r="CL34" i="1"/>
  <c r="CE34" i="1"/>
  <c r="BO66" i="1"/>
  <c r="BV66" i="1"/>
  <c r="CC66" i="1"/>
  <c r="BV108" i="1"/>
  <c r="CC108" i="1"/>
  <c r="CJ108" i="1"/>
  <c r="BO108" i="1"/>
  <c r="T108" i="1"/>
  <c r="CY108" i="1"/>
  <c r="S108" i="1"/>
  <c r="U108" i="1"/>
  <c r="W108" i="1"/>
  <c r="V108" i="1"/>
  <c r="DD108" i="1"/>
  <c r="DA108" i="1"/>
  <c r="CD126" i="1"/>
  <c r="CK126" i="1"/>
  <c r="CJ126" i="1"/>
  <c r="CC126" i="1"/>
  <c r="CC142" i="1"/>
  <c r="CJ142" i="1"/>
  <c r="T158" i="1"/>
  <c r="S158" i="1"/>
  <c r="DD158" i="1"/>
  <c r="W158" i="1"/>
  <c r="U158" i="1"/>
  <c r="DA158" i="1"/>
  <c r="V158" i="1"/>
  <c r="CY158" i="1"/>
  <c r="CD33" i="1"/>
  <c r="BP33" i="1"/>
  <c r="BW33" i="1"/>
  <c r="CK33" i="1"/>
  <c r="CE33" i="1"/>
  <c r="BQ33" i="1"/>
  <c r="BX33" i="1"/>
  <c r="CL33" i="1"/>
  <c r="CL65" i="1"/>
  <c r="CE65" i="1"/>
  <c r="DA65" i="1"/>
  <c r="CY65" i="1"/>
  <c r="DD65" i="1"/>
  <c r="DH65" i="1" s="1"/>
  <c r="BP87" i="1"/>
  <c r="BW87" i="1"/>
  <c r="CK87" i="1"/>
  <c r="CD87" i="1"/>
  <c r="DF121" i="1"/>
  <c r="DF127" i="1"/>
  <c r="S127" i="1"/>
  <c r="V127" i="1"/>
  <c r="CY127" i="1"/>
  <c r="U127" i="1"/>
  <c r="W127" i="1"/>
  <c r="DA127" i="1"/>
  <c r="DD127" i="1"/>
  <c r="T127" i="1"/>
  <c r="BW143" i="1"/>
  <c r="CD143" i="1"/>
  <c r="CK143" i="1"/>
  <c r="BP143" i="1"/>
  <c r="AJ119" i="1"/>
  <c r="CK31" i="1"/>
  <c r="CD31" i="1"/>
  <c r="BP31" i="1"/>
  <c r="BW31" i="1"/>
  <c r="BX31" i="1"/>
  <c r="BQ31" i="1"/>
  <c r="CL31" i="1"/>
  <c r="CE31" i="1"/>
  <c r="DF118" i="1"/>
  <c r="CE167" i="1"/>
  <c r="BX167" i="1"/>
  <c r="CL167" i="1"/>
  <c r="BQ167" i="1"/>
  <c r="CK167" i="1"/>
  <c r="BP167" i="1"/>
  <c r="CD167" i="1"/>
  <c r="BW167" i="1"/>
  <c r="BO80" i="1"/>
  <c r="CJ80" i="1"/>
  <c r="CC80" i="1"/>
  <c r="BV80" i="1"/>
  <c r="BW80" i="1"/>
  <c r="CD80" i="1"/>
  <c r="CK80" i="1"/>
  <c r="BP80" i="1"/>
  <c r="CK7" i="1"/>
  <c r="CD7" i="1"/>
  <c r="CE71" i="1"/>
  <c r="CL71" i="1"/>
  <c r="CJ71" i="1"/>
  <c r="CC71" i="1"/>
  <c r="CK122" i="1"/>
  <c r="CD122" i="1"/>
  <c r="BW122" i="1"/>
  <c r="BP122" i="1"/>
  <c r="CK138" i="1"/>
  <c r="BP138" i="1"/>
  <c r="BW138" i="1"/>
  <c r="CD138" i="1"/>
  <c r="CE154" i="1"/>
  <c r="CL154" i="1"/>
  <c r="Y328" i="1"/>
  <c r="AK43" i="1"/>
  <c r="AI43" i="1"/>
  <c r="AS54" i="1"/>
  <c r="AQ54" i="1"/>
  <c r="AB228" i="1"/>
  <c r="Z228" i="1"/>
  <c r="AH218" i="1"/>
  <c r="X218" i="1"/>
  <c r="Y218" i="1"/>
  <c r="AH273" i="1"/>
  <c r="X273" i="1"/>
  <c r="Y273" i="1"/>
  <c r="AH210" i="1"/>
  <c r="X210" i="1"/>
  <c r="AI63" i="1"/>
  <c r="AK63" i="1"/>
  <c r="AQ220" i="1"/>
  <c r="AS220" i="1"/>
  <c r="AQ169" i="1"/>
  <c r="AS169" i="1"/>
  <c r="AH301" i="1"/>
  <c r="Y301" i="1"/>
  <c r="X301" i="1"/>
  <c r="AS275" i="1"/>
  <c r="AQ275" i="1"/>
  <c r="AI326" i="1"/>
  <c r="AK326" i="1"/>
  <c r="AI54" i="1"/>
  <c r="AK54" i="1"/>
  <c r="DC14" i="1"/>
  <c r="DF14" i="1" s="1"/>
  <c r="DE14" i="1"/>
  <c r="DC38" i="1"/>
  <c r="DF38" i="1" s="1"/>
  <c r="DC46" i="1"/>
  <c r="DF46" i="1" s="1"/>
  <c r="DC54" i="1"/>
  <c r="DF54" i="1" s="1"/>
  <c r="DE54" i="1"/>
  <c r="DC62" i="1"/>
  <c r="DF62" i="1" s="1"/>
  <c r="DE62" i="1"/>
  <c r="DC94" i="1"/>
  <c r="DF94" i="1" s="1"/>
  <c r="DE94" i="1"/>
  <c r="DG94" i="1" s="1"/>
  <c r="DC110" i="1"/>
  <c r="DF110" i="1" s="1"/>
  <c r="AB7" i="1"/>
  <c r="Z7" i="1"/>
  <c r="AB19" i="1"/>
  <c r="Z19" i="1"/>
  <c r="Z27" i="1"/>
  <c r="AB27" i="1"/>
  <c r="AC27" i="1" s="1"/>
  <c r="AD27" i="1" s="1"/>
  <c r="AI31" i="1"/>
  <c r="AK31" i="1"/>
  <c r="Z39" i="1"/>
  <c r="AB39" i="1"/>
  <c r="Z47" i="1"/>
  <c r="AB47" i="1"/>
  <c r="AI71" i="1"/>
  <c r="AK71" i="1"/>
  <c r="X219" i="1"/>
  <c r="AH219" i="1"/>
  <c r="Y219" i="1"/>
  <c r="X260" i="1"/>
  <c r="Y260" i="1"/>
  <c r="AH260" i="1"/>
  <c r="AI58" i="1"/>
  <c r="AK58" i="1"/>
  <c r="AI53" i="1"/>
  <c r="AK53" i="1"/>
  <c r="AI95" i="1"/>
  <c r="AK95" i="1"/>
  <c r="AS29" i="1"/>
  <c r="AQ29" i="1"/>
  <c r="AQ45" i="1"/>
  <c r="AS45" i="1"/>
  <c r="AT45" i="1" s="1"/>
  <c r="AU45" i="1" s="1"/>
  <c r="AQ185" i="1"/>
  <c r="AS185" i="1"/>
  <c r="AQ215" i="1"/>
  <c r="AS215" i="1"/>
  <c r="Y210" i="1"/>
  <c r="AH265" i="1"/>
  <c r="X265" i="1"/>
  <c r="Y265" i="1"/>
  <c r="AQ255" i="1"/>
  <c r="AB30" i="1"/>
  <c r="Z30" i="1"/>
  <c r="AK268" i="1"/>
  <c r="AI268" i="1"/>
  <c r="AS11" i="1"/>
  <c r="AQ11" i="1"/>
  <c r="Z214" i="1"/>
  <c r="AB214" i="1"/>
  <c r="AC214" i="1" s="1"/>
  <c r="AD214" i="1" s="1"/>
  <c r="Z220" i="1"/>
  <c r="AB220" i="1"/>
  <c r="AH302" i="1"/>
  <c r="X302" i="1"/>
  <c r="Y302" i="1"/>
  <c r="AK18" i="1"/>
  <c r="AI18" i="1"/>
  <c r="AB34" i="1"/>
  <c r="Z34" i="1"/>
  <c r="AI46" i="1"/>
  <c r="AK46" i="1"/>
  <c r="AK50" i="1"/>
  <c r="AI50" i="1"/>
  <c r="AB239" i="1"/>
  <c r="Z239" i="1"/>
  <c r="AK267" i="1"/>
  <c r="AI267" i="1"/>
  <c r="X220" i="1"/>
  <c r="Y221" i="1"/>
  <c r="X221" i="1"/>
  <c r="AH221" i="1"/>
  <c r="AB253" i="1"/>
  <c r="Z253" i="1"/>
  <c r="AB46" i="1"/>
  <c r="Z46" i="1"/>
  <c r="AC46" i="1" s="1"/>
  <c r="AD46" i="1" s="1"/>
  <c r="AB70" i="1"/>
  <c r="Z70" i="1"/>
  <c r="AF7" i="1"/>
  <c r="BD7" i="1"/>
  <c r="BF11" i="1"/>
  <c r="AW11" i="1"/>
  <c r="BF19" i="1"/>
  <c r="AW19" i="1"/>
  <c r="BB23" i="1"/>
  <c r="AO23" i="1"/>
  <c r="AF35" i="1"/>
  <c r="BD35" i="1"/>
  <c r="BB39" i="1"/>
  <c r="AO39" i="1"/>
  <c r="Y43" i="1"/>
  <c r="AH43" i="1"/>
  <c r="AW51" i="1"/>
  <c r="BF51" i="1"/>
  <c r="AF55" i="1"/>
  <c r="BD55" i="1"/>
  <c r="AW59" i="1"/>
  <c r="BF59" i="1"/>
  <c r="AH59" i="1"/>
  <c r="X59" i="1"/>
  <c r="Y59" i="1"/>
  <c r="BB63" i="1"/>
  <c r="AO63" i="1"/>
  <c r="BF67" i="1"/>
  <c r="AW67" i="1"/>
  <c r="AF71" i="1"/>
  <c r="BD71" i="1"/>
  <c r="AK200" i="1"/>
  <c r="AI200" i="1"/>
  <c r="Z11" i="1"/>
  <c r="AB32" i="1"/>
  <c r="Z32" i="1"/>
  <c r="Z31" i="1"/>
  <c r="AB31" i="1"/>
  <c r="AK216" i="1"/>
  <c r="AI216" i="1"/>
  <c r="Y280" i="1"/>
  <c r="AH280" i="1"/>
  <c r="X280" i="1"/>
  <c r="AB252" i="1"/>
  <c r="Z252" i="1"/>
  <c r="AB66" i="1"/>
  <c r="Z66" i="1"/>
  <c r="AS247" i="1"/>
  <c r="AQ247" i="1"/>
  <c r="AH341" i="1"/>
  <c r="Y341" i="1"/>
  <c r="X341" i="1"/>
  <c r="DC20" i="1"/>
  <c r="DF20" i="1" s="1"/>
  <c r="DE20" i="1"/>
  <c r="DC28" i="1"/>
  <c r="DF28" i="1" s="1"/>
  <c r="DC36" i="1"/>
  <c r="DF36" i="1" s="1"/>
  <c r="DC44" i="1"/>
  <c r="DF44" i="1" s="1"/>
  <c r="DC52" i="1"/>
  <c r="DF52" i="1" s="1"/>
  <c r="DE52" i="1"/>
  <c r="DC68" i="1"/>
  <c r="DF68" i="1" s="1"/>
  <c r="DC76" i="1"/>
  <c r="DF76" i="1" s="1"/>
  <c r="DC84" i="1"/>
  <c r="DF84" i="1" s="1"/>
  <c r="Y241" i="1"/>
  <c r="AH241" i="1"/>
  <c r="AQ17" i="1"/>
  <c r="AI25" i="1"/>
  <c r="AK25" i="1"/>
  <c r="AK33" i="1"/>
  <c r="AI33" i="1"/>
  <c r="AH254" i="1"/>
  <c r="X254" i="1"/>
  <c r="Y254" i="1"/>
  <c r="AQ236" i="1"/>
  <c r="AS236" i="1"/>
  <c r="AS287" i="1"/>
  <c r="AQ287" i="1"/>
  <c r="AI15" i="1"/>
  <c r="AK15" i="1"/>
  <c r="Z251" i="1"/>
  <c r="AB251" i="1"/>
  <c r="AS333" i="1"/>
  <c r="AQ333" i="1"/>
  <c r="AB24" i="1"/>
  <c r="Z24" i="1"/>
  <c r="Z235" i="1"/>
  <c r="AB235" i="1"/>
  <c r="AQ262" i="1"/>
  <c r="AS262" i="1"/>
  <c r="AQ57" i="1"/>
  <c r="AS57" i="1"/>
  <c r="AB267" i="1"/>
  <c r="Z267" i="1"/>
  <c r="DH92" i="1"/>
  <c r="X262" i="1"/>
  <c r="Y262" i="1"/>
  <c r="Z50" i="1"/>
  <c r="AB50" i="1"/>
  <c r="AK169" i="1"/>
  <c r="AI169" i="1"/>
  <c r="X307" i="1"/>
  <c r="AH307" i="1"/>
  <c r="Y307" i="1"/>
  <c r="AS53" i="1"/>
  <c r="AQ53" i="1"/>
  <c r="AK61" i="1"/>
  <c r="AI61" i="1"/>
  <c r="AQ65" i="1"/>
  <c r="AS65" i="1"/>
  <c r="AQ179" i="1"/>
  <c r="AS179" i="1"/>
  <c r="AS224" i="1"/>
  <c r="AQ224" i="1"/>
  <c r="Y103" i="1"/>
  <c r="AH103" i="1"/>
  <c r="X103" i="1"/>
  <c r="Z192" i="1"/>
  <c r="AB192" i="1"/>
  <c r="Z256" i="1"/>
  <c r="AB256" i="1"/>
  <c r="AS264" i="1"/>
  <c r="AQ264" i="1"/>
  <c r="AQ315" i="1"/>
  <c r="AS315" i="1"/>
  <c r="AK279" i="1"/>
  <c r="AK11" i="1"/>
  <c r="AI11" i="1"/>
  <c r="AK23" i="1"/>
  <c r="AI23" i="1"/>
  <c r="AB238" i="1"/>
  <c r="Z238" i="1"/>
  <c r="AS209" i="1"/>
  <c r="AQ209" i="1"/>
  <c r="X211" i="1"/>
  <c r="Y211" i="1"/>
  <c r="AH211" i="1"/>
  <c r="DH94" i="1"/>
  <c r="AK241" i="1"/>
  <c r="AI241" i="1"/>
  <c r="AI66" i="1"/>
  <c r="AK66" i="1"/>
  <c r="AH337" i="1"/>
  <c r="Y337" i="1"/>
  <c r="X337" i="1"/>
  <c r="BB9" i="1"/>
  <c r="AO9" i="1"/>
  <c r="AH13" i="1"/>
  <c r="Y13" i="1"/>
  <c r="X13" i="1"/>
  <c r="AO29" i="1"/>
  <c r="BB29" i="1"/>
  <c r="AF33" i="1"/>
  <c r="BD33" i="1"/>
  <c r="AW37" i="1"/>
  <c r="BF37" i="1"/>
  <c r="Y37" i="1"/>
  <c r="AH37" i="1"/>
  <c r="X37" i="1"/>
  <c r="AW41" i="1"/>
  <c r="BF41" i="1"/>
  <c r="BB49" i="1"/>
  <c r="AO49" i="1"/>
  <c r="AF53" i="1"/>
  <c r="BD53" i="1"/>
  <c r="Y57" i="1"/>
  <c r="X57" i="1"/>
  <c r="AF65" i="1"/>
  <c r="BD65" i="1"/>
  <c r="AI225" i="1"/>
  <c r="AK225" i="1"/>
  <c r="BD43" i="1"/>
  <c r="Z269" i="1"/>
  <c r="AB269" i="1"/>
  <c r="Z261" i="1"/>
  <c r="AB261" i="1"/>
  <c r="AI246" i="1"/>
  <c r="AK246" i="1"/>
  <c r="AB263" i="1"/>
  <c r="Z263" i="1"/>
  <c r="AS26" i="1"/>
  <c r="AQ26" i="1"/>
  <c r="AK343" i="1"/>
  <c r="AI343" i="1"/>
  <c r="AH320" i="1"/>
  <c r="X320" i="1"/>
  <c r="Y320" i="1"/>
  <c r="DC9" i="1"/>
  <c r="DF9" i="1" s="1"/>
  <c r="DC81" i="1"/>
  <c r="DF81" i="1" s="1"/>
  <c r="DC105" i="1"/>
  <c r="DF105" i="1" s="1"/>
  <c r="AI249" i="1"/>
  <c r="AK249" i="1"/>
  <c r="AH311" i="1"/>
  <c r="Y311" i="1"/>
  <c r="X311" i="1"/>
  <c r="AI22" i="1"/>
  <c r="AK22" i="1"/>
  <c r="Z246" i="1"/>
  <c r="AB40" i="1"/>
  <c r="Z40" i="1"/>
  <c r="AI65" i="1"/>
  <c r="AK65" i="1"/>
  <c r="AK45" i="1"/>
  <c r="AI45" i="1"/>
  <c r="AB303" i="1"/>
  <c r="Z303" i="1"/>
  <c r="X305" i="1"/>
  <c r="Y305" i="1"/>
  <c r="AH305" i="1"/>
  <c r="DC27" i="1"/>
  <c r="DF27" i="1" s="1"/>
  <c r="DC99" i="1"/>
  <c r="DF99" i="1" s="1"/>
  <c r="Z316" i="1"/>
  <c r="AB316" i="1"/>
  <c r="AK32" i="1"/>
  <c r="AI32" i="1"/>
  <c r="AI30" i="1"/>
  <c r="AK30" i="1"/>
  <c r="DH97" i="1"/>
  <c r="AK228" i="1"/>
  <c r="AI228" i="1"/>
  <c r="AS200" i="1"/>
  <c r="AQ200" i="1"/>
  <c r="AB179" i="1"/>
  <c r="Z179" i="1"/>
  <c r="DE95" i="1"/>
  <c r="BD30" i="1"/>
  <c r="AB243" i="1"/>
  <c r="Z243" i="1"/>
  <c r="Z264" i="1"/>
  <c r="AB264" i="1"/>
  <c r="AS334" i="1"/>
  <c r="AQ334" i="1"/>
  <c r="AQ235" i="1"/>
  <c r="AS235" i="1"/>
  <c r="X291" i="1"/>
  <c r="AH291" i="1"/>
  <c r="Y291" i="1"/>
  <c r="AB284" i="1"/>
  <c r="Z284" i="1"/>
  <c r="Y62" i="1"/>
  <c r="AQ63" i="1"/>
  <c r="AS63" i="1"/>
  <c r="AB268" i="1"/>
  <c r="Z268" i="1"/>
  <c r="DC6" i="1"/>
  <c r="DF6" i="1" s="1"/>
  <c r="DC22" i="1"/>
  <c r="DF22" i="1" s="1"/>
  <c r="DE22" i="1"/>
  <c r="DC30" i="1"/>
  <c r="DF30" i="1" s="1"/>
  <c r="DC70" i="1"/>
  <c r="DF70" i="1" s="1"/>
  <c r="DC78" i="1"/>
  <c r="DF78" i="1" s="1"/>
  <c r="DC86" i="1"/>
  <c r="DF86" i="1" s="1"/>
  <c r="DC102" i="1"/>
  <c r="DF102" i="1" s="1"/>
  <c r="DE102" i="1"/>
  <c r="Y14" i="1"/>
  <c r="Y308" i="1"/>
  <c r="X308" i="1"/>
  <c r="AB63" i="1"/>
  <c r="Z63" i="1"/>
  <c r="AQ20" i="1"/>
  <c r="AS20" i="1"/>
  <c r="AK259" i="1"/>
  <c r="AI259" i="1"/>
  <c r="AB20" i="1"/>
  <c r="Z20" i="1"/>
  <c r="AH32" i="1"/>
  <c r="BF31" i="1"/>
  <c r="BF23" i="1"/>
  <c r="BF7" i="1"/>
  <c r="AI224" i="1"/>
  <c r="AK224" i="1"/>
  <c r="AQ192" i="1"/>
  <c r="AS192" i="1"/>
  <c r="AK68" i="1"/>
  <c r="AI68" i="1"/>
  <c r="Z255" i="1"/>
  <c r="AB255" i="1"/>
  <c r="AK257" i="1"/>
  <c r="AI257" i="1"/>
  <c r="AB212" i="1"/>
  <c r="Z212" i="1"/>
  <c r="AQ228" i="1"/>
  <c r="AS228" i="1"/>
  <c r="AS240" i="1"/>
  <c r="AH271" i="1"/>
  <c r="X271" i="1"/>
  <c r="Y271" i="1"/>
  <c r="X289" i="1"/>
  <c r="AH289" i="1"/>
  <c r="X294" i="1"/>
  <c r="AH294" i="1"/>
  <c r="Y294" i="1"/>
  <c r="AH253" i="1"/>
  <c r="Y288" i="1"/>
  <c r="AH288" i="1"/>
  <c r="X288" i="1"/>
  <c r="X34" i="1"/>
  <c r="Y58" i="1"/>
  <c r="BD66" i="1"/>
  <c r="AI283" i="1"/>
  <c r="AK283" i="1"/>
  <c r="AB334" i="1"/>
  <c r="Z334" i="1"/>
  <c r="DC12" i="1"/>
  <c r="DF12" i="1" s="1"/>
  <c r="DC60" i="1"/>
  <c r="DF60" i="1" s="1"/>
  <c r="DC92" i="1"/>
  <c r="DF92" i="1" s="1"/>
  <c r="DC100" i="1"/>
  <c r="DF100" i="1" s="1"/>
  <c r="DC108" i="1"/>
  <c r="DF108" i="1" s="1"/>
  <c r="DE108" i="1"/>
  <c r="X310" i="1"/>
  <c r="Y310" i="1"/>
  <c r="AH310" i="1"/>
  <c r="AK192" i="1"/>
  <c r="AI192" i="1"/>
  <c r="AB208" i="1"/>
  <c r="Z208" i="1"/>
  <c r="AK185" i="1"/>
  <c r="AI185" i="1"/>
  <c r="AH16" i="1"/>
  <c r="Y16" i="1"/>
  <c r="AB236" i="1"/>
  <c r="X27" i="1"/>
  <c r="AO15" i="1"/>
  <c r="AI250" i="1"/>
  <c r="AK250" i="1"/>
  <c r="BF13" i="1"/>
  <c r="BD27" i="1"/>
  <c r="AI322" i="1"/>
  <c r="AK322" i="1"/>
  <c r="BB47" i="1"/>
  <c r="X239" i="1"/>
  <c r="AH217" i="1"/>
  <c r="Y217" i="1"/>
  <c r="X217" i="1"/>
  <c r="AK213" i="1"/>
  <c r="AI213" i="1"/>
  <c r="X290" i="1"/>
  <c r="AH290" i="1"/>
  <c r="Y290" i="1"/>
  <c r="AH239" i="1"/>
  <c r="AH296" i="1"/>
  <c r="X296" i="1"/>
  <c r="Y296" i="1"/>
  <c r="BD49" i="1"/>
  <c r="AB10" i="1"/>
  <c r="Z10" i="1"/>
  <c r="BB61" i="1"/>
  <c r="AH61" i="1"/>
  <c r="AC198" i="1"/>
  <c r="AD198" i="1" s="1"/>
  <c r="AE198" i="1" s="1"/>
  <c r="AH34" i="1"/>
  <c r="X258" i="1"/>
  <c r="AQ197" i="1"/>
  <c r="X19" i="1"/>
  <c r="AH19" i="1"/>
  <c r="Y23" i="1"/>
  <c r="AH23" i="1"/>
  <c r="BB46" i="1"/>
  <c r="AI64" i="1"/>
  <c r="AK64" i="1"/>
  <c r="BF47" i="1"/>
  <c r="DC25" i="1"/>
  <c r="DF25" i="1" s="1"/>
  <c r="DC33" i="1"/>
  <c r="DF33" i="1" s="1"/>
  <c r="DC49" i="1"/>
  <c r="DF49" i="1" s="1"/>
  <c r="DC57" i="1"/>
  <c r="DF57" i="1" s="1"/>
  <c r="DC73" i="1"/>
  <c r="DF73" i="1" s="1"/>
  <c r="AS249" i="1"/>
  <c r="AQ249" i="1"/>
  <c r="AB339" i="1"/>
  <c r="Z339" i="1"/>
  <c r="AI26" i="1"/>
  <c r="AK26" i="1"/>
  <c r="X42" i="1"/>
  <c r="AH42" i="1"/>
  <c r="Y274" i="1"/>
  <c r="AH274" i="1"/>
  <c r="X274" i="1"/>
  <c r="X238" i="1"/>
  <c r="AQ196" i="1"/>
  <c r="AS196" i="1"/>
  <c r="Z180" i="1"/>
  <c r="AB180" i="1"/>
  <c r="AH9" i="1"/>
  <c r="AK229" i="1"/>
  <c r="AI229" i="1"/>
  <c r="AS246" i="1"/>
  <c r="AQ246" i="1"/>
  <c r="X214" i="1"/>
  <c r="AH214" i="1"/>
  <c r="AI245" i="1"/>
  <c r="AK245" i="1"/>
  <c r="AH213" i="1"/>
  <c r="BD67" i="1"/>
  <c r="Y225" i="1"/>
  <c r="X256" i="1"/>
  <c r="Y215" i="1"/>
  <c r="X261" i="1"/>
  <c r="AH261" i="1"/>
  <c r="AQ252" i="1"/>
  <c r="AS252" i="1"/>
  <c r="AH284" i="1"/>
  <c r="AH308" i="1"/>
  <c r="AH18" i="1"/>
  <c r="AI40" i="1"/>
  <c r="AK40" i="1"/>
  <c r="AO64" i="1"/>
  <c r="Y26" i="1"/>
  <c r="Y65" i="1"/>
  <c r="Y45" i="1"/>
  <c r="BD45" i="1"/>
  <c r="DC7" i="1"/>
  <c r="DF7" i="1" s="1"/>
  <c r="DE7" i="1"/>
  <c r="DC31" i="1"/>
  <c r="DF31" i="1" s="1"/>
  <c r="DE31" i="1"/>
  <c r="DC55" i="1"/>
  <c r="DF55" i="1" s="1"/>
  <c r="DE55" i="1"/>
  <c r="DC63" i="1"/>
  <c r="DF63" i="1" s="1"/>
  <c r="DE63" i="1"/>
  <c r="DC79" i="1"/>
  <c r="DF79" i="1" s="1"/>
  <c r="DC87" i="1"/>
  <c r="DF87" i="1" s="1"/>
  <c r="DC111" i="1"/>
  <c r="DF111" i="1" s="1"/>
  <c r="AH39" i="1"/>
  <c r="X333" i="1"/>
  <c r="AS12" i="1"/>
  <c r="AQ12" i="1"/>
  <c r="AO30" i="1"/>
  <c r="AS199" i="1"/>
  <c r="AQ199" i="1"/>
  <c r="AH25" i="1"/>
  <c r="BB24" i="1"/>
  <c r="AB205" i="1"/>
  <c r="Z205" i="1"/>
  <c r="Z189" i="1"/>
  <c r="AB189" i="1"/>
  <c r="BB71" i="1"/>
  <c r="BB7" i="1"/>
  <c r="AH322" i="1"/>
  <c r="AH7" i="1"/>
  <c r="AH279" i="1"/>
  <c r="BD29" i="1"/>
  <c r="AO33" i="1"/>
  <c r="Y275" i="1"/>
  <c r="Z216" i="1"/>
  <c r="AB216" i="1"/>
  <c r="AK197" i="1"/>
  <c r="AI197" i="1"/>
  <c r="Y343" i="1"/>
  <c r="AH343" i="1"/>
  <c r="DC97" i="1"/>
  <c r="DF97" i="1" s="1"/>
  <c r="DE97" i="1"/>
  <c r="AI70" i="1"/>
  <c r="AK70" i="1"/>
  <c r="AB240" i="1"/>
  <c r="Z240" i="1"/>
  <c r="AB48" i="1"/>
  <c r="Z48" i="1"/>
  <c r="AB64" i="1"/>
  <c r="AQ283" i="1"/>
  <c r="AS283" i="1"/>
  <c r="DC91" i="1"/>
  <c r="DF91" i="1" s="1"/>
  <c r="AI20" i="1"/>
  <c r="AK20" i="1"/>
  <c r="AB249" i="1"/>
  <c r="Z249" i="1"/>
  <c r="X251" i="1"/>
  <c r="AH251" i="1"/>
  <c r="AK244" i="1"/>
  <c r="AH46" i="1"/>
  <c r="AQ339" i="1"/>
  <c r="AS339" i="1"/>
  <c r="AQ258" i="1"/>
  <c r="AS258" i="1"/>
  <c r="AB29" i="1"/>
  <c r="Z29" i="1"/>
  <c r="AG185" i="1"/>
  <c r="AE185" i="1"/>
  <c r="AI275" i="1"/>
  <c r="AK275" i="1"/>
  <c r="AB259" i="1"/>
  <c r="Z259" i="1"/>
  <c r="AK212" i="1"/>
  <c r="AI212" i="1"/>
  <c r="AK190" i="1"/>
  <c r="AI190" i="1"/>
  <c r="AH22" i="1"/>
  <c r="Z95" i="1"/>
  <c r="AB95" i="1"/>
  <c r="AB223" i="1"/>
  <c r="Z223" i="1"/>
  <c r="Z350" i="1"/>
  <c r="AB350" i="1"/>
  <c r="Y232" i="1"/>
  <c r="X232" i="1"/>
  <c r="AH232" i="1"/>
  <c r="X272" i="1"/>
  <c r="Y272" i="1"/>
  <c r="AH272" i="1"/>
  <c r="AW38" i="1"/>
  <c r="DC18" i="1"/>
  <c r="DF18" i="1" s="1"/>
  <c r="DC26" i="1"/>
  <c r="DF26" i="1" s="1"/>
  <c r="DE26" i="1"/>
  <c r="DC42" i="1"/>
  <c r="DF42" i="1" s="1"/>
  <c r="DC66" i="1"/>
  <c r="DF66" i="1" s="1"/>
  <c r="DE66" i="1"/>
  <c r="DC74" i="1"/>
  <c r="DF74" i="1" s="1"/>
  <c r="DC98" i="1"/>
  <c r="DF98" i="1" s="1"/>
  <c r="DE98" i="1"/>
  <c r="DC106" i="1"/>
  <c r="DF106" i="1" s="1"/>
  <c r="Y312" i="1"/>
  <c r="AH312" i="1"/>
  <c r="X312" i="1"/>
  <c r="AH35" i="1"/>
  <c r="X35" i="1"/>
  <c r="Y35" i="1"/>
  <c r="AH51" i="1"/>
  <c r="Y51" i="1"/>
  <c r="X51" i="1"/>
  <c r="Z55" i="1"/>
  <c r="AB55" i="1"/>
  <c r="AB67" i="1"/>
  <c r="Z67" i="1"/>
  <c r="AI21" i="1"/>
  <c r="AK21" i="1"/>
  <c r="Z200" i="1"/>
  <c r="AB200" i="1"/>
  <c r="AQ193" i="1"/>
  <c r="AQ250" i="1"/>
  <c r="AS250" i="1"/>
  <c r="X231" i="1"/>
  <c r="Y231" i="1"/>
  <c r="AH231" i="1"/>
  <c r="AW43" i="1"/>
  <c r="AI252" i="1"/>
  <c r="AK252" i="1"/>
  <c r="DH128" i="1"/>
  <c r="BF24" i="1"/>
  <c r="AQ208" i="1"/>
  <c r="AS208" i="1"/>
  <c r="BD20" i="1"/>
  <c r="BD39" i="1"/>
  <c r="BD103" i="1"/>
  <c r="BB35" i="1"/>
  <c r="AI235" i="1"/>
  <c r="AK235" i="1"/>
  <c r="AH233" i="1"/>
  <c r="Y233" i="1"/>
  <c r="X233" i="1"/>
  <c r="AB42" i="1"/>
  <c r="Z42" i="1"/>
  <c r="AW95" i="1"/>
  <c r="DC8" i="1"/>
  <c r="DF8" i="1" s="1"/>
  <c r="DC40" i="1"/>
  <c r="DF40" i="1" s="1"/>
  <c r="DC48" i="1"/>
  <c r="DF48" i="1" s="1"/>
  <c r="DC56" i="1"/>
  <c r="DF56" i="1" s="1"/>
  <c r="DE56" i="1"/>
  <c r="DC72" i="1"/>
  <c r="DF72" i="1" s="1"/>
  <c r="DC80" i="1"/>
  <c r="DF80" i="1" s="1"/>
  <c r="DE80" i="1"/>
  <c r="DC88" i="1"/>
  <c r="DF88" i="1" s="1"/>
  <c r="DE88" i="1"/>
  <c r="X55" i="1"/>
  <c r="AB53" i="1"/>
  <c r="Z53" i="1"/>
  <c r="Y300" i="1"/>
  <c r="X300" i="1"/>
  <c r="AH67" i="1"/>
  <c r="AK179" i="1"/>
  <c r="AI179" i="1"/>
  <c r="AS222" i="1"/>
  <c r="AQ222" i="1"/>
  <c r="Y15" i="1"/>
  <c r="Y277" i="1"/>
  <c r="X277" i="1"/>
  <c r="AH277" i="1"/>
  <c r="BD40" i="1"/>
  <c r="BD59" i="1"/>
  <c r="X263" i="1"/>
  <c r="AB266" i="1"/>
  <c r="Z266" i="1"/>
  <c r="AK339" i="1"/>
  <c r="AI339" i="1"/>
  <c r="AH259" i="1"/>
  <c r="AH263" i="1"/>
  <c r="Z68" i="1"/>
  <c r="AB68" i="1"/>
  <c r="Y286" i="1"/>
  <c r="AH286" i="1"/>
  <c r="X286" i="1"/>
  <c r="AS66" i="1"/>
  <c r="AQ66" i="1"/>
  <c r="AI204" i="1"/>
  <c r="AK204" i="1"/>
  <c r="AH318" i="1"/>
  <c r="Y318" i="1"/>
  <c r="X318" i="1"/>
  <c r="BD13" i="1"/>
  <c r="AO19" i="1"/>
  <c r="X230" i="1"/>
  <c r="Y230" i="1"/>
  <c r="AH230" i="1"/>
  <c r="Y304" i="1"/>
  <c r="AH304" i="1"/>
  <c r="X304" i="1"/>
  <c r="Y331" i="1"/>
  <c r="AH331" i="1"/>
  <c r="DC13" i="1"/>
  <c r="DF13" i="1" s="1"/>
  <c r="DC21" i="1"/>
  <c r="DF21" i="1" s="1"/>
  <c r="DC29" i="1"/>
  <c r="DF29" i="1" s="1"/>
  <c r="DC37" i="1"/>
  <c r="DF37" i="1" s="1"/>
  <c r="DC85" i="1"/>
  <c r="DF85" i="1" s="1"/>
  <c r="DE85" i="1"/>
  <c r="DC93" i="1"/>
  <c r="DF93" i="1" s="1"/>
  <c r="DC101" i="1"/>
  <c r="DF101" i="1" s="1"/>
  <c r="Y71" i="1"/>
  <c r="AS10" i="1"/>
  <c r="AQ10" i="1"/>
  <c r="AI180" i="1"/>
  <c r="AK180" i="1"/>
  <c r="AB333" i="1"/>
  <c r="Z333" i="1"/>
  <c r="AH238" i="1"/>
  <c r="Y278" i="1"/>
  <c r="X278" i="1"/>
  <c r="AH278" i="1"/>
  <c r="AS180" i="1"/>
  <c r="AQ180" i="1"/>
  <c r="X242" i="1"/>
  <c r="AH242" i="1"/>
  <c r="Z237" i="1"/>
  <c r="AB237" i="1"/>
  <c r="AI237" i="1"/>
  <c r="AK237" i="1"/>
  <c r="Y213" i="1"/>
  <c r="BB62" i="1"/>
  <c r="AQ204" i="1"/>
  <c r="AS204" i="1"/>
  <c r="BD54" i="1"/>
  <c r="AH225" i="1"/>
  <c r="X234" i="1"/>
  <c r="AH234" i="1"/>
  <c r="X281" i="1"/>
  <c r="Y281" i="1"/>
  <c r="AH281" i="1"/>
  <c r="AB287" i="1"/>
  <c r="Z287" i="1"/>
  <c r="AH292" i="1"/>
  <c r="Y292" i="1"/>
  <c r="X215" i="1"/>
  <c r="AH299" i="1"/>
  <c r="X299" i="1"/>
  <c r="Y299" i="1"/>
  <c r="AQ40" i="1"/>
  <c r="AS40" i="1"/>
  <c r="Y315" i="1"/>
  <c r="AO45" i="1"/>
  <c r="AH303" i="1"/>
  <c r="Y340" i="1"/>
  <c r="AH340" i="1"/>
  <c r="DC19" i="1"/>
  <c r="DF19" i="1" s="1"/>
  <c r="DC43" i="1"/>
  <c r="DF43" i="1" s="1"/>
  <c r="DC51" i="1"/>
  <c r="DF51" i="1" s="1"/>
  <c r="DE51" i="1"/>
  <c r="DC59" i="1"/>
  <c r="DF59" i="1" s="1"/>
  <c r="DC67" i="1"/>
  <c r="DF67" i="1" s="1"/>
  <c r="DC75" i="1"/>
  <c r="DF75" i="1" s="1"/>
  <c r="DC83" i="1"/>
  <c r="DF83" i="1" s="1"/>
  <c r="DE83" i="1"/>
  <c r="DC107" i="1"/>
  <c r="DF107" i="1" s="1"/>
  <c r="AH309" i="1"/>
  <c r="X309" i="1"/>
  <c r="Y309" i="1"/>
  <c r="X327" i="1"/>
  <c r="Y327" i="1"/>
  <c r="AH327" i="1"/>
  <c r="AQ48" i="1"/>
  <c r="AS48" i="1"/>
  <c r="AH30" i="1"/>
  <c r="Z224" i="1"/>
  <c r="AB224" i="1"/>
  <c r="Y222" i="1"/>
  <c r="Y17" i="1"/>
  <c r="X17" i="1"/>
  <c r="AB204" i="1"/>
  <c r="Z204" i="1"/>
  <c r="BD25" i="1"/>
  <c r="AH24" i="1"/>
  <c r="AS189" i="1"/>
  <c r="AQ189" i="1"/>
  <c r="AH14" i="1"/>
  <c r="AH33" i="1"/>
  <c r="AB199" i="1"/>
  <c r="Z199" i="1"/>
  <c r="AB242" i="1"/>
  <c r="Z242" i="1"/>
  <c r="AS319" i="1"/>
  <c r="AQ319" i="1"/>
  <c r="AQ47" i="1"/>
  <c r="DC17" i="1"/>
  <c r="DF17" i="1" s="1"/>
  <c r="DE17" i="1"/>
  <c r="DC41" i="1"/>
  <c r="DF41" i="1" s="1"/>
  <c r="DC65" i="1"/>
  <c r="DF65" i="1" s="1"/>
  <c r="DC89" i="1"/>
  <c r="DF89" i="1" s="1"/>
  <c r="AS58" i="1"/>
  <c r="AQ58" i="1"/>
  <c r="AK315" i="1"/>
  <c r="AI315" i="1"/>
  <c r="AQ248" i="1"/>
  <c r="AS248" i="1"/>
  <c r="AK248" i="1"/>
  <c r="AI248" i="1"/>
  <c r="AS316" i="1"/>
  <c r="AQ316" i="1"/>
  <c r="AK340" i="1"/>
  <c r="AI340" i="1"/>
  <c r="Y18" i="1"/>
  <c r="DC11" i="1"/>
  <c r="DF11" i="1" s="1"/>
  <c r="DC35" i="1"/>
  <c r="DF35" i="1" s="1"/>
  <c r="DE35" i="1"/>
  <c r="AI16" i="1"/>
  <c r="AK16" i="1"/>
  <c r="AS44" i="1"/>
  <c r="AQ44" i="1"/>
  <c r="AK264" i="1"/>
  <c r="AI264" i="1"/>
  <c r="BF30" i="1"/>
  <c r="AI236" i="1"/>
  <c r="AK236" i="1"/>
  <c r="AH70" i="1"/>
  <c r="X44" i="1"/>
  <c r="AK12" i="1"/>
  <c r="AI12" i="1"/>
  <c r="DE103" i="1"/>
  <c r="DG103" i="1" s="1"/>
  <c r="DI103" i="1" s="1"/>
  <c r="BD62" i="1"/>
  <c r="AI331" i="1"/>
  <c r="AK331" i="1"/>
  <c r="AK209" i="1"/>
  <c r="AI209" i="1"/>
  <c r="Z226" i="1"/>
  <c r="AB226" i="1"/>
  <c r="Y298" i="1"/>
  <c r="X298" i="1"/>
  <c r="AH298" i="1"/>
  <c r="AB54" i="1"/>
  <c r="Z54" i="1"/>
  <c r="AS332" i="1"/>
  <c r="AQ332" i="1"/>
  <c r="DC10" i="1"/>
  <c r="DF10" i="1" s="1"/>
  <c r="DC34" i="1"/>
  <c r="DF34" i="1" s="1"/>
  <c r="DE34" i="1"/>
  <c r="DC50" i="1"/>
  <c r="DF50" i="1" s="1"/>
  <c r="DC58" i="1"/>
  <c r="DF58" i="1" s="1"/>
  <c r="DC82" i="1"/>
  <c r="DF82" i="1" s="1"/>
  <c r="DC90" i="1"/>
  <c r="DF90" i="1" s="1"/>
  <c r="DE90" i="1"/>
  <c r="AH326" i="1"/>
  <c r="Y326" i="1"/>
  <c r="AH314" i="1"/>
  <c r="Y314" i="1"/>
  <c r="X314" i="1"/>
  <c r="AQ21" i="1"/>
  <c r="AS21" i="1"/>
  <c r="AB182" i="1"/>
  <c r="Z182" i="1"/>
  <c r="AB12" i="1"/>
  <c r="Z12" i="1"/>
  <c r="X243" i="1"/>
  <c r="AH243" i="1"/>
  <c r="BF27" i="1"/>
  <c r="BF40" i="1"/>
  <c r="BD36" i="1"/>
  <c r="DH173" i="1"/>
  <c r="AQ267" i="1"/>
  <c r="Z234" i="1"/>
  <c r="AB234" i="1"/>
  <c r="AB322" i="1"/>
  <c r="Z322" i="1"/>
  <c r="AQ212" i="1"/>
  <c r="AS212" i="1"/>
  <c r="AB227" i="1"/>
  <c r="Z227" i="1"/>
  <c r="AS216" i="1"/>
  <c r="AQ216" i="1"/>
  <c r="AH223" i="1"/>
  <c r="X223" i="1"/>
  <c r="X282" i="1"/>
  <c r="AH282" i="1"/>
  <c r="Y282" i="1"/>
  <c r="AH270" i="1"/>
  <c r="X270" i="1"/>
  <c r="Y270" i="1"/>
  <c r="AH95" i="1"/>
  <c r="DC16" i="1"/>
  <c r="DF16" i="1" s="1"/>
  <c r="DE16" i="1"/>
  <c r="DC24" i="1"/>
  <c r="DF24" i="1" s="1"/>
  <c r="DC32" i="1"/>
  <c r="DF32" i="1" s="1"/>
  <c r="DC64" i="1"/>
  <c r="DF64" i="1" s="1"/>
  <c r="DC96" i="1"/>
  <c r="DF96" i="1" s="1"/>
  <c r="DE96" i="1"/>
  <c r="DC104" i="1"/>
  <c r="DF104" i="1" s="1"/>
  <c r="AH55" i="1"/>
  <c r="Z21" i="1"/>
  <c r="AB21" i="1"/>
  <c r="AF41" i="1"/>
  <c r="BD41" i="1"/>
  <c r="X67" i="1"/>
  <c r="AI287" i="1"/>
  <c r="AK287" i="1"/>
  <c r="AS257" i="1"/>
  <c r="AQ257" i="1"/>
  <c r="AK208" i="1"/>
  <c r="AI208" i="1"/>
  <c r="BD61" i="1"/>
  <c r="BD11" i="1"/>
  <c r="AI255" i="1"/>
  <c r="Y258" i="1"/>
  <c r="Y22" i="1"/>
  <c r="Y44" i="1"/>
  <c r="AS269" i="1"/>
  <c r="AQ269" i="1"/>
  <c r="X313" i="1"/>
  <c r="AH313" i="1"/>
  <c r="Y313" i="1"/>
  <c r="AK10" i="1"/>
  <c r="AI10" i="1"/>
  <c r="X334" i="1"/>
  <c r="AI323" i="1"/>
  <c r="AK323" i="1"/>
  <c r="AI292" i="1"/>
  <c r="AK292" i="1"/>
  <c r="Z197" i="1"/>
  <c r="AB197" i="1"/>
  <c r="Y319" i="1"/>
  <c r="X47" i="1"/>
  <c r="DC45" i="1"/>
  <c r="DF45" i="1" s="1"/>
  <c r="DE45" i="1"/>
  <c r="DC53" i="1"/>
  <c r="DF53" i="1" s="1"/>
  <c r="DC61" i="1"/>
  <c r="DF61" i="1" s="1"/>
  <c r="DE61" i="1"/>
  <c r="DC69" i="1"/>
  <c r="DF69" i="1" s="1"/>
  <c r="DC77" i="1"/>
  <c r="DF77" i="1" s="1"/>
  <c r="DE77" i="1"/>
  <c r="DC109" i="1"/>
  <c r="DF109" i="1" s="1"/>
  <c r="AH71" i="1"/>
  <c r="X306" i="1"/>
  <c r="Y306" i="1"/>
  <c r="AH323" i="1"/>
  <c r="Y323" i="1"/>
  <c r="Y289" i="1"/>
  <c r="Z248" i="1"/>
  <c r="AB248" i="1"/>
  <c r="Z196" i="1"/>
  <c r="AB196" i="1"/>
  <c r="AS229" i="1"/>
  <c r="AQ229" i="1"/>
  <c r="Z229" i="1"/>
  <c r="AB229" i="1"/>
  <c r="Z245" i="1"/>
  <c r="AB245" i="1"/>
  <c r="BD51" i="1"/>
  <c r="BD22" i="1"/>
  <c r="AH227" i="1"/>
  <c r="X227" i="1"/>
  <c r="AH256" i="1"/>
  <c r="X240" i="1"/>
  <c r="X285" i="1"/>
  <c r="AH285" i="1"/>
  <c r="Y285" i="1"/>
  <c r="Z257" i="1"/>
  <c r="AB257" i="1"/>
  <c r="X284" i="1"/>
  <c r="AH300" i="1"/>
  <c r="X316" i="1"/>
  <c r="Y332" i="1"/>
  <c r="X332" i="1"/>
  <c r="BD18" i="1"/>
  <c r="BD26" i="1"/>
  <c r="Y283" i="1"/>
  <c r="AH297" i="1"/>
  <c r="Y297" i="1"/>
  <c r="X297" i="1"/>
  <c r="DC15" i="1"/>
  <c r="DF15" i="1" s="1"/>
  <c r="DE15" i="1"/>
  <c r="DC23" i="1"/>
  <c r="DF23" i="1" s="1"/>
  <c r="DC39" i="1"/>
  <c r="DF39" i="1" s="1"/>
  <c r="DE39" i="1"/>
  <c r="DC47" i="1"/>
  <c r="DF47" i="1" s="1"/>
  <c r="DC71" i="1"/>
  <c r="DF71" i="1" s="1"/>
  <c r="DE71" i="1"/>
  <c r="X39" i="1"/>
  <c r="AS68" i="1"/>
  <c r="AQ68" i="1"/>
  <c r="AK199" i="1"/>
  <c r="AI199" i="1"/>
  <c r="AH226" i="1"/>
  <c r="X226" i="1"/>
  <c r="X222" i="1"/>
  <c r="AB188" i="1"/>
  <c r="Z188" i="1"/>
  <c r="Y25" i="1"/>
  <c r="AS245" i="1"/>
  <c r="AQ245" i="1"/>
  <c r="X24" i="1"/>
  <c r="AK205" i="1"/>
  <c r="AI205" i="1"/>
  <c r="AS205" i="1"/>
  <c r="AQ205" i="1"/>
  <c r="AK189" i="1"/>
  <c r="AI189" i="1"/>
  <c r="AH306" i="1"/>
  <c r="X7" i="1"/>
  <c r="AH276" i="1"/>
  <c r="X276" i="1"/>
  <c r="Y276" i="1"/>
  <c r="Y33" i="1"/>
  <c r="DE65" i="1" l="1"/>
  <c r="DH57" i="1"/>
  <c r="DE76" i="1"/>
  <c r="DE38" i="1"/>
  <c r="DG38" i="1" s="1"/>
  <c r="DI38" i="1" s="1"/>
  <c r="DE11" i="1"/>
  <c r="DH187" i="1"/>
  <c r="DE273" i="1"/>
  <c r="DE249" i="1"/>
  <c r="DG249" i="1" s="1"/>
  <c r="DH196" i="1"/>
  <c r="DH331" i="1"/>
  <c r="DE207" i="1"/>
  <c r="BB255" i="1"/>
  <c r="DH193" i="1"/>
  <c r="BD242" i="1"/>
  <c r="DE215" i="1"/>
  <c r="DG215" i="1" s="1"/>
  <c r="BF49" i="1"/>
  <c r="AL343" i="1"/>
  <c r="AM343" i="1" s="1"/>
  <c r="BR343" i="1" s="1"/>
  <c r="DH73" i="1"/>
  <c r="DE9" i="1"/>
  <c r="DH309" i="1"/>
  <c r="DE253" i="1"/>
  <c r="DE226" i="1"/>
  <c r="DE104" i="1"/>
  <c r="DE309" i="1"/>
  <c r="DE308" i="1"/>
  <c r="DE244" i="1"/>
  <c r="DE251" i="1"/>
  <c r="DE255" i="1"/>
  <c r="DE222" i="1"/>
  <c r="DG222" i="1" s="1"/>
  <c r="DE225" i="1"/>
  <c r="DG225" i="1" s="1"/>
  <c r="DE111" i="1"/>
  <c r="DG111" i="1" s="1"/>
  <c r="DE29" i="1"/>
  <c r="DE154" i="1"/>
  <c r="DE240" i="1"/>
  <c r="DG240" i="1" s="1"/>
  <c r="DH247" i="1"/>
  <c r="DH178" i="1"/>
  <c r="DE347" i="1"/>
  <c r="DE319" i="1"/>
  <c r="DG319" i="1" s="1"/>
  <c r="DH197" i="1"/>
  <c r="AF184" i="1"/>
  <c r="BF269" i="1"/>
  <c r="AW269" i="1"/>
  <c r="AT5" i="1"/>
  <c r="AU5" i="1" s="1"/>
  <c r="DH136" i="1"/>
  <c r="DE21" i="1"/>
  <c r="DE101" i="1"/>
  <c r="DE268" i="1"/>
  <c r="DG268" i="1" s="1"/>
  <c r="DE68" i="1"/>
  <c r="DE30" i="1"/>
  <c r="DE310" i="1"/>
  <c r="DG310" i="1" s="1"/>
  <c r="DG335" i="1"/>
  <c r="DI335" i="1" s="1"/>
  <c r="Y345" i="1"/>
  <c r="AH345" i="1"/>
  <c r="X345" i="1"/>
  <c r="DE106" i="1"/>
  <c r="DH89" i="1"/>
  <c r="BB342" i="1"/>
  <c r="AO342" i="1"/>
  <c r="DE4" i="1"/>
  <c r="DE36" i="1"/>
  <c r="DE24" i="1"/>
  <c r="DH345" i="1"/>
  <c r="DE254" i="1"/>
  <c r="DG254" i="1" s="1"/>
  <c r="DI254" i="1" s="1"/>
  <c r="CG185" i="1"/>
  <c r="DH226" i="1"/>
  <c r="DE293" i="1"/>
  <c r="BF193" i="1"/>
  <c r="AW193" i="1"/>
  <c r="AH201" i="1"/>
  <c r="Y201" i="1"/>
  <c r="X201" i="1"/>
  <c r="AH49" i="1"/>
  <c r="Y49" i="1"/>
  <c r="AS31" i="1"/>
  <c r="AL259" i="1"/>
  <c r="AM259" i="1" s="1"/>
  <c r="CM259" i="1" s="1"/>
  <c r="AC70" i="1"/>
  <c r="AD70" i="1" s="1"/>
  <c r="DE131" i="1"/>
  <c r="DG131" i="1" s="1"/>
  <c r="DI131" i="1" s="1"/>
  <c r="DE23" i="1"/>
  <c r="DG23" i="1" s="1"/>
  <c r="DE81" i="1"/>
  <c r="DE73" i="1"/>
  <c r="DH122" i="1"/>
  <c r="DE53" i="1"/>
  <c r="DE89" i="1"/>
  <c r="DG89" i="1" s="1"/>
  <c r="DE123" i="1"/>
  <c r="DE27" i="1"/>
  <c r="DG27" i="1" s="1"/>
  <c r="DI27" i="1" s="1"/>
  <c r="DH228" i="1"/>
  <c r="DE208" i="1"/>
  <c r="DG208" i="1" s="1"/>
  <c r="DI208" i="1" s="1"/>
  <c r="DE287" i="1"/>
  <c r="DH216" i="1"/>
  <c r="DE178" i="1"/>
  <c r="DG178" i="1" s="1"/>
  <c r="DI178" i="1" s="1"/>
  <c r="DE210" i="1"/>
  <c r="DG210" i="1" s="1"/>
  <c r="DG339" i="1"/>
  <c r="DE269" i="1"/>
  <c r="DG269" i="1" s="1"/>
  <c r="DH213" i="1"/>
  <c r="DE221" i="1"/>
  <c r="DG221" i="1" s="1"/>
  <c r="BF201" i="1"/>
  <c r="AW201" i="1"/>
  <c r="BF255" i="1"/>
  <c r="AW255" i="1"/>
  <c r="X335" i="1"/>
  <c r="Y335" i="1"/>
  <c r="AH335" i="1"/>
  <c r="Y41" i="1"/>
  <c r="AH41" i="1"/>
  <c r="X41" i="1"/>
  <c r="AK253" i="1"/>
  <c r="AI48" i="1"/>
  <c r="DE113" i="1"/>
  <c r="DG113" i="1" s="1"/>
  <c r="AL196" i="1"/>
  <c r="AM196" i="1" s="1"/>
  <c r="AN196" i="1" s="1"/>
  <c r="DE84" i="1"/>
  <c r="DE64" i="1"/>
  <c r="DE18" i="1"/>
  <c r="DG18" i="1" s="1"/>
  <c r="DI18" i="1" s="1"/>
  <c r="BB277" i="1"/>
  <c r="DE284" i="1"/>
  <c r="DG284" i="1" s="1"/>
  <c r="BB193" i="1"/>
  <c r="AO193" i="1"/>
  <c r="BF46" i="1"/>
  <c r="AW46" i="1"/>
  <c r="AS27" i="1"/>
  <c r="BD201" i="1"/>
  <c r="AF201" i="1"/>
  <c r="BD193" i="1"/>
  <c r="AF193" i="1"/>
  <c r="BD189" i="1"/>
  <c r="AF189" i="1"/>
  <c r="AH184" i="1"/>
  <c r="Y184" i="1"/>
  <c r="X184" i="1"/>
  <c r="DE86" i="1"/>
  <c r="DE59" i="1"/>
  <c r="DG161" i="1"/>
  <c r="DH194" i="1"/>
  <c r="DG309" i="1"/>
  <c r="DI309" i="1" s="1"/>
  <c r="DE241" i="1"/>
  <c r="DG327" i="1"/>
  <c r="DI327" i="1" s="1"/>
  <c r="DE237" i="1"/>
  <c r="DG237" i="1" s="1"/>
  <c r="DI237" i="1" s="1"/>
  <c r="DE211" i="1"/>
  <c r="DE307" i="1"/>
  <c r="DG307" i="1" s="1"/>
  <c r="DI307" i="1" s="1"/>
  <c r="DE352" i="1"/>
  <c r="DG352" i="1" s="1"/>
  <c r="BF256" i="1"/>
  <c r="X328" i="1"/>
  <c r="AH328" i="1"/>
  <c r="BF258" i="1"/>
  <c r="AW258" i="1"/>
  <c r="BD9" i="1"/>
  <c r="AI303" i="1"/>
  <c r="DH130" i="1"/>
  <c r="AS193" i="1"/>
  <c r="AT193" i="1" s="1"/>
  <c r="AU193" i="1" s="1"/>
  <c r="BT193" i="1" s="1"/>
  <c r="DH88" i="1"/>
  <c r="DE92" i="1"/>
  <c r="DE25" i="1"/>
  <c r="DH59" i="1"/>
  <c r="DE41" i="1"/>
  <c r="DG41" i="1" s="1"/>
  <c r="DE58" i="1"/>
  <c r="DH118" i="1"/>
  <c r="DH45" i="1"/>
  <c r="DH62" i="1"/>
  <c r="DE79" i="1"/>
  <c r="DE50" i="1"/>
  <c r="DE13" i="1"/>
  <c r="DG13" i="1" s="1"/>
  <c r="DE82" i="1"/>
  <c r="DH42" i="1"/>
  <c r="BB13" i="1"/>
  <c r="DE256" i="1"/>
  <c r="DH277" i="1"/>
  <c r="DE272" i="1"/>
  <c r="DG272" i="1" s="1"/>
  <c r="DI272" i="1" s="1"/>
  <c r="DE280" i="1"/>
  <c r="DE344" i="1"/>
  <c r="DH307" i="1"/>
  <c r="DH333" i="1"/>
  <c r="DE331" i="1"/>
  <c r="DG331" i="1" s="1"/>
  <c r="DE336" i="1"/>
  <c r="DE236" i="1"/>
  <c r="DG236" i="1" s="1"/>
  <c r="DE297" i="1"/>
  <c r="DG297" i="1" s="1"/>
  <c r="DH352" i="1"/>
  <c r="DE260" i="1"/>
  <c r="DG260" i="1" s="1"/>
  <c r="BB258" i="1"/>
  <c r="AO258" i="1"/>
  <c r="AQ50" i="1"/>
  <c r="DE142" i="1"/>
  <c r="DG142" i="1" s="1"/>
  <c r="DE168" i="1"/>
  <c r="DG168" i="1" s="1"/>
  <c r="DE19" i="1"/>
  <c r="DH318" i="1"/>
  <c r="DI318" i="1" s="1"/>
  <c r="DE353" i="1"/>
  <c r="DG353" i="1" s="1"/>
  <c r="DE320" i="1"/>
  <c r="DE328" i="1"/>
  <c r="DG328" i="1" s="1"/>
  <c r="DI328" i="1" s="1"/>
  <c r="DE292" i="1"/>
  <c r="DG292" i="1" s="1"/>
  <c r="AH293" i="1"/>
  <c r="AI193" i="1"/>
  <c r="AL31" i="1"/>
  <c r="AM31" i="1" s="1"/>
  <c r="DE10" i="1"/>
  <c r="DH28" i="1"/>
  <c r="DE46" i="1"/>
  <c r="DH58" i="1"/>
  <c r="DE279" i="1"/>
  <c r="DG279" i="1" s="1"/>
  <c r="DI279" i="1" s="1"/>
  <c r="DH305" i="1"/>
  <c r="DE187" i="1"/>
  <c r="DG187" i="1" s="1"/>
  <c r="DI187" i="1" s="1"/>
  <c r="DE277" i="1"/>
  <c r="DG277" i="1" s="1"/>
  <c r="DI277" i="1" s="1"/>
  <c r="DE181" i="1"/>
  <c r="DH296" i="1"/>
  <c r="DH349" i="1"/>
  <c r="DH328" i="1"/>
  <c r="DE224" i="1"/>
  <c r="DG224" i="1" s="1"/>
  <c r="DH337" i="1"/>
  <c r="DH332" i="1"/>
  <c r="DE242" i="1"/>
  <c r="DE340" i="1"/>
  <c r="DG340" i="1" s="1"/>
  <c r="DI340" i="1" s="1"/>
  <c r="BD291" i="1"/>
  <c r="BB189" i="1"/>
  <c r="AO189" i="1"/>
  <c r="AF64" i="1"/>
  <c r="BD64" i="1"/>
  <c r="BB184" i="1"/>
  <c r="AO184" i="1"/>
  <c r="BF244" i="1"/>
  <c r="AW244" i="1"/>
  <c r="AH244" i="1"/>
  <c r="Y244" i="1"/>
  <c r="DG61" i="1"/>
  <c r="X49" i="1"/>
  <c r="AK49" i="1" s="1"/>
  <c r="AQ237" i="1"/>
  <c r="Y293" i="1"/>
  <c r="AL66" i="1"/>
  <c r="AM66" i="1" s="1"/>
  <c r="AI293" i="1"/>
  <c r="AL169" i="1"/>
  <c r="AM169" i="1" s="1"/>
  <c r="DE6" i="1"/>
  <c r="DH160" i="1"/>
  <c r="DE295" i="1"/>
  <c r="DG295" i="1" s="1"/>
  <c r="DI295" i="1" s="1"/>
  <c r="DG299" i="1"/>
  <c r="DH181" i="1"/>
  <c r="DH250" i="1"/>
  <c r="DG308" i="1"/>
  <c r="DG244" i="1"/>
  <c r="DG214" i="1"/>
  <c r="DE283" i="1"/>
  <c r="DG207" i="1"/>
  <c r="DH182" i="1"/>
  <c r="BF302" i="1"/>
  <c r="BF328" i="1"/>
  <c r="AW328" i="1"/>
  <c r="AB250" i="1"/>
  <c r="DE134" i="1"/>
  <c r="DG134" i="1" s="1"/>
  <c r="DI134" i="1" s="1"/>
  <c r="DH22" i="1"/>
  <c r="DE162" i="1"/>
  <c r="DE147" i="1"/>
  <c r="DG147" i="1" s="1"/>
  <c r="DE69" i="1"/>
  <c r="DG69" i="1" s="1"/>
  <c r="DI69" i="1" s="1"/>
  <c r="DG276" i="1"/>
  <c r="DH190" i="1"/>
  <c r="DH301" i="1"/>
  <c r="DE281" i="1"/>
  <c r="DE324" i="1"/>
  <c r="DE193" i="1"/>
  <c r="DG193" i="1" s="1"/>
  <c r="DE329" i="1"/>
  <c r="DG329" i="1" s="1"/>
  <c r="DI329" i="1" s="1"/>
  <c r="AW16" i="1"/>
  <c r="BF16" i="1"/>
  <c r="Y6" i="1"/>
  <c r="X6" i="1"/>
  <c r="AH6" i="1"/>
  <c r="AL190" i="1"/>
  <c r="AM190" i="1" s="1"/>
  <c r="AN190" i="1" s="1"/>
  <c r="AL267" i="1"/>
  <c r="AM267" i="1" s="1"/>
  <c r="BY267" i="1" s="1"/>
  <c r="AT29" i="1"/>
  <c r="AU29" i="1" s="1"/>
  <c r="BT29" i="1" s="1"/>
  <c r="AC19" i="1"/>
  <c r="AD19" i="1" s="1"/>
  <c r="DH129" i="1"/>
  <c r="DE146" i="1"/>
  <c r="DE44" i="1"/>
  <c r="DE105" i="1"/>
  <c r="DG105" i="1" s="1"/>
  <c r="DI105" i="1" s="1"/>
  <c r="DE99" i="1"/>
  <c r="DG99" i="1" s="1"/>
  <c r="DE74" i="1"/>
  <c r="DE141" i="1"/>
  <c r="DG141" i="1" s="1"/>
  <c r="DE274" i="1"/>
  <c r="DG274" i="1" s="1"/>
  <c r="DE247" i="1"/>
  <c r="DG247" i="1" s="1"/>
  <c r="DG261" i="1"/>
  <c r="DI261" i="1" s="1"/>
  <c r="DH304" i="1"/>
  <c r="DE315" i="1"/>
  <c r="DG315" i="1" s="1"/>
  <c r="DI315" i="1" s="1"/>
  <c r="DE259" i="1"/>
  <c r="DE213" i="1"/>
  <c r="DE197" i="1"/>
  <c r="DG197" i="1" s="1"/>
  <c r="DE330" i="1"/>
  <c r="DG330" i="1" s="1"/>
  <c r="DE311" i="1"/>
  <c r="BF351" i="1"/>
  <c r="AW351" i="1"/>
  <c r="BD335" i="1"/>
  <c r="AF335" i="1"/>
  <c r="AW295" i="1"/>
  <c r="BF295" i="1"/>
  <c r="DG45" i="1"/>
  <c r="AT48" i="1"/>
  <c r="AU48" i="1" s="1"/>
  <c r="AL43" i="1"/>
  <c r="AM43" i="1" s="1"/>
  <c r="DE70" i="1"/>
  <c r="DG70" i="1" s="1"/>
  <c r="AL198" i="1"/>
  <c r="AM198" i="1" s="1"/>
  <c r="BY198" i="1" s="1"/>
  <c r="DE126" i="1"/>
  <c r="DG126" i="1" s="1"/>
  <c r="DH124" i="1"/>
  <c r="AT266" i="1"/>
  <c r="AU266" i="1" s="1"/>
  <c r="CA266" i="1" s="1"/>
  <c r="DH153" i="1"/>
  <c r="DH116" i="1"/>
  <c r="DE166" i="1"/>
  <c r="DE60" i="1"/>
  <c r="DH138" i="1"/>
  <c r="DE194" i="1"/>
  <c r="DG194" i="1" s="1"/>
  <c r="DH256" i="1"/>
  <c r="DE313" i="1"/>
  <c r="DG313" i="1" s="1"/>
  <c r="DI313" i="1" s="1"/>
  <c r="CM267" i="1"/>
  <c r="DE345" i="1"/>
  <c r="DG345" i="1" s="1"/>
  <c r="DI345" i="1" s="1"/>
  <c r="CF259" i="1"/>
  <c r="CN185" i="1"/>
  <c r="BB187" i="1"/>
  <c r="AO187" i="1"/>
  <c r="DE317" i="1"/>
  <c r="DG317" i="1" s="1"/>
  <c r="DI317" i="1" s="1"/>
  <c r="DG98" i="1"/>
  <c r="AC259" i="1"/>
  <c r="AD259" i="1" s="1"/>
  <c r="BZ259" i="1" s="1"/>
  <c r="AC29" i="1"/>
  <c r="AD29" i="1" s="1"/>
  <c r="AE29" i="1" s="1"/>
  <c r="AH8" i="1"/>
  <c r="AC212" i="1"/>
  <c r="AD212" i="1" s="1"/>
  <c r="BS212" i="1" s="1"/>
  <c r="AT20" i="1"/>
  <c r="AU20" i="1" s="1"/>
  <c r="AC284" i="1"/>
  <c r="AD284" i="1" s="1"/>
  <c r="AG284" i="1" s="1"/>
  <c r="AT26" i="1"/>
  <c r="AU26" i="1" s="1"/>
  <c r="AC253" i="1"/>
  <c r="AD253" i="1" s="1"/>
  <c r="AG253" i="1" s="1"/>
  <c r="AL71" i="1"/>
  <c r="AM71" i="1" s="1"/>
  <c r="DH177" i="1"/>
  <c r="DI177" i="1" s="1"/>
  <c r="DH156" i="1"/>
  <c r="DH105" i="1"/>
  <c r="DE153" i="1"/>
  <c r="DG11" i="1"/>
  <c r="AH195" i="1"/>
  <c r="Y195" i="1"/>
  <c r="X195" i="1"/>
  <c r="AF338" i="1"/>
  <c r="BD338" i="1"/>
  <c r="DE288" i="1"/>
  <c r="DG288" i="1" s="1"/>
  <c r="DI288" i="1" s="1"/>
  <c r="DG241" i="1"/>
  <c r="BD353" i="1"/>
  <c r="AF353" i="1"/>
  <c r="Y344" i="1"/>
  <c r="AH344" i="1"/>
  <c r="X344" i="1"/>
  <c r="CM190" i="1"/>
  <c r="AW349" i="1"/>
  <c r="BF349" i="1"/>
  <c r="BS198" i="1"/>
  <c r="BF324" i="1"/>
  <c r="AW324" i="1"/>
  <c r="DE37" i="1"/>
  <c r="DH143" i="1"/>
  <c r="DE157" i="1"/>
  <c r="DG157" i="1" s="1"/>
  <c r="DH123" i="1"/>
  <c r="DE151" i="1"/>
  <c r="DE145" i="1"/>
  <c r="DG145" i="1" s="1"/>
  <c r="AW195" i="1"/>
  <c r="BF195" i="1"/>
  <c r="DG251" i="1"/>
  <c r="DI251" i="1" s="1"/>
  <c r="DI240" i="1"/>
  <c r="DG256" i="1"/>
  <c r="DI256" i="1" s="1"/>
  <c r="DE266" i="1"/>
  <c r="DG266" i="1" s="1"/>
  <c r="DI266" i="1" s="1"/>
  <c r="DG280" i="1"/>
  <c r="DI280" i="1" s="1"/>
  <c r="AQ15" i="1"/>
  <c r="AB61" i="1"/>
  <c r="DE158" i="1"/>
  <c r="DG158" i="1" s="1"/>
  <c r="DE149" i="1"/>
  <c r="DG149" i="1" s="1"/>
  <c r="DI126" i="1"/>
  <c r="DH162" i="1"/>
  <c r="DE136" i="1"/>
  <c r="DE173" i="1"/>
  <c r="DG173" i="1" s="1"/>
  <c r="DG198" i="1"/>
  <c r="DI198" i="1" s="1"/>
  <c r="DG347" i="1"/>
  <c r="DG255" i="1"/>
  <c r="DI255" i="1" s="1"/>
  <c r="BF187" i="1"/>
  <c r="AW187" i="1"/>
  <c r="X338" i="1"/>
  <c r="AH338" i="1"/>
  <c r="Y338" i="1"/>
  <c r="CN259" i="1"/>
  <c r="CG253" i="1"/>
  <c r="DG181" i="1"/>
  <c r="DG273" i="1"/>
  <c r="DI273" i="1" s="1"/>
  <c r="DG65" i="1"/>
  <c r="AC199" i="1"/>
  <c r="AD199" i="1" s="1"/>
  <c r="DG66" i="1"/>
  <c r="AL229" i="1"/>
  <c r="AM229" i="1" s="1"/>
  <c r="CM229" i="1" s="1"/>
  <c r="AL32" i="1"/>
  <c r="AM32" i="1" s="1"/>
  <c r="BY32" i="1" s="1"/>
  <c r="DE129" i="1"/>
  <c r="DG129" i="1" s="1"/>
  <c r="DI129" i="1" s="1"/>
  <c r="DE121" i="1"/>
  <c r="DG121" i="1" s="1"/>
  <c r="DE148" i="1"/>
  <c r="DG148" i="1" s="1"/>
  <c r="DI148" i="1" s="1"/>
  <c r="DE72" i="1"/>
  <c r="DE109" i="1"/>
  <c r="DG109" i="1" s="1"/>
  <c r="DE167" i="1"/>
  <c r="DE143" i="1"/>
  <c r="DE159" i="1"/>
  <c r="DG159" i="1" s="1"/>
  <c r="DE110" i="1"/>
  <c r="DG110" i="1" s="1"/>
  <c r="DH268" i="1"/>
  <c r="DI268" i="1" s="1"/>
  <c r="DI341" i="1"/>
  <c r="DE305" i="1"/>
  <c r="DG305" i="1" s="1"/>
  <c r="BY343" i="1"/>
  <c r="DH274" i="1"/>
  <c r="DH299" i="1"/>
  <c r="DI299" i="1" s="1"/>
  <c r="AB2" i="1"/>
  <c r="Z2" i="1"/>
  <c r="DE250" i="1"/>
  <c r="DG250" i="1" s="1"/>
  <c r="DI296" i="1"/>
  <c r="DH237" i="1"/>
  <c r="DG77" i="1"/>
  <c r="DG35" i="1"/>
  <c r="AC66" i="1"/>
  <c r="AD66" i="1" s="1"/>
  <c r="CG66" i="1" s="1"/>
  <c r="DE127" i="1"/>
  <c r="DE43" i="1"/>
  <c r="DH133" i="1"/>
  <c r="DH102" i="1"/>
  <c r="DE49" i="1"/>
  <c r="DH38" i="1"/>
  <c r="DH151" i="1"/>
  <c r="DH96" i="1"/>
  <c r="DE8" i="1"/>
  <c r="DE48" i="1"/>
  <c r="DE117" i="1"/>
  <c r="DG117" i="1" s="1"/>
  <c r="DI117" i="1" s="1"/>
  <c r="BD194" i="1"/>
  <c r="AF194" i="1"/>
  <c r="AO295" i="1"/>
  <c r="BB295" i="1"/>
  <c r="CF343" i="1"/>
  <c r="DI227" i="1"/>
  <c r="BB186" i="1"/>
  <c r="AO186" i="1"/>
  <c r="AI2" i="1"/>
  <c r="AK2" i="1"/>
  <c r="Y317" i="1"/>
  <c r="X317" i="1"/>
  <c r="AH317" i="1"/>
  <c r="DG286" i="1"/>
  <c r="DI286" i="1" s="1"/>
  <c r="DH23" i="1"/>
  <c r="DH31" i="1"/>
  <c r="DH3" i="1"/>
  <c r="BF194" i="1"/>
  <c r="AW194" i="1"/>
  <c r="DG346" i="1"/>
  <c r="DI346" i="1" s="1"/>
  <c r="BZ212" i="1"/>
  <c r="AF346" i="1"/>
  <c r="BD346" i="1"/>
  <c r="DG17" i="1"/>
  <c r="DG26" i="1"/>
  <c r="AL275" i="1"/>
  <c r="AM275" i="1" s="1"/>
  <c r="BY275" i="1" s="1"/>
  <c r="AI247" i="1"/>
  <c r="AL247" i="1" s="1"/>
  <c r="AM247" i="1" s="1"/>
  <c r="AB8" i="1"/>
  <c r="DG54" i="1"/>
  <c r="AC228" i="1"/>
  <c r="AD228" i="1" s="1"/>
  <c r="BZ228" i="1" s="1"/>
  <c r="DH104" i="1"/>
  <c r="DE138" i="1"/>
  <c r="AL269" i="1"/>
  <c r="AM269" i="1" s="1"/>
  <c r="DE137" i="1"/>
  <c r="DG137" i="1" s="1"/>
  <c r="DI137" i="1" s="1"/>
  <c r="DE120" i="1"/>
  <c r="DG120" i="1" s="1"/>
  <c r="DI120" i="1" s="1"/>
  <c r="DE245" i="1"/>
  <c r="DG245" i="1" s="1"/>
  <c r="DI245" i="1" s="1"/>
  <c r="DE195" i="1"/>
  <c r="DG195" i="1" s="1"/>
  <c r="DI195" i="1" s="1"/>
  <c r="CN212" i="1"/>
  <c r="CM343" i="1"/>
  <c r="DE227" i="1"/>
  <c r="DG227" i="1" s="1"/>
  <c r="DE180" i="1"/>
  <c r="DG180" i="1" s="1"/>
  <c r="DI180" i="1" s="1"/>
  <c r="BF346" i="1"/>
  <c r="AW346" i="1"/>
  <c r="DE190" i="1"/>
  <c r="DG190" i="1" s="1"/>
  <c r="DE338" i="1"/>
  <c r="DG338" i="1" s="1"/>
  <c r="DE304" i="1"/>
  <c r="DG304" i="1" s="1"/>
  <c r="DI304" i="1" s="1"/>
  <c r="AQ64" i="1"/>
  <c r="DG53" i="1"/>
  <c r="DE115" i="1"/>
  <c r="DG115" i="1" s="1"/>
  <c r="DE28" i="1"/>
  <c r="DG28" i="1" s="1"/>
  <c r="DI28" i="1" s="1"/>
  <c r="DE144" i="1"/>
  <c r="DG144" i="1" s="1"/>
  <c r="DE118" i="1"/>
  <c r="DG118" i="1" s="1"/>
  <c r="DI118" i="1" s="1"/>
  <c r="DE91" i="1"/>
  <c r="DE93" i="1"/>
  <c r="AS17" i="1"/>
  <c r="DH78" i="1"/>
  <c r="DG263" i="1"/>
  <c r="DI263" i="1" s="1"/>
  <c r="Y194" i="1"/>
  <c r="AH194" i="1"/>
  <c r="X194" i="1"/>
  <c r="X295" i="1"/>
  <c r="Y295" i="1"/>
  <c r="AH295" i="1"/>
  <c r="BR267" i="1"/>
  <c r="AF345" i="1"/>
  <c r="BD345" i="1"/>
  <c r="BD180" i="1"/>
  <c r="AF180" i="1"/>
  <c r="DE300" i="1"/>
  <c r="DG300" i="1" s="1"/>
  <c r="DI300" i="1" s="1"/>
  <c r="BR259" i="1"/>
  <c r="BF190" i="1"/>
  <c r="AW190" i="1"/>
  <c r="BZ185" i="1"/>
  <c r="Y187" i="1"/>
  <c r="X187" i="1"/>
  <c r="AH187" i="1"/>
  <c r="DI338" i="1"/>
  <c r="DG204" i="1"/>
  <c r="DI204" i="1" s="1"/>
  <c r="DH259" i="1"/>
  <c r="DH306" i="1"/>
  <c r="DH253" i="1"/>
  <c r="DG253" i="1"/>
  <c r="X8" i="1"/>
  <c r="AK8" i="1" s="1"/>
  <c r="DI173" i="1"/>
  <c r="DE100" i="1"/>
  <c r="DH115" i="1"/>
  <c r="DE42" i="1"/>
  <c r="DG42" i="1" s="1"/>
  <c r="DH175" i="1"/>
  <c r="DH91" i="1"/>
  <c r="DI194" i="1"/>
  <c r="AF295" i="1"/>
  <c r="BD295" i="1"/>
  <c r="AW345" i="1"/>
  <c r="BF345" i="1"/>
  <c r="AH346" i="1"/>
  <c r="X346" i="1"/>
  <c r="Y346" i="1"/>
  <c r="BY259" i="1"/>
  <c r="BS185" i="1"/>
  <c r="AF187" i="1"/>
  <c r="BD187" i="1"/>
  <c r="CF269" i="1"/>
  <c r="BF267" i="1"/>
  <c r="AW267" i="1"/>
  <c r="CN214" i="1"/>
  <c r="BF28" i="1"/>
  <c r="AW28" i="1"/>
  <c r="DE201" i="1"/>
  <c r="DG201" i="1" s="1"/>
  <c r="DI201" i="1" s="1"/>
  <c r="AS2" i="1"/>
  <c r="AQ2" i="1"/>
  <c r="DH241" i="1"/>
  <c r="DH344" i="1"/>
  <c r="DE216" i="1"/>
  <c r="DG216" i="1" s="1"/>
  <c r="BB349" i="1"/>
  <c r="AO349" i="1"/>
  <c r="CG198" i="1"/>
  <c r="BB347" i="1"/>
  <c r="AO347" i="1"/>
  <c r="DI247" i="1"/>
  <c r="DE322" i="1"/>
  <c r="DG322" i="1" s="1"/>
  <c r="AF336" i="1"/>
  <c r="BD336" i="1"/>
  <c r="AH342" i="1"/>
  <c r="Y342" i="1"/>
  <c r="X342" i="1"/>
  <c r="DH192" i="1"/>
  <c r="DE267" i="1"/>
  <c r="DG267" i="1" s="1"/>
  <c r="DE334" i="1"/>
  <c r="DG334" i="1" s="1"/>
  <c r="DI334" i="1" s="1"/>
  <c r="AF348" i="1"/>
  <c r="BD348" i="1"/>
  <c r="DE257" i="1"/>
  <c r="DG257" i="1" s="1"/>
  <c r="DE243" i="1"/>
  <c r="DG243" i="1" s="1"/>
  <c r="DE316" i="1"/>
  <c r="DG316" i="1" s="1"/>
  <c r="AW353" i="1"/>
  <c r="BF353" i="1"/>
  <c r="X183" i="1"/>
  <c r="Y183" i="1"/>
  <c r="AH183" i="1"/>
  <c r="BZ198" i="1"/>
  <c r="DE196" i="1"/>
  <c r="DG196" i="1" s="1"/>
  <c r="DI196" i="1" s="1"/>
  <c r="DG232" i="1"/>
  <c r="DI232" i="1" s="1"/>
  <c r="DE189" i="1"/>
  <c r="DG189" i="1" s="1"/>
  <c r="DG259" i="1"/>
  <c r="DI259" i="1" s="1"/>
  <c r="DH210" i="1"/>
  <c r="DI210" i="1" s="1"/>
  <c r="DH269" i="1"/>
  <c r="Y324" i="1"/>
  <c r="X324" i="1"/>
  <c r="AH324" i="1"/>
  <c r="DE192" i="1"/>
  <c r="DG192" i="1" s="1"/>
  <c r="X352" i="1"/>
  <c r="AH352" i="1"/>
  <c r="Y352" i="1"/>
  <c r="DH267" i="1"/>
  <c r="DH334" i="1"/>
  <c r="AO20" i="1"/>
  <c r="BB20" i="1"/>
  <c r="X62" i="1"/>
  <c r="AH62" i="1"/>
  <c r="DH316" i="1"/>
  <c r="AO353" i="1"/>
  <c r="BB353" i="1"/>
  <c r="DG344" i="1"/>
  <c r="DI344" i="1" s="1"/>
  <c r="BF183" i="1"/>
  <c r="AW183" i="1"/>
  <c r="X349" i="1"/>
  <c r="Y349" i="1"/>
  <c r="AH349" i="1"/>
  <c r="AF328" i="1"/>
  <c r="BD328" i="1"/>
  <c r="CN198" i="1"/>
  <c r="Y206" i="1"/>
  <c r="X206" i="1"/>
  <c r="AH206" i="1"/>
  <c r="DG211" i="1"/>
  <c r="DI211" i="1" s="1"/>
  <c r="DH189" i="1"/>
  <c r="BT266" i="1"/>
  <c r="DH322" i="1"/>
  <c r="X336" i="1"/>
  <c r="AH336" i="1"/>
  <c r="Y336" i="1"/>
  <c r="X203" i="1"/>
  <c r="AH203" i="1"/>
  <c r="Y203" i="1"/>
  <c r="DH239" i="1"/>
  <c r="DE342" i="1"/>
  <c r="DG342" i="1" s="1"/>
  <c r="DI342" i="1" s="1"/>
  <c r="DG270" i="1"/>
  <c r="DG275" i="1"/>
  <c r="DI275" i="1" s="1"/>
  <c r="AW330" i="1"/>
  <c r="BF330" i="1"/>
  <c r="DH291" i="1"/>
  <c r="X348" i="1"/>
  <c r="AH348" i="1"/>
  <c r="Y348" i="1"/>
  <c r="DH183" i="1"/>
  <c r="DH205" i="1"/>
  <c r="DE290" i="1"/>
  <c r="DG290" i="1" s="1"/>
  <c r="DH229" i="1"/>
  <c r="DH200" i="1"/>
  <c r="DG320" i="1"/>
  <c r="AF349" i="1"/>
  <c r="BD349" i="1"/>
  <c r="DG206" i="1"/>
  <c r="BF191" i="1"/>
  <c r="AW191" i="1"/>
  <c r="BB203" i="1"/>
  <c r="AO203" i="1"/>
  <c r="DG351" i="1"/>
  <c r="BD188" i="1"/>
  <c r="AF188" i="1"/>
  <c r="DH319" i="1"/>
  <c r="DI319" i="1" s="1"/>
  <c r="BD202" i="1"/>
  <c r="AF202" i="1"/>
  <c r="DH297" i="1"/>
  <c r="AW207" i="1"/>
  <c r="BF207" i="1"/>
  <c r="DH270" i="1"/>
  <c r="AO330" i="1"/>
  <c r="BB330" i="1"/>
  <c r="BF184" i="1"/>
  <c r="AW184" i="1"/>
  <c r="DH221" i="1"/>
  <c r="DH339" i="1"/>
  <c r="DI339" i="1" s="1"/>
  <c r="BY269" i="1"/>
  <c r="DI308" i="1"/>
  <c r="DE282" i="1"/>
  <c r="DG282" i="1" s="1"/>
  <c r="DI282" i="1" s="1"/>
  <c r="DH353" i="1"/>
  <c r="DH179" i="1"/>
  <c r="AW319" i="1"/>
  <c r="BF319" i="1"/>
  <c r="BD183" i="1"/>
  <c r="AF183" i="1"/>
  <c r="DH320" i="1"/>
  <c r="DI349" i="1"/>
  <c r="BZ284" i="1"/>
  <c r="DH249" i="1"/>
  <c r="DI249" i="1" s="1"/>
  <c r="BB196" i="1"/>
  <c r="CF196" i="1" s="1"/>
  <c r="AO196" i="1"/>
  <c r="AP196" i="1" s="1"/>
  <c r="DH206" i="1"/>
  <c r="DH224" i="1"/>
  <c r="DI224" i="1" s="1"/>
  <c r="X325" i="1"/>
  <c r="AH325" i="1"/>
  <c r="Y325" i="1"/>
  <c r="DH276" i="1"/>
  <c r="DI276" i="1" s="1"/>
  <c r="DH336" i="1"/>
  <c r="DE258" i="1"/>
  <c r="DG258" i="1" s="1"/>
  <c r="DE252" i="1"/>
  <c r="DG252" i="1" s="1"/>
  <c r="DI252" i="1" s="1"/>
  <c r="DE239" i="1"/>
  <c r="DG239" i="1" s="1"/>
  <c r="DH188" i="1"/>
  <c r="DG200" i="1"/>
  <c r="AF324" i="1"/>
  <c r="BD324" i="1"/>
  <c r="DE219" i="1"/>
  <c r="DG219" i="1" s="1"/>
  <c r="DI219" i="1" s="1"/>
  <c r="X321" i="1"/>
  <c r="AH321" i="1"/>
  <c r="Y321" i="1"/>
  <c r="DE248" i="1"/>
  <c r="DG248" i="1" s="1"/>
  <c r="DI248" i="1" s="1"/>
  <c r="BB348" i="1"/>
  <c r="AO348" i="1"/>
  <c r="BF182" i="1"/>
  <c r="AW182" i="1"/>
  <c r="DE291" i="1"/>
  <c r="DG291" i="1" s="1"/>
  <c r="DI291" i="1" s="1"/>
  <c r="DI186" i="1"/>
  <c r="DE205" i="1"/>
  <c r="DG205" i="1" s="1"/>
  <c r="DH290" i="1"/>
  <c r="DH292" i="1"/>
  <c r="DE229" i="1"/>
  <c r="DG229" i="1" s="1"/>
  <c r="DI229" i="1" s="1"/>
  <c r="DE264" i="1"/>
  <c r="DG264" i="1" s="1"/>
  <c r="DI264" i="1" s="1"/>
  <c r="DE231" i="1"/>
  <c r="DG231" i="1" s="1"/>
  <c r="DI231" i="1" s="1"/>
  <c r="DE233" i="1"/>
  <c r="DG233" i="1" s="1"/>
  <c r="DI233" i="1" s="1"/>
  <c r="BR269" i="1"/>
  <c r="DE179" i="1"/>
  <c r="DG179" i="1" s="1"/>
  <c r="BB178" i="1"/>
  <c r="AO178" i="1"/>
  <c r="DE333" i="1"/>
  <c r="DG333" i="1" s="1"/>
  <c r="DI333" i="1" s="1"/>
  <c r="X351" i="1"/>
  <c r="AH351" i="1"/>
  <c r="Y351" i="1"/>
  <c r="BB325" i="1"/>
  <c r="AO325" i="1"/>
  <c r="Y191" i="1"/>
  <c r="AH191" i="1"/>
  <c r="X191" i="1"/>
  <c r="DH258" i="1"/>
  <c r="DH203" i="1"/>
  <c r="DH252" i="1"/>
  <c r="DE188" i="1"/>
  <c r="DG188" i="1" s="1"/>
  <c r="DE238" i="1"/>
  <c r="DG238" i="1" s="1"/>
  <c r="DI238" i="1" s="1"/>
  <c r="BF321" i="1"/>
  <c r="AW321" i="1"/>
  <c r="DE312" i="1"/>
  <c r="DG312" i="1" s="1"/>
  <c r="DI312" i="1" s="1"/>
  <c r="AH207" i="1"/>
  <c r="Y207" i="1"/>
  <c r="X207" i="1"/>
  <c r="DH230" i="1"/>
  <c r="DE265" i="1"/>
  <c r="DG265" i="1" s="1"/>
  <c r="DE314" i="1"/>
  <c r="DG314" i="1" s="1"/>
  <c r="DE184" i="1"/>
  <c r="DG184" i="1" s="1"/>
  <c r="DI184" i="1" s="1"/>
  <c r="DE302" i="1"/>
  <c r="DG302" i="1" s="1"/>
  <c r="DE348" i="1"/>
  <c r="DG348" i="1" s="1"/>
  <c r="DI348" i="1" s="1"/>
  <c r="X36" i="1"/>
  <c r="AH36" i="1"/>
  <c r="Y36" i="1"/>
  <c r="DI244" i="1"/>
  <c r="BS284" i="1"/>
  <c r="BB328" i="1"/>
  <c r="AO328" i="1"/>
  <c r="BD347" i="1"/>
  <c r="AF347" i="1"/>
  <c r="AW206" i="1"/>
  <c r="BF206" i="1"/>
  <c r="BD351" i="1"/>
  <c r="AF351" i="1"/>
  <c r="BF325" i="1"/>
  <c r="AW325" i="1"/>
  <c r="DH212" i="1"/>
  <c r="DH343" i="1"/>
  <c r="DI343" i="1" s="1"/>
  <c r="DG336" i="1"/>
  <c r="DG220" i="1"/>
  <c r="DH310" i="1"/>
  <c r="Y202" i="1"/>
  <c r="AH202" i="1"/>
  <c r="X202" i="1"/>
  <c r="DH235" i="1"/>
  <c r="DG213" i="1"/>
  <c r="DI213" i="1" s="1"/>
  <c r="DH324" i="1"/>
  <c r="DG226" i="1"/>
  <c r="DI226" i="1" s="1"/>
  <c r="AH330" i="1"/>
  <c r="Y330" i="1"/>
  <c r="X330" i="1"/>
  <c r="DH265" i="1"/>
  <c r="DH314" i="1"/>
  <c r="DH302" i="1"/>
  <c r="DH350" i="1"/>
  <c r="DI350" i="1" s="1"/>
  <c r="CH179" i="1"/>
  <c r="DH311" i="1"/>
  <c r="Y28" i="1"/>
  <c r="AH28" i="1"/>
  <c r="X28" i="1"/>
  <c r="DE228" i="1"/>
  <c r="DG228" i="1" s="1"/>
  <c r="DI228" i="1" s="1"/>
  <c r="BB266" i="1"/>
  <c r="AO266" i="1"/>
  <c r="CM269" i="1"/>
  <c r="DG287" i="1"/>
  <c r="DI287" i="1" s="1"/>
  <c r="DE326" i="1"/>
  <c r="DG326" i="1" s="1"/>
  <c r="DI326" i="1" s="1"/>
  <c r="DE289" i="1"/>
  <c r="DG289" i="1" s="1"/>
  <c r="DI289" i="1" s="1"/>
  <c r="DE301" i="1"/>
  <c r="DG301" i="1" s="1"/>
  <c r="DI301" i="1" s="1"/>
  <c r="BF344" i="1"/>
  <c r="AW344" i="1"/>
  <c r="DI246" i="1"/>
  <c r="DE183" i="1"/>
  <c r="DG183" i="1" s="1"/>
  <c r="DE271" i="1"/>
  <c r="DG271" i="1" s="1"/>
  <c r="DI271" i="1" s="1"/>
  <c r="X186" i="1"/>
  <c r="AH186" i="1"/>
  <c r="Y186" i="1"/>
  <c r="CN284" i="1"/>
  <c r="AH178" i="1"/>
  <c r="Y178" i="1"/>
  <c r="X178" i="1"/>
  <c r="DE209" i="1"/>
  <c r="DG209" i="1" s="1"/>
  <c r="X347" i="1"/>
  <c r="AH347" i="1"/>
  <c r="Y347" i="1"/>
  <c r="DH281" i="1"/>
  <c r="DH325" i="1"/>
  <c r="DI325" i="1" s="1"/>
  <c r="DE191" i="1"/>
  <c r="DG191" i="1" s="1"/>
  <c r="DE337" i="1"/>
  <c r="DG337" i="1" s="1"/>
  <c r="DE203" i="1"/>
  <c r="DG203" i="1" s="1"/>
  <c r="DI203" i="1" s="1"/>
  <c r="DH236" i="1"/>
  <c r="DI236" i="1" s="1"/>
  <c r="AF199" i="1"/>
  <c r="BD199" i="1"/>
  <c r="CN199" i="1" s="1"/>
  <c r="DH220" i="1"/>
  <c r="DI220" i="1" s="1"/>
  <c r="DI234" i="1"/>
  <c r="AO202" i="1"/>
  <c r="BB202" i="1"/>
  <c r="DH214" i="1"/>
  <c r="DG324" i="1"/>
  <c r="DH321" i="1"/>
  <c r="DH207" i="1"/>
  <c r="DE182" i="1"/>
  <c r="DG182" i="1" s="1"/>
  <c r="DI182" i="1" s="1"/>
  <c r="BD330" i="1"/>
  <c r="AF330" i="1"/>
  <c r="DE230" i="1"/>
  <c r="DG230" i="1" s="1"/>
  <c r="DH260" i="1"/>
  <c r="DH293" i="1"/>
  <c r="DH242" i="1"/>
  <c r="DG350" i="1"/>
  <c r="DG311" i="1"/>
  <c r="DH215" i="1"/>
  <c r="DH272" i="1"/>
  <c r="X181" i="1"/>
  <c r="AH181" i="1"/>
  <c r="Y181" i="1"/>
  <c r="DE262" i="1"/>
  <c r="DG262" i="1" s="1"/>
  <c r="DI262" i="1" s="1"/>
  <c r="DE218" i="1"/>
  <c r="DG218" i="1" s="1"/>
  <c r="DI218" i="1" s="1"/>
  <c r="AO280" i="1"/>
  <c r="BB280" i="1"/>
  <c r="AO344" i="1"/>
  <c r="BB344" i="1"/>
  <c r="BY190" i="1"/>
  <c r="BB183" i="1"/>
  <c r="AO183" i="1"/>
  <c r="BY229" i="1"/>
  <c r="BF178" i="1"/>
  <c r="AW178" i="1"/>
  <c r="DH209" i="1"/>
  <c r="DE212" i="1"/>
  <c r="DG212" i="1" s="1"/>
  <c r="DH283" i="1"/>
  <c r="DH191" i="1"/>
  <c r="DE199" i="1"/>
  <c r="DG199" i="1" s="1"/>
  <c r="DE332" i="1"/>
  <c r="DG332" i="1" s="1"/>
  <c r="DI332" i="1" s="1"/>
  <c r="DH294" i="1"/>
  <c r="DE202" i="1"/>
  <c r="DG202" i="1" s="1"/>
  <c r="DE235" i="1"/>
  <c r="DG235" i="1" s="1"/>
  <c r="DE321" i="1"/>
  <c r="DG321" i="1" s="1"/>
  <c r="DI321" i="1" s="1"/>
  <c r="BS214" i="1"/>
  <c r="AF344" i="1"/>
  <c r="BD344" i="1"/>
  <c r="BR190" i="1"/>
  <c r="CF229" i="1"/>
  <c r="DH298" i="1"/>
  <c r="DI298" i="1" s="1"/>
  <c r="DH351" i="1"/>
  <c r="DG281" i="1"/>
  <c r="DE223" i="1"/>
  <c r="DG223" i="1" s="1"/>
  <c r="DI223" i="1" s="1"/>
  <c r="DG283" i="1"/>
  <c r="DI283" i="1" s="1"/>
  <c r="CN228" i="1"/>
  <c r="DH199" i="1"/>
  <c r="DI199" i="1" s="1"/>
  <c r="DE185" i="1"/>
  <c r="DG185" i="1" s="1"/>
  <c r="DH278" i="1"/>
  <c r="DI278" i="1" s="1"/>
  <c r="DH202" i="1"/>
  <c r="DI222" i="1"/>
  <c r="DE303" i="1"/>
  <c r="DG303" i="1" s="1"/>
  <c r="DI303" i="1" s="1"/>
  <c r="AF267" i="1"/>
  <c r="BD267" i="1"/>
  <c r="DH330" i="1"/>
  <c r="BZ214" i="1"/>
  <c r="DG293" i="1"/>
  <c r="DG242" i="1"/>
  <c r="BD350" i="1"/>
  <c r="AF350" i="1"/>
  <c r="DH225" i="1"/>
  <c r="DI225" i="1" s="1"/>
  <c r="DI215" i="1"/>
  <c r="DE285" i="1"/>
  <c r="DG285" i="1" s="1"/>
  <c r="DI285" i="1" s="1"/>
  <c r="X353" i="1"/>
  <c r="AH353" i="1"/>
  <c r="Y353" i="1"/>
  <c r="CF190" i="1"/>
  <c r="BR229" i="1"/>
  <c r="DH347" i="1"/>
  <c r="BB351" i="1"/>
  <c r="AO351" i="1"/>
  <c r="BD325" i="1"/>
  <c r="AF325" i="1"/>
  <c r="DH223" i="1"/>
  <c r="DE306" i="1"/>
  <c r="DG306" i="1" s="1"/>
  <c r="DI306" i="1" s="1"/>
  <c r="DH185" i="1"/>
  <c r="DE217" i="1"/>
  <c r="DG217" i="1" s="1"/>
  <c r="DI217" i="1" s="1"/>
  <c r="DE294" i="1"/>
  <c r="DG294" i="1" s="1"/>
  <c r="BB324" i="1"/>
  <c r="AO324" i="1"/>
  <c r="CG214" i="1"/>
  <c r="DI197" i="1"/>
  <c r="DH257" i="1"/>
  <c r="AO36" i="1"/>
  <c r="BB36" i="1"/>
  <c r="DH243" i="1"/>
  <c r="DH284" i="1"/>
  <c r="AT252" i="1"/>
  <c r="AU252" i="1" s="1"/>
  <c r="AV252" i="1" s="1"/>
  <c r="AT248" i="1"/>
  <c r="AU248" i="1" s="1"/>
  <c r="AC287" i="1"/>
  <c r="AD287" i="1" s="1"/>
  <c r="BS287" i="1" s="1"/>
  <c r="AT180" i="1"/>
  <c r="AU180" i="1" s="1"/>
  <c r="AC68" i="1"/>
  <c r="AD68" i="1" s="1"/>
  <c r="AC53" i="1"/>
  <c r="AD53" i="1" s="1"/>
  <c r="AL185" i="1"/>
  <c r="AM185" i="1" s="1"/>
  <c r="AT192" i="1"/>
  <c r="AU192" i="1" s="1"/>
  <c r="AL65" i="1"/>
  <c r="AM65" i="1" s="1"/>
  <c r="BR65" i="1" s="1"/>
  <c r="AC261" i="1"/>
  <c r="AD261" i="1" s="1"/>
  <c r="AC269" i="1"/>
  <c r="AD269" i="1" s="1"/>
  <c r="CG269" i="1" s="1"/>
  <c r="AL193" i="1"/>
  <c r="AM193" i="1" s="1"/>
  <c r="BR193" i="1" s="1"/>
  <c r="AC238" i="1"/>
  <c r="AD238" i="1" s="1"/>
  <c r="CN238" i="1" s="1"/>
  <c r="AT15" i="1"/>
  <c r="AU15" i="1" s="1"/>
  <c r="BT15" i="1" s="1"/>
  <c r="AT264" i="1"/>
  <c r="AU264" i="1" s="1"/>
  <c r="BT264" i="1" s="1"/>
  <c r="AC7" i="1"/>
  <c r="AD7" i="1" s="1"/>
  <c r="AL326" i="1"/>
  <c r="AM326" i="1" s="1"/>
  <c r="AT269" i="1"/>
  <c r="AU269" i="1" s="1"/>
  <c r="CH269" i="1" s="1"/>
  <c r="AC182" i="1"/>
  <c r="AD182" i="1" s="1"/>
  <c r="CN182" i="1" s="1"/>
  <c r="AL331" i="1"/>
  <c r="AM331" i="1" s="1"/>
  <c r="BR331" i="1" s="1"/>
  <c r="AL208" i="1"/>
  <c r="AM208" i="1" s="1"/>
  <c r="AC227" i="1"/>
  <c r="AD227" i="1" s="1"/>
  <c r="AC322" i="1"/>
  <c r="AD322" i="1" s="1"/>
  <c r="CN322" i="1" s="1"/>
  <c r="AT44" i="1"/>
  <c r="AU44" i="1" s="1"/>
  <c r="AT58" i="1"/>
  <c r="AU58" i="1" s="1"/>
  <c r="CO58" i="1" s="1"/>
  <c r="AT66" i="1"/>
  <c r="AU66" i="1" s="1"/>
  <c r="AL339" i="1"/>
  <c r="AM339" i="1" s="1"/>
  <c r="AC266" i="1"/>
  <c r="AD266" i="1" s="1"/>
  <c r="AG266" i="1" s="1"/>
  <c r="AL20" i="1"/>
  <c r="AM20" i="1" s="1"/>
  <c r="AC189" i="1"/>
  <c r="AD189" i="1" s="1"/>
  <c r="AT179" i="1"/>
  <c r="AU179" i="1" s="1"/>
  <c r="BT179" i="1" s="1"/>
  <c r="AT287" i="1"/>
  <c r="AU287" i="1" s="1"/>
  <c r="CA287" i="1" s="1"/>
  <c r="AT247" i="1"/>
  <c r="AU247" i="1" s="1"/>
  <c r="BT247" i="1" s="1"/>
  <c r="AC252" i="1"/>
  <c r="AD252" i="1" s="1"/>
  <c r="AT229" i="1"/>
  <c r="AU229" i="1" s="1"/>
  <c r="AX229" i="1" s="1"/>
  <c r="AT319" i="1"/>
  <c r="AU319" i="1" s="1"/>
  <c r="BT319" i="1" s="1"/>
  <c r="AT246" i="1"/>
  <c r="AU246" i="1" s="1"/>
  <c r="CA246" i="1" s="1"/>
  <c r="AC20" i="1"/>
  <c r="AD20" i="1" s="1"/>
  <c r="AC63" i="1"/>
  <c r="AD63" i="1" s="1"/>
  <c r="BZ63" i="1" s="1"/>
  <c r="AL241" i="1"/>
  <c r="AM241" i="1" s="1"/>
  <c r="BY241" i="1" s="1"/>
  <c r="AT47" i="1"/>
  <c r="AU47" i="1" s="1"/>
  <c r="AL279" i="1"/>
  <c r="AM279" i="1" s="1"/>
  <c r="CF279" i="1" s="1"/>
  <c r="AC31" i="1"/>
  <c r="AD31" i="1" s="1"/>
  <c r="AL58" i="1"/>
  <c r="AM58" i="1" s="1"/>
  <c r="CF58" i="1" s="1"/>
  <c r="AT190" i="1"/>
  <c r="AU190" i="1" s="1"/>
  <c r="CH190" i="1" s="1"/>
  <c r="AT198" i="1"/>
  <c r="AU198" i="1" s="1"/>
  <c r="AC64" i="1"/>
  <c r="AD64" i="1" s="1"/>
  <c r="AE64" i="1" s="1"/>
  <c r="AL26" i="1"/>
  <c r="AM26" i="1" s="1"/>
  <c r="CA58" i="1"/>
  <c r="AT188" i="1"/>
  <c r="AU188" i="1" s="1"/>
  <c r="CA188" i="1" s="1"/>
  <c r="AT17" i="1"/>
  <c r="AU17" i="1" s="1"/>
  <c r="AC11" i="1"/>
  <c r="AD11" i="1" s="1"/>
  <c r="AE11" i="1" s="1"/>
  <c r="Y127" i="1"/>
  <c r="AH127" i="1"/>
  <c r="X127" i="1"/>
  <c r="AH108" i="1"/>
  <c r="Y108" i="1"/>
  <c r="X108" i="1"/>
  <c r="BB129" i="1"/>
  <c r="AO129" i="1"/>
  <c r="Y165" i="1"/>
  <c r="X165" i="1"/>
  <c r="AH165" i="1"/>
  <c r="BF174" i="1"/>
  <c r="AW174" i="1"/>
  <c r="BB174" i="1"/>
  <c r="AO174" i="1"/>
  <c r="AF131" i="1"/>
  <c r="BD131" i="1"/>
  <c r="AW100" i="1"/>
  <c r="BF100" i="1"/>
  <c r="DH146" i="1"/>
  <c r="AF113" i="1"/>
  <c r="BD113" i="1"/>
  <c r="X149" i="1"/>
  <c r="Y149" i="1"/>
  <c r="AH149" i="1"/>
  <c r="AW172" i="1"/>
  <c r="BF172" i="1"/>
  <c r="BB172" i="1"/>
  <c r="AO172" i="1"/>
  <c r="Y139" i="1"/>
  <c r="AH139" i="1"/>
  <c r="X139" i="1"/>
  <c r="BF111" i="1"/>
  <c r="AW111" i="1"/>
  <c r="AH140" i="1"/>
  <c r="Y140" i="1"/>
  <c r="X140" i="1"/>
  <c r="DE135" i="1"/>
  <c r="DG135" i="1" s="1"/>
  <c r="DI135" i="1" s="1"/>
  <c r="AW81" i="1"/>
  <c r="BF81" i="1"/>
  <c r="AH78" i="1"/>
  <c r="Y78" i="1"/>
  <c r="X78" i="1"/>
  <c r="BB78" i="1"/>
  <c r="AO78" i="1"/>
  <c r="BB83" i="1"/>
  <c r="AO83" i="1"/>
  <c r="BD90" i="1"/>
  <c r="AF90" i="1"/>
  <c r="AH73" i="1"/>
  <c r="X73" i="1"/>
  <c r="Y73" i="1"/>
  <c r="BD73" i="1"/>
  <c r="AF73" i="1"/>
  <c r="DE176" i="1"/>
  <c r="DG176" i="1" s="1"/>
  <c r="DI176" i="1" s="1"/>
  <c r="BD86" i="1"/>
  <c r="AF86" i="1"/>
  <c r="AW86" i="1"/>
  <c r="BF86" i="1"/>
  <c r="BB122" i="1"/>
  <c r="AO122" i="1"/>
  <c r="AK350" i="1"/>
  <c r="AI350" i="1"/>
  <c r="BB87" i="1"/>
  <c r="AO87" i="1"/>
  <c r="BB142" i="1"/>
  <c r="AO142" i="1"/>
  <c r="AF4" i="1"/>
  <c r="BD4" i="1"/>
  <c r="AW4" i="1"/>
  <c r="BF4" i="1"/>
  <c r="BF133" i="1"/>
  <c r="AW133" i="1"/>
  <c r="AW168" i="1"/>
  <c r="BF168" i="1"/>
  <c r="X168" i="1"/>
  <c r="AH168" i="1"/>
  <c r="Y168" i="1"/>
  <c r="BB148" i="1"/>
  <c r="AO148" i="1"/>
  <c r="Y104" i="1"/>
  <c r="AH104" i="1"/>
  <c r="X104" i="1"/>
  <c r="AF104" i="1"/>
  <c r="BD104" i="1"/>
  <c r="AW72" i="1"/>
  <c r="BF72" i="1"/>
  <c r="AW102" i="1"/>
  <c r="BF102" i="1"/>
  <c r="Y130" i="1"/>
  <c r="X130" i="1"/>
  <c r="AH130" i="1"/>
  <c r="AB5" i="1"/>
  <c r="Z5" i="1"/>
  <c r="Y163" i="1"/>
  <c r="AH163" i="1"/>
  <c r="X163" i="1"/>
  <c r="BB144" i="1"/>
  <c r="AO144" i="1"/>
  <c r="DH41" i="1"/>
  <c r="BF119" i="1"/>
  <c r="AW119" i="1"/>
  <c r="DG119" i="1"/>
  <c r="DI119" i="1" s="1"/>
  <c r="Y97" i="1"/>
  <c r="AH97" i="1"/>
  <c r="X97" i="1"/>
  <c r="BD97" i="1"/>
  <c r="AF97" i="1"/>
  <c r="BB118" i="1"/>
  <c r="AO118" i="1"/>
  <c r="BB94" i="1"/>
  <c r="AO94" i="1"/>
  <c r="AH98" i="1"/>
  <c r="X98" i="1"/>
  <c r="Y98" i="1"/>
  <c r="BB79" i="1"/>
  <c r="AO79" i="1"/>
  <c r="AW79" i="1"/>
  <c r="BF79" i="1"/>
  <c r="AW171" i="1"/>
  <c r="BF171" i="1"/>
  <c r="DH176" i="1"/>
  <c r="BF132" i="1"/>
  <c r="AW132" i="1"/>
  <c r="DH15" i="1"/>
  <c r="X154" i="1"/>
  <c r="Y154" i="1"/>
  <c r="AH154" i="1"/>
  <c r="BD80" i="1"/>
  <c r="AF80" i="1"/>
  <c r="AH80" i="1"/>
  <c r="Y80" i="1"/>
  <c r="X80" i="1"/>
  <c r="BB167" i="1"/>
  <c r="AO167" i="1"/>
  <c r="AH143" i="1"/>
  <c r="Y143" i="1"/>
  <c r="X143" i="1"/>
  <c r="AH126" i="1"/>
  <c r="Y126" i="1"/>
  <c r="X126" i="1"/>
  <c r="AW175" i="1"/>
  <c r="BF175" i="1"/>
  <c r="AW162" i="1"/>
  <c r="BF162" i="1"/>
  <c r="DG162" i="1"/>
  <c r="BB136" i="1"/>
  <c r="AO136" i="1"/>
  <c r="AW136" i="1"/>
  <c r="BF136" i="1"/>
  <c r="Y107" i="1"/>
  <c r="AH107" i="1"/>
  <c r="X107" i="1"/>
  <c r="AF147" i="1"/>
  <c r="BD147" i="1"/>
  <c r="BF84" i="1"/>
  <c r="AW84" i="1"/>
  <c r="BD101" i="1"/>
  <c r="AF101" i="1"/>
  <c r="AO101" i="1"/>
  <c r="BB101" i="1"/>
  <c r="AH173" i="1"/>
  <c r="X173" i="1"/>
  <c r="Y173" i="1"/>
  <c r="DE152" i="1"/>
  <c r="DG152" i="1" s="1"/>
  <c r="DI152" i="1" s="1"/>
  <c r="X124" i="1"/>
  <c r="AH124" i="1"/>
  <c r="Y124" i="1"/>
  <c r="DG124" i="1"/>
  <c r="DI124" i="1" s="1"/>
  <c r="X123" i="1"/>
  <c r="Y123" i="1"/>
  <c r="AH123" i="1"/>
  <c r="AH88" i="1"/>
  <c r="Y88" i="1"/>
  <c r="X88" i="1"/>
  <c r="AF150" i="1"/>
  <c r="BD150" i="1"/>
  <c r="DH50" i="1"/>
  <c r="Y75" i="1"/>
  <c r="X75" i="1"/>
  <c r="AH75" i="1"/>
  <c r="AW82" i="1"/>
  <c r="BF82" i="1"/>
  <c r="AH82" i="1"/>
  <c r="Y82" i="1"/>
  <c r="X82" i="1"/>
  <c r="AF76" i="1"/>
  <c r="BD76" i="1"/>
  <c r="DH76" i="1"/>
  <c r="BB38" i="1"/>
  <c r="AO38" i="1"/>
  <c r="AT268" i="1"/>
  <c r="AU268" i="1" s="1"/>
  <c r="CH268" i="1" s="1"/>
  <c r="AH60" i="1"/>
  <c r="Y60" i="1"/>
  <c r="X60" i="1"/>
  <c r="DH121" i="1"/>
  <c r="BD153" i="1"/>
  <c r="AF153" i="1"/>
  <c r="AW116" i="1"/>
  <c r="BF116" i="1"/>
  <c r="AW128" i="1"/>
  <c r="BF128" i="1"/>
  <c r="DE128" i="1"/>
  <c r="DG128" i="1" s="1"/>
  <c r="DI128" i="1" s="1"/>
  <c r="AO34" i="1"/>
  <c r="BB34" i="1"/>
  <c r="DG166" i="1"/>
  <c r="DH166" i="1"/>
  <c r="AO112" i="1"/>
  <c r="BB112" i="1"/>
  <c r="X112" i="1"/>
  <c r="Y112" i="1"/>
  <c r="AH112" i="1"/>
  <c r="AB329" i="1"/>
  <c r="Z329" i="1"/>
  <c r="AF161" i="1"/>
  <c r="BD161" i="1"/>
  <c r="BB151" i="1"/>
  <c r="AO151" i="1"/>
  <c r="Y151" i="1"/>
  <c r="X151" i="1"/>
  <c r="AH151" i="1"/>
  <c r="DG156" i="1"/>
  <c r="DI156" i="1" s="1"/>
  <c r="DE155" i="1"/>
  <c r="DG155" i="1" s="1"/>
  <c r="DI155" i="1" s="1"/>
  <c r="DH155" i="1"/>
  <c r="BB60" i="1"/>
  <c r="AO60" i="1"/>
  <c r="DH60" i="1"/>
  <c r="X138" i="1"/>
  <c r="AH138" i="1"/>
  <c r="Y138" i="1"/>
  <c r="AQ182" i="1"/>
  <c r="AS182" i="1"/>
  <c r="AW96" i="1"/>
  <c r="BF96" i="1"/>
  <c r="X114" i="1"/>
  <c r="Y114" i="1"/>
  <c r="AH114" i="1"/>
  <c r="AF93" i="1"/>
  <c r="BD93" i="1"/>
  <c r="AF85" i="1"/>
  <c r="BD85" i="1"/>
  <c r="AF48" i="1"/>
  <c r="BD48" i="1"/>
  <c r="DH32" i="1"/>
  <c r="AF52" i="1"/>
  <c r="BD52" i="1"/>
  <c r="BD110" i="1"/>
  <c r="AF110" i="1"/>
  <c r="BF125" i="1"/>
  <c r="AW125" i="1"/>
  <c r="AF44" i="1"/>
  <c r="BD44" i="1"/>
  <c r="DH44" i="1"/>
  <c r="AF56" i="1"/>
  <c r="BD56" i="1"/>
  <c r="X9" i="1"/>
  <c r="Y9" i="1"/>
  <c r="AF117" i="1"/>
  <c r="BD117" i="1"/>
  <c r="BB117" i="1"/>
  <c r="AO117" i="1"/>
  <c r="Y106" i="1"/>
  <c r="AH106" i="1"/>
  <c r="X106" i="1"/>
  <c r="Y105" i="1"/>
  <c r="AH105" i="1"/>
  <c r="X105" i="1"/>
  <c r="AW18" i="1"/>
  <c r="BF18" i="1"/>
  <c r="AH99" i="1"/>
  <c r="Y99" i="1"/>
  <c r="X99" i="1"/>
  <c r="DH99" i="1"/>
  <c r="X3" i="1"/>
  <c r="AH3" i="1"/>
  <c r="Y3" i="1"/>
  <c r="AO3" i="1"/>
  <c r="BB3" i="1"/>
  <c r="AH74" i="1"/>
  <c r="X74" i="1"/>
  <c r="Y74" i="1"/>
  <c r="BF14" i="1"/>
  <c r="AW14" i="1"/>
  <c r="AO145" i="1"/>
  <c r="BB145" i="1"/>
  <c r="BD141" i="1"/>
  <c r="AF141" i="1"/>
  <c r="X120" i="1"/>
  <c r="Y120" i="1"/>
  <c r="AH120" i="1"/>
  <c r="DI159" i="1"/>
  <c r="AC235" i="1"/>
  <c r="AD235" i="1" s="1"/>
  <c r="AT169" i="1"/>
  <c r="AU169" i="1" s="1"/>
  <c r="CH169" i="1" s="1"/>
  <c r="BB127" i="1"/>
  <c r="AO127" i="1"/>
  <c r="BD174" i="1"/>
  <c r="AF174" i="1"/>
  <c r="Y131" i="1"/>
  <c r="AH131" i="1"/>
  <c r="X131" i="1"/>
  <c r="BB146" i="1"/>
  <c r="AO146" i="1"/>
  <c r="AW77" i="1"/>
  <c r="BF77" i="1"/>
  <c r="BF149" i="1"/>
  <c r="AW149" i="1"/>
  <c r="AW134" i="1"/>
  <c r="BF134" i="1"/>
  <c r="AO92" i="1"/>
  <c r="BB92" i="1"/>
  <c r="AW122" i="1"/>
  <c r="BF122" i="1"/>
  <c r="BF148" i="1"/>
  <c r="AW148" i="1"/>
  <c r="X72" i="1"/>
  <c r="Y72" i="1"/>
  <c r="AH72" i="1"/>
  <c r="AO130" i="1"/>
  <c r="BB130" i="1"/>
  <c r="AF89" i="1"/>
  <c r="BD89" i="1"/>
  <c r="X144" i="1"/>
  <c r="Y144" i="1"/>
  <c r="AH144" i="1"/>
  <c r="AF164" i="1"/>
  <c r="BD164" i="1"/>
  <c r="AF119" i="1"/>
  <c r="BD119" i="1"/>
  <c r="AF98" i="1"/>
  <c r="BD98" i="1"/>
  <c r="BD171" i="1"/>
  <c r="AF171" i="1"/>
  <c r="AF132" i="1"/>
  <c r="BD132" i="1"/>
  <c r="BF154" i="1"/>
  <c r="AW154" i="1"/>
  <c r="BF167" i="1"/>
  <c r="AW167" i="1"/>
  <c r="AO143" i="1"/>
  <c r="BB143" i="1"/>
  <c r="DG136" i="1"/>
  <c r="DI136" i="1" s="1"/>
  <c r="AO107" i="1"/>
  <c r="BB107" i="1"/>
  <c r="AL323" i="1"/>
  <c r="AM323" i="1" s="1"/>
  <c r="BR323" i="1" s="1"/>
  <c r="DJ323" i="1" s="1"/>
  <c r="AC237" i="1"/>
  <c r="AD237" i="1" s="1"/>
  <c r="BZ237" i="1" s="1"/>
  <c r="AC200" i="1"/>
  <c r="AD200" i="1" s="1"/>
  <c r="BZ200" i="1" s="1"/>
  <c r="AL253" i="1"/>
  <c r="AM253" i="1" s="1"/>
  <c r="BY253" i="1" s="1"/>
  <c r="AL70" i="1"/>
  <c r="AM70" i="1" s="1"/>
  <c r="CM70" i="1" s="1"/>
  <c r="BF158" i="1"/>
  <c r="AW158" i="1"/>
  <c r="AW108" i="1"/>
  <c r="BF108" i="1"/>
  <c r="AF129" i="1"/>
  <c r="BD129" i="1"/>
  <c r="AH174" i="1"/>
  <c r="X174" i="1"/>
  <c r="Y174" i="1"/>
  <c r="AW146" i="1"/>
  <c r="BF146" i="1"/>
  <c r="BB77" i="1"/>
  <c r="AO77" i="1"/>
  <c r="Y113" i="1"/>
  <c r="X113" i="1"/>
  <c r="AH113" i="1"/>
  <c r="AF140" i="1"/>
  <c r="BD140" i="1"/>
  <c r="Y83" i="1"/>
  <c r="AH83" i="1"/>
  <c r="AQ83" i="1" s="1"/>
  <c r="X83" i="1"/>
  <c r="AO160" i="1"/>
  <c r="BB160" i="1"/>
  <c r="BB176" i="1"/>
  <c r="AO176" i="1"/>
  <c r="AF87" i="1"/>
  <c r="BD87" i="1"/>
  <c r="BB4" i="1"/>
  <c r="AO4" i="1"/>
  <c r="AH121" i="1"/>
  <c r="X121" i="1"/>
  <c r="Y121" i="1"/>
  <c r="AF168" i="1"/>
  <c r="BD168" i="1"/>
  <c r="AF148" i="1"/>
  <c r="BD148" i="1"/>
  <c r="BB102" i="1"/>
  <c r="AO102" i="1"/>
  <c r="AF115" i="1"/>
  <c r="BD115" i="1"/>
  <c r="AO177" i="1"/>
  <c r="BB177" i="1"/>
  <c r="AO163" i="1"/>
  <c r="BB163" i="1"/>
  <c r="DH25" i="1"/>
  <c r="BD144" i="1"/>
  <c r="AF144" i="1"/>
  <c r="AH118" i="1"/>
  <c r="X118" i="1"/>
  <c r="Y118" i="1"/>
  <c r="BD94" i="1"/>
  <c r="AF94" i="1"/>
  <c r="BF91" i="1"/>
  <c r="AW91" i="1"/>
  <c r="BD109" i="1"/>
  <c r="AF109" i="1"/>
  <c r="AO80" i="1"/>
  <c r="BB80" i="1"/>
  <c r="AO175" i="1"/>
  <c r="BB175" i="1"/>
  <c r="BD162" i="1"/>
  <c r="AF162" i="1"/>
  <c r="DH39" i="1"/>
  <c r="AF107" i="1"/>
  <c r="BD107" i="1"/>
  <c r="AW157" i="1"/>
  <c r="BF157" i="1"/>
  <c r="AH157" i="1"/>
  <c r="X157" i="1"/>
  <c r="Y157" i="1"/>
  <c r="AO84" i="1"/>
  <c r="BB84" i="1"/>
  <c r="DH84" i="1"/>
  <c r="AW173" i="1"/>
  <c r="BF173" i="1"/>
  <c r="BB124" i="1"/>
  <c r="AO124" i="1"/>
  <c r="DG123" i="1"/>
  <c r="DI123" i="1" s="1"/>
  <c r="AW88" i="1"/>
  <c r="BF88" i="1"/>
  <c r="BB150" i="1"/>
  <c r="AO150" i="1"/>
  <c r="AO75" i="1"/>
  <c r="BB75" i="1"/>
  <c r="DH82" i="1"/>
  <c r="AO170" i="1"/>
  <c r="BB170" i="1"/>
  <c r="Y69" i="1"/>
  <c r="X69" i="1"/>
  <c r="AO116" i="1"/>
  <c r="BB116" i="1"/>
  <c r="BD128" i="1"/>
  <c r="AF128" i="1"/>
  <c r="AW34" i="1"/>
  <c r="BF34" i="1"/>
  <c r="AF166" i="1"/>
  <c r="BD166" i="1"/>
  <c r="DE112" i="1"/>
  <c r="DG112" i="1" s="1"/>
  <c r="DI112" i="1" s="1"/>
  <c r="DI142" i="1"/>
  <c r="BB161" i="1"/>
  <c r="AO161" i="1"/>
  <c r="AH159" i="1"/>
  <c r="X159" i="1"/>
  <c r="Y159" i="1"/>
  <c r="AW156" i="1"/>
  <c r="BF156" i="1"/>
  <c r="BD155" i="1"/>
  <c r="AF155" i="1"/>
  <c r="DG138" i="1"/>
  <c r="DI138" i="1" s="1"/>
  <c r="AK182" i="1"/>
  <c r="AI182" i="1"/>
  <c r="BB96" i="1"/>
  <c r="AO96" i="1"/>
  <c r="BD114" i="1"/>
  <c r="AF114" i="1"/>
  <c r="BB110" i="1"/>
  <c r="AO110" i="1"/>
  <c r="BB44" i="1"/>
  <c r="AO44" i="1"/>
  <c r="AO106" i="1"/>
  <c r="BB106" i="1"/>
  <c r="AO105" i="1"/>
  <c r="BB105" i="1"/>
  <c r="AF99" i="1"/>
  <c r="BD99" i="1"/>
  <c r="BB99" i="1"/>
  <c r="AO99" i="1"/>
  <c r="DE3" i="1"/>
  <c r="DG3" i="1" s="1"/>
  <c r="AF74" i="1"/>
  <c r="BD74" i="1"/>
  <c r="AO74" i="1"/>
  <c r="BB74" i="1"/>
  <c r="BD145" i="1"/>
  <c r="AF145" i="1"/>
  <c r="X145" i="1"/>
  <c r="AH145" i="1"/>
  <c r="Y145" i="1"/>
  <c r="BB141" i="1"/>
  <c r="AO141" i="1"/>
  <c r="AF120" i="1"/>
  <c r="BD120" i="1"/>
  <c r="AG198" i="1"/>
  <c r="AT257" i="1"/>
  <c r="AU257" i="1" s="1"/>
  <c r="BT257" i="1" s="1"/>
  <c r="AT216" i="1"/>
  <c r="AU216" i="1" s="1"/>
  <c r="CO216" i="1" s="1"/>
  <c r="AC234" i="1"/>
  <c r="AD234" i="1" s="1"/>
  <c r="CG234" i="1" s="1"/>
  <c r="AK319" i="1"/>
  <c r="AL319" i="1" s="1"/>
  <c r="AM319" i="1" s="1"/>
  <c r="AL236" i="1"/>
  <c r="AM236" i="1" s="1"/>
  <c r="AL16" i="1"/>
  <c r="AM16" i="1" s="1"/>
  <c r="AH69" i="1"/>
  <c r="AQ69" i="1" s="1"/>
  <c r="BS63" i="1"/>
  <c r="AI29" i="1"/>
  <c r="AL29" i="1" s="1"/>
  <c r="AM29" i="1" s="1"/>
  <c r="Z279" i="1"/>
  <c r="AC279" i="1" s="1"/>
  <c r="AD279" i="1" s="1"/>
  <c r="CN279" i="1" s="1"/>
  <c r="AT283" i="1"/>
  <c r="AU283" i="1" s="1"/>
  <c r="AK14" i="1"/>
  <c r="AL14" i="1" s="1"/>
  <c r="AM14" i="1" s="1"/>
  <c r="BB14" i="1"/>
  <c r="AC180" i="1"/>
  <c r="AD180" i="1" s="1"/>
  <c r="AG180" i="1" s="1"/>
  <c r="AT63" i="1"/>
  <c r="AU63" i="1" s="1"/>
  <c r="AV63" i="1" s="1"/>
  <c r="AC264" i="1"/>
  <c r="AD264" i="1" s="1"/>
  <c r="AE264" i="1" s="1"/>
  <c r="DG95" i="1"/>
  <c r="DI95" i="1" s="1"/>
  <c r="AL246" i="1"/>
  <c r="AM246" i="1" s="1"/>
  <c r="AB247" i="1"/>
  <c r="AC8" i="1"/>
  <c r="AD8" i="1" s="1"/>
  <c r="AT185" i="1"/>
  <c r="AU185" i="1" s="1"/>
  <c r="AL53" i="1"/>
  <c r="AM53" i="1" s="1"/>
  <c r="AP53" i="1" s="1"/>
  <c r="DG62" i="1"/>
  <c r="DG46" i="1"/>
  <c r="DG14" i="1"/>
  <c r="AB328" i="1"/>
  <c r="Z328" i="1"/>
  <c r="DG127" i="1"/>
  <c r="X158" i="1"/>
  <c r="AH158" i="1"/>
  <c r="Y158" i="1"/>
  <c r="AO108" i="1"/>
  <c r="BB108" i="1"/>
  <c r="AH129" i="1"/>
  <c r="Y129" i="1"/>
  <c r="X129" i="1"/>
  <c r="AW165" i="1"/>
  <c r="BF165" i="1"/>
  <c r="AF165" i="1"/>
  <c r="BD165" i="1"/>
  <c r="DE174" i="1"/>
  <c r="DG174" i="1" s="1"/>
  <c r="DI174" i="1" s="1"/>
  <c r="AO100" i="1"/>
  <c r="BB100" i="1"/>
  <c r="AH100" i="1"/>
  <c r="X100" i="1"/>
  <c r="Y100" i="1"/>
  <c r="DG146" i="1"/>
  <c r="X77" i="1"/>
  <c r="Y77" i="1"/>
  <c r="AH77" i="1"/>
  <c r="DH149" i="1"/>
  <c r="DI149" i="1" s="1"/>
  <c r="Y172" i="1"/>
  <c r="AH172" i="1"/>
  <c r="X172" i="1"/>
  <c r="DE139" i="1"/>
  <c r="DG139" i="1" s="1"/>
  <c r="DI139" i="1" s="1"/>
  <c r="AO139" i="1"/>
  <c r="BB139" i="1"/>
  <c r="AF111" i="1"/>
  <c r="BD111" i="1"/>
  <c r="CH5" i="1"/>
  <c r="CA5" i="1"/>
  <c r="BT5" i="1"/>
  <c r="AV5" i="1"/>
  <c r="CO5" i="1"/>
  <c r="AX5" i="1"/>
  <c r="AW135" i="1"/>
  <c r="BF135" i="1"/>
  <c r="AF135" i="1"/>
  <c r="BD135" i="1"/>
  <c r="AH81" i="1"/>
  <c r="X81" i="1"/>
  <c r="Y81" i="1"/>
  <c r="BD81" i="1"/>
  <c r="AF81" i="1"/>
  <c r="AF78" i="1"/>
  <c r="BD78" i="1"/>
  <c r="BF78" i="1"/>
  <c r="AW78" i="1"/>
  <c r="BF83" i="1"/>
  <c r="AW83" i="1"/>
  <c r="BD92" i="1"/>
  <c r="AF92" i="1"/>
  <c r="AW160" i="1"/>
  <c r="BF160" i="1"/>
  <c r="Y160" i="1"/>
  <c r="X160" i="1"/>
  <c r="AH160" i="1"/>
  <c r="AF176" i="1"/>
  <c r="BD176" i="1"/>
  <c r="AW176" i="1"/>
  <c r="BF176" i="1"/>
  <c r="Y86" i="1"/>
  <c r="AH86" i="1"/>
  <c r="X86" i="1"/>
  <c r="BB86" i="1"/>
  <c r="AO86" i="1"/>
  <c r="DE122" i="1"/>
  <c r="DG122" i="1" s="1"/>
  <c r="DI122" i="1" s="1"/>
  <c r="AF122" i="1"/>
  <c r="BD122" i="1"/>
  <c r="DH127" i="1"/>
  <c r="BF87" i="1"/>
  <c r="AW87" i="1"/>
  <c r="BF142" i="1"/>
  <c r="AW142" i="1"/>
  <c r="X142" i="1"/>
  <c r="AH142" i="1"/>
  <c r="Y142" i="1"/>
  <c r="DG4" i="1"/>
  <c r="Y4" i="1"/>
  <c r="AH4" i="1"/>
  <c r="X4" i="1"/>
  <c r="DH53" i="1"/>
  <c r="DH70" i="1"/>
  <c r="AF121" i="1"/>
  <c r="BD121" i="1"/>
  <c r="BB121" i="1"/>
  <c r="AO121" i="1"/>
  <c r="Y133" i="1"/>
  <c r="AH133" i="1"/>
  <c r="X133" i="1"/>
  <c r="AF133" i="1"/>
  <c r="BD133" i="1"/>
  <c r="AO168" i="1"/>
  <c r="BB168" i="1"/>
  <c r="BF104" i="1"/>
  <c r="AW104" i="1"/>
  <c r="AF72" i="1"/>
  <c r="BD72" i="1"/>
  <c r="BD102" i="1"/>
  <c r="AF102" i="1"/>
  <c r="Y115" i="1"/>
  <c r="X115" i="1"/>
  <c r="AH115" i="1"/>
  <c r="AW115" i="1"/>
  <c r="BF115" i="1"/>
  <c r="BD130" i="1"/>
  <c r="AF130" i="1"/>
  <c r="AF177" i="1"/>
  <c r="BD177" i="1"/>
  <c r="DH113" i="1"/>
  <c r="DI113" i="1" s="1"/>
  <c r="AW163" i="1"/>
  <c r="BF163" i="1"/>
  <c r="Y89" i="1"/>
  <c r="X89" i="1"/>
  <c r="AH89" i="1"/>
  <c r="DH144" i="1"/>
  <c r="DI144" i="1" s="1"/>
  <c r="DH12" i="1"/>
  <c r="AW164" i="1"/>
  <c r="BF164" i="1"/>
  <c r="X164" i="1"/>
  <c r="AH164" i="1"/>
  <c r="Y164" i="1"/>
  <c r="AO97" i="1"/>
  <c r="BB97" i="1"/>
  <c r="AW97" i="1"/>
  <c r="BF97" i="1"/>
  <c r="BF94" i="1"/>
  <c r="AW94" i="1"/>
  <c r="Y94" i="1"/>
  <c r="X94" i="1"/>
  <c r="AH94" i="1"/>
  <c r="BD91" i="1"/>
  <c r="AF91" i="1"/>
  <c r="AO98" i="1"/>
  <c r="BB98" i="1"/>
  <c r="AF79" i="1"/>
  <c r="BD79" i="1"/>
  <c r="DH79" i="1"/>
  <c r="Y171" i="1"/>
  <c r="AH171" i="1"/>
  <c r="X171" i="1"/>
  <c r="AH132" i="1"/>
  <c r="Y132" i="1"/>
  <c r="X132" i="1"/>
  <c r="DE132" i="1"/>
  <c r="DG132" i="1" s="1"/>
  <c r="DI132" i="1" s="1"/>
  <c r="DG154" i="1"/>
  <c r="DI154" i="1" s="1"/>
  <c r="AF154" i="1"/>
  <c r="BD154" i="1"/>
  <c r="AW80" i="1"/>
  <c r="BF80" i="1"/>
  <c r="AF167" i="1"/>
  <c r="BD167" i="1"/>
  <c r="DG167" i="1"/>
  <c r="DG143" i="1"/>
  <c r="DI143" i="1" s="1"/>
  <c r="BB126" i="1"/>
  <c r="AO126" i="1"/>
  <c r="AF126" i="1"/>
  <c r="BD126" i="1"/>
  <c r="DH66" i="1"/>
  <c r="AF175" i="1"/>
  <c r="BD175" i="1"/>
  <c r="DE175" i="1"/>
  <c r="DG175" i="1" s="1"/>
  <c r="DI175" i="1" s="1"/>
  <c r="BD136" i="1"/>
  <c r="AF136" i="1"/>
  <c r="DH24" i="1"/>
  <c r="BF107" i="1"/>
  <c r="AW107" i="1"/>
  <c r="DH107" i="1"/>
  <c r="DH157" i="1"/>
  <c r="DI157" i="1" s="1"/>
  <c r="AO147" i="1"/>
  <c r="BB147" i="1"/>
  <c r="AH84" i="1"/>
  <c r="Y84" i="1"/>
  <c r="X84" i="1"/>
  <c r="BF101" i="1"/>
  <c r="AW101" i="1"/>
  <c r="X101" i="1"/>
  <c r="AH101" i="1"/>
  <c r="Y101" i="1"/>
  <c r="AF173" i="1"/>
  <c r="BD173" i="1"/>
  <c r="X152" i="1"/>
  <c r="AH152" i="1"/>
  <c r="Y152" i="1"/>
  <c r="BD152" i="1"/>
  <c r="AF152" i="1"/>
  <c r="BF123" i="1"/>
  <c r="AW123" i="1"/>
  <c r="BB88" i="1"/>
  <c r="AO88" i="1"/>
  <c r="DH56" i="1"/>
  <c r="AI266" i="1"/>
  <c r="AK266" i="1"/>
  <c r="X150" i="1"/>
  <c r="AH150" i="1"/>
  <c r="Y150" i="1"/>
  <c r="AW150" i="1"/>
  <c r="BF150" i="1"/>
  <c r="BF75" i="1"/>
  <c r="AW75" i="1"/>
  <c r="BD75" i="1"/>
  <c r="AF75" i="1"/>
  <c r="DH13" i="1"/>
  <c r="BD82" i="1"/>
  <c r="AF82" i="1"/>
  <c r="AO82" i="1"/>
  <c r="BB82" i="1"/>
  <c r="AH76" i="1"/>
  <c r="Y76" i="1"/>
  <c r="X76" i="1"/>
  <c r="BF170" i="1"/>
  <c r="AW170" i="1"/>
  <c r="DE170" i="1"/>
  <c r="DG170" i="1" s="1"/>
  <c r="DI170" i="1" s="1"/>
  <c r="BB69" i="1"/>
  <c r="AO69" i="1"/>
  <c r="X38" i="1"/>
  <c r="Y38" i="1"/>
  <c r="AH38" i="1"/>
  <c r="Y153" i="1"/>
  <c r="X153" i="1"/>
  <c r="AH153" i="1"/>
  <c r="DG153" i="1"/>
  <c r="AH128" i="1"/>
  <c r="Y128" i="1"/>
  <c r="X128" i="1"/>
  <c r="DH147" i="1"/>
  <c r="DI147" i="1" s="1"/>
  <c r="AC190" i="1"/>
  <c r="AD190" i="1" s="1"/>
  <c r="BZ190" i="1" s="1"/>
  <c r="AW112" i="1"/>
  <c r="BF112" i="1"/>
  <c r="AI329" i="1"/>
  <c r="AK329" i="1"/>
  <c r="DG151" i="1"/>
  <c r="BB156" i="1"/>
  <c r="AO156" i="1"/>
  <c r="BF155" i="1"/>
  <c r="AW155" i="1"/>
  <c r="AF60" i="1"/>
  <c r="BD60" i="1"/>
  <c r="BD138" i="1"/>
  <c r="AF138" i="1"/>
  <c r="AO138" i="1"/>
  <c r="BB138" i="1"/>
  <c r="AN269" i="1"/>
  <c r="AP269" i="1"/>
  <c r="AF96" i="1"/>
  <c r="BD96" i="1"/>
  <c r="AW8" i="1"/>
  <c r="BF8" i="1"/>
  <c r="BF114" i="1"/>
  <c r="AW114" i="1"/>
  <c r="X93" i="1"/>
  <c r="Y93" i="1"/>
  <c r="AH93" i="1"/>
  <c r="DH93" i="1"/>
  <c r="AO85" i="1"/>
  <c r="BB85" i="1"/>
  <c r="AW48" i="1"/>
  <c r="BF48" i="1"/>
  <c r="CO48" i="1" s="1"/>
  <c r="DH35" i="1"/>
  <c r="DH52" i="1"/>
  <c r="DH110" i="1"/>
  <c r="DI110" i="1" s="1"/>
  <c r="BB125" i="1"/>
  <c r="AO125" i="1"/>
  <c r="AO56" i="1"/>
  <c r="BB56" i="1"/>
  <c r="DH11" i="1"/>
  <c r="DI11" i="1" s="1"/>
  <c r="BF117" i="1"/>
  <c r="AW117" i="1"/>
  <c r="AH117" i="1"/>
  <c r="X117" i="1"/>
  <c r="Y117" i="1"/>
  <c r="AF106" i="1"/>
  <c r="BD106" i="1"/>
  <c r="AW17" i="1"/>
  <c r="AX17" i="1" s="1"/>
  <c r="BF17" i="1"/>
  <c r="CH17" i="1" s="1"/>
  <c r="DH61" i="1"/>
  <c r="BF74" i="1"/>
  <c r="AW74" i="1"/>
  <c r="DH46" i="1"/>
  <c r="AF14" i="1"/>
  <c r="BD14" i="1"/>
  <c r="DH145" i="1"/>
  <c r="DI145" i="1" s="1"/>
  <c r="X137" i="1"/>
  <c r="Y137" i="1"/>
  <c r="AH137" i="1"/>
  <c r="AO137" i="1"/>
  <c r="BB137" i="1"/>
  <c r="DH141" i="1"/>
  <c r="DI141" i="1" s="1"/>
  <c r="AT31" i="1"/>
  <c r="AU31" i="1" s="1"/>
  <c r="BT31" i="1" s="1"/>
  <c r="AL283" i="1"/>
  <c r="AM283" i="1" s="1"/>
  <c r="AN283" i="1" s="1"/>
  <c r="BD127" i="1"/>
  <c r="AF127" i="1"/>
  <c r="AO165" i="1"/>
  <c r="BB165" i="1"/>
  <c r="AF100" i="1"/>
  <c r="BD100" i="1"/>
  <c r="AF149" i="1"/>
  <c r="BD149" i="1"/>
  <c r="AF172" i="1"/>
  <c r="BD172" i="1"/>
  <c r="AW139" i="1"/>
  <c r="BF139" i="1"/>
  <c r="X111" i="1"/>
  <c r="Y111" i="1"/>
  <c r="AH111" i="1"/>
  <c r="BF140" i="1"/>
  <c r="AW140" i="1"/>
  <c r="AO135" i="1"/>
  <c r="BB135" i="1"/>
  <c r="AH134" i="1"/>
  <c r="X134" i="1"/>
  <c r="Y134" i="1"/>
  <c r="AF83" i="1"/>
  <c r="BD83" i="1"/>
  <c r="AH90" i="1"/>
  <c r="X90" i="1"/>
  <c r="Y90" i="1"/>
  <c r="X177" i="1"/>
  <c r="AH177" i="1"/>
  <c r="Y177" i="1"/>
  <c r="BB89" i="1"/>
  <c r="AO89" i="1"/>
  <c r="AO132" i="1"/>
  <c r="BB132" i="1"/>
  <c r="AW109" i="1"/>
  <c r="BF109" i="1"/>
  <c r="AF143" i="1"/>
  <c r="BD143" i="1"/>
  <c r="DH158" i="1"/>
  <c r="DI158" i="1" s="1"/>
  <c r="X136" i="1"/>
  <c r="Y136" i="1"/>
  <c r="AH136" i="1"/>
  <c r="DH20" i="1"/>
  <c r="X147" i="1"/>
  <c r="AH147" i="1"/>
  <c r="Y147" i="1"/>
  <c r="BB76" i="1"/>
  <c r="AO76" i="1"/>
  <c r="AF170" i="1"/>
  <c r="BD170" i="1"/>
  <c r="AF38" i="1"/>
  <c r="BD38" i="1"/>
  <c r="BF44" i="1"/>
  <c r="AW44" i="1"/>
  <c r="AX44" i="1" s="1"/>
  <c r="BF153" i="1"/>
  <c r="AW153" i="1"/>
  <c r="AH116" i="1"/>
  <c r="Y116" i="1"/>
  <c r="X116" i="1"/>
  <c r="BF166" i="1"/>
  <c r="AW166" i="1"/>
  <c r="AF159" i="1"/>
  <c r="BD159" i="1"/>
  <c r="AW151" i="1"/>
  <c r="BF151" i="1"/>
  <c r="AF8" i="1"/>
  <c r="BD8" i="1"/>
  <c r="BF85" i="1"/>
  <c r="AW85" i="1"/>
  <c r="AO48" i="1"/>
  <c r="BB48" i="1"/>
  <c r="AO52" i="1"/>
  <c r="BB52" i="1"/>
  <c r="AH110" i="1"/>
  <c r="X110" i="1"/>
  <c r="Y110" i="1"/>
  <c r="X125" i="1"/>
  <c r="AH125" i="1"/>
  <c r="Y125" i="1"/>
  <c r="BF56" i="1"/>
  <c r="AW56" i="1"/>
  <c r="AT245" i="1"/>
  <c r="AU245" i="1" s="1"/>
  <c r="CH245" i="1" s="1"/>
  <c r="AC188" i="1"/>
  <c r="AD188" i="1" s="1"/>
  <c r="AC12" i="1"/>
  <c r="AD12" i="1" s="1"/>
  <c r="BS12" i="1" s="1"/>
  <c r="AL209" i="1"/>
  <c r="AM209" i="1" s="1"/>
  <c r="AP209" i="1" s="1"/>
  <c r="AL248" i="1"/>
  <c r="AM248" i="1" s="1"/>
  <c r="AP248" i="1" s="1"/>
  <c r="AL315" i="1"/>
  <c r="AM315" i="1" s="1"/>
  <c r="CM315" i="1" s="1"/>
  <c r="DM315" i="1" s="1"/>
  <c r="AC242" i="1"/>
  <c r="AD242" i="1" s="1"/>
  <c r="AT189" i="1"/>
  <c r="AU189" i="1" s="1"/>
  <c r="AV189" i="1" s="1"/>
  <c r="AC224" i="1"/>
  <c r="AD224" i="1" s="1"/>
  <c r="AG224" i="1" s="1"/>
  <c r="AT204" i="1"/>
  <c r="AU204" i="1" s="1"/>
  <c r="CO204" i="1" s="1"/>
  <c r="AL237" i="1"/>
  <c r="AM237" i="1" s="1"/>
  <c r="AC333" i="1"/>
  <c r="AD333" i="1" s="1"/>
  <c r="AT10" i="1"/>
  <c r="AU10" i="1" s="1"/>
  <c r="CO10" i="1" s="1"/>
  <c r="AL204" i="1"/>
  <c r="AM204" i="1" s="1"/>
  <c r="CF204" i="1" s="1"/>
  <c r="AC42" i="1"/>
  <c r="AD42" i="1" s="1"/>
  <c r="AE42" i="1" s="1"/>
  <c r="AL235" i="1"/>
  <c r="AM235" i="1" s="1"/>
  <c r="CM235" i="1" s="1"/>
  <c r="AT208" i="1"/>
  <c r="AU208" i="1" s="1"/>
  <c r="CO208" i="1" s="1"/>
  <c r="AT250" i="1"/>
  <c r="AU250" i="1" s="1"/>
  <c r="BT250" i="1" s="1"/>
  <c r="AL21" i="1"/>
  <c r="AM21" i="1" s="1"/>
  <c r="DG106" i="1"/>
  <c r="DI106" i="1" s="1"/>
  <c r="DG74" i="1"/>
  <c r="DI74" i="1" s="1"/>
  <c r="AL303" i="1"/>
  <c r="AM303" i="1" s="1"/>
  <c r="BR303" i="1" s="1"/>
  <c r="AC95" i="1"/>
  <c r="AD95" i="1" s="1"/>
  <c r="AL212" i="1"/>
  <c r="AM212" i="1" s="1"/>
  <c r="AT237" i="1"/>
  <c r="AU237" i="1" s="1"/>
  <c r="AC216" i="1"/>
  <c r="AD216" i="1" s="1"/>
  <c r="CN216" i="1" s="1"/>
  <c r="AC205" i="1"/>
  <c r="AD205" i="1" s="1"/>
  <c r="BS205" i="1" s="1"/>
  <c r="BD17" i="1"/>
  <c r="AT12" i="1"/>
  <c r="AU12" i="1" s="1"/>
  <c r="AV12" i="1" s="1"/>
  <c r="AL48" i="1"/>
  <c r="AM48" i="1" s="1"/>
  <c r="BZ27" i="1"/>
  <c r="AC208" i="1"/>
  <c r="AD208" i="1" s="1"/>
  <c r="AL192" i="1"/>
  <c r="AM192" i="1" s="1"/>
  <c r="BR192" i="1" s="1"/>
  <c r="AT228" i="1"/>
  <c r="AU228" i="1" s="1"/>
  <c r="CO228" i="1" s="1"/>
  <c r="AL257" i="1"/>
  <c r="AM257" i="1" s="1"/>
  <c r="BR257" i="1" s="1"/>
  <c r="AL22" i="1"/>
  <c r="AM22" i="1" s="1"/>
  <c r="BR22" i="1" s="1"/>
  <c r="AL249" i="1"/>
  <c r="AM249" i="1" s="1"/>
  <c r="AN249" i="1" s="1"/>
  <c r="AT209" i="1"/>
  <c r="AU209" i="1" s="1"/>
  <c r="AL23" i="1"/>
  <c r="AM23" i="1" s="1"/>
  <c r="BY23" i="1" s="1"/>
  <c r="AL11" i="1"/>
  <c r="AM11" i="1" s="1"/>
  <c r="CF11" i="1" s="1"/>
  <c r="AL293" i="1"/>
  <c r="AM293" i="1" s="1"/>
  <c r="AT262" i="1"/>
  <c r="AU262" i="1" s="1"/>
  <c r="CO262" i="1" s="1"/>
  <c r="AL46" i="1"/>
  <c r="AM46" i="1" s="1"/>
  <c r="AL18" i="1"/>
  <c r="AM18" i="1" s="1"/>
  <c r="AT275" i="1"/>
  <c r="AU275" i="1" s="1"/>
  <c r="BF127" i="1"/>
  <c r="AW127" i="1"/>
  <c r="AF158" i="1"/>
  <c r="BD158" i="1"/>
  <c r="BB158" i="1"/>
  <c r="AO158" i="1"/>
  <c r="AF108" i="1"/>
  <c r="BD108" i="1"/>
  <c r="DH108" i="1"/>
  <c r="AW129" i="1"/>
  <c r="BF129" i="1"/>
  <c r="DH47" i="1"/>
  <c r="DE165" i="1"/>
  <c r="DG165" i="1" s="1"/>
  <c r="DH165" i="1"/>
  <c r="AO131" i="1"/>
  <c r="BB131" i="1"/>
  <c r="DH100" i="1"/>
  <c r="AF146" i="1"/>
  <c r="BD146" i="1"/>
  <c r="Y146" i="1"/>
  <c r="X146" i="1"/>
  <c r="AH146" i="1"/>
  <c r="AF77" i="1"/>
  <c r="BD77" i="1"/>
  <c r="DH67" i="1"/>
  <c r="AW113" i="1"/>
  <c r="BF113" i="1"/>
  <c r="BB113" i="1"/>
  <c r="AO113" i="1"/>
  <c r="BB149" i="1"/>
  <c r="AO149" i="1"/>
  <c r="DE172" i="1"/>
  <c r="DG172" i="1" s="1"/>
  <c r="DI172" i="1" s="1"/>
  <c r="DH172" i="1"/>
  <c r="AF139" i="1"/>
  <c r="BD139" i="1"/>
  <c r="BB111" i="1"/>
  <c r="AO111" i="1"/>
  <c r="DH43" i="1"/>
  <c r="BB140" i="1"/>
  <c r="AO140" i="1"/>
  <c r="DE140" i="1"/>
  <c r="DG140" i="1" s="1"/>
  <c r="DI140" i="1" s="1"/>
  <c r="AH135" i="1"/>
  <c r="X135" i="1"/>
  <c r="Y135" i="1"/>
  <c r="AO81" i="1"/>
  <c r="BB81" i="1"/>
  <c r="BB134" i="1"/>
  <c r="AO134" i="1"/>
  <c r="BD134" i="1"/>
  <c r="AF134" i="1"/>
  <c r="BF90" i="1"/>
  <c r="AW90" i="1"/>
  <c r="BB90" i="1"/>
  <c r="AO90" i="1"/>
  <c r="BB73" i="1"/>
  <c r="AO73" i="1"/>
  <c r="AW73" i="1"/>
  <c r="BF73" i="1"/>
  <c r="AW92" i="1"/>
  <c r="BF92" i="1"/>
  <c r="Y92" i="1"/>
  <c r="X92" i="1"/>
  <c r="AH92" i="1"/>
  <c r="BD160" i="1"/>
  <c r="AF160" i="1"/>
  <c r="DE160" i="1"/>
  <c r="DG160" i="1" s="1"/>
  <c r="DI160" i="1" s="1"/>
  <c r="AH176" i="1"/>
  <c r="X176" i="1"/>
  <c r="Y176" i="1"/>
  <c r="Y122" i="1"/>
  <c r="X122" i="1"/>
  <c r="AH122" i="1"/>
  <c r="DH167" i="1"/>
  <c r="DI167" i="1" s="1"/>
  <c r="AS350" i="1"/>
  <c r="AQ350" i="1"/>
  <c r="Y87" i="1"/>
  <c r="AH87" i="1"/>
  <c r="X87" i="1"/>
  <c r="BD142" i="1"/>
  <c r="AF142" i="1"/>
  <c r="AW121" i="1"/>
  <c r="BF121" i="1"/>
  <c r="BB133" i="1"/>
  <c r="AO133" i="1"/>
  <c r="DE133" i="1"/>
  <c r="DG133" i="1" s="1"/>
  <c r="DI133" i="1" s="1"/>
  <c r="DI151" i="1"/>
  <c r="DH168" i="1"/>
  <c r="DI168" i="1" s="1"/>
  <c r="AH148" i="1"/>
  <c r="X148" i="1"/>
  <c r="Y148" i="1"/>
  <c r="BB104" i="1"/>
  <c r="AO104" i="1"/>
  <c r="AO72" i="1"/>
  <c r="BB72" i="1"/>
  <c r="AH102" i="1"/>
  <c r="Y102" i="1"/>
  <c r="X102" i="1"/>
  <c r="BB115" i="1"/>
  <c r="AO115" i="1"/>
  <c r="AW130" i="1"/>
  <c r="BF130" i="1"/>
  <c r="DE130" i="1"/>
  <c r="DG130" i="1" s="1"/>
  <c r="AI5" i="1"/>
  <c r="AK5" i="1"/>
  <c r="AW177" i="1"/>
  <c r="BF177" i="1"/>
  <c r="AF163" i="1"/>
  <c r="BD163" i="1"/>
  <c r="DE163" i="1"/>
  <c r="DG163" i="1" s="1"/>
  <c r="BF89" i="1"/>
  <c r="AW89" i="1"/>
  <c r="AW144" i="1"/>
  <c r="BF144" i="1"/>
  <c r="DH111" i="1"/>
  <c r="BB164" i="1"/>
  <c r="AO164" i="1"/>
  <c r="DE164" i="1"/>
  <c r="DG164" i="1" s="1"/>
  <c r="BB119" i="1"/>
  <c r="AO119" i="1"/>
  <c r="Y119" i="1"/>
  <c r="X119" i="1"/>
  <c r="AH119" i="1"/>
  <c r="BD118" i="1"/>
  <c r="AF118" i="1"/>
  <c r="BF118" i="1"/>
  <c r="AW118" i="1"/>
  <c r="AH91" i="1"/>
  <c r="X91" i="1"/>
  <c r="Y91" i="1"/>
  <c r="BB91" i="1"/>
  <c r="AO91" i="1"/>
  <c r="DH98" i="1"/>
  <c r="DI98" i="1" s="1"/>
  <c r="BF98" i="1"/>
  <c r="AW98" i="1"/>
  <c r="X79" i="1"/>
  <c r="AH79" i="1"/>
  <c r="Y79" i="1"/>
  <c r="AO171" i="1"/>
  <c r="BB171" i="1"/>
  <c r="DE171" i="1"/>
  <c r="DG171" i="1" s="1"/>
  <c r="DI171" i="1" s="1"/>
  <c r="BB109" i="1"/>
  <c r="AO109" i="1"/>
  <c r="AH109" i="1"/>
  <c r="X109" i="1"/>
  <c r="Y109" i="1"/>
  <c r="AO154" i="1"/>
  <c r="BB154" i="1"/>
  <c r="DH80" i="1"/>
  <c r="X167" i="1"/>
  <c r="Y167" i="1"/>
  <c r="AH167" i="1"/>
  <c r="BF143" i="1"/>
  <c r="AW143" i="1"/>
  <c r="DH33" i="1"/>
  <c r="BF126" i="1"/>
  <c r="AW126" i="1"/>
  <c r="DH161" i="1"/>
  <c r="DI161" i="1" s="1"/>
  <c r="DI153" i="1"/>
  <c r="X175" i="1"/>
  <c r="Y175" i="1"/>
  <c r="AH175" i="1"/>
  <c r="BB162" i="1"/>
  <c r="AO162" i="1"/>
  <c r="Y162" i="1"/>
  <c r="X162" i="1"/>
  <c r="AH162" i="1"/>
  <c r="AO157" i="1"/>
  <c r="BB157" i="1"/>
  <c r="BD157" i="1"/>
  <c r="AF157" i="1"/>
  <c r="AW147" i="1"/>
  <c r="BF147" i="1"/>
  <c r="AF84" i="1"/>
  <c r="BD84" i="1"/>
  <c r="DH64" i="1"/>
  <c r="BB173" i="1"/>
  <c r="AO173" i="1"/>
  <c r="BF152" i="1"/>
  <c r="AW152" i="1"/>
  <c r="AO152" i="1"/>
  <c r="BB152" i="1"/>
  <c r="AW124" i="1"/>
  <c r="BF124" i="1"/>
  <c r="AF124" i="1"/>
  <c r="BD124" i="1"/>
  <c r="DH26" i="1"/>
  <c r="DI26" i="1" s="1"/>
  <c r="AO123" i="1"/>
  <c r="BB123" i="1"/>
  <c r="AF123" i="1"/>
  <c r="BD123" i="1"/>
  <c r="AF88" i="1"/>
  <c r="BD88" i="1"/>
  <c r="DH49" i="1"/>
  <c r="DE150" i="1"/>
  <c r="DG150" i="1" s="1"/>
  <c r="DI150" i="1" s="1"/>
  <c r="DH75" i="1"/>
  <c r="BF76" i="1"/>
  <c r="AW76" i="1"/>
  <c r="X170" i="1"/>
  <c r="AH170" i="1"/>
  <c r="Y170" i="1"/>
  <c r="AC193" i="1"/>
  <c r="AD193" i="1" s="1"/>
  <c r="BZ193" i="1" s="1"/>
  <c r="BB153" i="1"/>
  <c r="AO153" i="1"/>
  <c r="DE116" i="1"/>
  <c r="DG116" i="1" s="1"/>
  <c r="DI116" i="1" s="1"/>
  <c r="AF116" i="1"/>
  <c r="BD116" i="1"/>
  <c r="BB128" i="1"/>
  <c r="AO128" i="1"/>
  <c r="AC209" i="1"/>
  <c r="AD209" i="1" s="1"/>
  <c r="CG209" i="1" s="1"/>
  <c r="AL188" i="1"/>
  <c r="AM188" i="1" s="1"/>
  <c r="BY188" i="1" s="1"/>
  <c r="DH87" i="1"/>
  <c r="AF34" i="1"/>
  <c r="BD34" i="1"/>
  <c r="DH34" i="1"/>
  <c r="DH4" i="1"/>
  <c r="AO166" i="1"/>
  <c r="BB166" i="1"/>
  <c r="Y166" i="1"/>
  <c r="X166" i="1"/>
  <c r="AH166" i="1"/>
  <c r="AF112" i="1"/>
  <c r="BD112" i="1"/>
  <c r="AQ329" i="1"/>
  <c r="AS329" i="1"/>
  <c r="X161" i="1"/>
  <c r="AH161" i="1"/>
  <c r="Y161" i="1"/>
  <c r="AW161" i="1"/>
  <c r="BF161" i="1"/>
  <c r="AW159" i="1"/>
  <c r="BF159" i="1"/>
  <c r="AO159" i="1"/>
  <c r="BB159" i="1"/>
  <c r="BD151" i="1"/>
  <c r="AF151" i="1"/>
  <c r="AH156" i="1"/>
  <c r="X156" i="1"/>
  <c r="Y156" i="1"/>
  <c r="AF156" i="1"/>
  <c r="BD156" i="1"/>
  <c r="X155" i="1"/>
  <c r="Y155" i="1"/>
  <c r="AH155" i="1"/>
  <c r="AO155" i="1"/>
  <c r="BB155" i="1"/>
  <c r="BF138" i="1"/>
  <c r="AW138" i="1"/>
  <c r="AC169" i="1"/>
  <c r="AD169" i="1" s="1"/>
  <c r="AH96" i="1"/>
  <c r="Y96" i="1"/>
  <c r="X96" i="1"/>
  <c r="AO8" i="1"/>
  <c r="BB8" i="1"/>
  <c r="BB114" i="1"/>
  <c r="AO114" i="1"/>
  <c r="DE114" i="1"/>
  <c r="DG114" i="1" s="1"/>
  <c r="DI114" i="1" s="1"/>
  <c r="DH55" i="1"/>
  <c r="DH101" i="1"/>
  <c r="AW93" i="1"/>
  <c r="BF93" i="1"/>
  <c r="AO93" i="1"/>
  <c r="BB93" i="1"/>
  <c r="Y85" i="1"/>
  <c r="AH85" i="1"/>
  <c r="X85" i="1"/>
  <c r="DH48" i="1"/>
  <c r="Y52" i="1"/>
  <c r="AH52" i="1"/>
  <c r="X52" i="1"/>
  <c r="BF110" i="1"/>
  <c r="AW110" i="1"/>
  <c r="DH163" i="1"/>
  <c r="DE125" i="1"/>
  <c r="DG125" i="1" s="1"/>
  <c r="DI125" i="1" s="1"/>
  <c r="BD125" i="1"/>
  <c r="AF125" i="1"/>
  <c r="Y56" i="1"/>
  <c r="AH56" i="1"/>
  <c r="X56" i="1"/>
  <c r="DH164" i="1"/>
  <c r="BF106" i="1"/>
  <c r="AW106" i="1"/>
  <c r="DH17" i="1"/>
  <c r="DI17" i="1" s="1"/>
  <c r="AW105" i="1"/>
  <c r="BF105" i="1"/>
  <c r="BD105" i="1"/>
  <c r="AF105" i="1"/>
  <c r="AO18" i="1"/>
  <c r="BB18" i="1"/>
  <c r="AW99" i="1"/>
  <c r="BF99" i="1"/>
  <c r="AW3" i="1"/>
  <c r="BF3" i="1"/>
  <c r="AF3" i="1"/>
  <c r="BD3" i="1"/>
  <c r="BF145" i="1"/>
  <c r="AW145" i="1"/>
  <c r="AW137" i="1"/>
  <c r="BF137" i="1"/>
  <c r="BD137" i="1"/>
  <c r="AF137" i="1"/>
  <c r="AW141" i="1"/>
  <c r="BF141" i="1"/>
  <c r="AH141" i="1"/>
  <c r="Y141" i="1"/>
  <c r="X141" i="1"/>
  <c r="AW120" i="1"/>
  <c r="BF120" i="1"/>
  <c r="BB120" i="1"/>
  <c r="AO120" i="1"/>
  <c r="AQ243" i="1"/>
  <c r="AS243" i="1"/>
  <c r="AI298" i="1"/>
  <c r="AK298" i="1"/>
  <c r="CA47" i="1"/>
  <c r="BT47" i="1"/>
  <c r="CH47" i="1"/>
  <c r="AX47" i="1"/>
  <c r="CO47" i="1"/>
  <c r="AV47" i="1"/>
  <c r="AE224" i="1"/>
  <c r="AQ30" i="1"/>
  <c r="AS30" i="1"/>
  <c r="Z309" i="1"/>
  <c r="AB309" i="1"/>
  <c r="AQ299" i="1"/>
  <c r="AS299" i="1"/>
  <c r="AK242" i="1"/>
  <c r="AI242" i="1"/>
  <c r="AB331" i="1"/>
  <c r="Z331" i="1"/>
  <c r="AS230" i="1"/>
  <c r="AQ230" i="1"/>
  <c r="AN204" i="1"/>
  <c r="AS263" i="1"/>
  <c r="AQ263" i="1"/>
  <c r="AS231" i="1"/>
  <c r="AQ231" i="1"/>
  <c r="AS312" i="1"/>
  <c r="AQ312" i="1"/>
  <c r="Z232" i="1"/>
  <c r="AB232" i="1"/>
  <c r="AP70" i="1"/>
  <c r="CF70" i="1"/>
  <c r="BR70" i="1"/>
  <c r="BY70" i="1"/>
  <c r="AS7" i="1"/>
  <c r="AQ7" i="1"/>
  <c r="AQ18" i="1"/>
  <c r="AS18" i="1"/>
  <c r="AS214" i="1"/>
  <c r="AQ214" i="1"/>
  <c r="AT214" i="1" s="1"/>
  <c r="AU214" i="1" s="1"/>
  <c r="AK274" i="1"/>
  <c r="AI274" i="1"/>
  <c r="AB23" i="1"/>
  <c r="Z23" i="1"/>
  <c r="AI258" i="1"/>
  <c r="AK258" i="1"/>
  <c r="AI290" i="1"/>
  <c r="AK290" i="1"/>
  <c r="AK239" i="1"/>
  <c r="AI239" i="1"/>
  <c r="AG212" i="1"/>
  <c r="AE212" i="1"/>
  <c r="AN259" i="1"/>
  <c r="AP259" i="1"/>
  <c r="AK311" i="1"/>
  <c r="AI311" i="1"/>
  <c r="BT26" i="1"/>
  <c r="AX26" i="1"/>
  <c r="CO26" i="1"/>
  <c r="CH26" i="1"/>
  <c r="AV26" i="1"/>
  <c r="AI103" i="1"/>
  <c r="AK103" i="1"/>
  <c r="AE216" i="1"/>
  <c r="AV209" i="1"/>
  <c r="AQ276" i="1"/>
  <c r="AS276" i="1"/>
  <c r="AK222" i="1"/>
  <c r="AI222" i="1"/>
  <c r="AB332" i="1"/>
  <c r="Z332" i="1"/>
  <c r="AS300" i="1"/>
  <c r="AQ300" i="1"/>
  <c r="AQ256" i="1"/>
  <c r="AS256" i="1"/>
  <c r="AQ227" i="1"/>
  <c r="AS227" i="1"/>
  <c r="AX192" i="1"/>
  <c r="BR53" i="1"/>
  <c r="AP190" i="1"/>
  <c r="AN23" i="1"/>
  <c r="AN46" i="1"/>
  <c r="AE200" i="1"/>
  <c r="BZ64" i="1"/>
  <c r="AE284" i="1"/>
  <c r="AB33" i="1"/>
  <c r="Z33" i="1"/>
  <c r="AI7" i="1"/>
  <c r="AK7" i="1"/>
  <c r="AS306" i="1"/>
  <c r="AQ306" i="1"/>
  <c r="AT205" i="1"/>
  <c r="AU205" i="1" s="1"/>
  <c r="CO205" i="1" s="1"/>
  <c r="AI24" i="1"/>
  <c r="AK24" i="1"/>
  <c r="Z25" i="1"/>
  <c r="AB25" i="1"/>
  <c r="AI226" i="1"/>
  <c r="AK226" i="1"/>
  <c r="AT68" i="1"/>
  <c r="AU68" i="1" s="1"/>
  <c r="AI39" i="1"/>
  <c r="AK39" i="1"/>
  <c r="DG47" i="1"/>
  <c r="DI47" i="1" s="1"/>
  <c r="AK297" i="1"/>
  <c r="AI297" i="1"/>
  <c r="AI284" i="1"/>
  <c r="AK284" i="1"/>
  <c r="AS285" i="1"/>
  <c r="AQ285" i="1"/>
  <c r="AC245" i="1"/>
  <c r="AD245" i="1" s="1"/>
  <c r="AC248" i="1"/>
  <c r="AD248" i="1" s="1"/>
  <c r="AB323" i="1"/>
  <c r="Z323" i="1"/>
  <c r="AS71" i="1"/>
  <c r="AQ71" i="1"/>
  <c r="DI77" i="1"/>
  <c r="DI61" i="1"/>
  <c r="DI45" i="1"/>
  <c r="AL292" i="1"/>
  <c r="AM292" i="1" s="1"/>
  <c r="AL10" i="1"/>
  <c r="AM10" i="1" s="1"/>
  <c r="AK313" i="1"/>
  <c r="AI313" i="1"/>
  <c r="DG96" i="1"/>
  <c r="DI96" i="1" s="1"/>
  <c r="DG32" i="1"/>
  <c r="DG16" i="1"/>
  <c r="DI16" i="1" s="1"/>
  <c r="AS95" i="1"/>
  <c r="AQ95" i="1"/>
  <c r="Z282" i="1"/>
  <c r="AB282" i="1"/>
  <c r="AQ223" i="1"/>
  <c r="AS223" i="1"/>
  <c r="AT267" i="1"/>
  <c r="AU267" i="1" s="1"/>
  <c r="AT21" i="1"/>
  <c r="AU21" i="1" s="1"/>
  <c r="DG90" i="1"/>
  <c r="DG58" i="1"/>
  <c r="DI58" i="1" s="1"/>
  <c r="DG34" i="1"/>
  <c r="AT332" i="1"/>
  <c r="AU332" i="1" s="1"/>
  <c r="CO332" i="1" s="1"/>
  <c r="AQ298" i="1"/>
  <c r="AS298" i="1"/>
  <c r="AC226" i="1"/>
  <c r="AD226" i="1" s="1"/>
  <c r="BZ226" i="1" s="1"/>
  <c r="AI44" i="1"/>
  <c r="AK44" i="1"/>
  <c r="AL340" i="1"/>
  <c r="AM340" i="1" s="1"/>
  <c r="BY340" i="1" s="1"/>
  <c r="DI65" i="1"/>
  <c r="DJ65" i="1" s="1"/>
  <c r="AS69" i="1"/>
  <c r="AC204" i="1"/>
  <c r="AD204" i="1" s="1"/>
  <c r="BZ204" i="1" s="1"/>
  <c r="Z222" i="1"/>
  <c r="AB222" i="1"/>
  <c r="AI327" i="1"/>
  <c r="AK327" i="1"/>
  <c r="DG107" i="1"/>
  <c r="DI107" i="1" s="1"/>
  <c r="DG75" i="1"/>
  <c r="DI75" i="1" s="1"/>
  <c r="DG59" i="1"/>
  <c r="DI59" i="1" s="1"/>
  <c r="DG43" i="1"/>
  <c r="AQ340" i="1"/>
  <c r="AS340" i="1"/>
  <c r="AB315" i="1"/>
  <c r="Z315" i="1"/>
  <c r="AK299" i="1"/>
  <c r="AI299" i="1"/>
  <c r="AI215" i="1"/>
  <c r="AK215" i="1"/>
  <c r="AS234" i="1"/>
  <c r="AQ234" i="1"/>
  <c r="AQ242" i="1"/>
  <c r="AS242" i="1"/>
  <c r="AS238" i="1"/>
  <c r="AQ238" i="1"/>
  <c r="DG93" i="1"/>
  <c r="DG37" i="1"/>
  <c r="DI37" i="1" s="1"/>
  <c r="DG21" i="1"/>
  <c r="DI21" i="1" s="1"/>
  <c r="AQ331" i="1"/>
  <c r="AS331" i="1"/>
  <c r="AB304" i="1"/>
  <c r="Z304" i="1"/>
  <c r="AK318" i="1"/>
  <c r="AI318" i="1"/>
  <c r="AB286" i="1"/>
  <c r="Z286" i="1"/>
  <c r="AQ277" i="1"/>
  <c r="AS277" i="1"/>
  <c r="AL179" i="1"/>
  <c r="AM179" i="1" s="1"/>
  <c r="AB300" i="1"/>
  <c r="Z300" i="1"/>
  <c r="DG88" i="1"/>
  <c r="DI88" i="1" s="1"/>
  <c r="DG72" i="1"/>
  <c r="DI72" i="1" s="1"/>
  <c r="DG48" i="1"/>
  <c r="DG8" i="1"/>
  <c r="DI8" i="1" s="1"/>
  <c r="Z233" i="1"/>
  <c r="AB233" i="1"/>
  <c r="AC55" i="1"/>
  <c r="AD55" i="1" s="1"/>
  <c r="AS51" i="1"/>
  <c r="AQ51" i="1"/>
  <c r="AI312" i="1"/>
  <c r="AK312" i="1"/>
  <c r="DI42" i="1"/>
  <c r="AS272" i="1"/>
  <c r="AQ272" i="1"/>
  <c r="AI232" i="1"/>
  <c r="AK232" i="1"/>
  <c r="AQ22" i="1"/>
  <c r="AS22" i="1"/>
  <c r="AT258" i="1"/>
  <c r="AU258" i="1" s="1"/>
  <c r="AT339" i="1"/>
  <c r="AU339" i="1" s="1"/>
  <c r="CA339" i="1" s="1"/>
  <c r="AS251" i="1"/>
  <c r="AQ251" i="1"/>
  <c r="AC249" i="1"/>
  <c r="AD249" i="1" s="1"/>
  <c r="AC240" i="1"/>
  <c r="AD240" i="1" s="1"/>
  <c r="CN240" i="1" s="1"/>
  <c r="DG97" i="1"/>
  <c r="DI97" i="1" s="1"/>
  <c r="AL197" i="1"/>
  <c r="AM197" i="1" s="1"/>
  <c r="CM197" i="1" s="1"/>
  <c r="AT50" i="1"/>
  <c r="AU50" i="1" s="1"/>
  <c r="AS279" i="1"/>
  <c r="AQ279" i="1"/>
  <c r="AS322" i="1"/>
  <c r="AQ322" i="1"/>
  <c r="AS25" i="1"/>
  <c r="AQ25" i="1"/>
  <c r="DG79" i="1"/>
  <c r="DI79" i="1" s="1"/>
  <c r="DG55" i="1"/>
  <c r="DG7" i="1"/>
  <c r="DI7" i="1" s="1"/>
  <c r="AB65" i="1"/>
  <c r="Z65" i="1"/>
  <c r="AL40" i="1"/>
  <c r="AM40" i="1" s="1"/>
  <c r="AQ308" i="1"/>
  <c r="AS308" i="1"/>
  <c r="AS261" i="1"/>
  <c r="AQ261" i="1"/>
  <c r="AB225" i="1"/>
  <c r="Z225" i="1"/>
  <c r="AL245" i="1"/>
  <c r="AM245" i="1" s="1"/>
  <c r="CM245" i="1" s="1"/>
  <c r="AI238" i="1"/>
  <c r="AK238" i="1"/>
  <c r="AQ42" i="1"/>
  <c r="AS42" i="1"/>
  <c r="AC339" i="1"/>
  <c r="AD339" i="1" s="1"/>
  <c r="BS339" i="1" s="1"/>
  <c r="AT249" i="1"/>
  <c r="AU249" i="1" s="1"/>
  <c r="DG57" i="1"/>
  <c r="DI57" i="1" s="1"/>
  <c r="DG33" i="1"/>
  <c r="AQ23" i="1"/>
  <c r="AS23" i="1"/>
  <c r="AT197" i="1"/>
  <c r="AU197" i="1" s="1"/>
  <c r="CA197" i="1" s="1"/>
  <c r="AC10" i="1"/>
  <c r="AD10" i="1" s="1"/>
  <c r="AI296" i="1"/>
  <c r="AK296" i="1"/>
  <c r="AS290" i="1"/>
  <c r="AQ290" i="1"/>
  <c r="AK217" i="1"/>
  <c r="AI217" i="1"/>
  <c r="AC250" i="1"/>
  <c r="AD250" i="1" s="1"/>
  <c r="BS250" i="1" s="1"/>
  <c r="AL322" i="1"/>
  <c r="AM322" i="1" s="1"/>
  <c r="BR322" i="1" s="1"/>
  <c r="AL250" i="1"/>
  <c r="AM250" i="1" s="1"/>
  <c r="CM250" i="1" s="1"/>
  <c r="AK27" i="1"/>
  <c r="AI27" i="1"/>
  <c r="AS16" i="1"/>
  <c r="AQ16" i="1"/>
  <c r="DG108" i="1"/>
  <c r="DG92" i="1"/>
  <c r="DI92" i="1" s="1"/>
  <c r="DG12" i="1"/>
  <c r="AS288" i="1"/>
  <c r="AQ288" i="1"/>
  <c r="AS253" i="1"/>
  <c r="AQ253" i="1"/>
  <c r="AQ289" i="1"/>
  <c r="AS289" i="1"/>
  <c r="AS271" i="1"/>
  <c r="AQ271" i="1"/>
  <c r="DG102" i="1"/>
  <c r="DI102" i="1" s="1"/>
  <c r="DG78" i="1"/>
  <c r="DG30" i="1"/>
  <c r="DI30" i="1" s="1"/>
  <c r="DG6" i="1"/>
  <c r="DI6" i="1" s="1"/>
  <c r="AB62" i="1"/>
  <c r="Z62" i="1"/>
  <c r="AQ291" i="1"/>
  <c r="AS291" i="1"/>
  <c r="AT334" i="1"/>
  <c r="AU334" i="1" s="1"/>
  <c r="AC179" i="1"/>
  <c r="AD179" i="1" s="1"/>
  <c r="AL228" i="1"/>
  <c r="AM228" i="1" s="1"/>
  <c r="Z305" i="1"/>
  <c r="AB305" i="1"/>
  <c r="AL45" i="1"/>
  <c r="AM45" i="1" s="1"/>
  <c r="AT64" i="1"/>
  <c r="AU64" i="1" s="1"/>
  <c r="AC246" i="1"/>
  <c r="AD246" i="1" s="1"/>
  <c r="CG246" i="1" s="1"/>
  <c r="DG9" i="1"/>
  <c r="DI9" i="1" s="1"/>
  <c r="AS320" i="1"/>
  <c r="AQ320" i="1"/>
  <c r="AC263" i="1"/>
  <c r="AD263" i="1" s="1"/>
  <c r="CN263" i="1" s="1"/>
  <c r="AL225" i="1"/>
  <c r="AM225" i="1" s="1"/>
  <c r="AS13" i="1"/>
  <c r="AQ13" i="1"/>
  <c r="Z337" i="1"/>
  <c r="AB337" i="1"/>
  <c r="AC247" i="1"/>
  <c r="AD247" i="1" s="1"/>
  <c r="AQ211" i="1"/>
  <c r="AS211" i="1"/>
  <c r="AT315" i="1"/>
  <c r="AU315" i="1" s="1"/>
  <c r="AC192" i="1"/>
  <c r="AD192" i="1" s="1"/>
  <c r="BS192" i="1" s="1"/>
  <c r="AT224" i="1"/>
  <c r="AU224" i="1" s="1"/>
  <c r="AT65" i="1"/>
  <c r="AU65" i="1" s="1"/>
  <c r="AT53" i="1"/>
  <c r="AU53" i="1" s="1"/>
  <c r="AK307" i="1"/>
  <c r="AI307" i="1"/>
  <c r="AC50" i="1"/>
  <c r="AD50" i="1" s="1"/>
  <c r="AT57" i="1"/>
  <c r="AU57" i="1" s="1"/>
  <c r="AT333" i="1"/>
  <c r="AU333" i="1" s="1"/>
  <c r="CO333" i="1" s="1"/>
  <c r="AC251" i="1"/>
  <c r="AD251" i="1" s="1"/>
  <c r="BZ251" i="1" s="1"/>
  <c r="AC61" i="1"/>
  <c r="AD61" i="1" s="1"/>
  <c r="CA26" i="1"/>
  <c r="AI254" i="1"/>
  <c r="AK254" i="1"/>
  <c r="AL33" i="1"/>
  <c r="AM33" i="1" s="1"/>
  <c r="DG84" i="1"/>
  <c r="DI84" i="1" s="1"/>
  <c r="DG68" i="1"/>
  <c r="DI68" i="1" s="1"/>
  <c r="DG44" i="1"/>
  <c r="DI44" i="1" s="1"/>
  <c r="AK341" i="1"/>
  <c r="AI341" i="1"/>
  <c r="AQ280" i="1"/>
  <c r="AS280" i="1"/>
  <c r="AL200" i="1"/>
  <c r="AM200" i="1" s="1"/>
  <c r="AQ59" i="1"/>
  <c r="AS59" i="1"/>
  <c r="AB43" i="1"/>
  <c r="Z43" i="1"/>
  <c r="AI221" i="1"/>
  <c r="AK221" i="1"/>
  <c r="AI220" i="1"/>
  <c r="AK220" i="1"/>
  <c r="AS302" i="1"/>
  <c r="AQ302" i="1"/>
  <c r="AT11" i="1"/>
  <c r="AU11" i="1" s="1"/>
  <c r="AL268" i="1"/>
  <c r="AM268" i="1" s="1"/>
  <c r="AC30" i="1"/>
  <c r="AD30" i="1" s="1"/>
  <c r="AT255" i="1"/>
  <c r="AU255" i="1" s="1"/>
  <c r="CH255" i="1" s="1"/>
  <c r="AQ265" i="1"/>
  <c r="AS265" i="1"/>
  <c r="AL95" i="1"/>
  <c r="AM95" i="1" s="1"/>
  <c r="AS260" i="1"/>
  <c r="AQ260" i="1"/>
  <c r="AB219" i="1"/>
  <c r="Z219" i="1"/>
  <c r="AC39" i="1"/>
  <c r="AD39" i="1" s="1"/>
  <c r="DI94" i="1"/>
  <c r="DI54" i="1"/>
  <c r="AQ210" i="1"/>
  <c r="AS210" i="1"/>
  <c r="AQ218" i="1"/>
  <c r="AS218" i="1"/>
  <c r="AX189" i="1"/>
  <c r="Z276" i="1"/>
  <c r="AB276" i="1"/>
  <c r="AX245" i="1"/>
  <c r="AV245" i="1"/>
  <c r="AQ226" i="1"/>
  <c r="AS226" i="1"/>
  <c r="Z297" i="1"/>
  <c r="AB297" i="1"/>
  <c r="AK47" i="1"/>
  <c r="AI47" i="1"/>
  <c r="AI334" i="1"/>
  <c r="AK334" i="1"/>
  <c r="Z44" i="1"/>
  <c r="AB44" i="1"/>
  <c r="Z258" i="1"/>
  <c r="AB258" i="1"/>
  <c r="AQ55" i="1"/>
  <c r="AS55" i="1"/>
  <c r="Z270" i="1"/>
  <c r="AB270" i="1"/>
  <c r="DI90" i="1"/>
  <c r="AQ70" i="1"/>
  <c r="AS70" i="1"/>
  <c r="AX48" i="1"/>
  <c r="AV48" i="1"/>
  <c r="CA48" i="1"/>
  <c r="Z340" i="1"/>
  <c r="AB340" i="1"/>
  <c r="AQ281" i="1"/>
  <c r="AS281" i="1"/>
  <c r="AN237" i="1"/>
  <c r="AP237" i="1"/>
  <c r="AS278" i="1"/>
  <c r="AQ278" i="1"/>
  <c r="AB318" i="1"/>
  <c r="Z318" i="1"/>
  <c r="AG68" i="1"/>
  <c r="CN68" i="1"/>
  <c r="CG68" i="1"/>
  <c r="AE68" i="1"/>
  <c r="BZ68" i="1"/>
  <c r="BS68" i="1"/>
  <c r="AI263" i="1"/>
  <c r="AK263" i="1"/>
  <c r="AK277" i="1"/>
  <c r="AI277" i="1"/>
  <c r="CA31" i="1"/>
  <c r="AX31" i="1"/>
  <c r="CO31" i="1"/>
  <c r="Z35" i="1"/>
  <c r="AB35" i="1"/>
  <c r="AB272" i="1"/>
  <c r="Z272" i="1"/>
  <c r="CF29" i="1"/>
  <c r="AN29" i="1"/>
  <c r="AP29" i="1"/>
  <c r="AI251" i="1"/>
  <c r="AK251" i="1"/>
  <c r="AS284" i="1"/>
  <c r="AQ284" i="1"/>
  <c r="AS310" i="1"/>
  <c r="AQ310" i="1"/>
  <c r="Z288" i="1"/>
  <c r="AB288" i="1"/>
  <c r="AK289" i="1"/>
  <c r="AI289" i="1"/>
  <c r="AI305" i="1"/>
  <c r="AK305" i="1"/>
  <c r="AP343" i="1"/>
  <c r="AN343" i="1"/>
  <c r="AN293" i="1"/>
  <c r="AP293" i="1"/>
  <c r="AP169" i="1"/>
  <c r="AN169" i="1"/>
  <c r="BY169" i="1"/>
  <c r="DK169" i="1" s="1"/>
  <c r="BR169" i="1"/>
  <c r="DJ169" i="1" s="1"/>
  <c r="CM169" i="1"/>
  <c r="DM169" i="1" s="1"/>
  <c r="CF169" i="1"/>
  <c r="DL169" i="1" s="1"/>
  <c r="AS254" i="1"/>
  <c r="AQ254" i="1"/>
  <c r="AV17" i="1"/>
  <c r="AB341" i="1"/>
  <c r="Z341" i="1"/>
  <c r="Z280" i="1"/>
  <c r="AB280" i="1"/>
  <c r="BS31" i="1"/>
  <c r="CG31" i="1"/>
  <c r="CN31" i="1"/>
  <c r="AE31" i="1"/>
  <c r="AG31" i="1"/>
  <c r="BZ31" i="1"/>
  <c r="CG11" i="1"/>
  <c r="BS11" i="1"/>
  <c r="CN11" i="1"/>
  <c r="AG11" i="1"/>
  <c r="BZ11" i="1"/>
  <c r="AE70" i="1"/>
  <c r="BS70" i="1"/>
  <c r="AG70" i="1"/>
  <c r="CN70" i="1"/>
  <c r="BZ70" i="1"/>
  <c r="CG70" i="1"/>
  <c r="AB221" i="1"/>
  <c r="Z221" i="1"/>
  <c r="AP267" i="1"/>
  <c r="AN267" i="1"/>
  <c r="AN18" i="1"/>
  <c r="AB210" i="1"/>
  <c r="Z210" i="1"/>
  <c r="CA45" i="1"/>
  <c r="AV45" i="1"/>
  <c r="CH45" i="1"/>
  <c r="AX45" i="1"/>
  <c r="CO45" i="1"/>
  <c r="BT45" i="1"/>
  <c r="Z260" i="1"/>
  <c r="AB260" i="1"/>
  <c r="AQ219" i="1"/>
  <c r="AS219" i="1"/>
  <c r="BR31" i="1"/>
  <c r="CM31" i="1"/>
  <c r="AP31" i="1"/>
  <c r="CF31" i="1"/>
  <c r="BY31" i="1"/>
  <c r="AN31" i="1"/>
  <c r="CN19" i="1"/>
  <c r="BZ19" i="1"/>
  <c r="AG19" i="1"/>
  <c r="CG19" i="1"/>
  <c r="AE19" i="1"/>
  <c r="AN326" i="1"/>
  <c r="AP326" i="1"/>
  <c r="AI301" i="1"/>
  <c r="AK301" i="1"/>
  <c r="AB273" i="1"/>
  <c r="Z273" i="1"/>
  <c r="AE228" i="1"/>
  <c r="AG228" i="1"/>
  <c r="CH10" i="1"/>
  <c r="AE253" i="1"/>
  <c r="AE242" i="1"/>
  <c r="CO169" i="1"/>
  <c r="CM46" i="1"/>
  <c r="AP46" i="1"/>
  <c r="AX169" i="1"/>
  <c r="BT169" i="1"/>
  <c r="AK276" i="1"/>
  <c r="AI276" i="1"/>
  <c r="AL189" i="1"/>
  <c r="AM189" i="1" s="1"/>
  <c r="AL205" i="1"/>
  <c r="AM205" i="1" s="1"/>
  <c r="BR205" i="1" s="1"/>
  <c r="AL199" i="1"/>
  <c r="AM199" i="1" s="1"/>
  <c r="DG71" i="1"/>
  <c r="DI71" i="1" s="1"/>
  <c r="DG39" i="1"/>
  <c r="DG15" i="1"/>
  <c r="DI15" i="1" s="1"/>
  <c r="AS297" i="1"/>
  <c r="AQ297" i="1"/>
  <c r="AI332" i="1"/>
  <c r="AK332" i="1"/>
  <c r="AK316" i="1"/>
  <c r="AI316" i="1"/>
  <c r="AC257" i="1"/>
  <c r="AD257" i="1" s="1"/>
  <c r="BS257" i="1" s="1"/>
  <c r="AI240" i="1"/>
  <c r="AK240" i="1"/>
  <c r="AI227" i="1"/>
  <c r="AK227" i="1"/>
  <c r="AC229" i="1"/>
  <c r="AD229" i="1" s="1"/>
  <c r="CN229" i="1" s="1"/>
  <c r="AC196" i="1"/>
  <c r="AD196" i="1" s="1"/>
  <c r="AB306" i="1"/>
  <c r="Z306" i="1"/>
  <c r="DI109" i="1"/>
  <c r="DI53" i="1"/>
  <c r="AB319" i="1"/>
  <c r="Z319" i="1"/>
  <c r="AC197" i="1"/>
  <c r="AD197" i="1" s="1"/>
  <c r="BS197" i="1" s="1"/>
  <c r="AB313" i="1"/>
  <c r="Z313" i="1"/>
  <c r="AB22" i="1"/>
  <c r="Z22" i="1"/>
  <c r="AL255" i="1"/>
  <c r="AM255" i="1" s="1"/>
  <c r="CM255" i="1" s="1"/>
  <c r="AL287" i="1"/>
  <c r="AM287" i="1" s="1"/>
  <c r="CM287" i="1" s="1"/>
  <c r="AC21" i="1"/>
  <c r="AD21" i="1" s="1"/>
  <c r="DG104" i="1"/>
  <c r="DI104" i="1" s="1"/>
  <c r="DG64" i="1"/>
  <c r="DI64" i="1" s="1"/>
  <c r="DG24" i="1"/>
  <c r="DI24" i="1" s="1"/>
  <c r="AI270" i="1"/>
  <c r="AK270" i="1"/>
  <c r="AK282" i="1"/>
  <c r="AI282" i="1"/>
  <c r="AT212" i="1"/>
  <c r="AU212" i="1" s="1"/>
  <c r="BT212" i="1" s="1"/>
  <c r="AI243" i="1"/>
  <c r="AK243" i="1"/>
  <c r="AB314" i="1"/>
  <c r="Z314" i="1"/>
  <c r="AB326" i="1"/>
  <c r="Z326" i="1"/>
  <c r="DG82" i="1"/>
  <c r="DI82" i="1" s="1"/>
  <c r="DG50" i="1"/>
  <c r="DG10" i="1"/>
  <c r="DI10" i="1" s="1"/>
  <c r="AC54" i="1"/>
  <c r="AD54" i="1" s="1"/>
  <c r="Z298" i="1"/>
  <c r="AB298" i="1"/>
  <c r="AL12" i="1"/>
  <c r="AM12" i="1" s="1"/>
  <c r="AL264" i="1"/>
  <c r="AM264" i="1" s="1"/>
  <c r="AT316" i="1"/>
  <c r="AU316" i="1" s="1"/>
  <c r="CH316" i="1" s="1"/>
  <c r="DI41" i="1"/>
  <c r="AI17" i="1"/>
  <c r="AK17" i="1"/>
  <c r="AS327" i="1"/>
  <c r="AQ327" i="1"/>
  <c r="AK309" i="1"/>
  <c r="AI309" i="1"/>
  <c r="DG83" i="1"/>
  <c r="DI83" i="1" s="1"/>
  <c r="DG67" i="1"/>
  <c r="DG51" i="1"/>
  <c r="DI51" i="1" s="1"/>
  <c r="DG19" i="1"/>
  <c r="AQ303" i="1"/>
  <c r="AS303" i="1"/>
  <c r="AT40" i="1"/>
  <c r="AU40" i="1" s="1"/>
  <c r="AS292" i="1"/>
  <c r="AQ292" i="1"/>
  <c r="AB281" i="1"/>
  <c r="Z281" i="1"/>
  <c r="AQ225" i="1"/>
  <c r="AS225" i="1"/>
  <c r="AK278" i="1"/>
  <c r="AI278" i="1"/>
  <c r="AL180" i="1"/>
  <c r="AM180" i="1" s="1"/>
  <c r="CM180" i="1" s="1"/>
  <c r="DG101" i="1"/>
  <c r="DG85" i="1"/>
  <c r="DI85" i="1" s="1"/>
  <c r="DG29" i="1"/>
  <c r="DI29" i="1" s="1"/>
  <c r="AK304" i="1"/>
  <c r="AI304" i="1"/>
  <c r="AB230" i="1"/>
  <c r="Z230" i="1"/>
  <c r="AS318" i="1"/>
  <c r="AQ318" i="1"/>
  <c r="AI286" i="1"/>
  <c r="AK286" i="1"/>
  <c r="AQ259" i="1"/>
  <c r="AS259" i="1"/>
  <c r="AB277" i="1"/>
  <c r="Z277" i="1"/>
  <c r="AT222" i="1"/>
  <c r="AU222" i="1" s="1"/>
  <c r="CO222" i="1" s="1"/>
  <c r="AQ67" i="1"/>
  <c r="AS67" i="1"/>
  <c r="DG80" i="1"/>
  <c r="DI80" i="1" s="1"/>
  <c r="DG56" i="1"/>
  <c r="DG40" i="1"/>
  <c r="AL252" i="1"/>
  <c r="AM252" i="1" s="1"/>
  <c r="AB231" i="1"/>
  <c r="Z231" i="1"/>
  <c r="AC67" i="1"/>
  <c r="AD67" i="1" s="1"/>
  <c r="AK51" i="1"/>
  <c r="AI51" i="1"/>
  <c r="AI35" i="1"/>
  <c r="AK35" i="1"/>
  <c r="AB312" i="1"/>
  <c r="Z312" i="1"/>
  <c r="DI66" i="1"/>
  <c r="AK272" i="1"/>
  <c r="AI272" i="1"/>
  <c r="AC350" i="1"/>
  <c r="AD350" i="1" s="1"/>
  <c r="CN350" i="1" s="1"/>
  <c r="AC223" i="1"/>
  <c r="AD223" i="1" s="1"/>
  <c r="BS223" i="1" s="1"/>
  <c r="AL244" i="1"/>
  <c r="AM244" i="1" s="1"/>
  <c r="CM244" i="1" s="1"/>
  <c r="DG91" i="1"/>
  <c r="AC48" i="1"/>
  <c r="AD48" i="1" s="1"/>
  <c r="AQ343" i="1"/>
  <c r="AS343" i="1"/>
  <c r="Z275" i="1"/>
  <c r="AB275" i="1"/>
  <c r="AT199" i="1"/>
  <c r="AU199" i="1" s="1"/>
  <c r="CH199" i="1" s="1"/>
  <c r="AQ39" i="1"/>
  <c r="AS39" i="1"/>
  <c r="DG87" i="1"/>
  <c r="DI87" i="1" s="1"/>
  <c r="DG63" i="1"/>
  <c r="DI63" i="1" s="1"/>
  <c r="DG31" i="1"/>
  <c r="DI31" i="1" s="1"/>
  <c r="AQ293" i="1"/>
  <c r="AS293" i="1"/>
  <c r="AB215" i="1"/>
  <c r="Z215" i="1"/>
  <c r="AQ213" i="1"/>
  <c r="AS213" i="1"/>
  <c r="AK214" i="1"/>
  <c r="AI214" i="1"/>
  <c r="AT196" i="1"/>
  <c r="AU196" i="1" s="1"/>
  <c r="AI8" i="1"/>
  <c r="AS274" i="1"/>
  <c r="AQ274" i="1"/>
  <c r="DG73" i="1"/>
  <c r="DI73" i="1" s="1"/>
  <c r="DG49" i="1"/>
  <c r="DG25" i="1"/>
  <c r="DI25" i="1" s="1"/>
  <c r="AL64" i="1"/>
  <c r="AM64" i="1" s="1"/>
  <c r="AS19" i="1"/>
  <c r="AQ19" i="1"/>
  <c r="AS34" i="1"/>
  <c r="AQ34" i="1"/>
  <c r="AS61" i="1"/>
  <c r="AQ61" i="1"/>
  <c r="AQ239" i="1"/>
  <c r="AS239" i="1"/>
  <c r="AL213" i="1"/>
  <c r="AM213" i="1" s="1"/>
  <c r="BR213" i="1" s="1"/>
  <c r="AQ217" i="1"/>
  <c r="AS217" i="1"/>
  <c r="AC236" i="1"/>
  <c r="AD236" i="1" s="1"/>
  <c r="AB310" i="1"/>
  <c r="Z310" i="1"/>
  <c r="DG100" i="1"/>
  <c r="DG60" i="1"/>
  <c r="AC334" i="1"/>
  <c r="AD334" i="1" s="1"/>
  <c r="BS334" i="1" s="1"/>
  <c r="AK34" i="1"/>
  <c r="AI34" i="1"/>
  <c r="AS294" i="1"/>
  <c r="AQ294" i="1"/>
  <c r="AB271" i="1"/>
  <c r="Z271" i="1"/>
  <c r="AT240" i="1"/>
  <c r="AU240" i="1" s="1"/>
  <c r="CA240" i="1" s="1"/>
  <c r="AC255" i="1"/>
  <c r="AD255" i="1" s="1"/>
  <c r="CG255" i="1" s="1"/>
  <c r="AL68" i="1"/>
  <c r="AM68" i="1" s="1"/>
  <c r="AL224" i="1"/>
  <c r="AM224" i="1" s="1"/>
  <c r="AS32" i="1"/>
  <c r="AQ32" i="1"/>
  <c r="AB308" i="1"/>
  <c r="Z308" i="1"/>
  <c r="DG86" i="1"/>
  <c r="DI86" i="1" s="1"/>
  <c r="DG22" i="1"/>
  <c r="DI22" i="1" s="1"/>
  <c r="AC268" i="1"/>
  <c r="AD268" i="1" s="1"/>
  <c r="BS268" i="1" s="1"/>
  <c r="AT235" i="1"/>
  <c r="AU235" i="1" s="1"/>
  <c r="CA235" i="1" s="1"/>
  <c r="AC243" i="1"/>
  <c r="AD243" i="1" s="1"/>
  <c r="BZ243" i="1" s="1"/>
  <c r="AT200" i="1"/>
  <c r="AU200" i="1" s="1"/>
  <c r="AL30" i="1"/>
  <c r="AM30" i="1" s="1"/>
  <c r="AC316" i="1"/>
  <c r="AD316" i="1" s="1"/>
  <c r="CG316" i="1" s="1"/>
  <c r="AC303" i="1"/>
  <c r="AD303" i="1" s="1"/>
  <c r="AC40" i="1"/>
  <c r="AD40" i="1" s="1"/>
  <c r="AB311" i="1"/>
  <c r="Z311" i="1"/>
  <c r="DG81" i="1"/>
  <c r="DI81" i="1" s="1"/>
  <c r="Z320" i="1"/>
  <c r="AB320" i="1"/>
  <c r="AT27" i="1"/>
  <c r="AU27" i="1" s="1"/>
  <c r="AB57" i="1"/>
  <c r="Z57" i="1"/>
  <c r="AS37" i="1"/>
  <c r="AQ37" i="1"/>
  <c r="AI13" i="1"/>
  <c r="AK13" i="1"/>
  <c r="AI211" i="1"/>
  <c r="AK211" i="1"/>
  <c r="AC256" i="1"/>
  <c r="AD256" i="1" s="1"/>
  <c r="AS103" i="1"/>
  <c r="AQ103" i="1"/>
  <c r="AL61" i="1"/>
  <c r="AM61" i="1" s="1"/>
  <c r="AB307" i="1"/>
  <c r="Z307" i="1"/>
  <c r="AI262" i="1"/>
  <c r="AK262" i="1"/>
  <c r="AC267" i="1"/>
  <c r="AD267" i="1" s="1"/>
  <c r="AC24" i="1"/>
  <c r="AD24" i="1" s="1"/>
  <c r="BS95" i="1"/>
  <c r="AL15" i="1"/>
  <c r="AM15" i="1" s="1"/>
  <c r="AT236" i="1"/>
  <c r="AU236" i="1" s="1"/>
  <c r="BT236" i="1" s="1"/>
  <c r="AL25" i="1"/>
  <c r="AM25" i="1" s="1"/>
  <c r="AS241" i="1"/>
  <c r="AQ241" i="1"/>
  <c r="DG76" i="1"/>
  <c r="DI76" i="1" s="1"/>
  <c r="DG52" i="1"/>
  <c r="DI52" i="1" s="1"/>
  <c r="DG36" i="1"/>
  <c r="DG20" i="1"/>
  <c r="AS341" i="1"/>
  <c r="AQ341" i="1"/>
  <c r="AL216" i="1"/>
  <c r="AM216" i="1" s="1"/>
  <c r="BY216" i="1" s="1"/>
  <c r="AC32" i="1"/>
  <c r="AD32" i="1" s="1"/>
  <c r="Z59" i="1"/>
  <c r="AB59" i="1"/>
  <c r="AC239" i="1"/>
  <c r="AD239" i="1" s="1"/>
  <c r="AL50" i="1"/>
  <c r="AM50" i="1" s="1"/>
  <c r="AC34" i="1"/>
  <c r="AD34" i="1" s="1"/>
  <c r="Z302" i="1"/>
  <c r="AB302" i="1"/>
  <c r="AC220" i="1"/>
  <c r="AD220" i="1" s="1"/>
  <c r="Z265" i="1"/>
  <c r="AB265" i="1"/>
  <c r="AT215" i="1"/>
  <c r="AU215" i="1" s="1"/>
  <c r="CO215" i="1" s="1"/>
  <c r="AK260" i="1"/>
  <c r="AI260" i="1"/>
  <c r="AI219" i="1"/>
  <c r="AK219" i="1"/>
  <c r="AC47" i="1"/>
  <c r="AD47" i="1" s="1"/>
  <c r="DI62" i="1"/>
  <c r="DI14" i="1"/>
  <c r="AL54" i="1"/>
  <c r="AM54" i="1" s="1"/>
  <c r="Z301" i="1"/>
  <c r="AB301" i="1"/>
  <c r="AL63" i="1"/>
  <c r="AM63" i="1" s="1"/>
  <c r="AI273" i="1"/>
  <c r="AK273" i="1"/>
  <c r="AB218" i="1"/>
  <c r="Z218" i="1"/>
  <c r="AP43" i="1"/>
  <c r="BY43" i="1"/>
  <c r="CF43" i="1"/>
  <c r="BR43" i="1"/>
  <c r="AN43" i="1"/>
  <c r="CM43" i="1"/>
  <c r="AG188" i="1"/>
  <c r="AE188" i="1"/>
  <c r="AI285" i="1"/>
  <c r="AK285" i="1"/>
  <c r="AQ323" i="1"/>
  <c r="AS323" i="1"/>
  <c r="AQ282" i="1"/>
  <c r="AS282" i="1"/>
  <c r="AE182" i="1"/>
  <c r="AG182" i="1"/>
  <c r="AI314" i="1"/>
  <c r="AK314" i="1"/>
  <c r="AN315" i="1"/>
  <c r="AP315" i="1"/>
  <c r="AQ33" i="1"/>
  <c r="AS33" i="1"/>
  <c r="Z292" i="1"/>
  <c r="AB292" i="1"/>
  <c r="AI234" i="1"/>
  <c r="AK234" i="1"/>
  <c r="AB71" i="1"/>
  <c r="Z71" i="1"/>
  <c r="AS233" i="1"/>
  <c r="AQ233" i="1"/>
  <c r="AX208" i="1"/>
  <c r="AV208" i="1"/>
  <c r="AE259" i="1"/>
  <c r="AQ46" i="1"/>
  <c r="AS46" i="1"/>
  <c r="CG64" i="1"/>
  <c r="CN64" i="1"/>
  <c r="CO12" i="1"/>
  <c r="AX12" i="1"/>
  <c r="CH12" i="1"/>
  <c r="AB26" i="1"/>
  <c r="Z26" i="1"/>
  <c r="AK261" i="1"/>
  <c r="AI261" i="1"/>
  <c r="AN229" i="1"/>
  <c r="AP229" i="1"/>
  <c r="AQ8" i="1"/>
  <c r="AS8" i="1"/>
  <c r="AI42" i="1"/>
  <c r="AK42" i="1"/>
  <c r="AS296" i="1"/>
  <c r="AQ296" i="1"/>
  <c r="Z217" i="1"/>
  <c r="AB217" i="1"/>
  <c r="AN185" i="1"/>
  <c r="AP185" i="1"/>
  <c r="AP283" i="1"/>
  <c r="Z58" i="1"/>
  <c r="AB58" i="1"/>
  <c r="AB294" i="1"/>
  <c r="Z294" i="1"/>
  <c r="CH20" i="1"/>
  <c r="AV20" i="1"/>
  <c r="BT20" i="1"/>
  <c r="CA20" i="1"/>
  <c r="CO20" i="1"/>
  <c r="AX20" i="1"/>
  <c r="AI308" i="1"/>
  <c r="AK308" i="1"/>
  <c r="DI78" i="1"/>
  <c r="AK291" i="1"/>
  <c r="AI291" i="1"/>
  <c r="AE261" i="1"/>
  <c r="AG261" i="1"/>
  <c r="AK57" i="1"/>
  <c r="AI57" i="1"/>
  <c r="AI37" i="1"/>
  <c r="AK37" i="1"/>
  <c r="AS337" i="1"/>
  <c r="AQ337" i="1"/>
  <c r="AB211" i="1"/>
  <c r="Z211" i="1"/>
  <c r="AP11" i="1"/>
  <c r="BR11" i="1"/>
  <c r="CM11" i="1"/>
  <c r="BY11" i="1"/>
  <c r="AB262" i="1"/>
  <c r="Z262" i="1"/>
  <c r="AV169" i="1"/>
  <c r="DI39" i="1"/>
  <c r="Z283" i="1"/>
  <c r="AB283" i="1"/>
  <c r="AB285" i="1"/>
  <c r="Z285" i="1"/>
  <c r="AB289" i="1"/>
  <c r="Z289" i="1"/>
  <c r="AI306" i="1"/>
  <c r="AK306" i="1"/>
  <c r="AQ313" i="1"/>
  <c r="AS313" i="1"/>
  <c r="AX269" i="1"/>
  <c r="AV269" i="1"/>
  <c r="AP208" i="1"/>
  <c r="AN208" i="1"/>
  <c r="AK67" i="1"/>
  <c r="AI67" i="1"/>
  <c r="AS270" i="1"/>
  <c r="AQ270" i="1"/>
  <c r="AK223" i="1"/>
  <c r="AI223" i="1"/>
  <c r="AE227" i="1"/>
  <c r="AG227" i="1"/>
  <c r="AS314" i="1"/>
  <c r="AQ314" i="1"/>
  <c r="AS326" i="1"/>
  <c r="AQ326" i="1"/>
  <c r="AN209" i="1"/>
  <c r="CM16" i="1"/>
  <c r="CF16" i="1"/>
  <c r="AN16" i="1"/>
  <c r="AP16" i="1"/>
  <c r="BY16" i="1"/>
  <c r="BR16" i="1"/>
  <c r="Z18" i="1"/>
  <c r="AB18" i="1"/>
  <c r="AX248" i="1"/>
  <c r="AV248" i="1"/>
  <c r="AQ14" i="1"/>
  <c r="AS14" i="1"/>
  <c r="AS24" i="1"/>
  <c r="AQ24" i="1"/>
  <c r="Z17" i="1"/>
  <c r="AB17" i="1"/>
  <c r="AB327" i="1"/>
  <c r="Z327" i="1"/>
  <c r="AS309" i="1"/>
  <c r="AQ309" i="1"/>
  <c r="DI67" i="1"/>
  <c r="DI19" i="1"/>
  <c r="Z299" i="1"/>
  <c r="AB299" i="1"/>
  <c r="AG287" i="1"/>
  <c r="AE287" i="1"/>
  <c r="AK281" i="1"/>
  <c r="AI281" i="1"/>
  <c r="AB213" i="1"/>
  <c r="Z213" i="1"/>
  <c r="Z278" i="1"/>
  <c r="AB278" i="1"/>
  <c r="DI101" i="1"/>
  <c r="AS304" i="1"/>
  <c r="AQ304" i="1"/>
  <c r="AX266" i="1"/>
  <c r="AV266" i="1"/>
  <c r="AK230" i="1"/>
  <c r="AI230" i="1"/>
  <c r="BT66" i="1"/>
  <c r="CA66" i="1"/>
  <c r="AV66" i="1"/>
  <c r="CH66" i="1"/>
  <c r="AX66" i="1"/>
  <c r="CO66" i="1"/>
  <c r="AQ286" i="1"/>
  <c r="AS286" i="1"/>
  <c r="AP339" i="1"/>
  <c r="AN339" i="1"/>
  <c r="AE266" i="1"/>
  <c r="AB15" i="1"/>
  <c r="Z15" i="1"/>
  <c r="AK300" i="1"/>
  <c r="AI300" i="1"/>
  <c r="CN53" i="1"/>
  <c r="AG53" i="1"/>
  <c r="AE53" i="1"/>
  <c r="AK55" i="1"/>
  <c r="AI55" i="1"/>
  <c r="DI40" i="1"/>
  <c r="AK233" i="1"/>
  <c r="AI233" i="1"/>
  <c r="BS27" i="1"/>
  <c r="AI231" i="1"/>
  <c r="AK231" i="1"/>
  <c r="AB51" i="1"/>
  <c r="Z51" i="1"/>
  <c r="AS35" i="1"/>
  <c r="AQ35" i="1"/>
  <c r="AQ232" i="1"/>
  <c r="AS232" i="1"/>
  <c r="CN95" i="1"/>
  <c r="AG95" i="1"/>
  <c r="AE95" i="1"/>
  <c r="AN212" i="1"/>
  <c r="CM20" i="1"/>
  <c r="AN20" i="1"/>
  <c r="AP20" i="1"/>
  <c r="BY20" i="1"/>
  <c r="BR20" i="1"/>
  <c r="CF20" i="1"/>
  <c r="DI91" i="1"/>
  <c r="AV237" i="1"/>
  <c r="AB343" i="1"/>
  <c r="Z343" i="1"/>
  <c r="AE189" i="1"/>
  <c r="AI333" i="1"/>
  <c r="AK333" i="1"/>
  <c r="Z293" i="1"/>
  <c r="AB293" i="1"/>
  <c r="Z45" i="1"/>
  <c r="AB45" i="1"/>
  <c r="AI256" i="1"/>
  <c r="AK256" i="1"/>
  <c r="AS9" i="1"/>
  <c r="AQ9" i="1"/>
  <c r="Z274" i="1"/>
  <c r="AB274" i="1"/>
  <c r="AP26" i="1"/>
  <c r="CM26" i="1"/>
  <c r="BR26" i="1"/>
  <c r="BY26" i="1"/>
  <c r="CF26" i="1"/>
  <c r="AN26" i="1"/>
  <c r="DI49" i="1"/>
  <c r="AK19" i="1"/>
  <c r="AI19" i="1"/>
  <c r="AP48" i="1"/>
  <c r="BR48" i="1"/>
  <c r="BY48" i="1"/>
  <c r="AN48" i="1"/>
  <c r="CM48" i="1"/>
  <c r="CF48" i="1"/>
  <c r="AB296" i="1"/>
  <c r="Z296" i="1"/>
  <c r="AB290" i="1"/>
  <c r="Z290" i="1"/>
  <c r="AB16" i="1"/>
  <c r="Z16" i="1"/>
  <c r="AG208" i="1"/>
  <c r="AE208" i="1"/>
  <c r="AN192" i="1"/>
  <c r="AP192" i="1"/>
  <c r="AK310" i="1"/>
  <c r="AI310" i="1"/>
  <c r="DI100" i="1"/>
  <c r="AI288" i="1"/>
  <c r="AK288" i="1"/>
  <c r="AI294" i="1"/>
  <c r="AK294" i="1"/>
  <c r="AK271" i="1"/>
  <c r="AI271" i="1"/>
  <c r="BS19" i="1"/>
  <c r="AE20" i="1"/>
  <c r="BZ20" i="1"/>
  <c r="AG20" i="1"/>
  <c r="CG20" i="1"/>
  <c r="BS20" i="1"/>
  <c r="CN20" i="1"/>
  <c r="AE63" i="1"/>
  <c r="CG63" i="1"/>
  <c r="AG63" i="1"/>
  <c r="CN63" i="1"/>
  <c r="Z14" i="1"/>
  <c r="AB14" i="1"/>
  <c r="Z291" i="1"/>
  <c r="AB291" i="1"/>
  <c r="CF32" i="1"/>
  <c r="AS305" i="1"/>
  <c r="AQ305" i="1"/>
  <c r="CM65" i="1"/>
  <c r="CF65" i="1"/>
  <c r="AP65" i="1"/>
  <c r="BY65" i="1"/>
  <c r="AN65" i="1"/>
  <c r="AS311" i="1"/>
  <c r="AQ311" i="1"/>
  <c r="AI320" i="1"/>
  <c r="AK320" i="1"/>
  <c r="Z37" i="1"/>
  <c r="AB37" i="1"/>
  <c r="Z13" i="1"/>
  <c r="AB13" i="1"/>
  <c r="AK337" i="1"/>
  <c r="AI337" i="1"/>
  <c r="BR66" i="1"/>
  <c r="CF66" i="1"/>
  <c r="AN66" i="1"/>
  <c r="BY66" i="1"/>
  <c r="AP66" i="1"/>
  <c r="CM66" i="1"/>
  <c r="AX15" i="1"/>
  <c r="AV264" i="1"/>
  <c r="AX264" i="1"/>
  <c r="Z103" i="1"/>
  <c r="AB103" i="1"/>
  <c r="AX179" i="1"/>
  <c r="AV179" i="1"/>
  <c r="AQ307" i="1"/>
  <c r="AS307" i="1"/>
  <c r="AE235" i="1"/>
  <c r="AG235" i="1"/>
  <c r="AX287" i="1"/>
  <c r="AV287" i="1"/>
  <c r="Z254" i="1"/>
  <c r="AB254" i="1"/>
  <c r="Z241" i="1"/>
  <c r="AB241" i="1"/>
  <c r="DI36" i="1"/>
  <c r="AV247" i="1"/>
  <c r="AX247" i="1"/>
  <c r="BS66" i="1"/>
  <c r="AI280" i="1"/>
  <c r="AK280" i="1"/>
  <c r="AI59" i="1"/>
  <c r="AK59" i="1"/>
  <c r="AS43" i="1"/>
  <c r="AQ43" i="1"/>
  <c r="AG46" i="1"/>
  <c r="CG46" i="1"/>
  <c r="BZ46" i="1"/>
  <c r="AE46" i="1"/>
  <c r="CN46" i="1"/>
  <c r="BS46" i="1"/>
  <c r="AQ221" i="1"/>
  <c r="AS221" i="1"/>
  <c r="AI302" i="1"/>
  <c r="AK302" i="1"/>
  <c r="AE214" i="1"/>
  <c r="AG214" i="1"/>
  <c r="CG8" i="1"/>
  <c r="AE8" i="1"/>
  <c r="BS8" i="1"/>
  <c r="AG8" i="1"/>
  <c r="AI265" i="1"/>
  <c r="AK265" i="1"/>
  <c r="CA29" i="1"/>
  <c r="AX29" i="1"/>
  <c r="CH29" i="1"/>
  <c r="CO29" i="1"/>
  <c r="AV29" i="1"/>
  <c r="AN58" i="1"/>
  <c r="BR58" i="1"/>
  <c r="AP71" i="1"/>
  <c r="CF71" i="1"/>
  <c r="AN71" i="1"/>
  <c r="BR71" i="1"/>
  <c r="CM71" i="1"/>
  <c r="BY71" i="1"/>
  <c r="CG27" i="1"/>
  <c r="CN27" i="1"/>
  <c r="AG27" i="1"/>
  <c r="AE27" i="1"/>
  <c r="CN7" i="1"/>
  <c r="AG7" i="1"/>
  <c r="BZ7" i="1"/>
  <c r="CG7" i="1"/>
  <c r="BS7" i="1"/>
  <c r="AE7" i="1"/>
  <c r="AV275" i="1"/>
  <c r="AX275" i="1"/>
  <c r="AS301" i="1"/>
  <c r="AQ301" i="1"/>
  <c r="AT220" i="1"/>
  <c r="AU220" i="1" s="1"/>
  <c r="AI210" i="1"/>
  <c r="AK210" i="1"/>
  <c r="AQ273" i="1"/>
  <c r="AS273" i="1"/>
  <c r="AI218" i="1"/>
  <c r="AK218" i="1"/>
  <c r="AT54" i="1"/>
  <c r="AU54" i="1" s="1"/>
  <c r="BT12" i="1" l="1"/>
  <c r="CH31" i="1"/>
  <c r="CA169" i="1"/>
  <c r="BR275" i="1"/>
  <c r="DJ275" i="1" s="1"/>
  <c r="DI310" i="1"/>
  <c r="CH266" i="1"/>
  <c r="DI241" i="1"/>
  <c r="DM241" i="1" s="1"/>
  <c r="CG238" i="1"/>
  <c r="DI193" i="1"/>
  <c r="DM66" i="1"/>
  <c r="CA12" i="1"/>
  <c r="AV31" i="1"/>
  <c r="DI32" i="1"/>
  <c r="CA10" i="1"/>
  <c r="AE279" i="1"/>
  <c r="DI257" i="1"/>
  <c r="DJ257" i="1" s="1"/>
  <c r="CH319" i="1"/>
  <c r="DI214" i="1"/>
  <c r="DI258" i="1"/>
  <c r="CG284" i="1"/>
  <c r="DI316" i="1"/>
  <c r="DI190" i="1"/>
  <c r="DI35" i="1"/>
  <c r="DI221" i="1"/>
  <c r="DI89" i="1"/>
  <c r="DI243" i="1"/>
  <c r="DI111" i="1"/>
  <c r="BS253" i="1"/>
  <c r="AG64" i="1"/>
  <c r="DI206" i="1"/>
  <c r="BZ253" i="1"/>
  <c r="AX188" i="1"/>
  <c r="DI292" i="1"/>
  <c r="DI297" i="1"/>
  <c r="DI23" i="1"/>
  <c r="AK345" i="1"/>
  <c r="AI345" i="1"/>
  <c r="AL345" i="1" s="1"/>
  <c r="AM345" i="1" s="1"/>
  <c r="BR204" i="1"/>
  <c r="AG189" i="1"/>
  <c r="AS345" i="1"/>
  <c r="AQ345" i="1"/>
  <c r="AT345" i="1" s="1"/>
  <c r="AU345" i="1" s="1"/>
  <c r="CO345" i="1" s="1"/>
  <c r="CH44" i="1"/>
  <c r="DJ193" i="1"/>
  <c r="BS246" i="1"/>
  <c r="DI115" i="1"/>
  <c r="Z345" i="1"/>
  <c r="AC345" i="1" s="1"/>
  <c r="AD345" i="1" s="1"/>
  <c r="CN345" i="1" s="1"/>
  <c r="AB345" i="1"/>
  <c r="DI48" i="1"/>
  <c r="BR340" i="1"/>
  <c r="DJ340" i="1" s="1"/>
  <c r="BY257" i="1"/>
  <c r="CH247" i="1"/>
  <c r="DI274" i="1"/>
  <c r="DI99" i="1"/>
  <c r="DI331" i="1"/>
  <c r="DJ331" i="1" s="1"/>
  <c r="BT10" i="1"/>
  <c r="CA269" i="1"/>
  <c r="DI302" i="1"/>
  <c r="DI188" i="1"/>
  <c r="DK188" i="1" s="1"/>
  <c r="DI290" i="1"/>
  <c r="CN253" i="1"/>
  <c r="DI181" i="1"/>
  <c r="DI305" i="1"/>
  <c r="AN247" i="1"/>
  <c r="BR247" i="1"/>
  <c r="DJ247" i="1" s="1"/>
  <c r="DJ11" i="1"/>
  <c r="DI50" i="1"/>
  <c r="BR198" i="1"/>
  <c r="AB335" i="1"/>
  <c r="Z335" i="1"/>
  <c r="AC335" i="1" s="1"/>
  <c r="AD335" i="1" s="1"/>
  <c r="BS335" i="1" s="1"/>
  <c r="DJ58" i="1"/>
  <c r="AG66" i="1"/>
  <c r="AP249" i="1"/>
  <c r="AN11" i="1"/>
  <c r="AG259" i="1"/>
  <c r="AG269" i="1"/>
  <c r="AE180" i="1"/>
  <c r="AN198" i="1"/>
  <c r="DI121" i="1"/>
  <c r="CO179" i="1"/>
  <c r="CA179" i="1"/>
  <c r="DI207" i="1"/>
  <c r="DI311" i="1"/>
  <c r="CA257" i="1"/>
  <c r="CO266" i="1"/>
  <c r="DI322" i="1"/>
  <c r="DJ322" i="1" s="1"/>
  <c r="AT2" i="1"/>
  <c r="AU2" i="1" s="1"/>
  <c r="CA2" i="1" s="1"/>
  <c r="BS259" i="1"/>
  <c r="Z244" i="1"/>
  <c r="AB244" i="1"/>
  <c r="AI335" i="1"/>
  <c r="AL335" i="1" s="1"/>
  <c r="AM335" i="1" s="1"/>
  <c r="CM335" i="1" s="1"/>
  <c r="DM335" i="1" s="1"/>
  <c r="AK335" i="1"/>
  <c r="AE269" i="1"/>
  <c r="AT306" i="1"/>
  <c r="AU306" i="1" s="1"/>
  <c r="AG42" i="1"/>
  <c r="DI146" i="1"/>
  <c r="DI46" i="1"/>
  <c r="DL58" i="1"/>
  <c r="CF257" i="1"/>
  <c r="DL257" i="1" s="1"/>
  <c r="DI337" i="1"/>
  <c r="CF275" i="1"/>
  <c r="DL275" i="1" s="1"/>
  <c r="CA345" i="1"/>
  <c r="BS279" i="1"/>
  <c r="CA255" i="1"/>
  <c r="AS244" i="1"/>
  <c r="AQ244" i="1"/>
  <c r="AT244" i="1" s="1"/>
  <c r="AU244" i="1" s="1"/>
  <c r="CA244" i="1" s="1"/>
  <c r="BZ42" i="1"/>
  <c r="CO287" i="1"/>
  <c r="CM198" i="1"/>
  <c r="CM275" i="1"/>
  <c r="DM275" i="1" s="1"/>
  <c r="BZ197" i="1"/>
  <c r="DI205" i="1"/>
  <c r="DJ205" i="1" s="1"/>
  <c r="CF267" i="1"/>
  <c r="CN29" i="1"/>
  <c r="AN275" i="1"/>
  <c r="BT63" i="1"/>
  <c r="AP275" i="1"/>
  <c r="CH63" i="1"/>
  <c r="AE234" i="1"/>
  <c r="AT59" i="1"/>
  <c r="AU59" i="1" s="1"/>
  <c r="AL254" i="1"/>
  <c r="AM254" i="1" s="1"/>
  <c r="DK32" i="1"/>
  <c r="BR18" i="1"/>
  <c r="DJ18" i="1" s="1"/>
  <c r="AP345" i="1"/>
  <c r="CG228" i="1"/>
  <c r="CA264" i="1"/>
  <c r="BR216" i="1"/>
  <c r="DI250" i="1"/>
  <c r="Z49" i="1"/>
  <c r="AB49" i="1"/>
  <c r="BY22" i="1"/>
  <c r="CO63" i="1"/>
  <c r="AG205" i="1"/>
  <c r="AG234" i="1"/>
  <c r="AT226" i="1"/>
  <c r="AU226" i="1" s="1"/>
  <c r="CO226" i="1" s="1"/>
  <c r="DI93" i="1"/>
  <c r="DI55" i="1"/>
  <c r="DI130" i="1"/>
  <c r="CN8" i="1"/>
  <c r="AN345" i="1"/>
  <c r="DI13" i="1"/>
  <c r="DI56" i="1"/>
  <c r="CG29" i="1"/>
  <c r="BS64" i="1"/>
  <c r="CA222" i="1"/>
  <c r="BZ264" i="1"/>
  <c r="DI179" i="1"/>
  <c r="DI200" i="1"/>
  <c r="DI267" i="1"/>
  <c r="DK267" i="1" s="1"/>
  <c r="CG212" i="1"/>
  <c r="AC2" i="1"/>
  <c r="AD2" i="1" s="1"/>
  <c r="CN2" i="1" s="1"/>
  <c r="AQ328" i="1"/>
  <c r="AS328" i="1"/>
  <c r="AS49" i="1"/>
  <c r="AQ49" i="1"/>
  <c r="AS335" i="1"/>
  <c r="AQ335" i="1"/>
  <c r="AV44" i="1"/>
  <c r="AE205" i="1"/>
  <c r="BR345" i="1"/>
  <c r="DJ345" i="1" s="1"/>
  <c r="DI314" i="1"/>
  <c r="DI269" i="1"/>
  <c r="DL269" i="1" s="1"/>
  <c r="DI192" i="1"/>
  <c r="AI328" i="1"/>
  <c r="AK328" i="1"/>
  <c r="AI201" i="1"/>
  <c r="AL201" i="1" s="1"/>
  <c r="AM201" i="1" s="1"/>
  <c r="CM201" i="1" s="1"/>
  <c r="DM201" i="1" s="1"/>
  <c r="AK201" i="1"/>
  <c r="AP198" i="1"/>
  <c r="CF22" i="1"/>
  <c r="DL22" i="1" s="1"/>
  <c r="BR32" i="1"/>
  <c r="DJ32" i="1" s="1"/>
  <c r="AX63" i="1"/>
  <c r="AN22" i="1"/>
  <c r="AN32" i="1"/>
  <c r="CA63" i="1"/>
  <c r="AT340" i="1"/>
  <c r="AU340" i="1" s="1"/>
  <c r="AN70" i="1"/>
  <c r="CA44" i="1"/>
  <c r="CH205" i="1"/>
  <c r="DI191" i="1"/>
  <c r="DI347" i="1"/>
  <c r="AB201" i="1"/>
  <c r="Z201" i="1"/>
  <c r="BZ66" i="1"/>
  <c r="AN323" i="1"/>
  <c r="CN42" i="1"/>
  <c r="DI43" i="1"/>
  <c r="AI49" i="1"/>
  <c r="DI3" i="1"/>
  <c r="DI162" i="1"/>
  <c r="CN205" i="1"/>
  <c r="CF198" i="1"/>
  <c r="DI183" i="1"/>
  <c r="AL2" i="1"/>
  <c r="AM2" i="1" s="1"/>
  <c r="BR2" i="1" s="1"/>
  <c r="DJ2" i="1" s="1"/>
  <c r="CG259" i="1"/>
  <c r="AQ6" i="1"/>
  <c r="AS6" i="1"/>
  <c r="DI352" i="1"/>
  <c r="AI184" i="1"/>
  <c r="AL184" i="1" s="1"/>
  <c r="AM184" i="1" s="1"/>
  <c r="BY184" i="1" s="1"/>
  <c r="AK184" i="1"/>
  <c r="AI41" i="1"/>
  <c r="AK41" i="1"/>
  <c r="AQ201" i="1"/>
  <c r="AT201" i="1" s="1"/>
  <c r="AU201" i="1" s="1"/>
  <c r="AS201" i="1"/>
  <c r="CN66" i="1"/>
  <c r="AE66" i="1"/>
  <c r="AP32" i="1"/>
  <c r="DL16" i="1"/>
  <c r="AN235" i="1"/>
  <c r="DI294" i="1"/>
  <c r="DI330" i="1"/>
  <c r="DI270" i="1"/>
  <c r="DI216" i="1"/>
  <c r="AK6" i="1"/>
  <c r="AI6" i="1"/>
  <c r="AB184" i="1"/>
  <c r="Z184" i="1"/>
  <c r="AC184" i="1" s="1"/>
  <c r="AD184" i="1" s="1"/>
  <c r="BS184" i="1" s="1"/>
  <c r="AS41" i="1"/>
  <c r="AQ41" i="1"/>
  <c r="DI284" i="1"/>
  <c r="DI209" i="1"/>
  <c r="DI336" i="1"/>
  <c r="AP22" i="1"/>
  <c r="CM22" i="1"/>
  <c r="AP193" i="1"/>
  <c r="CM32" i="1"/>
  <c r="DI108" i="1"/>
  <c r="CH287" i="1"/>
  <c r="BZ209" i="1"/>
  <c r="DI353" i="1"/>
  <c r="Z6" i="1"/>
  <c r="AB6" i="1"/>
  <c r="AQ184" i="1"/>
  <c r="AS184" i="1"/>
  <c r="Z41" i="1"/>
  <c r="AC41" i="1" s="1"/>
  <c r="AD41" i="1" s="1"/>
  <c r="AB41" i="1"/>
  <c r="CM319" i="1"/>
  <c r="DM319" i="1" s="1"/>
  <c r="BY319" i="1"/>
  <c r="CF319" i="1"/>
  <c r="DL319" i="1" s="1"/>
  <c r="BR319" i="1"/>
  <c r="CM264" i="1"/>
  <c r="BR264" i="1"/>
  <c r="DJ264" i="1" s="1"/>
  <c r="CG247" i="1"/>
  <c r="CN247" i="1"/>
  <c r="CH267" i="1"/>
  <c r="CA267" i="1"/>
  <c r="CO229" i="1"/>
  <c r="BT229" i="1"/>
  <c r="CA229" i="1"/>
  <c r="CO180" i="1"/>
  <c r="BT180" i="1"/>
  <c r="CA180" i="1"/>
  <c r="AQ353" i="1"/>
  <c r="AS353" i="1"/>
  <c r="DL259" i="1"/>
  <c r="DJ259" i="1"/>
  <c r="DM259" i="1"/>
  <c r="DK259" i="1"/>
  <c r="CA228" i="1"/>
  <c r="Z181" i="1"/>
  <c r="AB181" i="1"/>
  <c r="CM331" i="1"/>
  <c r="DM331" i="1" s="1"/>
  <c r="CO199" i="1"/>
  <c r="AB351" i="1"/>
  <c r="Z351" i="1"/>
  <c r="AI325" i="1"/>
  <c r="AK325" i="1"/>
  <c r="BY205" i="1"/>
  <c r="DK205" i="1" s="1"/>
  <c r="Z206" i="1"/>
  <c r="AB206" i="1"/>
  <c r="DK269" i="1"/>
  <c r="DM269" i="1"/>
  <c r="AK342" i="1"/>
  <c r="AI342" i="1"/>
  <c r="AQ346" i="1"/>
  <c r="AS346" i="1"/>
  <c r="DM26" i="1"/>
  <c r="BY53" i="1"/>
  <c r="BT48" i="1"/>
  <c r="DI12" i="1"/>
  <c r="BT249" i="1"/>
  <c r="CA249" i="1"/>
  <c r="CA258" i="1"/>
  <c r="BT258" i="1"/>
  <c r="CO258" i="1"/>
  <c r="CH258" i="1"/>
  <c r="BZ248" i="1"/>
  <c r="CG248" i="1"/>
  <c r="CN248" i="1"/>
  <c r="CG42" i="1"/>
  <c r="BS42" i="1"/>
  <c r="AP279" i="1"/>
  <c r="AG279" i="1"/>
  <c r="BR293" i="1"/>
  <c r="CF293" i="1"/>
  <c r="BY293" i="1"/>
  <c r="CM192" i="1"/>
  <c r="DM192" i="1" s="1"/>
  <c r="BY192" i="1"/>
  <c r="CF192" i="1"/>
  <c r="CH345" i="1"/>
  <c r="BT345" i="1"/>
  <c r="AV188" i="1"/>
  <c r="CO188" i="1"/>
  <c r="CH188" i="1"/>
  <c r="BT188" i="1"/>
  <c r="CG182" i="1"/>
  <c r="BZ182" i="1"/>
  <c r="CN269" i="1"/>
  <c r="BS269" i="1"/>
  <c r="BZ287" i="1"/>
  <c r="CN287" i="1"/>
  <c r="CG287" i="1"/>
  <c r="CG200" i="1"/>
  <c r="AK353" i="1"/>
  <c r="AI353" i="1"/>
  <c r="AL353" i="1" s="1"/>
  <c r="AM353" i="1" s="1"/>
  <c r="CG251" i="1"/>
  <c r="CN193" i="1"/>
  <c r="CF213" i="1"/>
  <c r="DL213" i="1" s="1"/>
  <c r="CM184" i="1"/>
  <c r="DM184" i="1" s="1"/>
  <c r="BS226" i="1"/>
  <c r="AQ178" i="1"/>
  <c r="AT178" i="1" s="1"/>
  <c r="AU178" i="1" s="1"/>
  <c r="AS178" i="1"/>
  <c r="DM287" i="1"/>
  <c r="CA193" i="1"/>
  <c r="CM293" i="1"/>
  <c r="CA190" i="1"/>
  <c r="CH214" i="1"/>
  <c r="BT214" i="1"/>
  <c r="AX262" i="1"/>
  <c r="CA262" i="1"/>
  <c r="CH262" i="1"/>
  <c r="DK66" i="1"/>
  <c r="DJ22" i="1"/>
  <c r="DK48" i="1"/>
  <c r="BZ220" i="1"/>
  <c r="CG220" i="1"/>
  <c r="CN220" i="1"/>
  <c r="DI70" i="1"/>
  <c r="AP331" i="1"/>
  <c r="CH48" i="1"/>
  <c r="BY292" i="1"/>
  <c r="CM292" i="1"/>
  <c r="BR292" i="1"/>
  <c r="CF292" i="1"/>
  <c r="CN245" i="1"/>
  <c r="BS245" i="1"/>
  <c r="BZ245" i="1"/>
  <c r="AN279" i="1"/>
  <c r="CN208" i="1"/>
  <c r="CG208" i="1"/>
  <c r="CF303" i="1"/>
  <c r="BY303" i="1"/>
  <c r="DK303" i="1" s="1"/>
  <c r="AX283" i="1"/>
  <c r="BT283" i="1"/>
  <c r="CA283" i="1"/>
  <c r="CH283" i="1"/>
  <c r="CO283" i="1"/>
  <c r="BS235" i="1"/>
  <c r="CN235" i="1"/>
  <c r="BS261" i="1"/>
  <c r="CN261" i="1"/>
  <c r="BZ261" i="1"/>
  <c r="BT248" i="1"/>
  <c r="CO248" i="1"/>
  <c r="CA248" i="1"/>
  <c r="CH248" i="1"/>
  <c r="CM213" i="1"/>
  <c r="DM213" i="1" s="1"/>
  <c r="BT245" i="1"/>
  <c r="BY204" i="1"/>
  <c r="CH228" i="1"/>
  <c r="CM279" i="1"/>
  <c r="BY255" i="1"/>
  <c r="AK181" i="1"/>
  <c r="AI181" i="1"/>
  <c r="BT287" i="1"/>
  <c r="BR180" i="1"/>
  <c r="DJ180" i="1" s="1"/>
  <c r="AK28" i="1"/>
  <c r="AI28" i="1"/>
  <c r="Z36" i="1"/>
  <c r="AB36" i="1"/>
  <c r="BS234" i="1"/>
  <c r="CO249" i="1"/>
  <c r="BT267" i="1"/>
  <c r="BS240" i="1"/>
  <c r="BS237" i="1"/>
  <c r="AQ342" i="1"/>
  <c r="AS342" i="1"/>
  <c r="CM204" i="1"/>
  <c r="BZ279" i="1"/>
  <c r="CA199" i="1"/>
  <c r="BZ333" i="1"/>
  <c r="CN333" i="1"/>
  <c r="BS333" i="1"/>
  <c r="CG333" i="1"/>
  <c r="BT185" i="1"/>
  <c r="CH185" i="1"/>
  <c r="CA185" i="1"/>
  <c r="AN241" i="1"/>
  <c r="CF241" i="1"/>
  <c r="DL241" i="1" s="1"/>
  <c r="CM241" i="1"/>
  <c r="AG252" i="1"/>
  <c r="BS252" i="1"/>
  <c r="CG252" i="1"/>
  <c r="CN252" i="1"/>
  <c r="BZ252" i="1"/>
  <c r="BT269" i="1"/>
  <c r="CO269" i="1"/>
  <c r="BS204" i="1"/>
  <c r="CF264" i="1"/>
  <c r="DL264" i="1" s="1"/>
  <c r="CF255" i="1"/>
  <c r="BT222" i="1"/>
  <c r="DJ303" i="1"/>
  <c r="DL303" i="1"/>
  <c r="BT228" i="1"/>
  <c r="BS190" i="1"/>
  <c r="CA268" i="1"/>
  <c r="CF250" i="1"/>
  <c r="AS28" i="1"/>
  <c r="AQ28" i="1"/>
  <c r="AT28" i="1" s="1"/>
  <c r="AU28" i="1" s="1"/>
  <c r="DJ213" i="1"/>
  <c r="AQ36" i="1"/>
  <c r="AT36" i="1" s="1"/>
  <c r="AU36" i="1" s="1"/>
  <c r="AX36" i="1" s="1"/>
  <c r="AS36" i="1"/>
  <c r="CF193" i="1"/>
  <c r="DL193" i="1" s="1"/>
  <c r="CH339" i="1"/>
  <c r="BT199" i="1"/>
  <c r="BT339" i="1"/>
  <c r="CM216" i="1"/>
  <c r="DM216" i="1" s="1"/>
  <c r="CF205" i="1"/>
  <c r="DL205" i="1" s="1"/>
  <c r="DL267" i="1"/>
  <c r="CG245" i="1"/>
  <c r="BR287" i="1"/>
  <c r="DJ287" i="1" s="1"/>
  <c r="DM204" i="1"/>
  <c r="DJ204" i="1"/>
  <c r="DK204" i="1"/>
  <c r="DL204" i="1"/>
  <c r="BY252" i="1"/>
  <c r="CF252" i="1"/>
  <c r="DL252" i="1" s="1"/>
  <c r="CM252" i="1"/>
  <c r="BR252" i="1"/>
  <c r="CO244" i="1"/>
  <c r="CO15" i="1"/>
  <c r="DL66" i="1"/>
  <c r="AP323" i="1"/>
  <c r="BZ303" i="1"/>
  <c r="BS303" i="1"/>
  <c r="CG303" i="1"/>
  <c r="CN303" i="1"/>
  <c r="CG335" i="1"/>
  <c r="BZ335" i="1"/>
  <c r="BT17" i="1"/>
  <c r="CO44" i="1"/>
  <c r="AT218" i="1"/>
  <c r="AU218" i="1" s="1"/>
  <c r="AL221" i="1"/>
  <c r="AM221" i="1" s="1"/>
  <c r="AP221" i="1" s="1"/>
  <c r="AT16" i="1"/>
  <c r="AU16" i="1" s="1"/>
  <c r="CF179" i="1"/>
  <c r="DL179" i="1" s="1"/>
  <c r="BR179" i="1"/>
  <c r="DJ179" i="1" s="1"/>
  <c r="CM179" i="1"/>
  <c r="DM179" i="1" s="1"/>
  <c r="BY179" i="1"/>
  <c r="AC222" i="1"/>
  <c r="AD222" i="1" s="1"/>
  <c r="AT285" i="1"/>
  <c r="AU285" i="1" s="1"/>
  <c r="AC33" i="1"/>
  <c r="AD33" i="1" s="1"/>
  <c r="AG264" i="1"/>
  <c r="BZ345" i="1"/>
  <c r="CG345" i="1"/>
  <c r="BS345" i="1"/>
  <c r="AX209" i="1"/>
  <c r="CH209" i="1"/>
  <c r="CA209" i="1"/>
  <c r="BT209" i="1"/>
  <c r="CO209" i="1"/>
  <c r="CF237" i="1"/>
  <c r="DL237" i="1" s="1"/>
  <c r="BR237" i="1"/>
  <c r="BY237" i="1"/>
  <c r="DK237" i="1" s="1"/>
  <c r="CM237" i="1"/>
  <c r="AP247" i="1"/>
  <c r="CF247" i="1"/>
  <c r="CM247" i="1"/>
  <c r="DM247" i="1" s="1"/>
  <c r="BY247" i="1"/>
  <c r="BS322" i="1"/>
  <c r="BZ322" i="1"/>
  <c r="CG322" i="1"/>
  <c r="AV192" i="1"/>
  <c r="BT192" i="1"/>
  <c r="CH192" i="1"/>
  <c r="CO192" i="1"/>
  <c r="CA192" i="1"/>
  <c r="AX252" i="1"/>
  <c r="CA252" i="1"/>
  <c r="CO252" i="1"/>
  <c r="BT252" i="1"/>
  <c r="CH252" i="1"/>
  <c r="CH222" i="1"/>
  <c r="CN339" i="1"/>
  <c r="CN190" i="1"/>
  <c r="CN226" i="1"/>
  <c r="BT205" i="1"/>
  <c r="CG204" i="1"/>
  <c r="BY264" i="1"/>
  <c r="CH193" i="1"/>
  <c r="CG184" i="1"/>
  <c r="BY213" i="1"/>
  <c r="DK213" i="1" s="1"/>
  <c r="DI235" i="1"/>
  <c r="CF323" i="1"/>
  <c r="DL323" i="1" s="1"/>
  <c r="Z321" i="1"/>
  <c r="AC321" i="1" s="1"/>
  <c r="AD321" i="1" s="1"/>
  <c r="AB321" i="1"/>
  <c r="DJ319" i="1"/>
  <c r="DK319" i="1"/>
  <c r="AI183" i="1"/>
  <c r="AK183" i="1"/>
  <c r="BT44" i="1"/>
  <c r="BR225" i="1"/>
  <c r="DJ225" i="1" s="1"/>
  <c r="CM225" i="1"/>
  <c r="DM225" i="1" s="1"/>
  <c r="BY225" i="1"/>
  <c r="DK225" i="1" s="1"/>
  <c r="CF225" i="1"/>
  <c r="DL225" i="1" s="1"/>
  <c r="CF228" i="1"/>
  <c r="DL228" i="1" s="1"/>
  <c r="CM228" i="1"/>
  <c r="DM228" i="1" s="1"/>
  <c r="BY228" i="1"/>
  <c r="DK228" i="1" s="1"/>
  <c r="CH204" i="1"/>
  <c r="BT204" i="1"/>
  <c r="CG188" i="1"/>
  <c r="BZ188" i="1"/>
  <c r="BS188" i="1"/>
  <c r="CN188" i="1"/>
  <c r="CM283" i="1"/>
  <c r="CF283" i="1"/>
  <c r="DL283" i="1" s="1"/>
  <c r="BY283" i="1"/>
  <c r="BR283" i="1"/>
  <c r="BS227" i="1"/>
  <c r="CG227" i="1"/>
  <c r="CN227" i="1"/>
  <c r="CM326" i="1"/>
  <c r="CF326" i="1"/>
  <c r="BR326" i="1"/>
  <c r="DJ326" i="1" s="1"/>
  <c r="BY326" i="1"/>
  <c r="CF315" i="1"/>
  <c r="DL315" i="1" s="1"/>
  <c r="CN264" i="1"/>
  <c r="BS247" i="1"/>
  <c r="CO235" i="1"/>
  <c r="CO193" i="1"/>
  <c r="DK340" i="1"/>
  <c r="CG339" i="1"/>
  <c r="DI185" i="1"/>
  <c r="BR255" i="1"/>
  <c r="DJ255" i="1" s="1"/>
  <c r="BZ339" i="1"/>
  <c r="CH264" i="1"/>
  <c r="BZ235" i="1"/>
  <c r="CO257" i="1"/>
  <c r="CO247" i="1"/>
  <c r="DK184" i="1"/>
  <c r="AI207" i="1"/>
  <c r="AK207" i="1"/>
  <c r="Z191" i="1"/>
  <c r="AB191" i="1"/>
  <c r="CA247" i="1"/>
  <c r="DK264" i="1"/>
  <c r="DM264" i="1"/>
  <c r="BT262" i="1"/>
  <c r="CF216" i="1"/>
  <c r="DL216" i="1" s="1"/>
  <c r="AK203" i="1"/>
  <c r="AI203" i="1"/>
  <c r="CG279" i="1"/>
  <c r="CA204" i="1"/>
  <c r="BR241" i="1"/>
  <c r="BY212" i="1"/>
  <c r="CF212" i="1"/>
  <c r="BR212" i="1"/>
  <c r="CM212" i="1"/>
  <c r="BZ267" i="1"/>
  <c r="CN267" i="1"/>
  <c r="CG196" i="1"/>
  <c r="BZ196" i="1"/>
  <c r="BS196" i="1"/>
  <c r="CN196" i="1"/>
  <c r="CF18" i="1"/>
  <c r="DL18" i="1" s="1"/>
  <c r="BS316" i="1"/>
  <c r="CN316" i="1"/>
  <c r="CN334" i="1"/>
  <c r="CG334" i="1"/>
  <c r="BZ229" i="1"/>
  <c r="BS229" i="1"/>
  <c r="CG229" i="1"/>
  <c r="CO255" i="1"/>
  <c r="BT255" i="1"/>
  <c r="CG263" i="1"/>
  <c r="BZ263" i="1"/>
  <c r="BS263" i="1"/>
  <c r="BY197" i="1"/>
  <c r="DK197" i="1" s="1"/>
  <c r="BR197" i="1"/>
  <c r="CH250" i="1"/>
  <c r="CO250" i="1"/>
  <c r="CN224" i="1"/>
  <c r="CG224" i="1"/>
  <c r="BZ224" i="1"/>
  <c r="BS224" i="1"/>
  <c r="CO245" i="1"/>
  <c r="CA245" i="1"/>
  <c r="CM246" i="1"/>
  <c r="DM246" i="1" s="1"/>
  <c r="BY246" i="1"/>
  <c r="DK246" i="1" s="1"/>
  <c r="CF246" i="1"/>
  <c r="DL246" i="1" s="1"/>
  <c r="BR246" i="1"/>
  <c r="AP241" i="1"/>
  <c r="CH198" i="1"/>
  <c r="BT198" i="1"/>
  <c r="CA198" i="1"/>
  <c r="CO198" i="1"/>
  <c r="CM208" i="1"/>
  <c r="DM208" i="1" s="1"/>
  <c r="CF208" i="1"/>
  <c r="DL208" i="1" s="1"/>
  <c r="CM185" i="1"/>
  <c r="BY185" i="1"/>
  <c r="CF185" i="1"/>
  <c r="CG264" i="1"/>
  <c r="DI281" i="1"/>
  <c r="CG190" i="1"/>
  <c r="CG226" i="1"/>
  <c r="CN209" i="1"/>
  <c r="BS264" i="1"/>
  <c r="BT268" i="1"/>
  <c r="CF197" i="1"/>
  <c r="DL197" i="1" s="1"/>
  <c r="AQ202" i="1"/>
  <c r="AS202" i="1"/>
  <c r="CG261" i="1"/>
  <c r="BS220" i="1"/>
  <c r="CH229" i="1"/>
  <c r="CH249" i="1"/>
  <c r="BT2" i="1"/>
  <c r="BR279" i="1"/>
  <c r="BY279" i="1"/>
  <c r="DK279" i="1" s="1"/>
  <c r="DI20" i="1"/>
  <c r="CO212" i="1"/>
  <c r="CH212" i="1"/>
  <c r="CH15" i="1"/>
  <c r="DJ16" i="1"/>
  <c r="BY18" i="1"/>
  <c r="DK18" i="1" s="1"/>
  <c r="CA17" i="1"/>
  <c r="CG179" i="1"/>
  <c r="CN179" i="1"/>
  <c r="BS179" i="1"/>
  <c r="BZ179" i="1"/>
  <c r="AP58" i="1"/>
  <c r="CA15" i="1"/>
  <c r="DM65" i="1"/>
  <c r="DK16" i="1"/>
  <c r="AE333" i="1"/>
  <c r="BZ239" i="1"/>
  <c r="CG239" i="1"/>
  <c r="CN239" i="1"/>
  <c r="BS239" i="1"/>
  <c r="DI60" i="1"/>
  <c r="BT196" i="1"/>
  <c r="CA196" i="1"/>
  <c r="CH196" i="1"/>
  <c r="CO196" i="1"/>
  <c r="AP18" i="1"/>
  <c r="CO17" i="1"/>
  <c r="CO224" i="1"/>
  <c r="CH224" i="1"/>
  <c r="BT224" i="1"/>
  <c r="CA224" i="1"/>
  <c r="BT334" i="1"/>
  <c r="CH334" i="1"/>
  <c r="CO334" i="1"/>
  <c r="CA334" i="1"/>
  <c r="CF245" i="1"/>
  <c r="DL245" i="1" s="1"/>
  <c r="BY245" i="1"/>
  <c r="BR245" i="1"/>
  <c r="BT332" i="1"/>
  <c r="CH332" i="1"/>
  <c r="CA332" i="1"/>
  <c r="AV283" i="1"/>
  <c r="AP204" i="1"/>
  <c r="BR188" i="1"/>
  <c r="DJ188" i="1" s="1"/>
  <c r="CM188" i="1"/>
  <c r="DM188" i="1" s="1"/>
  <c r="DI164" i="1"/>
  <c r="DI165" i="1"/>
  <c r="BR249" i="1"/>
  <c r="CM249" i="1"/>
  <c r="CF249" i="1"/>
  <c r="BY249" i="1"/>
  <c r="DK249" i="1" s="1"/>
  <c r="BZ205" i="1"/>
  <c r="CG205" i="1"/>
  <c r="BT208" i="1"/>
  <c r="CA208" i="1"/>
  <c r="BT189" i="1"/>
  <c r="CH189" i="1"/>
  <c r="CA189" i="1"/>
  <c r="CO189" i="1"/>
  <c r="AE252" i="1"/>
  <c r="CF253" i="1"/>
  <c r="CM253" i="1"/>
  <c r="BR253" i="1"/>
  <c r="DI166" i="1"/>
  <c r="CO246" i="1"/>
  <c r="CH246" i="1"/>
  <c r="BT246" i="1"/>
  <c r="BZ269" i="1"/>
  <c r="CA250" i="1"/>
  <c r="BZ257" i="1"/>
  <c r="CF287" i="1"/>
  <c r="DL287" i="1" s="1"/>
  <c r="BZ208" i="1"/>
  <c r="BR208" i="1"/>
  <c r="DJ208" i="1" s="1"/>
  <c r="CO268" i="1"/>
  <c r="BY287" i="1"/>
  <c r="DK287" i="1" s="1"/>
  <c r="CH208" i="1"/>
  <c r="BY208" i="1"/>
  <c r="DK208" i="1" s="1"/>
  <c r="BZ247" i="1"/>
  <c r="BS182" i="1"/>
  <c r="CF188" i="1"/>
  <c r="DL188" i="1" s="1"/>
  <c r="Z347" i="1"/>
  <c r="AC347" i="1" s="1"/>
  <c r="AD347" i="1" s="1"/>
  <c r="AB347" i="1"/>
  <c r="AS186" i="1"/>
  <c r="AQ186" i="1"/>
  <c r="CO339" i="1"/>
  <c r="AB202" i="1"/>
  <c r="Z202" i="1"/>
  <c r="AQ207" i="1"/>
  <c r="AS207" i="1"/>
  <c r="CN237" i="1"/>
  <c r="BT216" i="1"/>
  <c r="CN255" i="1"/>
  <c r="BZ316" i="1"/>
  <c r="CG237" i="1"/>
  <c r="AB324" i="1"/>
  <c r="Z324" i="1"/>
  <c r="CM303" i="1"/>
  <c r="DM303" i="1" s="1"/>
  <c r="DJ216" i="1"/>
  <c r="DK216" i="1"/>
  <c r="AI187" i="1"/>
  <c r="AK187" i="1"/>
  <c r="CA212" i="1"/>
  <c r="CA333" i="1"/>
  <c r="BT333" i="1"/>
  <c r="CO306" i="1"/>
  <c r="CA306" i="1"/>
  <c r="BT306" i="1"/>
  <c r="CH306" i="1"/>
  <c r="BY193" i="1"/>
  <c r="DK193" i="1" s="1"/>
  <c r="CM193" i="1"/>
  <c r="DM193" i="1" s="1"/>
  <c r="DJ66" i="1"/>
  <c r="BY58" i="1"/>
  <c r="DK58" i="1" s="1"/>
  <c r="AV15" i="1"/>
  <c r="AV228" i="1"/>
  <c r="AX180" i="1"/>
  <c r="AG333" i="1"/>
  <c r="BT200" i="1"/>
  <c r="CO200" i="1"/>
  <c r="CH200" i="1"/>
  <c r="CA200" i="1"/>
  <c r="CF224" i="1"/>
  <c r="DL224" i="1" s="1"/>
  <c r="BY224" i="1"/>
  <c r="DK224" i="1" s="1"/>
  <c r="CM224" i="1"/>
  <c r="DM224" i="1" s="1"/>
  <c r="BR224" i="1"/>
  <c r="DJ224" i="1" s="1"/>
  <c r="BR244" i="1"/>
  <c r="DJ244" i="1" s="1"/>
  <c r="BY244" i="1"/>
  <c r="DK244" i="1" s="1"/>
  <c r="BY180" i="1"/>
  <c r="DK180" i="1" s="1"/>
  <c r="CF180" i="1"/>
  <c r="CN197" i="1"/>
  <c r="CG197" i="1"/>
  <c r="CM23" i="1"/>
  <c r="DM23" i="1" s="1"/>
  <c r="CM18" i="1"/>
  <c r="DM18" i="1" s="1"/>
  <c r="CH226" i="1"/>
  <c r="BT226" i="1"/>
  <c r="CA226" i="1"/>
  <c r="CM268" i="1"/>
  <c r="DM268" i="1" s="1"/>
  <c r="CF268" i="1"/>
  <c r="DL268" i="1" s="1"/>
  <c r="BY268" i="1"/>
  <c r="DK268" i="1" s="1"/>
  <c r="BR268" i="1"/>
  <c r="DJ268" i="1" s="1"/>
  <c r="BY254" i="1"/>
  <c r="DK254" i="1" s="1"/>
  <c r="CF254" i="1"/>
  <c r="DL254" i="1" s="1"/>
  <c r="BZ192" i="1"/>
  <c r="CN192" i="1"/>
  <c r="CG192" i="1"/>
  <c r="BY250" i="1"/>
  <c r="BR250" i="1"/>
  <c r="DJ250" i="1" s="1"/>
  <c r="BT197" i="1"/>
  <c r="CH197" i="1"/>
  <c r="CG240" i="1"/>
  <c r="BZ240" i="1"/>
  <c r="CO340" i="1"/>
  <c r="CA340" i="1"/>
  <c r="BT340" i="1"/>
  <c r="CH340" i="1"/>
  <c r="DI34" i="1"/>
  <c r="AT71" i="1"/>
  <c r="AU71" i="1" s="1"/>
  <c r="AC23" i="1"/>
  <c r="AD23" i="1" s="1"/>
  <c r="AP235" i="1"/>
  <c r="BR235" i="1"/>
  <c r="BY235" i="1"/>
  <c r="CF235" i="1"/>
  <c r="AG242" i="1"/>
  <c r="CN242" i="1"/>
  <c r="BS242" i="1"/>
  <c r="BZ242" i="1"/>
  <c r="CG242" i="1"/>
  <c r="AL329" i="1"/>
  <c r="AM329" i="1" s="1"/>
  <c r="AP329" i="1" s="1"/>
  <c r="AG200" i="1"/>
  <c r="BS200" i="1"/>
  <c r="CN200" i="1"/>
  <c r="CG189" i="1"/>
  <c r="BZ189" i="1"/>
  <c r="BS189" i="1"/>
  <c r="CN189" i="1"/>
  <c r="CO214" i="1"/>
  <c r="CG235" i="1"/>
  <c r="CA214" i="1"/>
  <c r="BS208" i="1"/>
  <c r="CO185" i="1"/>
  <c r="CG193" i="1"/>
  <c r="CH333" i="1"/>
  <c r="DJ343" i="1"/>
  <c r="DK343" i="1"/>
  <c r="DM343" i="1"/>
  <c r="DL343" i="1"/>
  <c r="CF184" i="1"/>
  <c r="DL184" i="1" s="1"/>
  <c r="DJ229" i="1"/>
  <c r="DL229" i="1"/>
  <c r="DM229" i="1"/>
  <c r="DK229" i="1"/>
  <c r="BS209" i="1"/>
  <c r="CM205" i="1"/>
  <c r="Z348" i="1"/>
  <c r="AB348" i="1"/>
  <c r="DK275" i="1"/>
  <c r="CF244" i="1"/>
  <c r="DL244" i="1" s="1"/>
  <c r="DK192" i="1"/>
  <c r="DJ192" i="1"/>
  <c r="DL192" i="1"/>
  <c r="CG268" i="1"/>
  <c r="CN268" i="1"/>
  <c r="CM58" i="1"/>
  <c r="DM58" i="1" s="1"/>
  <c r="AX228" i="1"/>
  <c r="AV180" i="1"/>
  <c r="AV229" i="1"/>
  <c r="BR199" i="1"/>
  <c r="DJ199" i="1" s="1"/>
  <c r="BY199" i="1"/>
  <c r="DK199" i="1" s="1"/>
  <c r="CM199" i="1"/>
  <c r="DM199" i="1" s="1"/>
  <c r="CF199" i="1"/>
  <c r="DL199" i="1" s="1"/>
  <c r="CF23" i="1"/>
  <c r="DL23" i="1" s="1"/>
  <c r="CF200" i="1"/>
  <c r="BR200" i="1"/>
  <c r="DJ200" i="1" s="1"/>
  <c r="BY200" i="1"/>
  <c r="CM200" i="1"/>
  <c r="DM200" i="1" s="1"/>
  <c r="CO315" i="1"/>
  <c r="CH315" i="1"/>
  <c r="BT315" i="1"/>
  <c r="CA315" i="1"/>
  <c r="BY322" i="1"/>
  <c r="DK322" i="1" s="1"/>
  <c r="CM322" i="1"/>
  <c r="DM322" i="1" s="1"/>
  <c r="CN249" i="1"/>
  <c r="BZ249" i="1"/>
  <c r="CG249" i="1"/>
  <c r="BS249" i="1"/>
  <c r="AV262" i="1"/>
  <c r="BT275" i="1"/>
  <c r="CH275" i="1"/>
  <c r="CO275" i="1"/>
  <c r="AG216" i="1"/>
  <c r="BS216" i="1"/>
  <c r="CG216" i="1"/>
  <c r="BZ216" i="1"/>
  <c r="BR315" i="1"/>
  <c r="DJ315" i="1" s="1"/>
  <c r="BY315" i="1"/>
  <c r="DK315" i="1" s="1"/>
  <c r="BR236" i="1"/>
  <c r="DJ236" i="1" s="1"/>
  <c r="CF236" i="1"/>
  <c r="DL236" i="1" s="1"/>
  <c r="BY236" i="1"/>
  <c r="DK236" i="1" s="1"/>
  <c r="CO190" i="1"/>
  <c r="BT190" i="1"/>
  <c r="CO319" i="1"/>
  <c r="CA319" i="1"/>
  <c r="DK257" i="1"/>
  <c r="DM197" i="1"/>
  <c r="DJ197" i="1"/>
  <c r="CA205" i="1"/>
  <c r="DJ283" i="1"/>
  <c r="DK283" i="1"/>
  <c r="DM283" i="1"/>
  <c r="BZ268" i="1"/>
  <c r="CN204" i="1"/>
  <c r="BR185" i="1"/>
  <c r="AK347" i="1"/>
  <c r="AI347" i="1"/>
  <c r="DI260" i="1"/>
  <c r="CO197" i="1"/>
  <c r="CA216" i="1"/>
  <c r="BZ227" i="1"/>
  <c r="CA275" i="1"/>
  <c r="DM250" i="1"/>
  <c r="DK250" i="1"/>
  <c r="DL250" i="1"/>
  <c r="BZ199" i="1"/>
  <c r="BZ255" i="1"/>
  <c r="BS255" i="1"/>
  <c r="CO316" i="1"/>
  <c r="CA316" i="1"/>
  <c r="BT316" i="1"/>
  <c r="CG266" i="1"/>
  <c r="CN266" i="1"/>
  <c r="BZ266" i="1"/>
  <c r="BS266" i="1"/>
  <c r="DJ237" i="1"/>
  <c r="DM237" i="1"/>
  <c r="DJ209" i="1"/>
  <c r="DI265" i="1"/>
  <c r="DM244" i="1"/>
  <c r="CG267" i="1"/>
  <c r="BY196" i="1"/>
  <c r="CM196" i="1"/>
  <c r="BR196" i="1"/>
  <c r="DK292" i="1"/>
  <c r="DJ292" i="1"/>
  <c r="DL292" i="1"/>
  <c r="DM292" i="1"/>
  <c r="DJ279" i="1"/>
  <c r="DL279" i="1"/>
  <c r="DM279" i="1"/>
  <c r="AI348" i="1"/>
  <c r="AK348" i="1"/>
  <c r="CH216" i="1"/>
  <c r="AQ206" i="1"/>
  <c r="AS206" i="1"/>
  <c r="AQ62" i="1"/>
  <c r="AT62" i="1" s="1"/>
  <c r="AU62" i="1" s="1"/>
  <c r="CA62" i="1" s="1"/>
  <c r="AS62" i="1"/>
  <c r="CH180" i="1"/>
  <c r="BT220" i="1"/>
  <c r="CO220" i="1"/>
  <c r="CH220" i="1"/>
  <c r="BS243" i="1"/>
  <c r="CG243" i="1"/>
  <c r="BZ223" i="1"/>
  <c r="CG223" i="1"/>
  <c r="CN223" i="1"/>
  <c r="BZ250" i="1"/>
  <c r="CN250" i="1"/>
  <c r="CG250" i="1"/>
  <c r="BT237" i="1"/>
  <c r="CO237" i="1"/>
  <c r="CH237" i="1"/>
  <c r="CA237" i="1"/>
  <c r="AN248" i="1"/>
  <c r="BR248" i="1"/>
  <c r="DJ248" i="1" s="1"/>
  <c r="CF248" i="1"/>
  <c r="DL248" i="1" s="1"/>
  <c r="CM248" i="1"/>
  <c r="DM248" i="1" s="1"/>
  <c r="BY248" i="1"/>
  <c r="DK248" i="1" s="1"/>
  <c r="BY323" i="1"/>
  <c r="DK323" i="1" s="1"/>
  <c r="CM323" i="1"/>
  <c r="DM323" i="1" s="1"/>
  <c r="AN331" i="1"/>
  <c r="CF331" i="1"/>
  <c r="DL331" i="1" s="1"/>
  <c r="BY331" i="1"/>
  <c r="DK331" i="1" s="1"/>
  <c r="AN193" i="1"/>
  <c r="AX237" i="1"/>
  <c r="AP212" i="1"/>
  <c r="DM16" i="1"/>
  <c r="CA215" i="1"/>
  <c r="BT215" i="1"/>
  <c r="CH215" i="1"/>
  <c r="CO236" i="1"/>
  <c r="CH236" i="1"/>
  <c r="CA236" i="1"/>
  <c r="CN256" i="1"/>
  <c r="BS256" i="1"/>
  <c r="BZ256" i="1"/>
  <c r="CG256" i="1"/>
  <c r="BT235" i="1"/>
  <c r="CH235" i="1"/>
  <c r="BT240" i="1"/>
  <c r="CH240" i="1"/>
  <c r="CO240" i="1"/>
  <c r="BS236" i="1"/>
  <c r="CN236" i="1"/>
  <c r="CG236" i="1"/>
  <c r="BZ236" i="1"/>
  <c r="CG350" i="1"/>
  <c r="BZ350" i="1"/>
  <c r="BS350" i="1"/>
  <c r="CG257" i="1"/>
  <c r="CN257" i="1"/>
  <c r="BR189" i="1"/>
  <c r="BY189" i="1"/>
  <c r="CM189" i="1"/>
  <c r="CF189" i="1"/>
  <c r="CN251" i="1"/>
  <c r="BS251" i="1"/>
  <c r="CN246" i="1"/>
  <c r="BZ246" i="1"/>
  <c r="DI33" i="1"/>
  <c r="CF340" i="1"/>
  <c r="DL340" i="1" s="1"/>
  <c r="CM340" i="1"/>
  <c r="DM340" i="1" s="1"/>
  <c r="BR209" i="1"/>
  <c r="CM209" i="1"/>
  <c r="CF209" i="1"/>
  <c r="BY209" i="1"/>
  <c r="DK209" i="1" s="1"/>
  <c r="AS83" i="1"/>
  <c r="BZ180" i="1"/>
  <c r="BS180" i="1"/>
  <c r="CN180" i="1"/>
  <c r="CG180" i="1"/>
  <c r="CN234" i="1"/>
  <c r="BZ234" i="1"/>
  <c r="BY339" i="1"/>
  <c r="DK339" i="1" s="1"/>
  <c r="CF339" i="1"/>
  <c r="DL339" i="1" s="1"/>
  <c r="BR339" i="1"/>
  <c r="DJ339" i="1" s="1"/>
  <c r="CM339" i="1"/>
  <c r="DM339" i="1" s="1"/>
  <c r="BZ238" i="1"/>
  <c r="BS238" i="1"/>
  <c r="CM257" i="1"/>
  <c r="DM257" i="1" s="1"/>
  <c r="AB353" i="1"/>
  <c r="Z353" i="1"/>
  <c r="CN243" i="1"/>
  <c r="BZ334" i="1"/>
  <c r="BS193" i="1"/>
  <c r="DI202" i="1"/>
  <c r="CA220" i="1"/>
  <c r="AI178" i="1"/>
  <c r="AK178" i="1"/>
  <c r="CO264" i="1"/>
  <c r="AI330" i="1"/>
  <c r="AK330" i="1"/>
  <c r="CO267" i="1"/>
  <c r="CH257" i="1"/>
  <c r="BS267" i="1"/>
  <c r="AQ352" i="1"/>
  <c r="AS352" i="1"/>
  <c r="BR228" i="1"/>
  <c r="DJ228" i="1" s="1"/>
  <c r="BS248" i="1"/>
  <c r="CM236" i="1"/>
  <c r="DM236" i="1" s="1"/>
  <c r="CF322" i="1"/>
  <c r="DL322" i="1" s="1"/>
  <c r="DL255" i="1"/>
  <c r="DM255" i="1"/>
  <c r="DK255" i="1"/>
  <c r="AQ181" i="1"/>
  <c r="AS181" i="1"/>
  <c r="DI242" i="1"/>
  <c r="AB28" i="1"/>
  <c r="Z28" i="1"/>
  <c r="Z330" i="1"/>
  <c r="AC330" i="1" s="1"/>
  <c r="AD330" i="1" s="1"/>
  <c r="AB330" i="1"/>
  <c r="DI212" i="1"/>
  <c r="DI230" i="1"/>
  <c r="AI351" i="1"/>
  <c r="AK351" i="1"/>
  <c r="AK321" i="1"/>
  <c r="AI321" i="1"/>
  <c r="AB203" i="1"/>
  <c r="Z203" i="1"/>
  <c r="AB349" i="1"/>
  <c r="Z349" i="1"/>
  <c r="Z346" i="1"/>
  <c r="AC346" i="1" s="1"/>
  <c r="AD346" i="1" s="1"/>
  <c r="AB346" i="1"/>
  <c r="DI253" i="1"/>
  <c r="Z295" i="1"/>
  <c r="AB295" i="1"/>
  <c r="DI293" i="1"/>
  <c r="BS228" i="1"/>
  <c r="AS330" i="1"/>
  <c r="AQ330" i="1"/>
  <c r="DK252" i="1"/>
  <c r="DM252" i="1"/>
  <c r="DJ252" i="1"/>
  <c r="DI351" i="1"/>
  <c r="AQ203" i="1"/>
  <c r="AS203" i="1"/>
  <c r="AI349" i="1"/>
  <c r="AK349" i="1"/>
  <c r="DL247" i="1"/>
  <c r="DK247" i="1"/>
  <c r="AI346" i="1"/>
  <c r="AK346" i="1"/>
  <c r="AI295" i="1"/>
  <c r="AK295" i="1"/>
  <c r="Z338" i="1"/>
  <c r="AB338" i="1"/>
  <c r="AQ347" i="1"/>
  <c r="AS347" i="1"/>
  <c r="DJ246" i="1"/>
  <c r="AI202" i="1"/>
  <c r="AL202" i="1" s="1"/>
  <c r="AM202" i="1" s="1"/>
  <c r="AK202" i="1"/>
  <c r="Z207" i="1"/>
  <c r="AC207" i="1" s="1"/>
  <c r="AD207" i="1" s="1"/>
  <c r="AB207" i="1"/>
  <c r="DJ249" i="1"/>
  <c r="DL249" i="1"/>
  <c r="DM249" i="1"/>
  <c r="DI239" i="1"/>
  <c r="AK62" i="1"/>
  <c r="AI62" i="1"/>
  <c r="AB352" i="1"/>
  <c r="Z352" i="1"/>
  <c r="DI189" i="1"/>
  <c r="Z342" i="1"/>
  <c r="AB342" i="1"/>
  <c r="AQ187" i="1"/>
  <c r="AS187" i="1"/>
  <c r="DJ245" i="1"/>
  <c r="DK245" i="1"/>
  <c r="DM245" i="1"/>
  <c r="AQ317" i="1"/>
  <c r="AS317" i="1"/>
  <c r="AQ338" i="1"/>
  <c r="AS338" i="1"/>
  <c r="AK317" i="1"/>
  <c r="AI317" i="1"/>
  <c r="DL180" i="1"/>
  <c r="DM180" i="1"/>
  <c r="CG2" i="1"/>
  <c r="BZ2" i="1"/>
  <c r="AG2" i="1"/>
  <c r="AE2" i="1"/>
  <c r="AI338" i="1"/>
  <c r="AK338" i="1"/>
  <c r="AK344" i="1"/>
  <c r="AI344" i="1"/>
  <c r="Z336" i="1"/>
  <c r="AB336" i="1"/>
  <c r="AI352" i="1"/>
  <c r="AK352" i="1"/>
  <c r="Z187" i="1"/>
  <c r="AB187" i="1"/>
  <c r="Z317" i="1"/>
  <c r="AB317" i="1"/>
  <c r="AQ344" i="1"/>
  <c r="AS344" i="1"/>
  <c r="DJ198" i="1"/>
  <c r="DM198" i="1"/>
  <c r="DK198" i="1"/>
  <c r="DL198" i="1"/>
  <c r="AK36" i="1"/>
  <c r="AI36" i="1"/>
  <c r="AI191" i="1"/>
  <c r="AL191" i="1" s="1"/>
  <c r="AM191" i="1" s="1"/>
  <c r="AK191" i="1"/>
  <c r="AB325" i="1"/>
  <c r="Z325" i="1"/>
  <c r="DI320" i="1"/>
  <c r="AS336" i="1"/>
  <c r="AQ336" i="1"/>
  <c r="AS324" i="1"/>
  <c r="AQ324" i="1"/>
  <c r="AQ183" i="1"/>
  <c r="AS183" i="1"/>
  <c r="DK241" i="1"/>
  <c r="CG199" i="1"/>
  <c r="BS199" i="1"/>
  <c r="AB344" i="1"/>
  <c r="Z344" i="1"/>
  <c r="AK195" i="1"/>
  <c r="AI195" i="1"/>
  <c r="AB186" i="1"/>
  <c r="Z186" i="1"/>
  <c r="AS191" i="1"/>
  <c r="AQ191" i="1"/>
  <c r="AS325" i="1"/>
  <c r="AQ325" i="1"/>
  <c r="AI336" i="1"/>
  <c r="AK336" i="1"/>
  <c r="AL336" i="1" s="1"/>
  <c r="AM336" i="1" s="1"/>
  <c r="AI324" i="1"/>
  <c r="AK324" i="1"/>
  <c r="Z183" i="1"/>
  <c r="AB183" i="1"/>
  <c r="AI194" i="1"/>
  <c r="AK194" i="1"/>
  <c r="Z195" i="1"/>
  <c r="AB195" i="1"/>
  <c r="AS194" i="1"/>
  <c r="AQ194" i="1"/>
  <c r="AQ195" i="1"/>
  <c r="AS195" i="1"/>
  <c r="BS29" i="1"/>
  <c r="BZ29" i="1"/>
  <c r="AG29" i="1"/>
  <c r="Z178" i="1"/>
  <c r="AC178" i="1" s="1"/>
  <c r="AD178" i="1" s="1"/>
  <c r="AB178" i="1"/>
  <c r="AI186" i="1"/>
  <c r="AK186" i="1"/>
  <c r="DI324" i="1"/>
  <c r="AQ348" i="1"/>
  <c r="AS348" i="1"/>
  <c r="AK206" i="1"/>
  <c r="AI206" i="1"/>
  <c r="AL206" i="1" s="1"/>
  <c r="AM206" i="1" s="1"/>
  <c r="DK196" i="1"/>
  <c r="DL196" i="1"/>
  <c r="DJ196" i="1"/>
  <c r="DM196" i="1"/>
  <c r="AB194" i="1"/>
  <c r="Z194" i="1"/>
  <c r="BY2" i="1"/>
  <c r="DK2" i="1" s="1"/>
  <c r="AP2" i="1"/>
  <c r="CM2" i="1"/>
  <c r="DM2" i="1" s="1"/>
  <c r="CF2" i="1"/>
  <c r="DL2" i="1" s="1"/>
  <c r="AG199" i="1"/>
  <c r="AE199" i="1"/>
  <c r="AS351" i="1"/>
  <c r="AQ351" i="1"/>
  <c r="AT351" i="1" s="1"/>
  <c r="AU351" i="1" s="1"/>
  <c r="AX351" i="1" s="1"/>
  <c r="DK326" i="1"/>
  <c r="DL326" i="1"/>
  <c r="DM326" i="1"/>
  <c r="AQ321" i="1"/>
  <c r="AS321" i="1"/>
  <c r="AS349" i="1"/>
  <c r="AQ349" i="1"/>
  <c r="AQ295" i="1"/>
  <c r="AS295" i="1"/>
  <c r="DM190" i="1"/>
  <c r="DK190" i="1"/>
  <c r="DJ190" i="1"/>
  <c r="DL190" i="1"/>
  <c r="AL220" i="1"/>
  <c r="AM220" i="1" s="1"/>
  <c r="AC43" i="1"/>
  <c r="AD43" i="1" s="1"/>
  <c r="AT290" i="1"/>
  <c r="AU290" i="1" s="1"/>
  <c r="AC225" i="1"/>
  <c r="AD225" i="1" s="1"/>
  <c r="AG225" i="1" s="1"/>
  <c r="AT322" i="1"/>
  <c r="AU322" i="1" s="1"/>
  <c r="AL318" i="1"/>
  <c r="AM318" i="1" s="1"/>
  <c r="AC315" i="1"/>
  <c r="AD315" i="1" s="1"/>
  <c r="AL327" i="1"/>
  <c r="AM327" i="1" s="1"/>
  <c r="AT95" i="1"/>
  <c r="AU95" i="1" s="1"/>
  <c r="AL297" i="1"/>
  <c r="AM297" i="1" s="1"/>
  <c r="AP297" i="1" s="1"/>
  <c r="AL222" i="1"/>
  <c r="AM222" i="1" s="1"/>
  <c r="AT22" i="1"/>
  <c r="AU22" i="1" s="1"/>
  <c r="AT69" i="1"/>
  <c r="AU69" i="1" s="1"/>
  <c r="AL44" i="1"/>
  <c r="AM44" i="1" s="1"/>
  <c r="AL284" i="1"/>
  <c r="AM284" i="1" s="1"/>
  <c r="AL7" i="1"/>
  <c r="AM7" i="1" s="1"/>
  <c r="AP7" i="1" s="1"/>
  <c r="AL258" i="1"/>
  <c r="AM258" i="1" s="1"/>
  <c r="AT18" i="1"/>
  <c r="AU18" i="1" s="1"/>
  <c r="AE238" i="1"/>
  <c r="AG238" i="1"/>
  <c r="BZ53" i="1"/>
  <c r="CG53" i="1"/>
  <c r="BS53" i="1"/>
  <c r="AT301" i="1"/>
  <c r="AU301" i="1" s="1"/>
  <c r="AT311" i="1"/>
  <c r="AU311" i="1" s="1"/>
  <c r="AC329" i="1"/>
  <c r="AD329" i="1" s="1"/>
  <c r="AE329" i="1" s="1"/>
  <c r="AL350" i="1"/>
  <c r="AM350" i="1" s="1"/>
  <c r="AL280" i="1"/>
  <c r="AM280" i="1" s="1"/>
  <c r="AN280" i="1" s="1"/>
  <c r="AL300" i="1"/>
  <c r="AM300" i="1" s="1"/>
  <c r="AC327" i="1"/>
  <c r="AD327" i="1" s="1"/>
  <c r="AL42" i="1"/>
  <c r="AM42" i="1" s="1"/>
  <c r="BR42" i="1" s="1"/>
  <c r="DJ42" i="1" s="1"/>
  <c r="AT32" i="1"/>
  <c r="AU32" i="1" s="1"/>
  <c r="AL304" i="1"/>
  <c r="AM304" i="1" s="1"/>
  <c r="AL278" i="1"/>
  <c r="AM278" i="1" s="1"/>
  <c r="AP278" i="1" s="1"/>
  <c r="AC281" i="1"/>
  <c r="AD281" i="1" s="1"/>
  <c r="AE281" i="1" s="1"/>
  <c r="AC313" i="1"/>
  <c r="AD313" i="1" s="1"/>
  <c r="AC273" i="1"/>
  <c r="AD273" i="1" s="1"/>
  <c r="AL263" i="1"/>
  <c r="AM263" i="1" s="1"/>
  <c r="AC293" i="1"/>
  <c r="AD293" i="1" s="1"/>
  <c r="AE293" i="1" s="1"/>
  <c r="AL333" i="1"/>
  <c r="AM333" i="1" s="1"/>
  <c r="AC343" i="1"/>
  <c r="AD343" i="1" s="1"/>
  <c r="AC294" i="1"/>
  <c r="AD294" i="1" s="1"/>
  <c r="AL261" i="1"/>
  <c r="AM261" i="1" s="1"/>
  <c r="AT241" i="1"/>
  <c r="AU241" i="1" s="1"/>
  <c r="AT327" i="1"/>
  <c r="AU327" i="1" s="1"/>
  <c r="AX327" i="1" s="1"/>
  <c r="AL251" i="1"/>
  <c r="AM251" i="1" s="1"/>
  <c r="AP251" i="1" s="1"/>
  <c r="AT225" i="1"/>
  <c r="AU225" i="1" s="1"/>
  <c r="AT281" i="1"/>
  <c r="AU281" i="1" s="1"/>
  <c r="AT307" i="1"/>
  <c r="AU307" i="1" s="1"/>
  <c r="AX307" i="1" s="1"/>
  <c r="AC37" i="1"/>
  <c r="AD37" i="1" s="1"/>
  <c r="AG37" i="1" s="1"/>
  <c r="AL210" i="1"/>
  <c r="AM210" i="1" s="1"/>
  <c r="AC103" i="1"/>
  <c r="AD103" i="1" s="1"/>
  <c r="CG103" i="1" s="1"/>
  <c r="AC291" i="1"/>
  <c r="AD291" i="1" s="1"/>
  <c r="AC14" i="1"/>
  <c r="AD14" i="1" s="1"/>
  <c r="CG14" i="1" s="1"/>
  <c r="AL256" i="1"/>
  <c r="AM256" i="1" s="1"/>
  <c r="AP256" i="1" s="1"/>
  <c r="AL233" i="1"/>
  <c r="AM233" i="1" s="1"/>
  <c r="AL230" i="1"/>
  <c r="AM230" i="1" s="1"/>
  <c r="AT304" i="1"/>
  <c r="AU304" i="1" s="1"/>
  <c r="AV304" i="1" s="1"/>
  <c r="AL281" i="1"/>
  <c r="AM281" i="1" s="1"/>
  <c r="AC17" i="1"/>
  <c r="AD17" i="1" s="1"/>
  <c r="AC262" i="1"/>
  <c r="AD262" i="1" s="1"/>
  <c r="AG262" i="1" s="1"/>
  <c r="AC211" i="1"/>
  <c r="AD211" i="1" s="1"/>
  <c r="AE211" i="1" s="1"/>
  <c r="AC292" i="1"/>
  <c r="AD292" i="1" s="1"/>
  <c r="AL219" i="1"/>
  <c r="AM219" i="1" s="1"/>
  <c r="AN219" i="1" s="1"/>
  <c r="AC271" i="1"/>
  <c r="AD271" i="1" s="1"/>
  <c r="AG271" i="1" s="1"/>
  <c r="AL34" i="1"/>
  <c r="AM34" i="1" s="1"/>
  <c r="AL272" i="1"/>
  <c r="AM272" i="1" s="1"/>
  <c r="AP272" i="1" s="1"/>
  <c r="AL227" i="1"/>
  <c r="AM227" i="1" s="1"/>
  <c r="AP227" i="1" s="1"/>
  <c r="AC288" i="1"/>
  <c r="AD288" i="1" s="1"/>
  <c r="AG288" i="1" s="1"/>
  <c r="AT302" i="1"/>
  <c r="AU302" i="1" s="1"/>
  <c r="AX302" i="1" s="1"/>
  <c r="AC337" i="1"/>
  <c r="AD337" i="1" s="1"/>
  <c r="AC62" i="1"/>
  <c r="AD62" i="1" s="1"/>
  <c r="AE62" i="1" s="1"/>
  <c r="AT23" i="1"/>
  <c r="AU23" i="1" s="1"/>
  <c r="AV23" i="1" s="1"/>
  <c r="AL238" i="1"/>
  <c r="AM238" i="1" s="1"/>
  <c r="AT251" i="1"/>
  <c r="AU251" i="1" s="1"/>
  <c r="AL232" i="1"/>
  <c r="AM232" i="1" s="1"/>
  <c r="AL312" i="1"/>
  <c r="AM312" i="1" s="1"/>
  <c r="AT298" i="1"/>
  <c r="AU298" i="1" s="1"/>
  <c r="AT263" i="1"/>
  <c r="AU263" i="1" s="1"/>
  <c r="AC331" i="1"/>
  <c r="AD331" i="1" s="1"/>
  <c r="AT299" i="1"/>
  <c r="AU299" i="1" s="1"/>
  <c r="AX190" i="1"/>
  <c r="AV190" i="1"/>
  <c r="AV319" i="1"/>
  <c r="AX319" i="1"/>
  <c r="AT9" i="1"/>
  <c r="AU9" i="1" s="1"/>
  <c r="CH9" i="1" s="1"/>
  <c r="AT35" i="1"/>
  <c r="AU35" i="1" s="1"/>
  <c r="AV35" i="1" s="1"/>
  <c r="AT326" i="1"/>
  <c r="AU326" i="1" s="1"/>
  <c r="AC71" i="1"/>
  <c r="AD71" i="1" s="1"/>
  <c r="CG71" i="1" s="1"/>
  <c r="AL260" i="1"/>
  <c r="AM260" i="1" s="1"/>
  <c r="AL8" i="1"/>
  <c r="AM8" i="1" s="1"/>
  <c r="BY8" i="1" s="1"/>
  <c r="DK8" i="1" s="1"/>
  <c r="AC326" i="1"/>
  <c r="AD326" i="1" s="1"/>
  <c r="AL243" i="1"/>
  <c r="AM243" i="1" s="1"/>
  <c r="AC219" i="1"/>
  <c r="AD219" i="1" s="1"/>
  <c r="AG219" i="1" s="1"/>
  <c r="AL307" i="1"/>
  <c r="AM307" i="1" s="1"/>
  <c r="AT13" i="1"/>
  <c r="AU13" i="1" s="1"/>
  <c r="AT320" i="1"/>
  <c r="AU320" i="1" s="1"/>
  <c r="AT289" i="1"/>
  <c r="AU289" i="1" s="1"/>
  <c r="AV289" i="1" s="1"/>
  <c r="AT288" i="1"/>
  <c r="AU288" i="1" s="1"/>
  <c r="AT272" i="1"/>
  <c r="AU272" i="1" s="1"/>
  <c r="AT51" i="1"/>
  <c r="AU51" i="1" s="1"/>
  <c r="AC286" i="1"/>
  <c r="AD286" i="1" s="1"/>
  <c r="AL313" i="1"/>
  <c r="AM313" i="1" s="1"/>
  <c r="AL103" i="1"/>
  <c r="AM103" i="1" s="1"/>
  <c r="AV198" i="1"/>
  <c r="AX198" i="1"/>
  <c r="AX58" i="1"/>
  <c r="BT58" i="1"/>
  <c r="AV58" i="1"/>
  <c r="CH58" i="1"/>
  <c r="AX246" i="1"/>
  <c r="AV246" i="1"/>
  <c r="AT273" i="1"/>
  <c r="AU273" i="1" s="1"/>
  <c r="AC278" i="1"/>
  <c r="AD278" i="1" s="1"/>
  <c r="AC299" i="1"/>
  <c r="AD299" i="1" s="1"/>
  <c r="AC18" i="1"/>
  <c r="AD18" i="1" s="1"/>
  <c r="AE18" i="1" s="1"/>
  <c r="AT46" i="1"/>
  <c r="AU46" i="1" s="1"/>
  <c r="AT39" i="1"/>
  <c r="AU39" i="1" s="1"/>
  <c r="CO39" i="1" s="1"/>
  <c r="AT265" i="1"/>
  <c r="AU265" i="1" s="1"/>
  <c r="AC233" i="1"/>
  <c r="AD233" i="1" s="1"/>
  <c r="AL49" i="1"/>
  <c r="AM49" i="1" s="1"/>
  <c r="AP49" i="1" s="1"/>
  <c r="AC309" i="1"/>
  <c r="AD309" i="1" s="1"/>
  <c r="AE309" i="1" s="1"/>
  <c r="AL5" i="1"/>
  <c r="AM5" i="1" s="1"/>
  <c r="AG322" i="1"/>
  <c r="AE322" i="1"/>
  <c r="AC277" i="1"/>
  <c r="AD277" i="1" s="1"/>
  <c r="AL277" i="1"/>
  <c r="AM277" i="1" s="1"/>
  <c r="AP277" i="1" s="1"/>
  <c r="AC276" i="1"/>
  <c r="AD276" i="1" s="1"/>
  <c r="AG276" i="1" s="1"/>
  <c r="AT276" i="1"/>
  <c r="AU276" i="1" s="1"/>
  <c r="AX276" i="1" s="1"/>
  <c r="AC275" i="1"/>
  <c r="AD275" i="1" s="1"/>
  <c r="AG275" i="1" s="1"/>
  <c r="AC274" i="1"/>
  <c r="AD274" i="1" s="1"/>
  <c r="AG274" i="1" s="1"/>
  <c r="AP14" i="1"/>
  <c r="AN14" i="1"/>
  <c r="BY14" i="1"/>
  <c r="DK14" i="1" s="1"/>
  <c r="CF14" i="1"/>
  <c r="DL14" i="1" s="1"/>
  <c r="CM14" i="1"/>
  <c r="DM14" i="1" s="1"/>
  <c r="BR14" i="1"/>
  <c r="DJ14" i="1" s="1"/>
  <c r="AL271" i="1"/>
  <c r="AM271" i="1" s="1"/>
  <c r="AC290" i="1"/>
  <c r="AD290" i="1" s="1"/>
  <c r="AT270" i="1"/>
  <c r="AU270" i="1" s="1"/>
  <c r="AX270" i="1" s="1"/>
  <c r="AL67" i="1"/>
  <c r="AM67" i="1" s="1"/>
  <c r="AN67" i="1" s="1"/>
  <c r="AC289" i="1"/>
  <c r="AD289" i="1" s="1"/>
  <c r="AC285" i="1"/>
  <c r="AD285" i="1" s="1"/>
  <c r="AC260" i="1"/>
  <c r="AD260" i="1" s="1"/>
  <c r="AC210" i="1"/>
  <c r="AD210" i="1" s="1"/>
  <c r="AT254" i="1"/>
  <c r="AU254" i="1" s="1"/>
  <c r="AL334" i="1"/>
  <c r="AM334" i="1" s="1"/>
  <c r="AC297" i="1"/>
  <c r="AD297" i="1" s="1"/>
  <c r="DK23" i="1"/>
  <c r="AT7" i="1"/>
  <c r="AU7" i="1" s="1"/>
  <c r="BT7" i="1" s="1"/>
  <c r="AB96" i="1"/>
  <c r="Z96" i="1"/>
  <c r="Z155" i="1"/>
  <c r="AB155" i="1"/>
  <c r="AB156" i="1"/>
  <c r="Z156" i="1"/>
  <c r="AQ161" i="1"/>
  <c r="AS161" i="1"/>
  <c r="AB166" i="1"/>
  <c r="Z166" i="1"/>
  <c r="AN188" i="1"/>
  <c r="AP188" i="1"/>
  <c r="Z170" i="1"/>
  <c r="AB170" i="1"/>
  <c r="AI162" i="1"/>
  <c r="AK162" i="1"/>
  <c r="AI109" i="1"/>
  <c r="AK109" i="1"/>
  <c r="AS79" i="1"/>
  <c r="AQ79" i="1"/>
  <c r="AK102" i="1"/>
  <c r="AI102" i="1"/>
  <c r="Z148" i="1"/>
  <c r="AB148" i="1"/>
  <c r="AK87" i="1"/>
  <c r="AI87" i="1"/>
  <c r="AB122" i="1"/>
  <c r="Z122" i="1"/>
  <c r="AQ92" i="1"/>
  <c r="AS92" i="1"/>
  <c r="AP257" i="1"/>
  <c r="AN257" i="1"/>
  <c r="CG95" i="1"/>
  <c r="BZ95" i="1"/>
  <c r="CF21" i="1"/>
  <c r="DL21" i="1" s="1"/>
  <c r="AP21" i="1"/>
  <c r="BR21" i="1"/>
  <c r="DJ21" i="1" s="1"/>
  <c r="BY21" i="1"/>
  <c r="DK21" i="1" s="1"/>
  <c r="CM21" i="1"/>
  <c r="DM21" i="1" s="1"/>
  <c r="AN21" i="1"/>
  <c r="AX204" i="1"/>
  <c r="AV204" i="1"/>
  <c r="Z110" i="1"/>
  <c r="AB110" i="1"/>
  <c r="AB116" i="1"/>
  <c r="Z116" i="1"/>
  <c r="AS177" i="1"/>
  <c r="AQ177" i="1"/>
  <c r="AS90" i="1"/>
  <c r="AQ90" i="1"/>
  <c r="AK134" i="1"/>
  <c r="AI134" i="1"/>
  <c r="AK111" i="1"/>
  <c r="AI111" i="1"/>
  <c r="AQ117" i="1"/>
  <c r="AS117" i="1"/>
  <c r="AK93" i="1"/>
  <c r="AI93" i="1"/>
  <c r="AQ38" i="1"/>
  <c r="AS38" i="1"/>
  <c r="AI76" i="1"/>
  <c r="AK76" i="1"/>
  <c r="AS150" i="1"/>
  <c r="AQ150" i="1"/>
  <c r="Z152" i="1"/>
  <c r="AB152" i="1"/>
  <c r="AQ84" i="1"/>
  <c r="AS84" i="1"/>
  <c r="AB132" i="1"/>
  <c r="Z132" i="1"/>
  <c r="AQ171" i="1"/>
  <c r="AS171" i="1"/>
  <c r="AK94" i="1"/>
  <c r="AI94" i="1"/>
  <c r="Z164" i="1"/>
  <c r="AB164" i="1"/>
  <c r="AK89" i="1"/>
  <c r="AI89" i="1"/>
  <c r="AI115" i="1"/>
  <c r="AK115" i="1"/>
  <c r="AK133" i="1"/>
  <c r="AI133" i="1"/>
  <c r="DI4" i="1"/>
  <c r="AK86" i="1"/>
  <c r="AI86" i="1"/>
  <c r="AI160" i="1"/>
  <c r="AK160" i="1"/>
  <c r="AI77" i="1"/>
  <c r="AK77" i="1"/>
  <c r="AQ100" i="1"/>
  <c r="AS100" i="1"/>
  <c r="AS129" i="1"/>
  <c r="AQ129" i="1"/>
  <c r="AS158" i="1"/>
  <c r="AQ158" i="1"/>
  <c r="AC328" i="1"/>
  <c r="AD328" i="1" s="1"/>
  <c r="AN236" i="1"/>
  <c r="AP236" i="1"/>
  <c r="AI145" i="1"/>
  <c r="AK145" i="1"/>
  <c r="AL182" i="1"/>
  <c r="AM182" i="1" s="1"/>
  <c r="AI159" i="1"/>
  <c r="AK159" i="1"/>
  <c r="AK157" i="1"/>
  <c r="AI157" i="1"/>
  <c r="Z118" i="1"/>
  <c r="AB118" i="1"/>
  <c r="AB121" i="1"/>
  <c r="Z121" i="1"/>
  <c r="AK83" i="1"/>
  <c r="AI83" i="1"/>
  <c r="AB113" i="1"/>
  <c r="Z113" i="1"/>
  <c r="AS72" i="1"/>
  <c r="AQ72" i="1"/>
  <c r="AQ131" i="1"/>
  <c r="AS131" i="1"/>
  <c r="AQ120" i="1"/>
  <c r="AS120" i="1"/>
  <c r="AS3" i="1"/>
  <c r="AQ3" i="1"/>
  <c r="AK99" i="1"/>
  <c r="AI99" i="1"/>
  <c r="AI106" i="1"/>
  <c r="AK106" i="1"/>
  <c r="AI9" i="1"/>
  <c r="AK9" i="1"/>
  <c r="AB151" i="1"/>
  <c r="Z151" i="1"/>
  <c r="Z112" i="1"/>
  <c r="AB112" i="1"/>
  <c r="AS60" i="1"/>
  <c r="AQ60" i="1"/>
  <c r="Z75" i="1"/>
  <c r="AB75" i="1"/>
  <c r="AQ88" i="1"/>
  <c r="AS88" i="1"/>
  <c r="AI173" i="1"/>
  <c r="AK173" i="1"/>
  <c r="AS107" i="1"/>
  <c r="AQ107" i="1"/>
  <c r="Z126" i="1"/>
  <c r="AB126" i="1"/>
  <c r="AS143" i="1"/>
  <c r="AQ143" i="1"/>
  <c r="AK80" i="1"/>
  <c r="AI80" i="1"/>
  <c r="AI98" i="1"/>
  <c r="AK98" i="1"/>
  <c r="Z97" i="1"/>
  <c r="AB97" i="1"/>
  <c r="AC5" i="1"/>
  <c r="AD5" i="1" s="1"/>
  <c r="AB130" i="1"/>
  <c r="Z130" i="1"/>
  <c r="AK104" i="1"/>
  <c r="AI104" i="1"/>
  <c r="AI168" i="1"/>
  <c r="AK168" i="1"/>
  <c r="Z78" i="1"/>
  <c r="AB78" i="1"/>
  <c r="Z140" i="1"/>
  <c r="AB140" i="1"/>
  <c r="AI139" i="1"/>
  <c r="AK139" i="1"/>
  <c r="AB149" i="1"/>
  <c r="Z149" i="1"/>
  <c r="Z165" i="1"/>
  <c r="AB165" i="1"/>
  <c r="AI108" i="1"/>
  <c r="AK108" i="1"/>
  <c r="AS127" i="1"/>
  <c r="AQ127" i="1"/>
  <c r="AK141" i="1"/>
  <c r="AI141" i="1"/>
  <c r="AK56" i="1"/>
  <c r="AI56" i="1"/>
  <c r="AI52" i="1"/>
  <c r="AK52" i="1"/>
  <c r="AK85" i="1"/>
  <c r="AI85" i="1"/>
  <c r="AQ96" i="1"/>
  <c r="AS96" i="1"/>
  <c r="AK155" i="1"/>
  <c r="AI155" i="1"/>
  <c r="AI156" i="1"/>
  <c r="AK156" i="1"/>
  <c r="AK161" i="1"/>
  <c r="AI161" i="1"/>
  <c r="AE209" i="1"/>
  <c r="AG209" i="1"/>
  <c r="AQ170" i="1"/>
  <c r="AS170" i="1"/>
  <c r="Z162" i="1"/>
  <c r="AB162" i="1"/>
  <c r="AQ175" i="1"/>
  <c r="AS175" i="1"/>
  <c r="AS167" i="1"/>
  <c r="AQ167" i="1"/>
  <c r="AS109" i="1"/>
  <c r="AQ109" i="1"/>
  <c r="AI79" i="1"/>
  <c r="AK79" i="1"/>
  <c r="AB91" i="1"/>
  <c r="Z91" i="1"/>
  <c r="AS119" i="1"/>
  <c r="AQ119" i="1"/>
  <c r="Z102" i="1"/>
  <c r="AB102" i="1"/>
  <c r="AK148" i="1"/>
  <c r="AI148" i="1"/>
  <c r="AS87" i="1"/>
  <c r="AQ87" i="1"/>
  <c r="Z176" i="1"/>
  <c r="AB176" i="1"/>
  <c r="AK92" i="1"/>
  <c r="AI92" i="1"/>
  <c r="Z135" i="1"/>
  <c r="AB135" i="1"/>
  <c r="AQ146" i="1"/>
  <c r="AS146" i="1"/>
  <c r="AP303" i="1"/>
  <c r="AN303" i="1"/>
  <c r="AX250" i="1"/>
  <c r="AV250" i="1"/>
  <c r="AV10" i="1"/>
  <c r="AX10" i="1"/>
  <c r="AB125" i="1"/>
  <c r="Z125" i="1"/>
  <c r="AI110" i="1"/>
  <c r="AK110" i="1"/>
  <c r="AS116" i="1"/>
  <c r="AQ116" i="1"/>
  <c r="AB147" i="1"/>
  <c r="Z147" i="1"/>
  <c r="AQ136" i="1"/>
  <c r="AS136" i="1"/>
  <c r="AI177" i="1"/>
  <c r="AK177" i="1"/>
  <c r="AQ134" i="1"/>
  <c r="AS134" i="1"/>
  <c r="AS137" i="1"/>
  <c r="AQ137" i="1"/>
  <c r="AK128" i="1"/>
  <c r="AI128" i="1"/>
  <c r="AQ153" i="1"/>
  <c r="AS153" i="1"/>
  <c r="Z38" i="1"/>
  <c r="AB38" i="1"/>
  <c r="AB76" i="1"/>
  <c r="Z76" i="1"/>
  <c r="AK150" i="1"/>
  <c r="AI150" i="1"/>
  <c r="AQ152" i="1"/>
  <c r="AS152" i="1"/>
  <c r="AB101" i="1"/>
  <c r="Z101" i="1"/>
  <c r="AS132" i="1"/>
  <c r="AQ132" i="1"/>
  <c r="Z171" i="1"/>
  <c r="AB171" i="1"/>
  <c r="AB94" i="1"/>
  <c r="Z94" i="1"/>
  <c r="AS164" i="1"/>
  <c r="AQ164" i="1"/>
  <c r="AB89" i="1"/>
  <c r="Z89" i="1"/>
  <c r="Z115" i="1"/>
  <c r="AB115" i="1"/>
  <c r="AS133" i="1"/>
  <c r="AQ133" i="1"/>
  <c r="AK4" i="1"/>
  <c r="AI4" i="1"/>
  <c r="Z142" i="1"/>
  <c r="AB142" i="1"/>
  <c r="AQ86" i="1"/>
  <c r="AS86" i="1"/>
  <c r="Z160" i="1"/>
  <c r="AB160" i="1"/>
  <c r="AB81" i="1"/>
  <c r="Z81" i="1"/>
  <c r="AI172" i="1"/>
  <c r="AK172" i="1"/>
  <c r="AI158" i="1"/>
  <c r="AK158" i="1"/>
  <c r="CM53" i="1"/>
  <c r="DM53" i="1" s="1"/>
  <c r="AN53" i="1"/>
  <c r="CF53" i="1"/>
  <c r="AP246" i="1"/>
  <c r="AN246" i="1"/>
  <c r="AX257" i="1"/>
  <c r="AV257" i="1"/>
  <c r="AS159" i="1"/>
  <c r="AQ159" i="1"/>
  <c r="AS157" i="1"/>
  <c r="AQ157" i="1"/>
  <c r="AI118" i="1"/>
  <c r="AK118" i="1"/>
  <c r="AI121" i="1"/>
  <c r="AK121" i="1"/>
  <c r="AT83" i="1"/>
  <c r="AU83" i="1" s="1"/>
  <c r="AB174" i="1"/>
  <c r="Z174" i="1"/>
  <c r="AN253" i="1"/>
  <c r="AP253" i="1"/>
  <c r="AS144" i="1"/>
  <c r="AQ144" i="1"/>
  <c r="AB72" i="1"/>
  <c r="Z72" i="1"/>
  <c r="AB131" i="1"/>
  <c r="Z131" i="1"/>
  <c r="AB120" i="1"/>
  <c r="Z120" i="1"/>
  <c r="Z74" i="1"/>
  <c r="AB74" i="1"/>
  <c r="AK3" i="1"/>
  <c r="AI3" i="1"/>
  <c r="AB99" i="1"/>
  <c r="Z99" i="1"/>
  <c r="AK105" i="1"/>
  <c r="AI105" i="1"/>
  <c r="AQ106" i="1"/>
  <c r="AS106" i="1"/>
  <c r="AQ114" i="1"/>
  <c r="AS114" i="1"/>
  <c r="Z138" i="1"/>
  <c r="AB138" i="1"/>
  <c r="AK112" i="1"/>
  <c r="AI112" i="1"/>
  <c r="AV268" i="1"/>
  <c r="AX268" i="1"/>
  <c r="AK82" i="1"/>
  <c r="AI82" i="1"/>
  <c r="AQ123" i="1"/>
  <c r="AS123" i="1"/>
  <c r="Z124" i="1"/>
  <c r="AB124" i="1"/>
  <c r="AQ173" i="1"/>
  <c r="AS173" i="1"/>
  <c r="AB107" i="1"/>
  <c r="Z107" i="1"/>
  <c r="AS126" i="1"/>
  <c r="AQ126" i="1"/>
  <c r="AP335" i="1"/>
  <c r="AN335" i="1"/>
  <c r="Z80" i="1"/>
  <c r="AB80" i="1"/>
  <c r="AQ154" i="1"/>
  <c r="AS154" i="1"/>
  <c r="AS98" i="1"/>
  <c r="AQ98" i="1"/>
  <c r="AK163" i="1"/>
  <c r="AI163" i="1"/>
  <c r="AQ104" i="1"/>
  <c r="AS104" i="1"/>
  <c r="Z73" i="1"/>
  <c r="AB73" i="1"/>
  <c r="AQ78" i="1"/>
  <c r="AS78" i="1"/>
  <c r="AS140" i="1"/>
  <c r="AQ140" i="1"/>
  <c r="AQ139" i="1"/>
  <c r="AS139" i="1"/>
  <c r="AK149" i="1"/>
  <c r="AI149" i="1"/>
  <c r="Z108" i="1"/>
  <c r="AB108" i="1"/>
  <c r="AB127" i="1"/>
  <c r="Z127" i="1"/>
  <c r="DL71" i="1"/>
  <c r="AC302" i="1"/>
  <c r="AD302" i="1" s="1"/>
  <c r="AG302" i="1" s="1"/>
  <c r="AC59" i="1"/>
  <c r="AD59" i="1" s="1"/>
  <c r="AG59" i="1" s="1"/>
  <c r="AL13" i="1"/>
  <c r="AM13" i="1" s="1"/>
  <c r="AC320" i="1"/>
  <c r="AD320" i="1" s="1"/>
  <c r="AE320" i="1" s="1"/>
  <c r="AT239" i="1"/>
  <c r="AU239" i="1" s="1"/>
  <c r="AV239" i="1" s="1"/>
  <c r="AL286" i="1"/>
  <c r="AM286" i="1" s="1"/>
  <c r="AT303" i="1"/>
  <c r="AU303" i="1" s="1"/>
  <c r="AX303" i="1" s="1"/>
  <c r="AC298" i="1"/>
  <c r="AD298" i="1" s="1"/>
  <c r="AE298" i="1" s="1"/>
  <c r="AL270" i="1"/>
  <c r="AM270" i="1" s="1"/>
  <c r="AP270" i="1" s="1"/>
  <c r="AC280" i="1"/>
  <c r="AD280" i="1" s="1"/>
  <c r="AT227" i="1"/>
  <c r="AU227" i="1" s="1"/>
  <c r="AX227" i="1" s="1"/>
  <c r="AB141" i="1"/>
  <c r="Z141" i="1"/>
  <c r="AQ56" i="1"/>
  <c r="AS56" i="1"/>
  <c r="AS52" i="1"/>
  <c r="AQ52" i="1"/>
  <c r="AQ85" i="1"/>
  <c r="AS85" i="1"/>
  <c r="BS169" i="1"/>
  <c r="AG169" i="1"/>
  <c r="CG169" i="1"/>
  <c r="AE169" i="1"/>
  <c r="BZ169" i="1"/>
  <c r="CN169" i="1"/>
  <c r="AQ156" i="1"/>
  <c r="AS156" i="1"/>
  <c r="AS166" i="1"/>
  <c r="AQ166" i="1"/>
  <c r="AG345" i="1"/>
  <c r="AE345" i="1"/>
  <c r="AK170" i="1"/>
  <c r="AI170" i="1"/>
  <c r="AB175" i="1"/>
  <c r="Z175" i="1"/>
  <c r="AB167" i="1"/>
  <c r="Z167" i="1"/>
  <c r="AK91" i="1"/>
  <c r="AI91" i="1"/>
  <c r="AI119" i="1"/>
  <c r="AK119" i="1"/>
  <c r="AQ102" i="1"/>
  <c r="AS102" i="1"/>
  <c r="AQ148" i="1"/>
  <c r="AS148" i="1"/>
  <c r="Z87" i="1"/>
  <c r="AB87" i="1"/>
  <c r="AQ122" i="1"/>
  <c r="AS122" i="1"/>
  <c r="AK176" i="1"/>
  <c r="AI176" i="1"/>
  <c r="Z92" i="1"/>
  <c r="AB92" i="1"/>
  <c r="AI135" i="1"/>
  <c r="AK135" i="1"/>
  <c r="AI146" i="1"/>
  <c r="AK146" i="1"/>
  <c r="AN201" i="1"/>
  <c r="AP201" i="1"/>
  <c r="BY46" i="1"/>
  <c r="DK46" i="1" s="1"/>
  <c r="CF46" i="1"/>
  <c r="DL46" i="1" s="1"/>
  <c r="BR46" i="1"/>
  <c r="DJ46" i="1" s="1"/>
  <c r="AP23" i="1"/>
  <c r="BR23" i="1"/>
  <c r="DJ23" i="1" s="1"/>
  <c r="AQ125" i="1"/>
  <c r="AS125" i="1"/>
  <c r="AS110" i="1"/>
  <c r="AQ110" i="1"/>
  <c r="AS147" i="1"/>
  <c r="AQ147" i="1"/>
  <c r="Z136" i="1"/>
  <c r="AB136" i="1"/>
  <c r="Z90" i="1"/>
  <c r="AB90" i="1"/>
  <c r="AQ111" i="1"/>
  <c r="AS111" i="1"/>
  <c r="AB137" i="1"/>
  <c r="Z137" i="1"/>
  <c r="Z117" i="1"/>
  <c r="AB117" i="1"/>
  <c r="AQ93" i="1"/>
  <c r="AS93" i="1"/>
  <c r="AN329" i="1"/>
  <c r="AG190" i="1"/>
  <c r="AE190" i="1"/>
  <c r="AB128" i="1"/>
  <c r="Z128" i="1"/>
  <c r="AI153" i="1"/>
  <c r="AK153" i="1"/>
  <c r="AI38" i="1"/>
  <c r="AK38" i="1"/>
  <c r="AQ76" i="1"/>
  <c r="AS76" i="1"/>
  <c r="AI152" i="1"/>
  <c r="AK152" i="1"/>
  <c r="AS101" i="1"/>
  <c r="AQ101" i="1"/>
  <c r="AI84" i="1"/>
  <c r="AK84" i="1"/>
  <c r="AI164" i="1"/>
  <c r="AK164" i="1"/>
  <c r="Z133" i="1"/>
  <c r="AB133" i="1"/>
  <c r="AQ4" i="1"/>
  <c r="AS4" i="1"/>
  <c r="AQ142" i="1"/>
  <c r="AS142" i="1"/>
  <c r="Z86" i="1"/>
  <c r="AB86" i="1"/>
  <c r="AI81" i="1"/>
  <c r="AK81" i="1"/>
  <c r="AQ172" i="1"/>
  <c r="AS172" i="1"/>
  <c r="AQ77" i="1"/>
  <c r="AS77" i="1"/>
  <c r="AB100" i="1"/>
  <c r="Z100" i="1"/>
  <c r="AK129" i="1"/>
  <c r="AI129" i="1"/>
  <c r="AX185" i="1"/>
  <c r="AV185" i="1"/>
  <c r="Z145" i="1"/>
  <c r="AB145" i="1"/>
  <c r="AK69" i="1"/>
  <c r="AI69" i="1"/>
  <c r="AS118" i="1"/>
  <c r="AQ118" i="1"/>
  <c r="AQ121" i="1"/>
  <c r="AS121" i="1"/>
  <c r="AB83" i="1"/>
  <c r="Z83" i="1"/>
  <c r="AS113" i="1"/>
  <c r="AQ113" i="1"/>
  <c r="AI174" i="1"/>
  <c r="AK174" i="1"/>
  <c r="Z144" i="1"/>
  <c r="AB144" i="1"/>
  <c r="AK72" i="1"/>
  <c r="AI72" i="1"/>
  <c r="AI120" i="1"/>
  <c r="AK120" i="1"/>
  <c r="AI74" i="1"/>
  <c r="AK74" i="1"/>
  <c r="AQ99" i="1"/>
  <c r="AS99" i="1"/>
  <c r="AS105" i="1"/>
  <c r="AQ105" i="1"/>
  <c r="AB106" i="1"/>
  <c r="Z106" i="1"/>
  <c r="Z114" i="1"/>
  <c r="AB114" i="1"/>
  <c r="AS138" i="1"/>
  <c r="AQ138" i="1"/>
  <c r="AS151" i="1"/>
  <c r="AQ151" i="1"/>
  <c r="AK60" i="1"/>
  <c r="AI60" i="1"/>
  <c r="Z82" i="1"/>
  <c r="AB82" i="1"/>
  <c r="AQ75" i="1"/>
  <c r="AS75" i="1"/>
  <c r="AK88" i="1"/>
  <c r="AI88" i="1"/>
  <c r="AB123" i="1"/>
  <c r="Z123" i="1"/>
  <c r="AS124" i="1"/>
  <c r="AQ124" i="1"/>
  <c r="AI143" i="1"/>
  <c r="AK143" i="1"/>
  <c r="AS80" i="1"/>
  <c r="AQ80" i="1"/>
  <c r="Z154" i="1"/>
  <c r="AB154" i="1"/>
  <c r="AI97" i="1"/>
  <c r="AK97" i="1"/>
  <c r="AQ163" i="1"/>
  <c r="AS163" i="1"/>
  <c r="AQ130" i="1"/>
  <c r="AS130" i="1"/>
  <c r="Z104" i="1"/>
  <c r="AB104" i="1"/>
  <c r="AB168" i="1"/>
  <c r="Z168" i="1"/>
  <c r="AP350" i="1"/>
  <c r="AN350" i="1"/>
  <c r="AK73" i="1"/>
  <c r="AI73" i="1"/>
  <c r="AX345" i="1"/>
  <c r="AV345" i="1"/>
  <c r="Z139" i="1"/>
  <c r="AB139" i="1"/>
  <c r="AS165" i="1"/>
  <c r="AQ165" i="1"/>
  <c r="AQ108" i="1"/>
  <c r="AS108" i="1"/>
  <c r="DK71" i="1"/>
  <c r="AL294" i="1"/>
  <c r="AM294" i="1" s="1"/>
  <c r="AN294" i="1" s="1"/>
  <c r="AL310" i="1"/>
  <c r="AM310" i="1" s="1"/>
  <c r="AL306" i="1"/>
  <c r="AM306" i="1" s="1"/>
  <c r="AC218" i="1"/>
  <c r="AD218" i="1" s="1"/>
  <c r="AG218" i="1" s="1"/>
  <c r="AT37" i="1"/>
  <c r="AU37" i="1" s="1"/>
  <c r="AX37" i="1" s="1"/>
  <c r="AT213" i="1"/>
  <c r="AU213" i="1" s="1"/>
  <c r="AT318" i="1"/>
  <c r="AU318" i="1" s="1"/>
  <c r="AC230" i="1"/>
  <c r="AD230" i="1" s="1"/>
  <c r="AE230" i="1" s="1"/>
  <c r="AL282" i="1"/>
  <c r="AM282" i="1" s="1"/>
  <c r="AN282" i="1" s="1"/>
  <c r="AC306" i="1"/>
  <c r="AD306" i="1" s="1"/>
  <c r="AE306" i="1" s="1"/>
  <c r="AL332" i="1"/>
  <c r="AM332" i="1" s="1"/>
  <c r="AP332" i="1" s="1"/>
  <c r="DK53" i="1"/>
  <c r="AC221" i="1"/>
  <c r="AD221" i="1" s="1"/>
  <c r="AT284" i="1"/>
  <c r="AU284" i="1" s="1"/>
  <c r="AX284" i="1" s="1"/>
  <c r="AC258" i="1"/>
  <c r="AD258" i="1" s="1"/>
  <c r="AE258" i="1" s="1"/>
  <c r="AT256" i="1"/>
  <c r="AU256" i="1" s="1"/>
  <c r="AC332" i="1"/>
  <c r="AD332" i="1" s="1"/>
  <c r="AT231" i="1"/>
  <c r="AU231" i="1" s="1"/>
  <c r="AS141" i="1"/>
  <c r="AQ141" i="1"/>
  <c r="Z56" i="1"/>
  <c r="AB56" i="1"/>
  <c r="AB52" i="1"/>
  <c r="Z52" i="1"/>
  <c r="Z85" i="1"/>
  <c r="AB85" i="1"/>
  <c r="AI96" i="1"/>
  <c r="AK96" i="1"/>
  <c r="AQ155" i="1"/>
  <c r="AS155" i="1"/>
  <c r="Z161" i="1"/>
  <c r="AB161" i="1"/>
  <c r="AT329" i="1"/>
  <c r="AU329" i="1" s="1"/>
  <c r="AI166" i="1"/>
  <c r="AK166" i="1"/>
  <c r="AE193" i="1"/>
  <c r="AG193" i="1"/>
  <c r="AQ162" i="1"/>
  <c r="AS162" i="1"/>
  <c r="AK175" i="1"/>
  <c r="AI175" i="1"/>
  <c r="AI167" i="1"/>
  <c r="AK167" i="1"/>
  <c r="AB109" i="1"/>
  <c r="Z109" i="1"/>
  <c r="AB79" i="1"/>
  <c r="Z79" i="1"/>
  <c r="AQ91" i="1"/>
  <c r="AS91" i="1"/>
  <c r="AB119" i="1"/>
  <c r="Z119" i="1"/>
  <c r="DI163" i="1"/>
  <c r="AT350" i="1"/>
  <c r="AU350" i="1" s="1"/>
  <c r="AK122" i="1"/>
  <c r="AI122" i="1"/>
  <c r="AQ176" i="1"/>
  <c r="AS176" i="1"/>
  <c r="AQ135" i="1"/>
  <c r="AS135" i="1"/>
  <c r="AB146" i="1"/>
  <c r="Z146" i="1"/>
  <c r="AE12" i="1"/>
  <c r="CG12" i="1"/>
  <c r="CN12" i="1"/>
  <c r="AG12" i="1"/>
  <c r="BZ12" i="1"/>
  <c r="AK125" i="1"/>
  <c r="AI125" i="1"/>
  <c r="AK116" i="1"/>
  <c r="AI116" i="1"/>
  <c r="AI147" i="1"/>
  <c r="AK147" i="1"/>
  <c r="AK136" i="1"/>
  <c r="AI136" i="1"/>
  <c r="Z177" i="1"/>
  <c r="AB177" i="1"/>
  <c r="AI90" i="1"/>
  <c r="AK90" i="1"/>
  <c r="AB134" i="1"/>
  <c r="Z134" i="1"/>
  <c r="Z111" i="1"/>
  <c r="AB111" i="1"/>
  <c r="AK137" i="1"/>
  <c r="AI137" i="1"/>
  <c r="AI117" i="1"/>
  <c r="AK117" i="1"/>
  <c r="AB93" i="1"/>
  <c r="Z93" i="1"/>
  <c r="AQ128" i="1"/>
  <c r="AS128" i="1"/>
  <c r="Z153" i="1"/>
  <c r="AB153" i="1"/>
  <c r="AB150" i="1"/>
  <c r="Z150" i="1"/>
  <c r="AL266" i="1"/>
  <c r="AM266" i="1" s="1"/>
  <c r="AK101" i="1"/>
  <c r="AI101" i="1"/>
  <c r="AB84" i="1"/>
  <c r="Z84" i="1"/>
  <c r="AI132" i="1"/>
  <c r="AK132" i="1"/>
  <c r="AK171" i="1"/>
  <c r="AI171" i="1"/>
  <c r="AQ94" i="1"/>
  <c r="AS94" i="1"/>
  <c r="AQ89" i="1"/>
  <c r="AS89" i="1"/>
  <c r="AQ115" i="1"/>
  <c r="AS115" i="1"/>
  <c r="Z4" i="1"/>
  <c r="AB4" i="1"/>
  <c r="AI142" i="1"/>
  <c r="AK142" i="1"/>
  <c r="AS160" i="1"/>
  <c r="AQ160" i="1"/>
  <c r="AQ81" i="1"/>
  <c r="AS81" i="1"/>
  <c r="AB172" i="1"/>
  <c r="Z172" i="1"/>
  <c r="Z77" i="1"/>
  <c r="AB77" i="1"/>
  <c r="AI100" i="1"/>
  <c r="AK100" i="1"/>
  <c r="AB129" i="1"/>
  <c r="Z129" i="1"/>
  <c r="AB158" i="1"/>
  <c r="Z158" i="1"/>
  <c r="DI127" i="1"/>
  <c r="BZ8" i="1"/>
  <c r="BR29" i="1"/>
  <c r="DJ29" i="1" s="1"/>
  <c r="BY29" i="1"/>
  <c r="DK29" i="1" s="1"/>
  <c r="CM29" i="1"/>
  <c r="DM29" i="1" s="1"/>
  <c r="AX216" i="1"/>
  <c r="AV216" i="1"/>
  <c r="AQ145" i="1"/>
  <c r="AS145" i="1"/>
  <c r="AB159" i="1"/>
  <c r="Z159" i="1"/>
  <c r="Z69" i="1"/>
  <c r="AB69" i="1"/>
  <c r="Z157" i="1"/>
  <c r="AB157" i="1"/>
  <c r="AK113" i="1"/>
  <c r="AI113" i="1"/>
  <c r="AS174" i="1"/>
  <c r="AQ174" i="1"/>
  <c r="AP202" i="1"/>
  <c r="AN202" i="1"/>
  <c r="AE237" i="1"/>
  <c r="AG237" i="1"/>
  <c r="AK144" i="1"/>
  <c r="AI144" i="1"/>
  <c r="AI131" i="1"/>
  <c r="AK131" i="1"/>
  <c r="AQ74" i="1"/>
  <c r="AS74" i="1"/>
  <c r="AB3" i="1"/>
  <c r="Z3" i="1"/>
  <c r="AB105" i="1"/>
  <c r="Z105" i="1"/>
  <c r="AB9" i="1"/>
  <c r="Z9" i="1"/>
  <c r="AK114" i="1"/>
  <c r="AI114" i="1"/>
  <c r="AT182" i="1"/>
  <c r="AU182" i="1" s="1"/>
  <c r="AI138" i="1"/>
  <c r="AK138" i="1"/>
  <c r="AK151" i="1"/>
  <c r="AI151" i="1"/>
  <c r="AS112" i="1"/>
  <c r="AQ112" i="1"/>
  <c r="Z60" i="1"/>
  <c r="AB60" i="1"/>
  <c r="AS82" i="1"/>
  <c r="AQ82" i="1"/>
  <c r="AI75" i="1"/>
  <c r="AK75" i="1"/>
  <c r="Z88" i="1"/>
  <c r="AB88" i="1"/>
  <c r="AI123" i="1"/>
  <c r="AK123" i="1"/>
  <c r="AK124" i="1"/>
  <c r="AI124" i="1"/>
  <c r="AB173" i="1"/>
  <c r="Z173" i="1"/>
  <c r="AI107" i="1"/>
  <c r="AK107" i="1"/>
  <c r="AI126" i="1"/>
  <c r="AK126" i="1"/>
  <c r="AB143" i="1"/>
  <c r="Z143" i="1"/>
  <c r="AK154" i="1"/>
  <c r="AI154" i="1"/>
  <c r="AB98" i="1"/>
  <c r="Z98" i="1"/>
  <c r="AS97" i="1"/>
  <c r="AQ97" i="1"/>
  <c r="AB163" i="1"/>
  <c r="Z163" i="1"/>
  <c r="AK130" i="1"/>
  <c r="AI130" i="1"/>
  <c r="AQ168" i="1"/>
  <c r="AS168" i="1"/>
  <c r="AQ73" i="1"/>
  <c r="AS73" i="1"/>
  <c r="AK78" i="1"/>
  <c r="AI78" i="1"/>
  <c r="AK140" i="1"/>
  <c r="AI140" i="1"/>
  <c r="AQ149" i="1"/>
  <c r="AS149" i="1"/>
  <c r="AK165" i="1"/>
  <c r="AI165" i="1"/>
  <c r="AK127" i="1"/>
  <c r="AI127" i="1"/>
  <c r="AE14" i="1"/>
  <c r="CN14" i="1"/>
  <c r="AG14" i="1"/>
  <c r="BS14" i="1"/>
  <c r="BZ14" i="1"/>
  <c r="AP310" i="1"/>
  <c r="AN310" i="1"/>
  <c r="AN233" i="1"/>
  <c r="AP233" i="1"/>
  <c r="AP300" i="1"/>
  <c r="AN300" i="1"/>
  <c r="AP281" i="1"/>
  <c r="AN281" i="1"/>
  <c r="AE327" i="1"/>
  <c r="AG327" i="1"/>
  <c r="AE294" i="1"/>
  <c r="AG294" i="1"/>
  <c r="CN71" i="1"/>
  <c r="BS71" i="1"/>
  <c r="AG71" i="1"/>
  <c r="BZ71" i="1"/>
  <c r="AE71" i="1"/>
  <c r="AE302" i="1"/>
  <c r="AP216" i="1"/>
  <c r="AN216" i="1"/>
  <c r="AV236" i="1"/>
  <c r="AX236" i="1"/>
  <c r="AE271" i="1"/>
  <c r="AX239" i="1"/>
  <c r="CM8" i="1"/>
  <c r="DM8" i="1" s="1"/>
  <c r="BR8" i="1"/>
  <c r="DJ8" i="1" s="1"/>
  <c r="CF8" i="1"/>
  <c r="DL8" i="1" s="1"/>
  <c r="AN8" i="1"/>
  <c r="AP8" i="1"/>
  <c r="AG335" i="1"/>
  <c r="AE335" i="1"/>
  <c r="AE277" i="1"/>
  <c r="AG277" i="1"/>
  <c r="AG281" i="1"/>
  <c r="AV327" i="1"/>
  <c r="AV316" i="1"/>
  <c r="AX316" i="1"/>
  <c r="AE326" i="1"/>
  <c r="AG326" i="1"/>
  <c r="AV212" i="1"/>
  <c r="AX212" i="1"/>
  <c r="AP287" i="1"/>
  <c r="AN287" i="1"/>
  <c r="AE196" i="1"/>
  <c r="AG196" i="1"/>
  <c r="AE288" i="1"/>
  <c r="CG39" i="1"/>
  <c r="BS39" i="1"/>
  <c r="BZ39" i="1"/>
  <c r="CN39" i="1"/>
  <c r="AE39" i="1"/>
  <c r="AG39" i="1"/>
  <c r="CH11" i="1"/>
  <c r="CA11" i="1"/>
  <c r="AV11" i="1"/>
  <c r="AX11" i="1"/>
  <c r="CO11" i="1"/>
  <c r="BT11" i="1"/>
  <c r="AN221" i="1"/>
  <c r="AG251" i="1"/>
  <c r="AE251" i="1"/>
  <c r="AV320" i="1"/>
  <c r="AX320" i="1"/>
  <c r="AG62" i="1"/>
  <c r="BS62" i="1"/>
  <c r="BZ62" i="1"/>
  <c r="CG62" i="1"/>
  <c r="AP250" i="1"/>
  <c r="AN250" i="1"/>
  <c r="AV22" i="1"/>
  <c r="CA22" i="1"/>
  <c r="CH22" i="1"/>
  <c r="CO22" i="1"/>
  <c r="BT22" i="1"/>
  <c r="AX22" i="1"/>
  <c r="AE204" i="1"/>
  <c r="AG204" i="1"/>
  <c r="AP284" i="1"/>
  <c r="AN284" i="1"/>
  <c r="CO54" i="1"/>
  <c r="CH54" i="1"/>
  <c r="AV54" i="1"/>
  <c r="AX54" i="1"/>
  <c r="CA54" i="1"/>
  <c r="BT54" i="1"/>
  <c r="AV273" i="1"/>
  <c r="AX273" i="1"/>
  <c r="AX220" i="1"/>
  <c r="AV220" i="1"/>
  <c r="AL337" i="1"/>
  <c r="AM337" i="1" s="1"/>
  <c r="DK22" i="1"/>
  <c r="DM22" i="1"/>
  <c r="DL65" i="1"/>
  <c r="AT305" i="1"/>
  <c r="AU305" i="1" s="1"/>
  <c r="DL32" i="1"/>
  <c r="AG291" i="1"/>
  <c r="AE291" i="1"/>
  <c r="AC296" i="1"/>
  <c r="AD296" i="1" s="1"/>
  <c r="AL19" i="1"/>
  <c r="AM19" i="1" s="1"/>
  <c r="DJ26" i="1"/>
  <c r="AE274" i="1"/>
  <c r="AN256" i="1"/>
  <c r="DK20" i="1"/>
  <c r="AC51" i="1"/>
  <c r="AD51" i="1" s="1"/>
  <c r="AL55" i="1"/>
  <c r="AM55" i="1" s="1"/>
  <c r="AG278" i="1"/>
  <c r="AE278" i="1"/>
  <c r="AG299" i="1"/>
  <c r="AE299" i="1"/>
  <c r="AT314" i="1"/>
  <c r="AU314" i="1" s="1"/>
  <c r="DM11" i="1"/>
  <c r="AL291" i="1"/>
  <c r="AM291" i="1" s="1"/>
  <c r="AT296" i="1"/>
  <c r="AU296" i="1" s="1"/>
  <c r="CM42" i="1"/>
  <c r="DM42" i="1" s="1"/>
  <c r="AP42" i="1"/>
  <c r="BY42" i="1"/>
  <c r="DK42" i="1" s="1"/>
  <c r="AN42" i="1"/>
  <c r="CF42" i="1"/>
  <c r="DL42" i="1" s="1"/>
  <c r="AE292" i="1"/>
  <c r="AG292" i="1"/>
  <c r="AL314" i="1"/>
  <c r="AM314" i="1" s="1"/>
  <c r="AT282" i="1"/>
  <c r="AU282" i="1" s="1"/>
  <c r="DM43" i="1"/>
  <c r="DK43" i="1"/>
  <c r="AL273" i="1"/>
  <c r="AM273" i="1" s="1"/>
  <c r="AV215" i="1"/>
  <c r="AX215" i="1"/>
  <c r="AN50" i="1"/>
  <c r="BR50" i="1"/>
  <c r="DJ50" i="1" s="1"/>
  <c r="BY50" i="1"/>
  <c r="DK50" i="1" s="1"/>
  <c r="CM50" i="1"/>
  <c r="DM50" i="1" s="1"/>
  <c r="CF50" i="1"/>
  <c r="DL50" i="1" s="1"/>
  <c r="AP50" i="1"/>
  <c r="CN32" i="1"/>
  <c r="AE32" i="1"/>
  <c r="CG32" i="1"/>
  <c r="BS32" i="1"/>
  <c r="AG32" i="1"/>
  <c r="BZ32" i="1"/>
  <c r="AG267" i="1"/>
  <c r="AE267" i="1"/>
  <c r="AC307" i="1"/>
  <c r="AD307" i="1" s="1"/>
  <c r="AC57" i="1"/>
  <c r="AD57" i="1" s="1"/>
  <c r="AX240" i="1"/>
  <c r="AV240" i="1"/>
  <c r="AE334" i="1"/>
  <c r="AG334" i="1"/>
  <c r="AL214" i="1"/>
  <c r="AM214" i="1" s="1"/>
  <c r="CH39" i="1"/>
  <c r="CA39" i="1"/>
  <c r="BT39" i="1"/>
  <c r="AX39" i="1"/>
  <c r="AE350" i="1"/>
  <c r="AG350" i="1"/>
  <c r="AC312" i="1"/>
  <c r="AD312" i="1" s="1"/>
  <c r="AL51" i="1"/>
  <c r="AM51" i="1" s="1"/>
  <c r="AC231" i="1"/>
  <c r="AD231" i="1" s="1"/>
  <c r="AX222" i="1"/>
  <c r="AV222" i="1"/>
  <c r="AV225" i="1"/>
  <c r="AX225" i="1"/>
  <c r="AL17" i="1"/>
  <c r="AM17" i="1" s="1"/>
  <c r="AP264" i="1"/>
  <c r="AN264" i="1"/>
  <c r="AN319" i="1"/>
  <c r="AP319" i="1"/>
  <c r="AC319" i="1"/>
  <c r="AD319" i="1" s="1"/>
  <c r="AL316" i="1"/>
  <c r="AM316" i="1" s="1"/>
  <c r="AN205" i="1"/>
  <c r="AP205" i="1"/>
  <c r="AL276" i="1"/>
  <c r="AM276" i="1" s="1"/>
  <c r="DL31" i="1"/>
  <c r="AT219" i="1"/>
  <c r="AU219" i="1" s="1"/>
  <c r="AE280" i="1"/>
  <c r="AG280" i="1"/>
  <c r="AT310" i="1"/>
  <c r="AU310" i="1" s="1"/>
  <c r="AC318" i="1"/>
  <c r="AD318" i="1" s="1"/>
  <c r="AT278" i="1"/>
  <c r="AU278" i="1" s="1"/>
  <c r="AC270" i="1"/>
  <c r="AD270" i="1" s="1"/>
  <c r="AX218" i="1"/>
  <c r="AV218" i="1"/>
  <c r="AT260" i="1"/>
  <c r="AU260" i="1" s="1"/>
  <c r="AN268" i="1"/>
  <c r="AP268" i="1"/>
  <c r="CH59" i="1"/>
  <c r="BT59" i="1"/>
  <c r="CA59" i="1"/>
  <c r="AV59" i="1"/>
  <c r="AX59" i="1"/>
  <c r="CO59" i="1"/>
  <c r="AL341" i="1"/>
  <c r="AM341" i="1" s="1"/>
  <c r="AN254" i="1"/>
  <c r="AP254" i="1"/>
  <c r="CN50" i="1"/>
  <c r="CG50" i="1"/>
  <c r="AG50" i="1"/>
  <c r="BS50" i="1"/>
  <c r="BZ50" i="1"/>
  <c r="AE50" i="1"/>
  <c r="AX65" i="1"/>
  <c r="AV65" i="1"/>
  <c r="CH65" i="1"/>
  <c r="CO65" i="1"/>
  <c r="CA65" i="1"/>
  <c r="BT65" i="1"/>
  <c r="AT211" i="1"/>
  <c r="AU211" i="1" s="1"/>
  <c r="AG337" i="1"/>
  <c r="AE337" i="1"/>
  <c r="AG263" i="1"/>
  <c r="AE263" i="1"/>
  <c r="AL217" i="1"/>
  <c r="AM217" i="1" s="1"/>
  <c r="AX23" i="1"/>
  <c r="CO23" i="1"/>
  <c r="CA23" i="1"/>
  <c r="BT23" i="1"/>
  <c r="AG339" i="1"/>
  <c r="AE339" i="1"/>
  <c r="AT25" i="1"/>
  <c r="AU25" i="1" s="1"/>
  <c r="AT279" i="1"/>
  <c r="AU279" i="1" s="1"/>
  <c r="AV339" i="1"/>
  <c r="AX339" i="1"/>
  <c r="BS55" i="1"/>
  <c r="CG55" i="1"/>
  <c r="BZ55" i="1"/>
  <c r="AE55" i="1"/>
  <c r="AG55" i="1"/>
  <c r="CN55" i="1"/>
  <c r="AT238" i="1"/>
  <c r="AU238" i="1" s="1"/>
  <c r="AT234" i="1"/>
  <c r="AU234" i="1" s="1"/>
  <c r="AL299" i="1"/>
  <c r="AM299" i="1" s="1"/>
  <c r="AV340" i="1"/>
  <c r="AX340" i="1"/>
  <c r="AG222" i="1"/>
  <c r="AE222" i="1"/>
  <c r="AV298" i="1"/>
  <c r="AX298" i="1"/>
  <c r="AV332" i="1"/>
  <c r="AX332" i="1"/>
  <c r="AT223" i="1"/>
  <c r="AU223" i="1" s="1"/>
  <c r="AC323" i="1"/>
  <c r="AD323" i="1" s="1"/>
  <c r="AG248" i="1"/>
  <c r="AE248" i="1"/>
  <c r="AX68" i="1"/>
  <c r="CO68" i="1"/>
  <c r="CA68" i="1"/>
  <c r="AV68" i="1"/>
  <c r="BT68" i="1"/>
  <c r="CH68" i="1"/>
  <c r="AC25" i="1"/>
  <c r="AD25" i="1" s="1"/>
  <c r="AX205" i="1"/>
  <c r="AV205" i="1"/>
  <c r="AT300" i="1"/>
  <c r="AU300" i="1" s="1"/>
  <c r="AL311" i="1"/>
  <c r="AM311" i="1" s="1"/>
  <c r="AP258" i="1"/>
  <c r="AN258" i="1"/>
  <c r="AL274" i="1"/>
  <c r="AM274" i="1" s="1"/>
  <c r="DK70" i="1"/>
  <c r="DL70" i="1"/>
  <c r="AN49" i="1"/>
  <c r="BY49" i="1"/>
  <c r="DK49" i="1" s="1"/>
  <c r="BR49" i="1"/>
  <c r="DJ49" i="1" s="1"/>
  <c r="CF49" i="1"/>
  <c r="DL49" i="1" s="1"/>
  <c r="AL242" i="1"/>
  <c r="AM242" i="1" s="1"/>
  <c r="DL53" i="1"/>
  <c r="AX301" i="1"/>
  <c r="AV301" i="1"/>
  <c r="BZ103" i="1"/>
  <c r="CN37" i="1"/>
  <c r="BS37" i="1"/>
  <c r="CG37" i="1"/>
  <c r="AE37" i="1"/>
  <c r="AP271" i="1"/>
  <c r="AN271" i="1"/>
  <c r="BZ17" i="1"/>
  <c r="BS17" i="1"/>
  <c r="CG17" i="1"/>
  <c r="AE17" i="1"/>
  <c r="AG17" i="1"/>
  <c r="CN17" i="1"/>
  <c r="AP54" i="1"/>
  <c r="BY54" i="1"/>
  <c r="DK54" i="1" s="1"/>
  <c r="BR54" i="1"/>
  <c r="DJ54" i="1" s="1"/>
  <c r="CM54" i="1"/>
  <c r="DM54" i="1" s="1"/>
  <c r="AN54" i="1"/>
  <c r="CF54" i="1"/>
  <c r="DL54" i="1" s="1"/>
  <c r="AE239" i="1"/>
  <c r="AG239" i="1"/>
  <c r="AE256" i="1"/>
  <c r="AG256" i="1"/>
  <c r="AG40" i="1"/>
  <c r="CG40" i="1"/>
  <c r="AE40" i="1"/>
  <c r="CN40" i="1"/>
  <c r="BS40" i="1"/>
  <c r="BZ40" i="1"/>
  <c r="BY34" i="1"/>
  <c r="DK34" i="1" s="1"/>
  <c r="CF34" i="1"/>
  <c r="DL34" i="1" s="1"/>
  <c r="AN34" i="1"/>
  <c r="AP34" i="1"/>
  <c r="BR34" i="1"/>
  <c r="DJ34" i="1" s="1"/>
  <c r="CM34" i="1"/>
  <c r="DM34" i="1" s="1"/>
  <c r="AP304" i="1"/>
  <c r="AN304" i="1"/>
  <c r="AV303" i="1"/>
  <c r="AG298" i="1"/>
  <c r="AN243" i="1"/>
  <c r="AP243" i="1"/>
  <c r="AG313" i="1"/>
  <c r="AE313" i="1"/>
  <c r="AN263" i="1"/>
  <c r="AP263" i="1"/>
  <c r="AG297" i="1"/>
  <c r="AE297" i="1"/>
  <c r="AX265" i="1"/>
  <c r="AV265" i="1"/>
  <c r="AE43" i="1"/>
  <c r="CN43" i="1"/>
  <c r="BZ43" i="1"/>
  <c r="CG43" i="1"/>
  <c r="BS43" i="1"/>
  <c r="AG43" i="1"/>
  <c r="AX224" i="1"/>
  <c r="AV224" i="1"/>
  <c r="CO16" i="1"/>
  <c r="CH16" i="1"/>
  <c r="AX16" i="1"/>
  <c r="AV16" i="1"/>
  <c r="BT16" i="1"/>
  <c r="CA16" i="1"/>
  <c r="AG249" i="1"/>
  <c r="AE249" i="1"/>
  <c r="AV258" i="1"/>
  <c r="AX258" i="1"/>
  <c r="AP312" i="1"/>
  <c r="AN312" i="1"/>
  <c r="AP184" i="1"/>
  <c r="AN184" i="1"/>
  <c r="AP179" i="1"/>
  <c r="AN179" i="1"/>
  <c r="AP327" i="1"/>
  <c r="AN327" i="1"/>
  <c r="AE245" i="1"/>
  <c r="AG245" i="1"/>
  <c r="AV306" i="1"/>
  <c r="AX306" i="1"/>
  <c r="AX18" i="1"/>
  <c r="CO18" i="1"/>
  <c r="CA18" i="1"/>
  <c r="CH18" i="1"/>
  <c r="BT18" i="1"/>
  <c r="AV18" i="1"/>
  <c r="DM70" i="1"/>
  <c r="AX231" i="1"/>
  <c r="AV231" i="1"/>
  <c r="AX263" i="1"/>
  <c r="AV263" i="1"/>
  <c r="AE331" i="1"/>
  <c r="AG331" i="1"/>
  <c r="AG309" i="1"/>
  <c r="AC254" i="1"/>
  <c r="AD254" i="1" s="1"/>
  <c r="AX311" i="1"/>
  <c r="AV311" i="1"/>
  <c r="DM32" i="1"/>
  <c r="AL288" i="1"/>
  <c r="AM288" i="1" s="1"/>
  <c r="AG290" i="1"/>
  <c r="AE290" i="1"/>
  <c r="DL48" i="1"/>
  <c r="DJ48" i="1"/>
  <c r="AC45" i="1"/>
  <c r="AD45" i="1" s="1"/>
  <c r="DL20" i="1"/>
  <c r="CH35" i="1"/>
  <c r="CA35" i="1"/>
  <c r="BT35" i="1"/>
  <c r="AX35" i="1"/>
  <c r="AT14" i="1"/>
  <c r="AU14" i="1" s="1"/>
  <c r="AV326" i="1"/>
  <c r="AX326" i="1"/>
  <c r="CM67" i="1"/>
  <c r="DM67" i="1" s="1"/>
  <c r="AP67" i="1"/>
  <c r="CF67" i="1"/>
  <c r="DL67" i="1" s="1"/>
  <c r="BY67" i="1"/>
  <c r="DK67" i="1" s="1"/>
  <c r="AG285" i="1"/>
  <c r="AE285" i="1"/>
  <c r="DL11" i="1"/>
  <c r="AL37" i="1"/>
  <c r="AM37" i="1" s="1"/>
  <c r="AL308" i="1"/>
  <c r="AM308" i="1" s="1"/>
  <c r="AT8" i="1"/>
  <c r="AU8" i="1" s="1"/>
  <c r="AL234" i="1"/>
  <c r="AM234" i="1" s="1"/>
  <c r="AT33" i="1"/>
  <c r="AU33" i="1" s="1"/>
  <c r="AT323" i="1"/>
  <c r="AU323" i="1" s="1"/>
  <c r="AL285" i="1"/>
  <c r="AM285" i="1" s="1"/>
  <c r="DJ43" i="1"/>
  <c r="AE218" i="1"/>
  <c r="CF63" i="1"/>
  <c r="DL63" i="1" s="1"/>
  <c r="CM63" i="1"/>
  <c r="DM63" i="1" s="1"/>
  <c r="BY63" i="1"/>
  <c r="DK63" i="1" s="1"/>
  <c r="AN63" i="1"/>
  <c r="AP63" i="1"/>
  <c r="BR63" i="1"/>
  <c r="DJ63" i="1" s="1"/>
  <c r="BS47" i="1"/>
  <c r="CN47" i="1"/>
  <c r="CG47" i="1"/>
  <c r="AE47" i="1"/>
  <c r="BZ47" i="1"/>
  <c r="AG47" i="1"/>
  <c r="AC265" i="1"/>
  <c r="AD265" i="1" s="1"/>
  <c r="CF15" i="1"/>
  <c r="DL15" i="1" s="1"/>
  <c r="BY15" i="1"/>
  <c r="DK15" i="1" s="1"/>
  <c r="CM15" i="1"/>
  <c r="DM15" i="1" s="1"/>
  <c r="AN15" i="1"/>
  <c r="AP15" i="1"/>
  <c r="BR15" i="1"/>
  <c r="DJ15" i="1" s="1"/>
  <c r="CG24" i="1"/>
  <c r="BZ24" i="1"/>
  <c r="AG24" i="1"/>
  <c r="AE24" i="1"/>
  <c r="CN24" i="1"/>
  <c r="BS24" i="1"/>
  <c r="AL262" i="1"/>
  <c r="AM262" i="1" s="1"/>
  <c r="CM61" i="1"/>
  <c r="DM61" i="1" s="1"/>
  <c r="AN61" i="1"/>
  <c r="AP61" i="1"/>
  <c r="BY61" i="1"/>
  <c r="DK61" i="1" s="1"/>
  <c r="CF61" i="1"/>
  <c r="DL61" i="1" s="1"/>
  <c r="BR61" i="1"/>
  <c r="DJ61" i="1" s="1"/>
  <c r="CA37" i="1"/>
  <c r="CO37" i="1"/>
  <c r="CH27" i="1"/>
  <c r="CA27" i="1"/>
  <c r="CO27" i="1"/>
  <c r="BT27" i="1"/>
  <c r="AX27" i="1"/>
  <c r="AV27" i="1"/>
  <c r="AP30" i="1"/>
  <c r="AN30" i="1"/>
  <c r="CM30" i="1"/>
  <c r="DM30" i="1" s="1"/>
  <c r="BR30" i="1"/>
  <c r="DJ30" i="1" s="1"/>
  <c r="CF30" i="1"/>
  <c r="DL30" i="1" s="1"/>
  <c r="BY30" i="1"/>
  <c r="DK30" i="1" s="1"/>
  <c r="AG243" i="1"/>
  <c r="AE243" i="1"/>
  <c r="CF68" i="1"/>
  <c r="DL68" i="1" s="1"/>
  <c r="AN68" i="1"/>
  <c r="CM68" i="1"/>
  <c r="DM68" i="1" s="1"/>
  <c r="AP68" i="1"/>
  <c r="BY68" i="1"/>
  <c r="DK68" i="1" s="1"/>
  <c r="BR68" i="1"/>
  <c r="DJ68" i="1" s="1"/>
  <c r="AE236" i="1"/>
  <c r="AG236" i="1"/>
  <c r="AT217" i="1"/>
  <c r="AU217" i="1" s="1"/>
  <c r="AT61" i="1"/>
  <c r="AU61" i="1" s="1"/>
  <c r="AV213" i="1"/>
  <c r="AX213" i="1"/>
  <c r="AX199" i="1"/>
  <c r="AV199" i="1"/>
  <c r="AE67" i="1"/>
  <c r="BS67" i="1"/>
  <c r="CN67" i="1"/>
  <c r="CG67" i="1"/>
  <c r="AG67" i="1"/>
  <c r="BZ67" i="1"/>
  <c r="AP252" i="1"/>
  <c r="AN252" i="1"/>
  <c r="AT259" i="1"/>
  <c r="AU259" i="1" s="1"/>
  <c r="AV318" i="1"/>
  <c r="AX318" i="1"/>
  <c r="AG230" i="1"/>
  <c r="CN54" i="1"/>
  <c r="AE54" i="1"/>
  <c r="CG54" i="1"/>
  <c r="AG54" i="1"/>
  <c r="BZ54" i="1"/>
  <c r="BS54" i="1"/>
  <c r="AP282" i="1"/>
  <c r="AP255" i="1"/>
  <c r="AN255" i="1"/>
  <c r="AG306" i="1"/>
  <c r="AG229" i="1"/>
  <c r="AE229" i="1"/>
  <c r="AL240" i="1"/>
  <c r="AM240" i="1" s="1"/>
  <c r="AN332" i="1"/>
  <c r="DM46" i="1"/>
  <c r="AE273" i="1"/>
  <c r="AG273" i="1"/>
  <c r="DM31" i="1"/>
  <c r="AG260" i="1"/>
  <c r="AE260" i="1"/>
  <c r="AE210" i="1"/>
  <c r="AG210" i="1"/>
  <c r="AX254" i="1"/>
  <c r="AV254" i="1"/>
  <c r="AL305" i="1"/>
  <c r="AM305" i="1" s="1"/>
  <c r="AN251" i="1"/>
  <c r="DL29" i="1"/>
  <c r="AC35" i="1"/>
  <c r="AD35" i="1" s="1"/>
  <c r="AC340" i="1"/>
  <c r="AD340" i="1" s="1"/>
  <c r="AT55" i="1"/>
  <c r="AU55" i="1" s="1"/>
  <c r="AC44" i="1"/>
  <c r="AD44" i="1" s="1"/>
  <c r="AT210" i="1"/>
  <c r="AU210" i="1" s="1"/>
  <c r="BY95" i="1"/>
  <c r="DK95" i="1" s="1"/>
  <c r="BR95" i="1"/>
  <c r="DJ95" i="1" s="1"/>
  <c r="CF95" i="1"/>
  <c r="DL95" i="1" s="1"/>
  <c r="AP95" i="1"/>
  <c r="AN95" i="1"/>
  <c r="CM95" i="1"/>
  <c r="DM95" i="1" s="1"/>
  <c r="AX255" i="1"/>
  <c r="AV255" i="1"/>
  <c r="AP200" i="1"/>
  <c r="AN200" i="1"/>
  <c r="AT280" i="1"/>
  <c r="AU280" i="1" s="1"/>
  <c r="CF33" i="1"/>
  <c r="DL33" i="1" s="1"/>
  <c r="BY33" i="1"/>
  <c r="DK33" i="1" s="1"/>
  <c r="AP33" i="1"/>
  <c r="CM33" i="1"/>
  <c r="DM33" i="1" s="1"/>
  <c r="AN33" i="1"/>
  <c r="BR33" i="1"/>
  <c r="DJ33" i="1" s="1"/>
  <c r="CN61" i="1"/>
  <c r="BZ61" i="1"/>
  <c r="AG61" i="1"/>
  <c r="CG61" i="1"/>
  <c r="BS61" i="1"/>
  <c r="AE61" i="1"/>
  <c r="AV333" i="1"/>
  <c r="AX333" i="1"/>
  <c r="AE192" i="1"/>
  <c r="AG192" i="1"/>
  <c r="AE247" i="1"/>
  <c r="AG247" i="1"/>
  <c r="AG246" i="1"/>
  <c r="AE246" i="1"/>
  <c r="BY45" i="1"/>
  <c r="DK45" i="1" s="1"/>
  <c r="CM45" i="1"/>
  <c r="DM45" i="1" s="1"/>
  <c r="CF45" i="1"/>
  <c r="DL45" i="1" s="1"/>
  <c r="AN45" i="1"/>
  <c r="AP45" i="1"/>
  <c r="BR45" i="1"/>
  <c r="DJ45" i="1" s="1"/>
  <c r="AP228" i="1"/>
  <c r="AN228" i="1"/>
  <c r="AX334" i="1"/>
  <c r="AV334" i="1"/>
  <c r="AP322" i="1"/>
  <c r="AN322" i="1"/>
  <c r="AV290" i="1"/>
  <c r="AX290" i="1"/>
  <c r="AL296" i="1"/>
  <c r="AM296" i="1" s="1"/>
  <c r="AV197" i="1"/>
  <c r="AX197" i="1"/>
  <c r="AT42" i="1"/>
  <c r="AU42" i="1" s="1"/>
  <c r="AP245" i="1"/>
  <c r="AN245" i="1"/>
  <c r="AT308" i="1"/>
  <c r="AU308" i="1" s="1"/>
  <c r="AX322" i="1"/>
  <c r="AV322" i="1"/>
  <c r="CO50" i="1"/>
  <c r="BT50" i="1"/>
  <c r="CA50" i="1"/>
  <c r="CH50" i="1"/>
  <c r="AX50" i="1"/>
  <c r="AV50" i="1"/>
  <c r="AV251" i="1"/>
  <c r="AX251" i="1"/>
  <c r="CA51" i="1"/>
  <c r="AX51" i="1"/>
  <c r="CO51" i="1"/>
  <c r="CH51" i="1"/>
  <c r="AV51" i="1"/>
  <c r="BT51" i="1"/>
  <c r="AX193" i="1"/>
  <c r="AV193" i="1"/>
  <c r="AG286" i="1"/>
  <c r="AE286" i="1"/>
  <c r="AP318" i="1"/>
  <c r="AN318" i="1"/>
  <c r="AT331" i="1"/>
  <c r="AU331" i="1" s="1"/>
  <c r="AG315" i="1"/>
  <c r="AE315" i="1"/>
  <c r="AN206" i="1"/>
  <c r="AP206" i="1"/>
  <c r="AG226" i="1"/>
  <c r="AE226" i="1"/>
  <c r="AV95" i="1"/>
  <c r="BT95" i="1"/>
  <c r="CH95" i="1"/>
  <c r="AX95" i="1"/>
  <c r="CO95" i="1"/>
  <c r="CA95" i="1"/>
  <c r="AX71" i="1"/>
  <c r="CA71" i="1"/>
  <c r="CO71" i="1"/>
  <c r="AV71" i="1"/>
  <c r="BT71" i="1"/>
  <c r="CH71" i="1"/>
  <c r="AV285" i="1"/>
  <c r="AX285" i="1"/>
  <c r="AX256" i="1"/>
  <c r="AV256" i="1"/>
  <c r="AG332" i="1"/>
  <c r="AE332" i="1"/>
  <c r="AP222" i="1"/>
  <c r="AN222" i="1"/>
  <c r="CF103" i="1"/>
  <c r="DL103" i="1" s="1"/>
  <c r="BR103" i="1"/>
  <c r="DJ103" i="1" s="1"/>
  <c r="BY103" i="1"/>
  <c r="DK103" i="1" s="1"/>
  <c r="CM103" i="1"/>
  <c r="DM103" i="1" s="1"/>
  <c r="AN103" i="1"/>
  <c r="AP103" i="1"/>
  <c r="AL290" i="1"/>
  <c r="AM290" i="1" s="1"/>
  <c r="AX214" i="1"/>
  <c r="AV214" i="1"/>
  <c r="CH7" i="1"/>
  <c r="CO7" i="1"/>
  <c r="AX7" i="1"/>
  <c r="AV7" i="1"/>
  <c r="AV299" i="1"/>
  <c r="AX299" i="1"/>
  <c r="AP210" i="1"/>
  <c r="AN210" i="1"/>
  <c r="AE343" i="1"/>
  <c r="AG343" i="1"/>
  <c r="AN230" i="1"/>
  <c r="AP230" i="1"/>
  <c r="AP306" i="1"/>
  <c r="AN306" i="1"/>
  <c r="AN261" i="1"/>
  <c r="AP261" i="1"/>
  <c r="AV46" i="1"/>
  <c r="CO46" i="1"/>
  <c r="CA46" i="1"/>
  <c r="BT46" i="1"/>
  <c r="AX46" i="1"/>
  <c r="CH46" i="1"/>
  <c r="AP260" i="1"/>
  <c r="AN260" i="1"/>
  <c r="CG59" i="1"/>
  <c r="BS59" i="1"/>
  <c r="AV241" i="1"/>
  <c r="AX241" i="1"/>
  <c r="BY13" i="1"/>
  <c r="DK13" i="1" s="1"/>
  <c r="BR13" i="1"/>
  <c r="DJ13" i="1" s="1"/>
  <c r="CF13" i="1"/>
  <c r="DL13" i="1" s="1"/>
  <c r="AN13" i="1"/>
  <c r="CM13" i="1"/>
  <c r="DM13" i="1" s="1"/>
  <c r="AP13" i="1"/>
  <c r="AE316" i="1"/>
  <c r="AG316" i="1"/>
  <c r="CO32" i="1"/>
  <c r="AV32" i="1"/>
  <c r="AX32" i="1"/>
  <c r="CH32" i="1"/>
  <c r="BT32" i="1"/>
  <c r="CA32" i="1"/>
  <c r="AP224" i="1"/>
  <c r="AN224" i="1"/>
  <c r="AN64" i="1"/>
  <c r="CF64" i="1"/>
  <c r="DL64" i="1" s="1"/>
  <c r="BR64" i="1"/>
  <c r="DJ64" i="1" s="1"/>
  <c r="AP64" i="1"/>
  <c r="CM64" i="1"/>
  <c r="DM64" i="1" s="1"/>
  <c r="BY64" i="1"/>
  <c r="DK64" i="1" s="1"/>
  <c r="CN48" i="1"/>
  <c r="BS48" i="1"/>
  <c r="AG48" i="1"/>
  <c r="CG48" i="1"/>
  <c r="BZ48" i="1"/>
  <c r="AE48" i="1"/>
  <c r="AP286" i="1"/>
  <c r="AN286" i="1"/>
  <c r="BT40" i="1"/>
  <c r="CA40" i="1"/>
  <c r="AX40" i="1"/>
  <c r="AV40" i="1"/>
  <c r="CO40" i="1"/>
  <c r="CH40" i="1"/>
  <c r="AP189" i="1"/>
  <c r="AN189" i="1"/>
  <c r="AE221" i="1"/>
  <c r="AG221" i="1"/>
  <c r="AV281" i="1"/>
  <c r="AX281" i="1"/>
  <c r="AP334" i="1"/>
  <c r="AN334" i="1"/>
  <c r="AV226" i="1"/>
  <c r="AX226" i="1"/>
  <c r="AN220" i="1"/>
  <c r="AP220" i="1"/>
  <c r="AN307" i="1"/>
  <c r="AP307" i="1"/>
  <c r="AV13" i="1"/>
  <c r="BT13" i="1"/>
  <c r="CH13" i="1"/>
  <c r="AX13" i="1"/>
  <c r="CO13" i="1"/>
  <c r="CA13" i="1"/>
  <c r="AV288" i="1"/>
  <c r="AX288" i="1"/>
  <c r="AP238" i="1"/>
  <c r="AN238" i="1"/>
  <c r="AE240" i="1"/>
  <c r="AG240" i="1"/>
  <c r="AX272" i="1"/>
  <c r="AV272" i="1"/>
  <c r="AE233" i="1"/>
  <c r="CA69" i="1"/>
  <c r="AV69" i="1"/>
  <c r="BT69" i="1"/>
  <c r="CH69" i="1"/>
  <c r="CO69" i="1"/>
  <c r="AX69" i="1"/>
  <c r="AP44" i="1"/>
  <c r="CM44" i="1"/>
  <c r="DM44" i="1" s="1"/>
  <c r="BR44" i="1"/>
  <c r="DJ44" i="1" s="1"/>
  <c r="AN44" i="1"/>
  <c r="CF44" i="1"/>
  <c r="DL44" i="1" s="1"/>
  <c r="BY44" i="1"/>
  <c r="DK44" i="1" s="1"/>
  <c r="AV21" i="1"/>
  <c r="CO21" i="1"/>
  <c r="BT21" i="1"/>
  <c r="CH21" i="1"/>
  <c r="AX21" i="1"/>
  <c r="CA21" i="1"/>
  <c r="AP313" i="1"/>
  <c r="AN313" i="1"/>
  <c r="AX244" i="1"/>
  <c r="AV244" i="1"/>
  <c r="CG33" i="1"/>
  <c r="CN33" i="1"/>
  <c r="BS33" i="1"/>
  <c r="AG33" i="1"/>
  <c r="AE33" i="1"/>
  <c r="BZ33" i="1"/>
  <c r="AV227" i="1"/>
  <c r="BZ23" i="1"/>
  <c r="BS23" i="1"/>
  <c r="AG23" i="1"/>
  <c r="AE23" i="1"/>
  <c r="CN23" i="1"/>
  <c r="CG23" i="1"/>
  <c r="AL218" i="1"/>
  <c r="AM218" i="1" s="1"/>
  <c r="DM71" i="1"/>
  <c r="AL302" i="1"/>
  <c r="AM302" i="1" s="1"/>
  <c r="AL59" i="1"/>
  <c r="AM59" i="1" s="1"/>
  <c r="AL320" i="1"/>
  <c r="AM320" i="1" s="1"/>
  <c r="DK65" i="1"/>
  <c r="DL26" i="1"/>
  <c r="DJ71" i="1"/>
  <c r="AL265" i="1"/>
  <c r="AM265" i="1" s="1"/>
  <c r="AT221" i="1"/>
  <c r="AU221" i="1" s="1"/>
  <c r="AT43" i="1"/>
  <c r="AU43" i="1" s="1"/>
  <c r="AC241" i="1"/>
  <c r="AD241" i="1" s="1"/>
  <c r="AC13" i="1"/>
  <c r="AD13" i="1" s="1"/>
  <c r="AC16" i="1"/>
  <c r="AD16" i="1" s="1"/>
  <c r="DM48" i="1"/>
  <c r="DK26" i="1"/>
  <c r="DJ20" i="1"/>
  <c r="DM20" i="1"/>
  <c r="AT232" i="1"/>
  <c r="AU232" i="1" s="1"/>
  <c r="AL231" i="1"/>
  <c r="AM231" i="1" s="1"/>
  <c r="AC15" i="1"/>
  <c r="AD15" i="1" s="1"/>
  <c r="AT286" i="1"/>
  <c r="AU286" i="1" s="1"/>
  <c r="AC213" i="1"/>
  <c r="AD213" i="1" s="1"/>
  <c r="AT309" i="1"/>
  <c r="AU309" i="1" s="1"/>
  <c r="AT24" i="1"/>
  <c r="AU24" i="1" s="1"/>
  <c r="AL223" i="1"/>
  <c r="AM223" i="1" s="1"/>
  <c r="AT313" i="1"/>
  <c r="AU313" i="1" s="1"/>
  <c r="AC283" i="1"/>
  <c r="AD283" i="1" s="1"/>
  <c r="DK11" i="1"/>
  <c r="AT337" i="1"/>
  <c r="AU337" i="1" s="1"/>
  <c r="AL57" i="1"/>
  <c r="AM57" i="1" s="1"/>
  <c r="AC58" i="1"/>
  <c r="AD58" i="1" s="1"/>
  <c r="AC217" i="1"/>
  <c r="AD217" i="1" s="1"/>
  <c r="AC26" i="1"/>
  <c r="AD26" i="1" s="1"/>
  <c r="AT233" i="1"/>
  <c r="AU233" i="1" s="1"/>
  <c r="DL43" i="1"/>
  <c r="AC301" i="1"/>
  <c r="AD301" i="1" s="1"/>
  <c r="AG220" i="1"/>
  <c r="AE220" i="1"/>
  <c r="AG34" i="1"/>
  <c r="AE34" i="1"/>
  <c r="BZ34" i="1"/>
  <c r="CN34" i="1"/>
  <c r="CG34" i="1"/>
  <c r="BS34" i="1"/>
  <c r="AT341" i="1"/>
  <c r="AU341" i="1" s="1"/>
  <c r="CF25" i="1"/>
  <c r="DL25" i="1" s="1"/>
  <c r="AN25" i="1"/>
  <c r="BR25" i="1"/>
  <c r="DJ25" i="1" s="1"/>
  <c r="BY25" i="1"/>
  <c r="DK25" i="1" s="1"/>
  <c r="CM25" i="1"/>
  <c r="DM25" i="1" s="1"/>
  <c r="AP25" i="1"/>
  <c r="AT103" i="1"/>
  <c r="AU103" i="1" s="1"/>
  <c r="AL211" i="1"/>
  <c r="AM211" i="1" s="1"/>
  <c r="AC311" i="1"/>
  <c r="AD311" i="1" s="1"/>
  <c r="AG303" i="1"/>
  <c r="AE303" i="1"/>
  <c r="AX200" i="1"/>
  <c r="AV200" i="1"/>
  <c r="AV235" i="1"/>
  <c r="AX235" i="1"/>
  <c r="AG268" i="1"/>
  <c r="AE268" i="1"/>
  <c r="AC308" i="1"/>
  <c r="AD308" i="1" s="1"/>
  <c r="AG255" i="1"/>
  <c r="AE255" i="1"/>
  <c r="AT294" i="1"/>
  <c r="AU294" i="1" s="1"/>
  <c r="AC310" i="1"/>
  <c r="AD310" i="1" s="1"/>
  <c r="AP213" i="1"/>
  <c r="AN213" i="1"/>
  <c r="AT34" i="1"/>
  <c r="AU34" i="1" s="1"/>
  <c r="AT19" i="1"/>
  <c r="AU19" i="1" s="1"/>
  <c r="AT274" i="1"/>
  <c r="AU274" i="1" s="1"/>
  <c r="AX196" i="1"/>
  <c r="AV196" i="1"/>
  <c r="AC215" i="1"/>
  <c r="AD215" i="1" s="1"/>
  <c r="AT293" i="1"/>
  <c r="AU293" i="1" s="1"/>
  <c r="AT343" i="1"/>
  <c r="AU343" i="1" s="1"/>
  <c r="AP244" i="1"/>
  <c r="AN244" i="1"/>
  <c r="AG223" i="1"/>
  <c r="AE223" i="1"/>
  <c r="AL35" i="1"/>
  <c r="AM35" i="1" s="1"/>
  <c r="AE184" i="1"/>
  <c r="AG184" i="1"/>
  <c r="AT67" i="1"/>
  <c r="AU67" i="1" s="1"/>
  <c r="AN180" i="1"/>
  <c r="AP180" i="1"/>
  <c r="AT292" i="1"/>
  <c r="AU292" i="1" s="1"/>
  <c r="AL309" i="1"/>
  <c r="AM309" i="1" s="1"/>
  <c r="CF12" i="1"/>
  <c r="DL12" i="1" s="1"/>
  <c r="BR12" i="1"/>
  <c r="DJ12" i="1" s="1"/>
  <c r="BY12" i="1"/>
  <c r="DK12" i="1" s="1"/>
  <c r="AP12" i="1"/>
  <c r="AN12" i="1"/>
  <c r="CM12" i="1"/>
  <c r="DM12" i="1" s="1"/>
  <c r="AC314" i="1"/>
  <c r="AD314" i="1" s="1"/>
  <c r="AG41" i="1"/>
  <c r="AE41" i="1"/>
  <c r="BS41" i="1"/>
  <c r="CN41" i="1"/>
  <c r="BZ41" i="1"/>
  <c r="CG41" i="1"/>
  <c r="BS21" i="1"/>
  <c r="AE21" i="1"/>
  <c r="BZ21" i="1"/>
  <c r="AG21" i="1"/>
  <c r="CG21" i="1"/>
  <c r="CN21" i="1"/>
  <c r="AC22" i="1"/>
  <c r="AD22" i="1" s="1"/>
  <c r="AE197" i="1"/>
  <c r="AG197" i="1"/>
  <c r="AG257" i="1"/>
  <c r="AE257" i="1"/>
  <c r="AT297" i="1"/>
  <c r="AU297" i="1" s="1"/>
  <c r="AP199" i="1"/>
  <c r="AN199" i="1"/>
  <c r="AL301" i="1"/>
  <c r="AM301" i="1" s="1"/>
  <c r="DK31" i="1"/>
  <c r="DJ31" i="1"/>
  <c r="AC341" i="1"/>
  <c r="AD341" i="1" s="1"/>
  <c r="AL289" i="1"/>
  <c r="AM289" i="1" s="1"/>
  <c r="AC272" i="1"/>
  <c r="AD272" i="1" s="1"/>
  <c r="AT70" i="1"/>
  <c r="AU70" i="1" s="1"/>
  <c r="AL47" i="1"/>
  <c r="AM47" i="1" s="1"/>
  <c r="AG30" i="1"/>
  <c r="CN30" i="1"/>
  <c r="AE30" i="1"/>
  <c r="BZ30" i="1"/>
  <c r="CG30" i="1"/>
  <c r="BS30" i="1"/>
  <c r="AX57" i="1"/>
  <c r="AV57" i="1"/>
  <c r="CO57" i="1"/>
  <c r="BT57" i="1"/>
  <c r="CH57" i="1"/>
  <c r="CA57" i="1"/>
  <c r="AV53" i="1"/>
  <c r="CO53" i="1"/>
  <c r="CA53" i="1"/>
  <c r="CH53" i="1"/>
  <c r="BT53" i="1"/>
  <c r="AX53" i="1"/>
  <c r="AX315" i="1"/>
  <c r="AV315" i="1"/>
  <c r="AN225" i="1"/>
  <c r="AP225" i="1"/>
  <c r="AX64" i="1"/>
  <c r="CH64" i="1"/>
  <c r="CA64" i="1"/>
  <c r="BT64" i="1"/>
  <c r="AV64" i="1"/>
  <c r="CO64" i="1"/>
  <c r="AC305" i="1"/>
  <c r="AD305" i="1" s="1"/>
  <c r="AG179" i="1"/>
  <c r="AE179" i="1"/>
  <c r="AT291" i="1"/>
  <c r="AU291" i="1" s="1"/>
  <c r="AT271" i="1"/>
  <c r="AU271" i="1" s="1"/>
  <c r="AT253" i="1"/>
  <c r="AU253" i="1" s="1"/>
  <c r="AL27" i="1"/>
  <c r="AM27" i="1" s="1"/>
  <c r="AE250" i="1"/>
  <c r="AG250" i="1"/>
  <c r="AG10" i="1"/>
  <c r="CG10" i="1"/>
  <c r="AE10" i="1"/>
  <c r="BS10" i="1"/>
  <c r="CN10" i="1"/>
  <c r="BZ10" i="1"/>
  <c r="AX249" i="1"/>
  <c r="AV249" i="1"/>
  <c r="AT261" i="1"/>
  <c r="AU261" i="1" s="1"/>
  <c r="BY40" i="1"/>
  <c r="DK40" i="1" s="1"/>
  <c r="AN40" i="1"/>
  <c r="CM40" i="1"/>
  <c r="DM40" i="1" s="1"/>
  <c r="CF40" i="1"/>
  <c r="DL40" i="1" s="1"/>
  <c r="BR40" i="1"/>
  <c r="DJ40" i="1" s="1"/>
  <c r="AP40" i="1"/>
  <c r="AC65" i="1"/>
  <c r="AD65" i="1" s="1"/>
  <c r="AG321" i="1"/>
  <c r="AE321" i="1"/>
  <c r="AN197" i="1"/>
  <c r="AP197" i="1"/>
  <c r="AC300" i="1"/>
  <c r="AD300" i="1" s="1"/>
  <c r="AT277" i="1"/>
  <c r="AU277" i="1" s="1"/>
  <c r="AC304" i="1"/>
  <c r="AD304" i="1" s="1"/>
  <c r="AE207" i="1"/>
  <c r="AG207" i="1"/>
  <c r="AT242" i="1"/>
  <c r="AU242" i="1" s="1"/>
  <c r="AL215" i="1"/>
  <c r="AM215" i="1" s="1"/>
  <c r="AP340" i="1"/>
  <c r="AN340" i="1"/>
  <c r="AX267" i="1"/>
  <c r="AV267" i="1"/>
  <c r="AC282" i="1"/>
  <c r="AD282" i="1" s="1"/>
  <c r="CM10" i="1"/>
  <c r="DM10" i="1" s="1"/>
  <c r="AP10" i="1"/>
  <c r="BY10" i="1"/>
  <c r="DK10" i="1" s="1"/>
  <c r="AN10" i="1"/>
  <c r="CF10" i="1"/>
  <c r="DL10" i="1" s="1"/>
  <c r="BR10" i="1"/>
  <c r="DJ10" i="1" s="1"/>
  <c r="AN292" i="1"/>
  <c r="AP292" i="1"/>
  <c r="AL39" i="1"/>
  <c r="AM39" i="1" s="1"/>
  <c r="AL226" i="1"/>
  <c r="AM226" i="1" s="1"/>
  <c r="AL24" i="1"/>
  <c r="AM24" i="1" s="1"/>
  <c r="DJ53" i="1"/>
  <c r="AL239" i="1"/>
  <c r="AM239" i="1" s="1"/>
  <c r="DJ70" i="1"/>
  <c r="AC232" i="1"/>
  <c r="AD232" i="1" s="1"/>
  <c r="AT312" i="1"/>
  <c r="AU312" i="1" s="1"/>
  <c r="AT230" i="1"/>
  <c r="AU230" i="1" s="1"/>
  <c r="AT30" i="1"/>
  <c r="AU30" i="1" s="1"/>
  <c r="AL298" i="1"/>
  <c r="AM298" i="1" s="1"/>
  <c r="AT243" i="1"/>
  <c r="AU243" i="1" s="1"/>
  <c r="AN270" i="1" l="1"/>
  <c r="AE59" i="1"/>
  <c r="CA7" i="1"/>
  <c r="AN277" i="1"/>
  <c r="CH37" i="1"/>
  <c r="BR67" i="1"/>
  <c r="DJ67" i="1" s="1"/>
  <c r="CO35" i="1"/>
  <c r="AN272" i="1"/>
  <c r="AE262" i="1"/>
  <c r="BZ37" i="1"/>
  <c r="CM49" i="1"/>
  <c r="DM49" i="1" s="1"/>
  <c r="CH23" i="1"/>
  <c r="AN227" i="1"/>
  <c r="AV307" i="1"/>
  <c r="AV276" i="1"/>
  <c r="AG293" i="1"/>
  <c r="AN2" i="1"/>
  <c r="BS2" i="1"/>
  <c r="AL178" i="1"/>
  <c r="AM178" i="1" s="1"/>
  <c r="CF178" i="1" s="1"/>
  <c r="DL178" i="1" s="1"/>
  <c r="DM209" i="1"/>
  <c r="BT244" i="1"/>
  <c r="DM267" i="1"/>
  <c r="BZ59" i="1"/>
  <c r="BT37" i="1"/>
  <c r="CF335" i="1"/>
  <c r="DL335" i="1" s="1"/>
  <c r="DJ241" i="1"/>
  <c r="CN335" i="1"/>
  <c r="DJ267" i="1"/>
  <c r="AT346" i="1"/>
  <c r="AU346" i="1" s="1"/>
  <c r="AC202" i="1"/>
  <c r="AD202" i="1" s="1"/>
  <c r="BS202" i="1" s="1"/>
  <c r="AL6" i="1"/>
  <c r="AM6" i="1" s="1"/>
  <c r="AL352" i="1"/>
  <c r="AM352" i="1" s="1"/>
  <c r="AC194" i="1"/>
  <c r="AD194" i="1" s="1"/>
  <c r="AL186" i="1"/>
  <c r="AM186" i="1" s="1"/>
  <c r="AL28" i="1"/>
  <c r="AM28" i="1" s="1"/>
  <c r="AC342" i="1"/>
  <c r="AD342" i="1" s="1"/>
  <c r="CN342" i="1" s="1"/>
  <c r="AT184" i="1"/>
  <c r="AU184" i="1" s="1"/>
  <c r="DK200" i="1"/>
  <c r="AC244" i="1"/>
  <c r="AD244" i="1" s="1"/>
  <c r="BS244" i="1" s="1"/>
  <c r="AC6" i="1"/>
  <c r="AD6" i="1" s="1"/>
  <c r="CN6" i="1" s="1"/>
  <c r="AT41" i="1"/>
  <c r="AU41" i="1" s="1"/>
  <c r="AC201" i="1"/>
  <c r="AD201" i="1" s="1"/>
  <c r="CN201" i="1" s="1"/>
  <c r="CM345" i="1"/>
  <c r="DM345" i="1" s="1"/>
  <c r="CF345" i="1"/>
  <c r="DL345" i="1" s="1"/>
  <c r="BY345" i="1"/>
  <c r="DK345" i="1" s="1"/>
  <c r="CH41" i="1"/>
  <c r="BT41" i="1"/>
  <c r="AX41" i="1"/>
  <c r="CA41" i="1"/>
  <c r="AV41" i="1"/>
  <c r="CO41" i="1"/>
  <c r="CO62" i="1"/>
  <c r="CN59" i="1"/>
  <c r="AE219" i="1"/>
  <c r="AV284" i="1"/>
  <c r="AP294" i="1"/>
  <c r="BR184" i="1"/>
  <c r="DJ184" i="1" s="1"/>
  <c r="DL209" i="1"/>
  <c r="CH2" i="1"/>
  <c r="AT335" i="1"/>
  <c r="AU335" i="1" s="1"/>
  <c r="BR254" i="1"/>
  <c r="DJ254" i="1" s="1"/>
  <c r="CM254" i="1"/>
  <c r="DM254" i="1" s="1"/>
  <c r="AN297" i="1"/>
  <c r="AV270" i="1"/>
  <c r="AV2" i="1"/>
  <c r="AV62" i="1"/>
  <c r="AV302" i="1"/>
  <c r="AX304" i="1"/>
  <c r="CH36" i="1"/>
  <c r="AT295" i="1"/>
  <c r="AU295" i="1" s="1"/>
  <c r="AT183" i="1"/>
  <c r="AU183" i="1" s="1"/>
  <c r="CO183" i="1" s="1"/>
  <c r="AT49" i="1"/>
  <c r="AU49" i="1" s="1"/>
  <c r="AV36" i="1"/>
  <c r="AG201" i="1"/>
  <c r="BS6" i="1"/>
  <c r="CH201" i="1"/>
  <c r="BT201" i="1"/>
  <c r="AV201" i="1"/>
  <c r="AX201" i="1"/>
  <c r="CA201" i="1"/>
  <c r="CO201" i="1"/>
  <c r="BR201" i="1"/>
  <c r="DJ201" i="1" s="1"/>
  <c r="BY201" i="1"/>
  <c r="DK201" i="1" s="1"/>
  <c r="AX62" i="1"/>
  <c r="BT62" i="1"/>
  <c r="AV37" i="1"/>
  <c r="CA36" i="1"/>
  <c r="AG258" i="1"/>
  <c r="AV351" i="1"/>
  <c r="AE201" i="1"/>
  <c r="CG6" i="1"/>
  <c r="AT195" i="1"/>
  <c r="AU195" i="1" s="1"/>
  <c r="CA195" i="1" s="1"/>
  <c r="AC183" i="1"/>
  <c r="AD183" i="1" s="1"/>
  <c r="BZ183" i="1" s="1"/>
  <c r="AL349" i="1"/>
  <c r="AM349" i="1" s="1"/>
  <c r="AC348" i="1"/>
  <c r="AD348" i="1" s="1"/>
  <c r="BZ348" i="1" s="1"/>
  <c r="BZ184" i="1"/>
  <c r="DJ269" i="1"/>
  <c r="AC49" i="1"/>
  <c r="AD49" i="1" s="1"/>
  <c r="CH62" i="1"/>
  <c r="BT36" i="1"/>
  <c r="AE6" i="1"/>
  <c r="AC338" i="1"/>
  <c r="AD338" i="1" s="1"/>
  <c r="AC295" i="1"/>
  <c r="AD295" i="1" s="1"/>
  <c r="CG295" i="1" s="1"/>
  <c r="AL351" i="1"/>
  <c r="AM351" i="1" s="1"/>
  <c r="AP351" i="1" s="1"/>
  <c r="DL200" i="1"/>
  <c r="DM205" i="1"/>
  <c r="BR335" i="1"/>
  <c r="DJ335" i="1" s="1"/>
  <c r="CH244" i="1"/>
  <c r="CO184" i="1"/>
  <c r="AC181" i="1"/>
  <c r="AD181" i="1" s="1"/>
  <c r="CN181" i="1" s="1"/>
  <c r="AL41" i="1"/>
  <c r="AM41" i="1" s="1"/>
  <c r="AL328" i="1"/>
  <c r="AM328" i="1" s="1"/>
  <c r="AT328" i="1"/>
  <c r="AU328" i="1" s="1"/>
  <c r="CO36" i="1"/>
  <c r="AV39" i="1"/>
  <c r="BS18" i="1"/>
  <c r="CN62" i="1"/>
  <c r="AT321" i="1"/>
  <c r="AU321" i="1" s="1"/>
  <c r="CH321" i="1" s="1"/>
  <c r="AT348" i="1"/>
  <c r="AU348" i="1" s="1"/>
  <c r="BT348" i="1" s="1"/>
  <c r="AL324" i="1"/>
  <c r="AM324" i="1" s="1"/>
  <c r="AP324" i="1" s="1"/>
  <c r="AL338" i="1"/>
  <c r="AM338" i="1" s="1"/>
  <c r="AP338" i="1" s="1"/>
  <c r="AL317" i="1"/>
  <c r="AM317" i="1" s="1"/>
  <c r="BY317" i="1" s="1"/>
  <c r="DK317" i="1" s="1"/>
  <c r="CF201" i="1"/>
  <c r="DL201" i="1" s="1"/>
  <c r="BY335" i="1"/>
  <c r="DK335" i="1" s="1"/>
  <c r="DK179" i="1"/>
  <c r="BT184" i="1"/>
  <c r="AN278" i="1"/>
  <c r="CN18" i="1"/>
  <c r="AG18" i="1"/>
  <c r="AC195" i="1"/>
  <c r="AD195" i="1" s="1"/>
  <c r="CN195" i="1" s="1"/>
  <c r="AC325" i="1"/>
  <c r="AD325" i="1" s="1"/>
  <c r="BZ325" i="1" s="1"/>
  <c r="AC317" i="1"/>
  <c r="AD317" i="1" s="1"/>
  <c r="CG317" i="1" s="1"/>
  <c r="AT338" i="1"/>
  <c r="AU338" i="1" s="1"/>
  <c r="AL330" i="1"/>
  <c r="AM330" i="1" s="1"/>
  <c r="AC324" i="1"/>
  <c r="AD324" i="1" s="1"/>
  <c r="BS324" i="1" s="1"/>
  <c r="AT186" i="1"/>
  <c r="AU186" i="1" s="1"/>
  <c r="AX186" i="1" s="1"/>
  <c r="CO2" i="1"/>
  <c r="AC36" i="1"/>
  <c r="AD36" i="1" s="1"/>
  <c r="AE36" i="1" s="1"/>
  <c r="CG18" i="1"/>
  <c r="AG320" i="1"/>
  <c r="BS201" i="1"/>
  <c r="AX2" i="1"/>
  <c r="BZ201" i="1"/>
  <c r="BZ18" i="1"/>
  <c r="AL194" i="1"/>
  <c r="AM194" i="1" s="1"/>
  <c r="AC28" i="1"/>
  <c r="AD28" i="1" s="1"/>
  <c r="CG201" i="1"/>
  <c r="CN184" i="1"/>
  <c r="AT6" i="1"/>
  <c r="AU6" i="1" s="1"/>
  <c r="CO331" i="1"/>
  <c r="CA331" i="1"/>
  <c r="CH331" i="1"/>
  <c r="BT331" i="1"/>
  <c r="BT279" i="1"/>
  <c r="CO279" i="1"/>
  <c r="CA279" i="1"/>
  <c r="CH279" i="1"/>
  <c r="CF232" i="1"/>
  <c r="DL232" i="1" s="1"/>
  <c r="BR232" i="1"/>
  <c r="DJ232" i="1" s="1"/>
  <c r="CM232" i="1"/>
  <c r="DM232" i="1" s="1"/>
  <c r="BY232" i="1"/>
  <c r="DK232" i="1" s="1"/>
  <c r="CM317" i="1"/>
  <c r="DM317" i="1" s="1"/>
  <c r="CF317" i="1"/>
  <c r="DL317" i="1" s="1"/>
  <c r="AP317" i="1"/>
  <c r="AE347" i="1"/>
  <c r="BZ347" i="1"/>
  <c r="CN347" i="1"/>
  <c r="BS347" i="1"/>
  <c r="CG347" i="1"/>
  <c r="AG347" i="1"/>
  <c r="CA230" i="1"/>
  <c r="CO230" i="1"/>
  <c r="CH230" i="1"/>
  <c r="BT230" i="1"/>
  <c r="BY215" i="1"/>
  <c r="DK215" i="1" s="1"/>
  <c r="CF215" i="1"/>
  <c r="DL215" i="1" s="1"/>
  <c r="BR215" i="1"/>
  <c r="DJ215" i="1" s="1"/>
  <c r="CM215" i="1"/>
  <c r="DM215" i="1" s="1"/>
  <c r="CH232" i="1"/>
  <c r="CA232" i="1"/>
  <c r="CO232" i="1"/>
  <c r="BT232" i="1"/>
  <c r="BT308" i="1"/>
  <c r="CH308" i="1"/>
  <c r="CA308" i="1"/>
  <c r="CO308" i="1"/>
  <c r="BY262" i="1"/>
  <c r="DK262" i="1" s="1"/>
  <c r="CF262" i="1"/>
  <c r="DL262" i="1" s="1"/>
  <c r="CM262" i="1"/>
  <c r="DM262" i="1" s="1"/>
  <c r="BR262" i="1"/>
  <c r="DJ262" i="1" s="1"/>
  <c r="CF274" i="1"/>
  <c r="DL274" i="1" s="1"/>
  <c r="CM274" i="1"/>
  <c r="DM274" i="1" s="1"/>
  <c r="BY274" i="1"/>
  <c r="DK274" i="1" s="1"/>
  <c r="BR274" i="1"/>
  <c r="DJ274" i="1" s="1"/>
  <c r="CA238" i="1"/>
  <c r="BT238" i="1"/>
  <c r="CO238" i="1"/>
  <c r="CH238" i="1"/>
  <c r="BT310" i="1"/>
  <c r="CA310" i="1"/>
  <c r="CO310" i="1"/>
  <c r="CH310" i="1"/>
  <c r="BT305" i="1"/>
  <c r="CA305" i="1"/>
  <c r="CO305" i="1"/>
  <c r="CH305" i="1"/>
  <c r="CA231" i="1"/>
  <c r="CH231" i="1"/>
  <c r="CO231" i="1"/>
  <c r="BT231" i="1"/>
  <c r="CO318" i="1"/>
  <c r="CH318" i="1"/>
  <c r="BT318" i="1"/>
  <c r="CA318" i="1"/>
  <c r="CN280" i="1"/>
  <c r="CG280" i="1"/>
  <c r="BS280" i="1"/>
  <c r="BZ280" i="1"/>
  <c r="CO276" i="1"/>
  <c r="CH276" i="1"/>
  <c r="CA276" i="1"/>
  <c r="BT276" i="1"/>
  <c r="CA265" i="1"/>
  <c r="CH265" i="1"/>
  <c r="CO265" i="1"/>
  <c r="BT265" i="1"/>
  <c r="CO320" i="1"/>
  <c r="CA320" i="1"/>
  <c r="BT320" i="1"/>
  <c r="CH320" i="1"/>
  <c r="CA251" i="1"/>
  <c r="CH251" i="1"/>
  <c r="BT251" i="1"/>
  <c r="CO251" i="1"/>
  <c r="CG292" i="1"/>
  <c r="BS292" i="1"/>
  <c r="CN292" i="1"/>
  <c r="BZ292" i="1"/>
  <c r="BY210" i="1"/>
  <c r="DK210" i="1" s="1"/>
  <c r="CM210" i="1"/>
  <c r="DM210" i="1" s="1"/>
  <c r="BR210" i="1"/>
  <c r="DJ210" i="1" s="1"/>
  <c r="CF210" i="1"/>
  <c r="DL210" i="1" s="1"/>
  <c r="CG293" i="1"/>
  <c r="BS293" i="1"/>
  <c r="BZ293" i="1"/>
  <c r="CN293" i="1"/>
  <c r="CM350" i="1"/>
  <c r="DM350" i="1" s="1"/>
  <c r="BY350" i="1"/>
  <c r="DK350" i="1" s="1"/>
  <c r="BR350" i="1"/>
  <c r="DJ350" i="1" s="1"/>
  <c r="CF350" i="1"/>
  <c r="DL350" i="1" s="1"/>
  <c r="BY284" i="1"/>
  <c r="DK284" i="1" s="1"/>
  <c r="CF284" i="1"/>
  <c r="DL284" i="1" s="1"/>
  <c r="CM284" i="1"/>
  <c r="DM284" i="1" s="1"/>
  <c r="BR284" i="1"/>
  <c r="DJ284" i="1" s="1"/>
  <c r="BT290" i="1"/>
  <c r="CH290" i="1"/>
  <c r="CO290" i="1"/>
  <c r="CA290" i="1"/>
  <c r="AL195" i="1"/>
  <c r="AM195" i="1" s="1"/>
  <c r="AT324" i="1"/>
  <c r="AU324" i="1" s="1"/>
  <c r="AT344" i="1"/>
  <c r="AU344" i="1" s="1"/>
  <c r="AC336" i="1"/>
  <c r="AD336" i="1" s="1"/>
  <c r="AT317" i="1"/>
  <c r="AU317" i="1" s="1"/>
  <c r="AT203" i="1"/>
  <c r="AU203" i="1" s="1"/>
  <c r="AL321" i="1"/>
  <c r="AM321" i="1" s="1"/>
  <c r="AT206" i="1"/>
  <c r="AU206" i="1" s="1"/>
  <c r="CG318" i="1"/>
  <c r="BZ318" i="1"/>
  <c r="BS318" i="1"/>
  <c r="CN318" i="1"/>
  <c r="CA312" i="1"/>
  <c r="CH312" i="1"/>
  <c r="BT312" i="1"/>
  <c r="CO312" i="1"/>
  <c r="CO242" i="1"/>
  <c r="CH242" i="1"/>
  <c r="BT242" i="1"/>
  <c r="CA242" i="1"/>
  <c r="CM301" i="1"/>
  <c r="DM301" i="1" s="1"/>
  <c r="CF301" i="1"/>
  <c r="DL301" i="1" s="1"/>
  <c r="BY301" i="1"/>
  <c r="DK301" i="1" s="1"/>
  <c r="BR301" i="1"/>
  <c r="DJ301" i="1" s="1"/>
  <c r="BT337" i="1"/>
  <c r="CH337" i="1"/>
  <c r="CA337" i="1"/>
  <c r="CO337" i="1"/>
  <c r="BT217" i="1"/>
  <c r="CO217" i="1"/>
  <c r="CA217" i="1"/>
  <c r="CH217" i="1"/>
  <c r="CN265" i="1"/>
  <c r="CG265" i="1"/>
  <c r="BS265" i="1"/>
  <c r="BZ265" i="1"/>
  <c r="BT223" i="1"/>
  <c r="CO223" i="1"/>
  <c r="CA223" i="1"/>
  <c r="CH223" i="1"/>
  <c r="CF341" i="1"/>
  <c r="DL341" i="1" s="1"/>
  <c r="BR341" i="1"/>
  <c r="DJ341" i="1" s="1"/>
  <c r="CM341" i="1"/>
  <c r="DM341" i="1" s="1"/>
  <c r="BY341" i="1"/>
  <c r="DK341" i="1" s="1"/>
  <c r="BS319" i="1"/>
  <c r="BZ319" i="1"/>
  <c r="CG319" i="1"/>
  <c r="CN319" i="1"/>
  <c r="AX289" i="1"/>
  <c r="BS332" i="1"/>
  <c r="BZ332" i="1"/>
  <c r="CG332" i="1"/>
  <c r="CN332" i="1"/>
  <c r="CO213" i="1"/>
  <c r="CA213" i="1"/>
  <c r="BT213" i="1"/>
  <c r="CH213" i="1"/>
  <c r="BY270" i="1"/>
  <c r="DK270" i="1" s="1"/>
  <c r="BR270" i="1"/>
  <c r="DJ270" i="1" s="1"/>
  <c r="CM270" i="1"/>
  <c r="DM270" i="1" s="1"/>
  <c r="CF270" i="1"/>
  <c r="DL270" i="1" s="1"/>
  <c r="CA270" i="1"/>
  <c r="BT270" i="1"/>
  <c r="CO270" i="1"/>
  <c r="CH270" i="1"/>
  <c r="AE276" i="1"/>
  <c r="BZ276" i="1"/>
  <c r="CG276" i="1"/>
  <c r="BS276" i="1"/>
  <c r="CN276" i="1"/>
  <c r="CF238" i="1"/>
  <c r="DL238" i="1" s="1"/>
  <c r="CM238" i="1"/>
  <c r="DM238" i="1" s="1"/>
  <c r="BY238" i="1"/>
  <c r="DK238" i="1" s="1"/>
  <c r="BR238" i="1"/>
  <c r="DJ238" i="1" s="1"/>
  <c r="CG211" i="1"/>
  <c r="BS211" i="1"/>
  <c r="BZ211" i="1"/>
  <c r="CN211" i="1"/>
  <c r="CF263" i="1"/>
  <c r="DL263" i="1" s="1"/>
  <c r="BR263" i="1"/>
  <c r="DJ263" i="1" s="1"/>
  <c r="CM263" i="1"/>
  <c r="DM263" i="1" s="1"/>
  <c r="BY263" i="1"/>
  <c r="DK263" i="1" s="1"/>
  <c r="CG329" i="1"/>
  <c r="CN329" i="1"/>
  <c r="BS329" i="1"/>
  <c r="BZ329" i="1"/>
  <c r="CA351" i="1"/>
  <c r="BT351" i="1"/>
  <c r="CH351" i="1"/>
  <c r="CO351" i="1"/>
  <c r="BT195" i="1"/>
  <c r="CO195" i="1"/>
  <c r="AE195" i="1"/>
  <c r="CN183" i="1"/>
  <c r="DM189" i="1"/>
  <c r="DJ189" i="1"/>
  <c r="DL189" i="1"/>
  <c r="DK189" i="1"/>
  <c r="DJ253" i="1"/>
  <c r="DL253" i="1"/>
  <c r="DM253" i="1"/>
  <c r="DK253" i="1"/>
  <c r="AN353" i="1"/>
  <c r="AP353" i="1"/>
  <c r="CF353" i="1"/>
  <c r="DL353" i="1" s="1"/>
  <c r="BY353" i="1"/>
  <c r="DK353" i="1" s="1"/>
  <c r="CM353" i="1"/>
  <c r="DM353" i="1" s="1"/>
  <c r="BR353" i="1"/>
  <c r="DJ353" i="1" s="1"/>
  <c r="BS305" i="1"/>
  <c r="BZ305" i="1"/>
  <c r="CN305" i="1"/>
  <c r="CG305" i="1"/>
  <c r="CG230" i="1"/>
  <c r="CN230" i="1"/>
  <c r="BS230" i="1"/>
  <c r="BZ230" i="1"/>
  <c r="BZ289" i="1"/>
  <c r="BS289" i="1"/>
  <c r="CN289" i="1"/>
  <c r="CG289" i="1"/>
  <c r="CN232" i="1"/>
  <c r="CG232" i="1"/>
  <c r="BZ232" i="1"/>
  <c r="BS232" i="1"/>
  <c r="CO210" i="1"/>
  <c r="BT210" i="1"/>
  <c r="CA210" i="1"/>
  <c r="CH210" i="1"/>
  <c r="BY305" i="1"/>
  <c r="DK305" i="1" s="1"/>
  <c r="CM305" i="1"/>
  <c r="DM305" i="1" s="1"/>
  <c r="CF305" i="1"/>
  <c r="DL305" i="1" s="1"/>
  <c r="BR305" i="1"/>
  <c r="DJ305" i="1" s="1"/>
  <c r="AE275" i="1"/>
  <c r="CO256" i="1"/>
  <c r="CH256" i="1"/>
  <c r="CA256" i="1"/>
  <c r="BT256" i="1"/>
  <c r="BS298" i="1"/>
  <c r="CN298" i="1"/>
  <c r="BZ298" i="1"/>
  <c r="CG298" i="1"/>
  <c r="CG290" i="1"/>
  <c r="CN290" i="1"/>
  <c r="BZ290" i="1"/>
  <c r="BS290" i="1"/>
  <c r="CF277" i="1"/>
  <c r="DL277" i="1" s="1"/>
  <c r="BR277" i="1"/>
  <c r="DJ277" i="1" s="1"/>
  <c r="BY277" i="1"/>
  <c r="DK277" i="1" s="1"/>
  <c r="CM277" i="1"/>
  <c r="DM277" i="1" s="1"/>
  <c r="CM307" i="1"/>
  <c r="DM307" i="1" s="1"/>
  <c r="CF307" i="1"/>
  <c r="DL307" i="1" s="1"/>
  <c r="BY307" i="1"/>
  <c r="DK307" i="1" s="1"/>
  <c r="BR307" i="1"/>
  <c r="DJ307" i="1" s="1"/>
  <c r="BS262" i="1"/>
  <c r="BZ262" i="1"/>
  <c r="CG262" i="1"/>
  <c r="CN262" i="1"/>
  <c r="CH307" i="1"/>
  <c r="BT307" i="1"/>
  <c r="CO307" i="1"/>
  <c r="CA307" i="1"/>
  <c r="BZ273" i="1"/>
  <c r="BS273" i="1"/>
  <c r="CN273" i="1"/>
  <c r="CG273" i="1"/>
  <c r="BT311" i="1"/>
  <c r="CO311" i="1"/>
  <c r="CA311" i="1"/>
  <c r="CH311" i="1"/>
  <c r="BY220" i="1"/>
  <c r="DK220" i="1" s="1"/>
  <c r="CF220" i="1"/>
  <c r="DL220" i="1" s="1"/>
  <c r="BR220" i="1"/>
  <c r="DJ220" i="1" s="1"/>
  <c r="CM220" i="1"/>
  <c r="DM220" i="1" s="1"/>
  <c r="AC344" i="1"/>
  <c r="AD344" i="1" s="1"/>
  <c r="AT336" i="1"/>
  <c r="AU336" i="1" s="1"/>
  <c r="AC352" i="1"/>
  <c r="AD352" i="1" s="1"/>
  <c r="AL348" i="1"/>
  <c r="AM348" i="1" s="1"/>
  <c r="AL187" i="1"/>
  <c r="AM187" i="1" s="1"/>
  <c r="AC191" i="1"/>
  <c r="AD191" i="1" s="1"/>
  <c r="BT285" i="1"/>
  <c r="CO285" i="1"/>
  <c r="CA285" i="1"/>
  <c r="CH285" i="1"/>
  <c r="BZ310" i="1"/>
  <c r="BS310" i="1"/>
  <c r="CG310" i="1"/>
  <c r="CN310" i="1"/>
  <c r="CA341" i="1"/>
  <c r="CO341" i="1"/>
  <c r="BT341" i="1"/>
  <c r="CH341" i="1"/>
  <c r="BS283" i="1"/>
  <c r="BZ283" i="1"/>
  <c r="CN283" i="1"/>
  <c r="CG283" i="1"/>
  <c r="BR320" i="1"/>
  <c r="DJ320" i="1" s="1"/>
  <c r="CF320" i="1"/>
  <c r="DL320" i="1" s="1"/>
  <c r="BY320" i="1"/>
  <c r="CM320" i="1"/>
  <c r="DM320" i="1" s="1"/>
  <c r="CO259" i="1"/>
  <c r="CA259" i="1"/>
  <c r="CH259" i="1"/>
  <c r="BT259" i="1"/>
  <c r="AG289" i="1"/>
  <c r="CM242" i="1"/>
  <c r="DM242" i="1" s="1"/>
  <c r="BR242" i="1"/>
  <c r="DJ242" i="1" s="1"/>
  <c r="CF242" i="1"/>
  <c r="DL242" i="1" s="1"/>
  <c r="BY242" i="1"/>
  <c r="DK242" i="1" s="1"/>
  <c r="CM311" i="1"/>
  <c r="DM311" i="1" s="1"/>
  <c r="CF311" i="1"/>
  <c r="DL311" i="1" s="1"/>
  <c r="BR311" i="1"/>
  <c r="DJ311" i="1" s="1"/>
  <c r="BY311" i="1"/>
  <c r="DK311" i="1" s="1"/>
  <c r="CA219" i="1"/>
  <c r="CH219" i="1"/>
  <c r="BT219" i="1"/>
  <c r="CO219" i="1"/>
  <c r="AP219" i="1"/>
  <c r="BS258" i="1"/>
  <c r="CG258" i="1"/>
  <c r="BZ258" i="1"/>
  <c r="CN258" i="1"/>
  <c r="CN218" i="1"/>
  <c r="BZ218" i="1"/>
  <c r="CG218" i="1"/>
  <c r="BS218" i="1"/>
  <c r="BT303" i="1"/>
  <c r="CA303" i="1"/>
  <c r="CH303" i="1"/>
  <c r="CO303" i="1"/>
  <c r="CN328" i="1"/>
  <c r="BS328" i="1"/>
  <c r="CG328" i="1"/>
  <c r="BZ328" i="1"/>
  <c r="BY271" i="1"/>
  <c r="DK271" i="1" s="1"/>
  <c r="BR271" i="1"/>
  <c r="DJ271" i="1" s="1"/>
  <c r="CF271" i="1"/>
  <c r="DL271" i="1" s="1"/>
  <c r="CM271" i="1"/>
  <c r="DM271" i="1" s="1"/>
  <c r="CN277" i="1"/>
  <c r="BZ277" i="1"/>
  <c r="CG277" i="1"/>
  <c r="BS277" i="1"/>
  <c r="CG219" i="1"/>
  <c r="BS219" i="1"/>
  <c r="BZ219" i="1"/>
  <c r="CN219" i="1"/>
  <c r="CA281" i="1"/>
  <c r="CO281" i="1"/>
  <c r="BT281" i="1"/>
  <c r="CH281" i="1"/>
  <c r="CG313" i="1"/>
  <c r="BZ313" i="1"/>
  <c r="BS313" i="1"/>
  <c r="CN313" i="1"/>
  <c r="CA301" i="1"/>
  <c r="CH301" i="1"/>
  <c r="BT301" i="1"/>
  <c r="CO301" i="1"/>
  <c r="AN186" i="1"/>
  <c r="BR186" i="1"/>
  <c r="DJ186" i="1" s="1"/>
  <c r="BY186" i="1"/>
  <c r="DK186" i="1" s="1"/>
  <c r="CM186" i="1"/>
  <c r="DM186" i="1" s="1"/>
  <c r="CF186" i="1"/>
  <c r="DL186" i="1" s="1"/>
  <c r="AP186" i="1"/>
  <c r="CF324" i="1"/>
  <c r="DL324" i="1" s="1"/>
  <c r="BY324" i="1"/>
  <c r="DK324" i="1" s="1"/>
  <c r="AN324" i="1"/>
  <c r="AN338" i="1"/>
  <c r="BR338" i="1"/>
  <c r="DJ338" i="1" s="1"/>
  <c r="CM338" i="1"/>
  <c r="DM338" i="1" s="1"/>
  <c r="CF338" i="1"/>
  <c r="DL338" i="1" s="1"/>
  <c r="BS346" i="1"/>
  <c r="BZ346" i="1"/>
  <c r="AG346" i="1"/>
  <c r="AE346" i="1"/>
  <c r="CN346" i="1"/>
  <c r="CG346" i="1"/>
  <c r="DL235" i="1"/>
  <c r="DM235" i="1"/>
  <c r="DJ235" i="1"/>
  <c r="DK235" i="1"/>
  <c r="BS222" i="1"/>
  <c r="CG222" i="1"/>
  <c r="BZ222" i="1"/>
  <c r="CN222" i="1"/>
  <c r="BY28" i="1"/>
  <c r="DK28" i="1" s="1"/>
  <c r="CM28" i="1"/>
  <c r="DM28" i="1" s="1"/>
  <c r="AN28" i="1"/>
  <c r="BR28" i="1"/>
  <c r="DJ28" i="1" s="1"/>
  <c r="AP28" i="1"/>
  <c r="CF28" i="1"/>
  <c r="DL28" i="1" s="1"/>
  <c r="CA178" i="1"/>
  <c r="CO178" i="1"/>
  <c r="CH178" i="1"/>
  <c r="BT178" i="1"/>
  <c r="AX178" i="1"/>
  <c r="AV178" i="1"/>
  <c r="BS181" i="1"/>
  <c r="CG181" i="1"/>
  <c r="BZ181" i="1"/>
  <c r="BY239" i="1"/>
  <c r="DK239" i="1" s="1"/>
  <c r="CF239" i="1"/>
  <c r="CM239" i="1"/>
  <c r="DM239" i="1" s="1"/>
  <c r="BR239" i="1"/>
  <c r="DJ239" i="1" s="1"/>
  <c r="BR240" i="1"/>
  <c r="DJ240" i="1" s="1"/>
  <c r="CF240" i="1"/>
  <c r="DL240" i="1" s="1"/>
  <c r="BY240" i="1"/>
  <c r="DK240" i="1" s="1"/>
  <c r="CM240" i="1"/>
  <c r="DM240" i="1" s="1"/>
  <c r="CA300" i="1"/>
  <c r="CH300" i="1"/>
  <c r="BT300" i="1"/>
  <c r="CO300" i="1"/>
  <c r="CH260" i="1"/>
  <c r="BT260" i="1"/>
  <c r="CA260" i="1"/>
  <c r="CO260" i="1"/>
  <c r="CN307" i="1"/>
  <c r="BS307" i="1"/>
  <c r="BZ307" i="1"/>
  <c r="CG307" i="1"/>
  <c r="BY337" i="1"/>
  <c r="DK337" i="1" s="1"/>
  <c r="CF337" i="1"/>
  <c r="DL337" i="1" s="1"/>
  <c r="BR337" i="1"/>
  <c r="DJ337" i="1" s="1"/>
  <c r="CM337" i="1"/>
  <c r="DM337" i="1" s="1"/>
  <c r="CO284" i="1"/>
  <c r="CA284" i="1"/>
  <c r="CH284" i="1"/>
  <c r="BT284" i="1"/>
  <c r="BY306" i="1"/>
  <c r="DK306" i="1" s="1"/>
  <c r="CM306" i="1"/>
  <c r="DM306" i="1" s="1"/>
  <c r="CF306" i="1"/>
  <c r="DL306" i="1" s="1"/>
  <c r="BR306" i="1"/>
  <c r="DJ306" i="1" s="1"/>
  <c r="BR286" i="1"/>
  <c r="DJ286" i="1" s="1"/>
  <c r="CF286" i="1"/>
  <c r="DL286" i="1" s="1"/>
  <c r="BY286" i="1"/>
  <c r="DK286" i="1" s="1"/>
  <c r="CM286" i="1"/>
  <c r="DM286" i="1" s="1"/>
  <c r="BZ299" i="1"/>
  <c r="CN299" i="1"/>
  <c r="BS299" i="1"/>
  <c r="CG299" i="1"/>
  <c r="CF243" i="1"/>
  <c r="DL243" i="1" s="1"/>
  <c r="CM243" i="1"/>
  <c r="DM243" i="1" s="1"/>
  <c r="BR243" i="1"/>
  <c r="DJ243" i="1" s="1"/>
  <c r="BY243" i="1"/>
  <c r="DK243" i="1" s="1"/>
  <c r="CN337" i="1"/>
  <c r="BZ337" i="1"/>
  <c r="CG337" i="1"/>
  <c r="BS337" i="1"/>
  <c r="BR281" i="1"/>
  <c r="DJ281" i="1" s="1"/>
  <c r="BY281" i="1"/>
  <c r="CF281" i="1"/>
  <c r="DL281" i="1" s="1"/>
  <c r="CM281" i="1"/>
  <c r="DM281" i="1" s="1"/>
  <c r="CH225" i="1"/>
  <c r="CO225" i="1"/>
  <c r="CA225" i="1"/>
  <c r="BT225" i="1"/>
  <c r="CG281" i="1"/>
  <c r="BZ281" i="1"/>
  <c r="CN281" i="1"/>
  <c r="BS281" i="1"/>
  <c r="CF222" i="1"/>
  <c r="DL222" i="1" s="1"/>
  <c r="BR222" i="1"/>
  <c r="DJ222" i="1" s="1"/>
  <c r="CM222" i="1"/>
  <c r="DM222" i="1" s="1"/>
  <c r="BY222" i="1"/>
  <c r="DK222" i="1" s="1"/>
  <c r="AT191" i="1"/>
  <c r="AU191" i="1" s="1"/>
  <c r="DK320" i="1"/>
  <c r="AL62" i="1"/>
  <c r="AM62" i="1" s="1"/>
  <c r="AT347" i="1"/>
  <c r="AU347" i="1" s="1"/>
  <c r="AL346" i="1"/>
  <c r="AM346" i="1" s="1"/>
  <c r="AC349" i="1"/>
  <c r="AD349" i="1" s="1"/>
  <c r="AT181" i="1"/>
  <c r="AU181" i="1" s="1"/>
  <c r="AL347" i="1"/>
  <c r="AM347" i="1" s="1"/>
  <c r="AT207" i="1"/>
  <c r="AU207" i="1" s="1"/>
  <c r="AL203" i="1"/>
  <c r="AM203" i="1" s="1"/>
  <c r="AL207" i="1"/>
  <c r="AM207" i="1" s="1"/>
  <c r="CF231" i="1"/>
  <c r="DL231" i="1" s="1"/>
  <c r="BR231" i="1"/>
  <c r="DJ231" i="1" s="1"/>
  <c r="CM231" i="1"/>
  <c r="DM231" i="1" s="1"/>
  <c r="BY231" i="1"/>
  <c r="DK231" i="1" s="1"/>
  <c r="BT234" i="1"/>
  <c r="CA234" i="1"/>
  <c r="CO234" i="1"/>
  <c r="CH234" i="1"/>
  <c r="CM219" i="1"/>
  <c r="DM219" i="1" s="1"/>
  <c r="CF219" i="1"/>
  <c r="DL219" i="1" s="1"/>
  <c r="BR219" i="1"/>
  <c r="DJ219" i="1" s="1"/>
  <c r="BY219" i="1"/>
  <c r="DK219" i="1" s="1"/>
  <c r="AE289" i="1"/>
  <c r="CF309" i="1"/>
  <c r="DL309" i="1" s="1"/>
  <c r="BR309" i="1"/>
  <c r="DJ309" i="1" s="1"/>
  <c r="CM309" i="1"/>
  <c r="DM309" i="1" s="1"/>
  <c r="BY309" i="1"/>
  <c r="DK309" i="1" s="1"/>
  <c r="BT9" i="1"/>
  <c r="CF285" i="1"/>
  <c r="DL285" i="1" s="1"/>
  <c r="BR285" i="1"/>
  <c r="DJ285" i="1" s="1"/>
  <c r="CM285" i="1"/>
  <c r="DM285" i="1" s="1"/>
  <c r="BY285" i="1"/>
  <c r="DK285" i="1" s="1"/>
  <c r="CM217" i="1"/>
  <c r="DM217" i="1" s="1"/>
  <c r="BY217" i="1"/>
  <c r="DK217" i="1" s="1"/>
  <c r="BR217" i="1"/>
  <c r="DJ217" i="1" s="1"/>
  <c r="CF217" i="1"/>
  <c r="DL217" i="1" s="1"/>
  <c r="BY273" i="1"/>
  <c r="DK273" i="1" s="1"/>
  <c r="CF273" i="1"/>
  <c r="DL273" i="1" s="1"/>
  <c r="BR273" i="1"/>
  <c r="DJ273" i="1" s="1"/>
  <c r="CM273" i="1"/>
  <c r="DM273" i="1" s="1"/>
  <c r="CF266" i="1"/>
  <c r="DL266" i="1" s="1"/>
  <c r="CM266" i="1"/>
  <c r="DM266" i="1" s="1"/>
  <c r="BY266" i="1"/>
  <c r="DK266" i="1" s="1"/>
  <c r="BR266" i="1"/>
  <c r="DJ266" i="1" s="1"/>
  <c r="CN221" i="1"/>
  <c r="BZ221" i="1"/>
  <c r="CG221" i="1"/>
  <c r="BS221" i="1"/>
  <c r="CF310" i="1"/>
  <c r="DL310" i="1" s="1"/>
  <c r="CM310" i="1"/>
  <c r="DM310" i="1" s="1"/>
  <c r="BY310" i="1"/>
  <c r="DK310" i="1" s="1"/>
  <c r="BR310" i="1"/>
  <c r="DJ310" i="1" s="1"/>
  <c r="CO239" i="1"/>
  <c r="CA239" i="1"/>
  <c r="CH239" i="1"/>
  <c r="BT239" i="1"/>
  <c r="BS297" i="1"/>
  <c r="CG297" i="1"/>
  <c r="CN297" i="1"/>
  <c r="BZ297" i="1"/>
  <c r="CN278" i="1"/>
  <c r="BZ278" i="1"/>
  <c r="BS278" i="1"/>
  <c r="CG278" i="1"/>
  <c r="CG326" i="1"/>
  <c r="BZ326" i="1"/>
  <c r="CN326" i="1"/>
  <c r="BS326" i="1"/>
  <c r="BT302" i="1"/>
  <c r="CA302" i="1"/>
  <c r="CH302" i="1"/>
  <c r="CO302" i="1"/>
  <c r="BT304" i="1"/>
  <c r="CO304" i="1"/>
  <c r="CA304" i="1"/>
  <c r="CH304" i="1"/>
  <c r="BY251" i="1"/>
  <c r="DK251" i="1" s="1"/>
  <c r="CM251" i="1"/>
  <c r="DM251" i="1" s="1"/>
  <c r="CF251" i="1"/>
  <c r="DL251" i="1" s="1"/>
  <c r="BR251" i="1"/>
  <c r="DJ251" i="1" s="1"/>
  <c r="CM278" i="1"/>
  <c r="DM278" i="1" s="1"/>
  <c r="CF278" i="1"/>
  <c r="DL278" i="1" s="1"/>
  <c r="BR278" i="1"/>
  <c r="DJ278" i="1" s="1"/>
  <c r="BY278" i="1"/>
  <c r="DK278" i="1" s="1"/>
  <c r="CM297" i="1"/>
  <c r="DM297" i="1" s="1"/>
  <c r="BR297" i="1"/>
  <c r="DJ297" i="1" s="1"/>
  <c r="BY297" i="1"/>
  <c r="DK297" i="1" s="1"/>
  <c r="CF297" i="1"/>
  <c r="DL297" i="1" s="1"/>
  <c r="BY206" i="1"/>
  <c r="DK206" i="1" s="1"/>
  <c r="BR206" i="1"/>
  <c r="DJ206" i="1" s="1"/>
  <c r="CM206" i="1"/>
  <c r="DM206" i="1" s="1"/>
  <c r="CF206" i="1"/>
  <c r="DL206" i="1" s="1"/>
  <c r="BZ178" i="1"/>
  <c r="CG178" i="1"/>
  <c r="BS178" i="1"/>
  <c r="CN178" i="1"/>
  <c r="AG178" i="1"/>
  <c r="AE178" i="1"/>
  <c r="CN325" i="1"/>
  <c r="CG325" i="1"/>
  <c r="AE325" i="1"/>
  <c r="AG317" i="1"/>
  <c r="AE317" i="1"/>
  <c r="BZ317" i="1"/>
  <c r="CN317" i="1"/>
  <c r="AX338" i="1"/>
  <c r="BT338" i="1"/>
  <c r="CO338" i="1"/>
  <c r="CH338" i="1"/>
  <c r="AV338" i="1"/>
  <c r="CA338" i="1"/>
  <c r="DM212" i="1"/>
  <c r="DJ212" i="1"/>
  <c r="DK212" i="1"/>
  <c r="DL212" i="1"/>
  <c r="CN202" i="1"/>
  <c r="CG202" i="1"/>
  <c r="BZ202" i="1"/>
  <c r="DK281" i="1"/>
  <c r="DJ185" i="1"/>
  <c r="DM185" i="1"/>
  <c r="DL185" i="1"/>
  <c r="DK185" i="1"/>
  <c r="BS321" i="1"/>
  <c r="BZ321" i="1"/>
  <c r="CN321" i="1"/>
  <c r="CG321" i="1"/>
  <c r="AX346" i="1"/>
  <c r="AV346" i="1"/>
  <c r="CA346" i="1"/>
  <c r="BT346" i="1"/>
  <c r="CH346" i="1"/>
  <c r="CO346" i="1"/>
  <c r="BS194" i="1"/>
  <c r="CN194" i="1"/>
  <c r="BZ194" i="1"/>
  <c r="CG194" i="1"/>
  <c r="AP178" i="1"/>
  <c r="CM178" i="1"/>
  <c r="DM178" i="1" s="1"/>
  <c r="BR178" i="1"/>
  <c r="DJ178" i="1" s="1"/>
  <c r="BY178" i="1"/>
  <c r="DK178" i="1" s="1"/>
  <c r="CA9" i="1"/>
  <c r="CO277" i="1"/>
  <c r="CH277" i="1"/>
  <c r="CA277" i="1"/>
  <c r="BT277" i="1"/>
  <c r="BT343" i="1"/>
  <c r="CH343" i="1"/>
  <c r="CO343" i="1"/>
  <c r="CA343" i="1"/>
  <c r="CF223" i="1"/>
  <c r="DL223" i="1" s="1"/>
  <c r="BR223" i="1"/>
  <c r="DJ223" i="1" s="1"/>
  <c r="CM223" i="1"/>
  <c r="DM223" i="1" s="1"/>
  <c r="BY223" i="1"/>
  <c r="DK223" i="1" s="1"/>
  <c r="CF302" i="1"/>
  <c r="DL302" i="1" s="1"/>
  <c r="CM302" i="1"/>
  <c r="DM302" i="1" s="1"/>
  <c r="BY302" i="1"/>
  <c r="DK302" i="1" s="1"/>
  <c r="BR302" i="1"/>
  <c r="DJ302" i="1" s="1"/>
  <c r="BS340" i="1"/>
  <c r="BZ340" i="1"/>
  <c r="CG340" i="1"/>
  <c r="CN340" i="1"/>
  <c r="BR7" i="1"/>
  <c r="DJ7" i="1" s="1"/>
  <c r="BZ300" i="1"/>
  <c r="CN300" i="1"/>
  <c r="BS300" i="1"/>
  <c r="CG300" i="1"/>
  <c r="CH261" i="1"/>
  <c r="CO261" i="1"/>
  <c r="BT261" i="1"/>
  <c r="CA261" i="1"/>
  <c r="CA253" i="1"/>
  <c r="CH253" i="1"/>
  <c r="CO253" i="1"/>
  <c r="BT253" i="1"/>
  <c r="CO292" i="1"/>
  <c r="CH292" i="1"/>
  <c r="CA292" i="1"/>
  <c r="BT292" i="1"/>
  <c r="CO293" i="1"/>
  <c r="CA293" i="1"/>
  <c r="CH293" i="1"/>
  <c r="BT293" i="1"/>
  <c r="BS301" i="1"/>
  <c r="BZ301" i="1"/>
  <c r="CN301" i="1"/>
  <c r="CG301" i="1"/>
  <c r="AV9" i="1"/>
  <c r="BY296" i="1"/>
  <c r="DK296" i="1" s="1"/>
  <c r="BR296" i="1"/>
  <c r="DJ296" i="1" s="1"/>
  <c r="CF296" i="1"/>
  <c r="DL296" i="1" s="1"/>
  <c r="CM296" i="1"/>
  <c r="DM296" i="1" s="1"/>
  <c r="CH323" i="1"/>
  <c r="BT323" i="1"/>
  <c r="CA323" i="1"/>
  <c r="CO323" i="1"/>
  <c r="BS103" i="1"/>
  <c r="AN7" i="1"/>
  <c r="CG296" i="1"/>
  <c r="BS296" i="1"/>
  <c r="BZ296" i="1"/>
  <c r="CN296" i="1"/>
  <c r="AG211" i="1"/>
  <c r="CM294" i="1"/>
  <c r="DM294" i="1" s="1"/>
  <c r="BY294" i="1"/>
  <c r="DK294" i="1" s="1"/>
  <c r="BR294" i="1"/>
  <c r="DJ294" i="1" s="1"/>
  <c r="CF294" i="1"/>
  <c r="DL294" i="1" s="1"/>
  <c r="BZ320" i="1"/>
  <c r="CG320" i="1"/>
  <c r="CN320" i="1"/>
  <c r="BS320" i="1"/>
  <c r="AG329" i="1"/>
  <c r="CM334" i="1"/>
  <c r="DM334" i="1" s="1"/>
  <c r="BR334" i="1"/>
  <c r="DJ334" i="1" s="1"/>
  <c r="BY334" i="1"/>
  <c r="DK334" i="1" s="1"/>
  <c r="CF334" i="1"/>
  <c r="DL334" i="1" s="1"/>
  <c r="BT273" i="1"/>
  <c r="CH273" i="1"/>
  <c r="CO273" i="1"/>
  <c r="CA273" i="1"/>
  <c r="CF313" i="1"/>
  <c r="DL313" i="1" s="1"/>
  <c r="BY313" i="1"/>
  <c r="DK313" i="1" s="1"/>
  <c r="CM313" i="1"/>
  <c r="DM313" i="1" s="1"/>
  <c r="BR313" i="1"/>
  <c r="DJ313" i="1" s="1"/>
  <c r="CH299" i="1"/>
  <c r="CA299" i="1"/>
  <c r="BT299" i="1"/>
  <c r="CO299" i="1"/>
  <c r="BZ288" i="1"/>
  <c r="BS288" i="1"/>
  <c r="CN288" i="1"/>
  <c r="CG288" i="1"/>
  <c r="CF230" i="1"/>
  <c r="DL230" i="1" s="1"/>
  <c r="CM230" i="1"/>
  <c r="DM230" i="1" s="1"/>
  <c r="BY230" i="1"/>
  <c r="DK230" i="1" s="1"/>
  <c r="BR230" i="1"/>
  <c r="DJ230" i="1" s="1"/>
  <c r="CA327" i="1"/>
  <c r="BT327" i="1"/>
  <c r="CH327" i="1"/>
  <c r="CO327" i="1"/>
  <c r="CM304" i="1"/>
  <c r="DM304" i="1" s="1"/>
  <c r="CF304" i="1"/>
  <c r="DL304" i="1" s="1"/>
  <c r="BR304" i="1"/>
  <c r="DJ304" i="1" s="1"/>
  <c r="BY304" i="1"/>
  <c r="DK304" i="1" s="1"/>
  <c r="AT187" i="1"/>
  <c r="AU187" i="1" s="1"/>
  <c r="DL239" i="1"/>
  <c r="AT330" i="1"/>
  <c r="AU330" i="1" s="1"/>
  <c r="AC203" i="1"/>
  <c r="AD203" i="1" s="1"/>
  <c r="AT352" i="1"/>
  <c r="AU352" i="1" s="1"/>
  <c r="CM329" i="1"/>
  <c r="DM329" i="1" s="1"/>
  <c r="BY329" i="1"/>
  <c r="DK329" i="1" s="1"/>
  <c r="BR329" i="1"/>
  <c r="DJ329" i="1" s="1"/>
  <c r="CF329" i="1"/>
  <c r="DL329" i="1" s="1"/>
  <c r="AT202" i="1"/>
  <c r="AU202" i="1" s="1"/>
  <c r="AL183" i="1"/>
  <c r="AM183" i="1" s="1"/>
  <c r="AT342" i="1"/>
  <c r="AU342" i="1" s="1"/>
  <c r="AL342" i="1"/>
  <c r="AM342" i="1" s="1"/>
  <c r="AT353" i="1"/>
  <c r="AU353" i="1" s="1"/>
  <c r="BS312" i="1"/>
  <c r="BZ312" i="1"/>
  <c r="CN312" i="1"/>
  <c r="CG312" i="1"/>
  <c r="CO350" i="1"/>
  <c r="CH350" i="1"/>
  <c r="BT350" i="1"/>
  <c r="CA350" i="1"/>
  <c r="CH183" i="1"/>
  <c r="CA297" i="1"/>
  <c r="CO297" i="1"/>
  <c r="CH297" i="1"/>
  <c r="BT297" i="1"/>
  <c r="BT294" i="1"/>
  <c r="CH294" i="1"/>
  <c r="CA294" i="1"/>
  <c r="CO294" i="1"/>
  <c r="CM288" i="1"/>
  <c r="DM288" i="1" s="1"/>
  <c r="BR288" i="1"/>
  <c r="DJ288" i="1" s="1"/>
  <c r="BY288" i="1"/>
  <c r="DK288" i="1" s="1"/>
  <c r="CF288" i="1"/>
  <c r="DL288" i="1" s="1"/>
  <c r="CM226" i="1"/>
  <c r="DM226" i="1" s="1"/>
  <c r="BR226" i="1"/>
  <c r="DJ226" i="1" s="1"/>
  <c r="CF226" i="1"/>
  <c r="DL226" i="1" s="1"/>
  <c r="BY226" i="1"/>
  <c r="DK226" i="1" s="1"/>
  <c r="CN282" i="1"/>
  <c r="CG282" i="1"/>
  <c r="BZ282" i="1"/>
  <c r="BS282" i="1"/>
  <c r="CH271" i="1"/>
  <c r="CO271" i="1"/>
  <c r="BT271" i="1"/>
  <c r="CA271" i="1"/>
  <c r="BS272" i="1"/>
  <c r="CG272" i="1"/>
  <c r="CN272" i="1"/>
  <c r="BZ272" i="1"/>
  <c r="BS215" i="1"/>
  <c r="CN215" i="1"/>
  <c r="BZ215" i="1"/>
  <c r="CG215" i="1"/>
  <c r="BS308" i="1"/>
  <c r="BZ308" i="1"/>
  <c r="CG308" i="1"/>
  <c r="CN308" i="1"/>
  <c r="CF211" i="1"/>
  <c r="DL211" i="1" s="1"/>
  <c r="CM211" i="1"/>
  <c r="DM211" i="1" s="1"/>
  <c r="BY211" i="1"/>
  <c r="DK211" i="1" s="1"/>
  <c r="BR211" i="1"/>
  <c r="DJ211" i="1" s="1"/>
  <c r="CH309" i="1"/>
  <c r="BT309" i="1"/>
  <c r="CA309" i="1"/>
  <c r="CO309" i="1"/>
  <c r="CG241" i="1"/>
  <c r="BZ241" i="1"/>
  <c r="BS241" i="1"/>
  <c r="CN241" i="1"/>
  <c r="CM218" i="1"/>
  <c r="DM218" i="1" s="1"/>
  <c r="BY218" i="1"/>
  <c r="DK218" i="1" s="1"/>
  <c r="BR218" i="1"/>
  <c r="DJ218" i="1" s="1"/>
  <c r="CF218" i="1"/>
  <c r="DL218" i="1" s="1"/>
  <c r="CO9" i="1"/>
  <c r="AE103" i="1"/>
  <c r="BY7" i="1"/>
  <c r="DK7" i="1" s="1"/>
  <c r="AN232" i="1"/>
  <c r="BR276" i="1"/>
  <c r="DJ276" i="1" s="1"/>
  <c r="BY276" i="1"/>
  <c r="DK276" i="1" s="1"/>
  <c r="CF276" i="1"/>
  <c r="DL276" i="1" s="1"/>
  <c r="CM276" i="1"/>
  <c r="DM276" i="1" s="1"/>
  <c r="CO296" i="1"/>
  <c r="BT296" i="1"/>
  <c r="CH296" i="1"/>
  <c r="CA296" i="1"/>
  <c r="AP280" i="1"/>
  <c r="CH182" i="1"/>
  <c r="CO182" i="1"/>
  <c r="CA182" i="1"/>
  <c r="BT182" i="1"/>
  <c r="BT254" i="1"/>
  <c r="CH254" i="1"/>
  <c r="CA254" i="1"/>
  <c r="CO254" i="1"/>
  <c r="CG286" i="1"/>
  <c r="CN286" i="1"/>
  <c r="BZ286" i="1"/>
  <c r="BS286" i="1"/>
  <c r="CM260" i="1"/>
  <c r="DM260" i="1" s="1"/>
  <c r="CF260" i="1"/>
  <c r="DL260" i="1" s="1"/>
  <c r="BY260" i="1"/>
  <c r="DK260" i="1" s="1"/>
  <c r="BR260" i="1"/>
  <c r="DJ260" i="1" s="1"/>
  <c r="BS331" i="1"/>
  <c r="CG331" i="1"/>
  <c r="BZ331" i="1"/>
  <c r="CN331" i="1"/>
  <c r="BY227" i="1"/>
  <c r="DK227" i="1" s="1"/>
  <c r="CM227" i="1"/>
  <c r="DM227" i="1" s="1"/>
  <c r="CF227" i="1"/>
  <c r="DL227" i="1" s="1"/>
  <c r="BR227" i="1"/>
  <c r="DJ227" i="1" s="1"/>
  <c r="CF233" i="1"/>
  <c r="DL233" i="1" s="1"/>
  <c r="BY233" i="1"/>
  <c r="DK233" i="1" s="1"/>
  <c r="BR233" i="1"/>
  <c r="DJ233" i="1" s="1"/>
  <c r="CM233" i="1"/>
  <c r="DM233" i="1" s="1"/>
  <c r="CO241" i="1"/>
  <c r="CH241" i="1"/>
  <c r="BT241" i="1"/>
  <c r="CA241" i="1"/>
  <c r="CM327" i="1"/>
  <c r="DM327" i="1" s="1"/>
  <c r="CF327" i="1"/>
  <c r="DL327" i="1" s="1"/>
  <c r="BY327" i="1"/>
  <c r="DK327" i="1" s="1"/>
  <c r="BR327" i="1"/>
  <c r="DJ327" i="1" s="1"/>
  <c r="BY194" i="1"/>
  <c r="DK194" i="1" s="1"/>
  <c r="CM194" i="1"/>
  <c r="DM194" i="1" s="1"/>
  <c r="BR194" i="1"/>
  <c r="DJ194" i="1" s="1"/>
  <c r="CF194" i="1"/>
  <c r="DL194" i="1" s="1"/>
  <c r="AN194" i="1"/>
  <c r="AP194" i="1"/>
  <c r="AC187" i="1"/>
  <c r="AD187" i="1" s="1"/>
  <c r="BZ338" i="1"/>
  <c r="CG338" i="1"/>
  <c r="BS338" i="1"/>
  <c r="CN338" i="1"/>
  <c r="CN330" i="1"/>
  <c r="BS330" i="1"/>
  <c r="CG330" i="1"/>
  <c r="BZ330" i="1"/>
  <c r="AE330" i="1"/>
  <c r="AG330" i="1"/>
  <c r="CN348" i="1"/>
  <c r="AL181" i="1"/>
  <c r="AM181" i="1" s="1"/>
  <c r="CA280" i="1"/>
  <c r="CO280" i="1"/>
  <c r="CH280" i="1"/>
  <c r="BT280" i="1"/>
  <c r="BZ275" i="1"/>
  <c r="CG275" i="1"/>
  <c r="BS275" i="1"/>
  <c r="CN275" i="1"/>
  <c r="CM333" i="1"/>
  <c r="DM333" i="1" s="1"/>
  <c r="BR333" i="1"/>
  <c r="DJ333" i="1" s="1"/>
  <c r="BY333" i="1"/>
  <c r="DK333" i="1" s="1"/>
  <c r="CF333" i="1"/>
  <c r="DL333" i="1" s="1"/>
  <c r="AE295" i="1"/>
  <c r="AG295" i="1"/>
  <c r="CN295" i="1"/>
  <c r="BS295" i="1"/>
  <c r="BZ295" i="1"/>
  <c r="CO313" i="1"/>
  <c r="CH313" i="1"/>
  <c r="BT313" i="1"/>
  <c r="CA313" i="1"/>
  <c r="CO291" i="1"/>
  <c r="BT291" i="1"/>
  <c r="CH291" i="1"/>
  <c r="CA291" i="1"/>
  <c r="CF289" i="1"/>
  <c r="DL289" i="1" s="1"/>
  <c r="BY289" i="1"/>
  <c r="DK289" i="1" s="1"/>
  <c r="CM289" i="1"/>
  <c r="DM289" i="1" s="1"/>
  <c r="BR289" i="1"/>
  <c r="DJ289" i="1" s="1"/>
  <c r="CO233" i="1"/>
  <c r="CH233" i="1"/>
  <c r="BT233" i="1"/>
  <c r="CA233" i="1"/>
  <c r="AX9" i="1"/>
  <c r="CM234" i="1"/>
  <c r="DM234" i="1" s="1"/>
  <c r="BY234" i="1"/>
  <c r="DK234" i="1" s="1"/>
  <c r="CF234" i="1"/>
  <c r="DL234" i="1" s="1"/>
  <c r="BR234" i="1"/>
  <c r="DJ234" i="1" s="1"/>
  <c r="CG254" i="1"/>
  <c r="BZ254" i="1"/>
  <c r="BS254" i="1"/>
  <c r="CN254" i="1"/>
  <c r="AG103" i="1"/>
  <c r="CF7" i="1"/>
  <c r="DL7" i="1" s="1"/>
  <c r="AP232" i="1"/>
  <c r="CF291" i="1"/>
  <c r="DL291" i="1" s="1"/>
  <c r="BY291" i="1"/>
  <c r="DK291" i="1" s="1"/>
  <c r="CM291" i="1"/>
  <c r="DM291" i="1" s="1"/>
  <c r="BR291" i="1"/>
  <c r="DJ291" i="1" s="1"/>
  <c r="BR332" i="1"/>
  <c r="DJ332" i="1" s="1"/>
  <c r="CF332" i="1"/>
  <c r="DL332" i="1" s="1"/>
  <c r="CM332" i="1"/>
  <c r="DM332" i="1" s="1"/>
  <c r="BY332" i="1"/>
  <c r="DK332" i="1" s="1"/>
  <c r="CN210" i="1"/>
  <c r="BZ210" i="1"/>
  <c r="CG210" i="1"/>
  <c r="BS210" i="1"/>
  <c r="CA263" i="1"/>
  <c r="CO263" i="1"/>
  <c r="BT263" i="1"/>
  <c r="CH263" i="1"/>
  <c r="CF272" i="1"/>
  <c r="DL272" i="1" s="1"/>
  <c r="BR272" i="1"/>
  <c r="DJ272" i="1" s="1"/>
  <c r="BY272" i="1"/>
  <c r="DK272" i="1" s="1"/>
  <c r="CM272" i="1"/>
  <c r="DM272" i="1" s="1"/>
  <c r="CF256" i="1"/>
  <c r="DL256" i="1" s="1"/>
  <c r="BR256" i="1"/>
  <c r="DJ256" i="1" s="1"/>
  <c r="BY256" i="1"/>
  <c r="DK256" i="1" s="1"/>
  <c r="CM256" i="1"/>
  <c r="DM256" i="1" s="1"/>
  <c r="BY261" i="1"/>
  <c r="DK261" i="1" s="1"/>
  <c r="CF261" i="1"/>
  <c r="DL261" i="1" s="1"/>
  <c r="CM261" i="1"/>
  <c r="DM261" i="1" s="1"/>
  <c r="BR261" i="1"/>
  <c r="DJ261" i="1" s="1"/>
  <c r="CG315" i="1"/>
  <c r="CN315" i="1"/>
  <c r="BS315" i="1"/>
  <c r="BZ315" i="1"/>
  <c r="AX295" i="1"/>
  <c r="AV295" i="1"/>
  <c r="BT295" i="1"/>
  <c r="CH295" i="1"/>
  <c r="CA295" i="1"/>
  <c r="CO295" i="1"/>
  <c r="CO348" i="1"/>
  <c r="CA348" i="1"/>
  <c r="CH348" i="1"/>
  <c r="AN336" i="1"/>
  <c r="AP336" i="1"/>
  <c r="CF336" i="1"/>
  <c r="DL336" i="1" s="1"/>
  <c r="BR336" i="1"/>
  <c r="DJ336" i="1" s="1"/>
  <c r="BY336" i="1"/>
  <c r="DK336" i="1" s="1"/>
  <c r="CM336" i="1"/>
  <c r="DM336" i="1" s="1"/>
  <c r="BR191" i="1"/>
  <c r="DJ191" i="1" s="1"/>
  <c r="CF191" i="1"/>
  <c r="DL191" i="1" s="1"/>
  <c r="BY191" i="1"/>
  <c r="DK191" i="1" s="1"/>
  <c r="CM191" i="1"/>
  <c r="DM191" i="1" s="1"/>
  <c r="AN191" i="1"/>
  <c r="AP191" i="1"/>
  <c r="CN207" i="1"/>
  <c r="CG207" i="1"/>
  <c r="BZ207" i="1"/>
  <c r="BS207" i="1"/>
  <c r="CN28" i="1"/>
  <c r="BZ28" i="1"/>
  <c r="BS28" i="1"/>
  <c r="AE28" i="1"/>
  <c r="AG28" i="1"/>
  <c r="CG28" i="1"/>
  <c r="BY330" i="1"/>
  <c r="DK330" i="1" s="1"/>
  <c r="BR330" i="1"/>
  <c r="DJ330" i="1" s="1"/>
  <c r="CF330" i="1"/>
  <c r="DL330" i="1" s="1"/>
  <c r="CM330" i="1"/>
  <c r="DM330" i="1" s="1"/>
  <c r="CN324" i="1"/>
  <c r="CG324" i="1"/>
  <c r="BZ324" i="1"/>
  <c r="CO186" i="1"/>
  <c r="AV186" i="1"/>
  <c r="BT186" i="1"/>
  <c r="CA186" i="1"/>
  <c r="CH186" i="1"/>
  <c r="CO28" i="1"/>
  <c r="CH28" i="1"/>
  <c r="AX28" i="1"/>
  <c r="CA28" i="1"/>
  <c r="BT28" i="1"/>
  <c r="AV28" i="1"/>
  <c r="CH289" i="1"/>
  <c r="CO289" i="1"/>
  <c r="BT289" i="1"/>
  <c r="CA289" i="1"/>
  <c r="CN225" i="1"/>
  <c r="BS225" i="1"/>
  <c r="BZ225" i="1"/>
  <c r="CG225" i="1"/>
  <c r="CN304" i="1"/>
  <c r="BS304" i="1"/>
  <c r="CG304" i="1"/>
  <c r="BZ304" i="1"/>
  <c r="BZ213" i="1"/>
  <c r="CG213" i="1"/>
  <c r="CN213" i="1"/>
  <c r="BS213" i="1"/>
  <c r="CA243" i="1"/>
  <c r="BT243" i="1"/>
  <c r="CH243" i="1"/>
  <c r="CO243" i="1"/>
  <c r="BS341" i="1"/>
  <c r="CN341" i="1"/>
  <c r="BZ341" i="1"/>
  <c r="CG341" i="1"/>
  <c r="CH286" i="1"/>
  <c r="BT286" i="1"/>
  <c r="CA286" i="1"/>
  <c r="CO286" i="1"/>
  <c r="CH221" i="1"/>
  <c r="BT221" i="1"/>
  <c r="CA221" i="1"/>
  <c r="CO221" i="1"/>
  <c r="AG194" i="1"/>
  <c r="AN333" i="1"/>
  <c r="AE225" i="1"/>
  <c r="CN103" i="1"/>
  <c r="CM7" i="1"/>
  <c r="DM7" i="1" s="1"/>
  <c r="BS270" i="1"/>
  <c r="CG270" i="1"/>
  <c r="CN270" i="1"/>
  <c r="BZ270" i="1"/>
  <c r="BS231" i="1"/>
  <c r="BZ231" i="1"/>
  <c r="CG231" i="1"/>
  <c r="CN231" i="1"/>
  <c r="CO282" i="1"/>
  <c r="CA282" i="1"/>
  <c r="BT282" i="1"/>
  <c r="CH282" i="1"/>
  <c r="CO329" i="1"/>
  <c r="CH329" i="1"/>
  <c r="CA329" i="1"/>
  <c r="BT329" i="1"/>
  <c r="BZ306" i="1"/>
  <c r="CG306" i="1"/>
  <c r="BS306" i="1"/>
  <c r="CN306" i="1"/>
  <c r="BS302" i="1"/>
  <c r="CN302" i="1"/>
  <c r="CG302" i="1"/>
  <c r="BZ302" i="1"/>
  <c r="BS260" i="1"/>
  <c r="CN260" i="1"/>
  <c r="BZ260" i="1"/>
  <c r="CG260" i="1"/>
  <c r="BZ309" i="1"/>
  <c r="CN309" i="1"/>
  <c r="BS309" i="1"/>
  <c r="CG309" i="1"/>
  <c r="CO272" i="1"/>
  <c r="BT272" i="1"/>
  <c r="CA272" i="1"/>
  <c r="CH272" i="1"/>
  <c r="CO326" i="1"/>
  <c r="CA326" i="1"/>
  <c r="BT326" i="1"/>
  <c r="CH326" i="1"/>
  <c r="CO298" i="1"/>
  <c r="BT298" i="1"/>
  <c r="CH298" i="1"/>
  <c r="CA298" i="1"/>
  <c r="CN294" i="1"/>
  <c r="CG294" i="1"/>
  <c r="BZ294" i="1"/>
  <c r="BS294" i="1"/>
  <c r="CG327" i="1"/>
  <c r="BZ327" i="1"/>
  <c r="CN327" i="1"/>
  <c r="BS327" i="1"/>
  <c r="CM318" i="1"/>
  <c r="DM318" i="1" s="1"/>
  <c r="CF318" i="1"/>
  <c r="DL318" i="1" s="1"/>
  <c r="BR318" i="1"/>
  <c r="DJ318" i="1" s="1"/>
  <c r="BY318" i="1"/>
  <c r="DK318" i="1" s="1"/>
  <c r="AT349" i="1"/>
  <c r="AU349" i="1" s="1"/>
  <c r="AL36" i="1"/>
  <c r="AM36" i="1" s="1"/>
  <c r="AL344" i="1"/>
  <c r="AM344" i="1" s="1"/>
  <c r="AL295" i="1"/>
  <c r="AM295" i="1" s="1"/>
  <c r="DL293" i="1"/>
  <c r="DM293" i="1"/>
  <c r="DK293" i="1"/>
  <c r="DJ293" i="1"/>
  <c r="BY221" i="1"/>
  <c r="DK221" i="1" s="1"/>
  <c r="CF221" i="1"/>
  <c r="DL221" i="1" s="1"/>
  <c r="CM221" i="1"/>
  <c r="DM221" i="1" s="1"/>
  <c r="BR221" i="1"/>
  <c r="DJ221" i="1" s="1"/>
  <c r="AC206" i="1"/>
  <c r="AD206" i="1" s="1"/>
  <c r="AL325" i="1"/>
  <c r="AM325" i="1" s="1"/>
  <c r="CG233" i="1"/>
  <c r="BS233" i="1"/>
  <c r="BZ233" i="1"/>
  <c r="CN233" i="1"/>
  <c r="CF280" i="1"/>
  <c r="DL280" i="1" s="1"/>
  <c r="BY280" i="1"/>
  <c r="DK280" i="1" s="1"/>
  <c r="CM280" i="1"/>
  <c r="DM280" i="1" s="1"/>
  <c r="BR280" i="1"/>
  <c r="DJ280" i="1" s="1"/>
  <c r="CG311" i="1"/>
  <c r="BZ311" i="1"/>
  <c r="BS311" i="1"/>
  <c r="CN311" i="1"/>
  <c r="BR298" i="1"/>
  <c r="DJ298" i="1" s="1"/>
  <c r="CM298" i="1"/>
  <c r="DM298" i="1" s="1"/>
  <c r="BY298" i="1"/>
  <c r="DK298" i="1" s="1"/>
  <c r="CF298" i="1"/>
  <c r="DL298" i="1" s="1"/>
  <c r="BZ314" i="1"/>
  <c r="CN314" i="1"/>
  <c r="CG314" i="1"/>
  <c r="BS314" i="1"/>
  <c r="CA274" i="1"/>
  <c r="BT274" i="1"/>
  <c r="CH274" i="1"/>
  <c r="CO274" i="1"/>
  <c r="BS217" i="1"/>
  <c r="CG217" i="1"/>
  <c r="BZ217" i="1"/>
  <c r="CN217" i="1"/>
  <c r="BY265" i="1"/>
  <c r="DK265" i="1" s="1"/>
  <c r="CF265" i="1"/>
  <c r="DL265" i="1" s="1"/>
  <c r="BR265" i="1"/>
  <c r="DJ265" i="1" s="1"/>
  <c r="CM265" i="1"/>
  <c r="DM265" i="1" s="1"/>
  <c r="AG233" i="1"/>
  <c r="BR290" i="1"/>
  <c r="DJ290" i="1" s="1"/>
  <c r="CF290" i="1"/>
  <c r="DL290" i="1" s="1"/>
  <c r="CM290" i="1"/>
  <c r="DM290" i="1" s="1"/>
  <c r="BY290" i="1"/>
  <c r="DK290" i="1" s="1"/>
  <c r="AE194" i="1"/>
  <c r="CM308" i="1"/>
  <c r="DM308" i="1" s="1"/>
  <c r="BR308" i="1"/>
  <c r="DJ308" i="1" s="1"/>
  <c r="CF308" i="1"/>
  <c r="DL308" i="1" s="1"/>
  <c r="BY308" i="1"/>
  <c r="DK308" i="1" s="1"/>
  <c r="AP333" i="1"/>
  <c r="CN323" i="1"/>
  <c r="CG323" i="1"/>
  <c r="BZ323" i="1"/>
  <c r="BS323" i="1"/>
  <c r="BR299" i="1"/>
  <c r="DJ299" i="1" s="1"/>
  <c r="CM299" i="1"/>
  <c r="DM299" i="1" s="1"/>
  <c r="CF299" i="1"/>
  <c r="DL299" i="1" s="1"/>
  <c r="BY299" i="1"/>
  <c r="DK299" i="1" s="1"/>
  <c r="CO211" i="1"/>
  <c r="CA211" i="1"/>
  <c r="CH211" i="1"/>
  <c r="BT211" i="1"/>
  <c r="CO278" i="1"/>
  <c r="BT278" i="1"/>
  <c r="CH278" i="1"/>
  <c r="CA278" i="1"/>
  <c r="CM316" i="1"/>
  <c r="DM316" i="1" s="1"/>
  <c r="BR316" i="1"/>
  <c r="DJ316" i="1" s="1"/>
  <c r="BY316" i="1"/>
  <c r="DK316" i="1" s="1"/>
  <c r="CF316" i="1"/>
  <c r="DL316" i="1" s="1"/>
  <c r="CM214" i="1"/>
  <c r="DM214" i="1" s="1"/>
  <c r="BY214" i="1"/>
  <c r="DK214" i="1" s="1"/>
  <c r="BR214" i="1"/>
  <c r="DJ214" i="1" s="1"/>
  <c r="CF214" i="1"/>
  <c r="DL214" i="1" s="1"/>
  <c r="BR314" i="1"/>
  <c r="DJ314" i="1" s="1"/>
  <c r="CF314" i="1"/>
  <c r="DL314" i="1" s="1"/>
  <c r="BY314" i="1"/>
  <c r="DK314" i="1" s="1"/>
  <c r="CM314" i="1"/>
  <c r="DM314" i="1" s="1"/>
  <c r="CA314" i="1"/>
  <c r="CO314" i="1"/>
  <c r="BT314" i="1"/>
  <c r="CH314" i="1"/>
  <c r="BR282" i="1"/>
  <c r="DJ282" i="1" s="1"/>
  <c r="CM282" i="1"/>
  <c r="DM282" i="1" s="1"/>
  <c r="BY282" i="1"/>
  <c r="DK282" i="1" s="1"/>
  <c r="CF282" i="1"/>
  <c r="DL282" i="1" s="1"/>
  <c r="CA227" i="1"/>
  <c r="CH227" i="1"/>
  <c r="BT227" i="1"/>
  <c r="CO227" i="1"/>
  <c r="BY182" i="1"/>
  <c r="DK182" i="1" s="1"/>
  <c r="BR182" i="1"/>
  <c r="DJ182" i="1" s="1"/>
  <c r="CF182" i="1"/>
  <c r="DL182" i="1" s="1"/>
  <c r="CM182" i="1"/>
  <c r="DM182" i="1" s="1"/>
  <c r="CN285" i="1"/>
  <c r="BS285" i="1"/>
  <c r="BZ285" i="1"/>
  <c r="CG285" i="1"/>
  <c r="BS274" i="1"/>
  <c r="CG274" i="1"/>
  <c r="CN274" i="1"/>
  <c r="BZ274" i="1"/>
  <c r="BT288" i="1"/>
  <c r="CH288" i="1"/>
  <c r="CO288" i="1"/>
  <c r="CA288" i="1"/>
  <c r="CM312" i="1"/>
  <c r="DM312" i="1" s="1"/>
  <c r="BR312" i="1"/>
  <c r="DJ312" i="1" s="1"/>
  <c r="CF312" i="1"/>
  <c r="DL312" i="1" s="1"/>
  <c r="BY312" i="1"/>
  <c r="DK312" i="1" s="1"/>
  <c r="BZ271" i="1"/>
  <c r="CN271" i="1"/>
  <c r="CG271" i="1"/>
  <c r="BS271" i="1"/>
  <c r="CN291" i="1"/>
  <c r="BZ291" i="1"/>
  <c r="CG291" i="1"/>
  <c r="BS291" i="1"/>
  <c r="BS343" i="1"/>
  <c r="BZ343" i="1"/>
  <c r="CG343" i="1"/>
  <c r="CN343" i="1"/>
  <c r="BY300" i="1"/>
  <c r="DK300" i="1" s="1"/>
  <c r="CF300" i="1"/>
  <c r="DL300" i="1" s="1"/>
  <c r="BR300" i="1"/>
  <c r="DJ300" i="1" s="1"/>
  <c r="CM300" i="1"/>
  <c r="DM300" i="1" s="1"/>
  <c r="BR258" i="1"/>
  <c r="DJ258" i="1" s="1"/>
  <c r="CF258" i="1"/>
  <c r="DL258" i="1" s="1"/>
  <c r="BY258" i="1"/>
  <c r="DK258" i="1" s="1"/>
  <c r="CM258" i="1"/>
  <c r="DM258" i="1" s="1"/>
  <c r="CO322" i="1"/>
  <c r="CH322" i="1"/>
  <c r="BT322" i="1"/>
  <c r="CA322" i="1"/>
  <c r="AT194" i="1"/>
  <c r="AU194" i="1" s="1"/>
  <c r="AT325" i="1"/>
  <c r="AU325" i="1" s="1"/>
  <c r="AC186" i="1"/>
  <c r="AD186" i="1" s="1"/>
  <c r="CM352" i="1"/>
  <c r="DM352" i="1" s="1"/>
  <c r="CF352" i="1"/>
  <c r="DL352" i="1" s="1"/>
  <c r="AP352" i="1"/>
  <c r="AN352" i="1"/>
  <c r="BY352" i="1"/>
  <c r="DK352" i="1" s="1"/>
  <c r="BR352" i="1"/>
  <c r="DJ352" i="1" s="1"/>
  <c r="CF202" i="1"/>
  <c r="DL202" i="1" s="1"/>
  <c r="CM202" i="1"/>
  <c r="DM202" i="1" s="1"/>
  <c r="BY202" i="1"/>
  <c r="DK202" i="1" s="1"/>
  <c r="BR202" i="1"/>
  <c r="DJ202" i="1" s="1"/>
  <c r="AN349" i="1"/>
  <c r="AP349" i="1"/>
  <c r="BR349" i="1"/>
  <c r="DJ349" i="1" s="1"/>
  <c r="CM349" i="1"/>
  <c r="DM349" i="1" s="1"/>
  <c r="BY349" i="1"/>
  <c r="DK349" i="1" s="1"/>
  <c r="CF349" i="1"/>
  <c r="DL349" i="1" s="1"/>
  <c r="AC353" i="1"/>
  <c r="AD353" i="1" s="1"/>
  <c r="CA218" i="1"/>
  <c r="BT218" i="1"/>
  <c r="CO218" i="1"/>
  <c r="CH218" i="1"/>
  <c r="BS36" i="1"/>
  <c r="CG36" i="1"/>
  <c r="AC351" i="1"/>
  <c r="AD351" i="1" s="1"/>
  <c r="AT149" i="1"/>
  <c r="AU149" i="1" s="1"/>
  <c r="AC9" i="1"/>
  <c r="AD9" i="1" s="1"/>
  <c r="AC3" i="1"/>
  <c r="AD3" i="1" s="1"/>
  <c r="CN3" i="1" s="1"/>
  <c r="AT174" i="1"/>
  <c r="AU174" i="1" s="1"/>
  <c r="AV174" i="1" s="1"/>
  <c r="AC159" i="1"/>
  <c r="AD159" i="1" s="1"/>
  <c r="AC150" i="1"/>
  <c r="AD150" i="1" s="1"/>
  <c r="AL117" i="1"/>
  <c r="AM117" i="1" s="1"/>
  <c r="AN117" i="1" s="1"/>
  <c r="AL136" i="1"/>
  <c r="AM136" i="1" s="1"/>
  <c r="AL116" i="1"/>
  <c r="AM116" i="1" s="1"/>
  <c r="BY116" i="1" s="1"/>
  <c r="DK116" i="1" s="1"/>
  <c r="AC52" i="1"/>
  <c r="AD52" i="1" s="1"/>
  <c r="BS52" i="1" s="1"/>
  <c r="AT157" i="1"/>
  <c r="AU157" i="1" s="1"/>
  <c r="AT98" i="1"/>
  <c r="AU98" i="1" s="1"/>
  <c r="AT126" i="1"/>
  <c r="AU126" i="1" s="1"/>
  <c r="AV126" i="1" s="1"/>
  <c r="AL73" i="1"/>
  <c r="AM73" i="1" s="1"/>
  <c r="AN73" i="1" s="1"/>
  <c r="AC168" i="1"/>
  <c r="AD168" i="1" s="1"/>
  <c r="AT80" i="1"/>
  <c r="AU80" i="1" s="1"/>
  <c r="CO80" i="1" s="1"/>
  <c r="AT124" i="1"/>
  <c r="AU124" i="1" s="1"/>
  <c r="CH124" i="1" s="1"/>
  <c r="AL88" i="1"/>
  <c r="AM88" i="1" s="1"/>
  <c r="BY88" i="1" s="1"/>
  <c r="DK88" i="1" s="1"/>
  <c r="AL60" i="1"/>
  <c r="AM60" i="1" s="1"/>
  <c r="CM60" i="1" s="1"/>
  <c r="DM60" i="1" s="1"/>
  <c r="AT138" i="1"/>
  <c r="AU138" i="1" s="1"/>
  <c r="AC106" i="1"/>
  <c r="AD106" i="1" s="1"/>
  <c r="AT113" i="1"/>
  <c r="AU113" i="1" s="1"/>
  <c r="AL69" i="1"/>
  <c r="AM69" i="1" s="1"/>
  <c r="CF69" i="1" s="1"/>
  <c r="DL69" i="1" s="1"/>
  <c r="AC100" i="1"/>
  <c r="AD100" i="1" s="1"/>
  <c r="AT101" i="1"/>
  <c r="AU101" i="1" s="1"/>
  <c r="BT101" i="1" s="1"/>
  <c r="AC137" i="1"/>
  <c r="AD137" i="1" s="1"/>
  <c r="AE137" i="1" s="1"/>
  <c r="AT147" i="1"/>
  <c r="AU147" i="1" s="1"/>
  <c r="AV147" i="1" s="1"/>
  <c r="AL176" i="1"/>
  <c r="AM176" i="1" s="1"/>
  <c r="AL91" i="1"/>
  <c r="AM91" i="1" s="1"/>
  <c r="AT166" i="1"/>
  <c r="AU166" i="1" s="1"/>
  <c r="AX166" i="1" s="1"/>
  <c r="AT52" i="1"/>
  <c r="AU52" i="1" s="1"/>
  <c r="AV52" i="1" s="1"/>
  <c r="AC141" i="1"/>
  <c r="AD141" i="1" s="1"/>
  <c r="CG141" i="1" s="1"/>
  <c r="AC73" i="1"/>
  <c r="AD73" i="1" s="1"/>
  <c r="BZ73" i="1" s="1"/>
  <c r="AT154" i="1"/>
  <c r="AU154" i="1" s="1"/>
  <c r="AC124" i="1"/>
  <c r="AD124" i="1" s="1"/>
  <c r="CN124" i="1" s="1"/>
  <c r="AC138" i="1"/>
  <c r="AD138" i="1" s="1"/>
  <c r="AT106" i="1"/>
  <c r="AU106" i="1" s="1"/>
  <c r="AC74" i="1"/>
  <c r="AD74" i="1" s="1"/>
  <c r="AT144" i="1"/>
  <c r="AU144" i="1" s="1"/>
  <c r="AV144" i="1" s="1"/>
  <c r="AL172" i="1"/>
  <c r="AM172" i="1" s="1"/>
  <c r="BR172" i="1" s="1"/>
  <c r="DJ172" i="1" s="1"/>
  <c r="AC160" i="1"/>
  <c r="AD160" i="1" s="1"/>
  <c r="CN160" i="1" s="1"/>
  <c r="AT133" i="1"/>
  <c r="AU133" i="1" s="1"/>
  <c r="AX133" i="1" s="1"/>
  <c r="AT152" i="1"/>
  <c r="AU152" i="1" s="1"/>
  <c r="AT153" i="1"/>
  <c r="AU153" i="1" s="1"/>
  <c r="AT134" i="1"/>
  <c r="AU134" i="1" s="1"/>
  <c r="CO134" i="1" s="1"/>
  <c r="AT136" i="1"/>
  <c r="AU136" i="1" s="1"/>
  <c r="CO136" i="1" s="1"/>
  <c r="AC135" i="1"/>
  <c r="AD135" i="1" s="1"/>
  <c r="AC176" i="1"/>
  <c r="AD176" i="1" s="1"/>
  <c r="AL79" i="1"/>
  <c r="AM79" i="1" s="1"/>
  <c r="AC162" i="1"/>
  <c r="AD162" i="1" s="1"/>
  <c r="AL156" i="1"/>
  <c r="AM156" i="1" s="1"/>
  <c r="CM156" i="1" s="1"/>
  <c r="DM156" i="1" s="1"/>
  <c r="AT96" i="1"/>
  <c r="AU96" i="1" s="1"/>
  <c r="BT96" i="1" s="1"/>
  <c r="AL52" i="1"/>
  <c r="AM52" i="1" s="1"/>
  <c r="AP52" i="1" s="1"/>
  <c r="AT143" i="1"/>
  <c r="AU143" i="1" s="1"/>
  <c r="CH143" i="1" s="1"/>
  <c r="AT107" i="1"/>
  <c r="AU107" i="1" s="1"/>
  <c r="AT60" i="1"/>
  <c r="AU60" i="1" s="1"/>
  <c r="AC151" i="1"/>
  <c r="AD151" i="1" s="1"/>
  <c r="AG151" i="1" s="1"/>
  <c r="AL99" i="1"/>
  <c r="AM99" i="1" s="1"/>
  <c r="BR99" i="1" s="1"/>
  <c r="DJ99" i="1" s="1"/>
  <c r="AT72" i="1"/>
  <c r="AU72" i="1" s="1"/>
  <c r="BT72" i="1" s="1"/>
  <c r="AL83" i="1"/>
  <c r="AM83" i="1" s="1"/>
  <c r="AT168" i="1"/>
  <c r="AU168" i="1" s="1"/>
  <c r="AL107" i="1"/>
  <c r="AM107" i="1" s="1"/>
  <c r="AC88" i="1"/>
  <c r="AD88" i="1" s="1"/>
  <c r="CG88" i="1" s="1"/>
  <c r="AL138" i="1"/>
  <c r="AM138" i="1" s="1"/>
  <c r="AC165" i="1"/>
  <c r="AD165" i="1" s="1"/>
  <c r="BZ165" i="1" s="1"/>
  <c r="AL139" i="1"/>
  <c r="AM139" i="1" s="1"/>
  <c r="AP139" i="1" s="1"/>
  <c r="AC78" i="1"/>
  <c r="AD78" i="1" s="1"/>
  <c r="BZ78" i="1" s="1"/>
  <c r="AC152" i="1"/>
  <c r="AD152" i="1" s="1"/>
  <c r="CN152" i="1" s="1"/>
  <c r="AL76" i="1"/>
  <c r="AM76" i="1" s="1"/>
  <c r="AN76" i="1" s="1"/>
  <c r="AT92" i="1"/>
  <c r="AU92" i="1" s="1"/>
  <c r="AC170" i="1"/>
  <c r="AD170" i="1" s="1"/>
  <c r="BZ170" i="1" s="1"/>
  <c r="AL165" i="1"/>
  <c r="AM165" i="1" s="1"/>
  <c r="AL140" i="1"/>
  <c r="AM140" i="1" s="1"/>
  <c r="AN140" i="1" s="1"/>
  <c r="AL130" i="1"/>
  <c r="AM130" i="1" s="1"/>
  <c r="CF130" i="1" s="1"/>
  <c r="DL130" i="1" s="1"/>
  <c r="AT97" i="1"/>
  <c r="AU97" i="1" s="1"/>
  <c r="AL154" i="1"/>
  <c r="AM154" i="1" s="1"/>
  <c r="AN154" i="1" s="1"/>
  <c r="AC173" i="1"/>
  <c r="AD173" i="1" s="1"/>
  <c r="AL151" i="1"/>
  <c r="AM151" i="1" s="1"/>
  <c r="CF151" i="1" s="1"/>
  <c r="DL151" i="1" s="1"/>
  <c r="AL101" i="1"/>
  <c r="AM101" i="1" s="1"/>
  <c r="BY101" i="1" s="1"/>
  <c r="DK101" i="1" s="1"/>
  <c r="AC146" i="1"/>
  <c r="AD146" i="1" s="1"/>
  <c r="AT176" i="1"/>
  <c r="AU176" i="1" s="1"/>
  <c r="CH176" i="1" s="1"/>
  <c r="AC119" i="1"/>
  <c r="AD119" i="1" s="1"/>
  <c r="BZ119" i="1" s="1"/>
  <c r="AC79" i="1"/>
  <c r="AD79" i="1" s="1"/>
  <c r="AC154" i="1"/>
  <c r="AD154" i="1" s="1"/>
  <c r="AL143" i="1"/>
  <c r="AM143" i="1" s="1"/>
  <c r="AT75" i="1"/>
  <c r="AU75" i="1" s="1"/>
  <c r="AC114" i="1"/>
  <c r="AD114" i="1" s="1"/>
  <c r="BS114" i="1" s="1"/>
  <c r="AL74" i="1"/>
  <c r="AM74" i="1" s="1"/>
  <c r="AL174" i="1"/>
  <c r="AM174" i="1" s="1"/>
  <c r="BY174" i="1" s="1"/>
  <c r="DK174" i="1" s="1"/>
  <c r="AC145" i="1"/>
  <c r="AD145" i="1" s="1"/>
  <c r="CG145" i="1" s="1"/>
  <c r="AT77" i="1"/>
  <c r="AU77" i="1" s="1"/>
  <c r="BT77" i="1" s="1"/>
  <c r="AL81" i="1"/>
  <c r="AM81" i="1" s="1"/>
  <c r="CF81" i="1" s="1"/>
  <c r="DL81" i="1" s="1"/>
  <c r="AT142" i="1"/>
  <c r="AU142" i="1" s="1"/>
  <c r="BT142" i="1" s="1"/>
  <c r="AC133" i="1"/>
  <c r="AD133" i="1" s="1"/>
  <c r="AL84" i="1"/>
  <c r="AM84" i="1" s="1"/>
  <c r="AN84" i="1" s="1"/>
  <c r="AL152" i="1"/>
  <c r="AM152" i="1" s="1"/>
  <c r="CM152" i="1" s="1"/>
  <c r="DM152" i="1" s="1"/>
  <c r="AL38" i="1"/>
  <c r="AM38" i="1" s="1"/>
  <c r="AC117" i="1"/>
  <c r="AD117" i="1" s="1"/>
  <c r="AT111" i="1"/>
  <c r="AU111" i="1" s="1"/>
  <c r="AL146" i="1"/>
  <c r="AM146" i="1" s="1"/>
  <c r="AC92" i="1"/>
  <c r="AD92" i="1" s="1"/>
  <c r="CN92" i="1" s="1"/>
  <c r="AT122" i="1"/>
  <c r="AU122" i="1" s="1"/>
  <c r="CA122" i="1" s="1"/>
  <c r="AT148" i="1"/>
  <c r="AU148" i="1" s="1"/>
  <c r="BT148" i="1" s="1"/>
  <c r="AL119" i="1"/>
  <c r="AM119" i="1" s="1"/>
  <c r="CF119" i="1" s="1"/>
  <c r="DL119" i="1" s="1"/>
  <c r="AC167" i="1"/>
  <c r="AD167" i="1" s="1"/>
  <c r="BS167" i="1" s="1"/>
  <c r="AT85" i="1"/>
  <c r="AU85" i="1" s="1"/>
  <c r="AT56" i="1"/>
  <c r="AU56" i="1" s="1"/>
  <c r="AC149" i="1"/>
  <c r="AD149" i="1" s="1"/>
  <c r="AC130" i="1"/>
  <c r="AD130" i="1" s="1"/>
  <c r="AE130" i="1" s="1"/>
  <c r="AC97" i="1"/>
  <c r="AD97" i="1" s="1"/>
  <c r="AC126" i="1"/>
  <c r="AD126" i="1" s="1"/>
  <c r="AL173" i="1"/>
  <c r="AM173" i="1" s="1"/>
  <c r="AC75" i="1"/>
  <c r="AD75" i="1" s="1"/>
  <c r="BZ75" i="1" s="1"/>
  <c r="AC112" i="1"/>
  <c r="AD112" i="1" s="1"/>
  <c r="AL106" i="1"/>
  <c r="AM106" i="1" s="1"/>
  <c r="AT131" i="1"/>
  <c r="AU131" i="1" s="1"/>
  <c r="AL77" i="1"/>
  <c r="AM77" i="1" s="1"/>
  <c r="BY77" i="1" s="1"/>
  <c r="DK77" i="1" s="1"/>
  <c r="AT150" i="1"/>
  <c r="AU150" i="1" s="1"/>
  <c r="AV150" i="1" s="1"/>
  <c r="AL134" i="1"/>
  <c r="AM134" i="1" s="1"/>
  <c r="AT177" i="1"/>
  <c r="AU177" i="1" s="1"/>
  <c r="AC122" i="1"/>
  <c r="AD122" i="1" s="1"/>
  <c r="AT79" i="1"/>
  <c r="AU79" i="1" s="1"/>
  <c r="AT100" i="1"/>
  <c r="AU100" i="1" s="1"/>
  <c r="AX100" i="1" s="1"/>
  <c r="AN5" i="1"/>
  <c r="BR5" i="1"/>
  <c r="DJ5" i="1" s="1"/>
  <c r="CF5" i="1"/>
  <c r="DL5" i="1" s="1"/>
  <c r="BY5" i="1"/>
  <c r="DK5" i="1" s="1"/>
  <c r="AP5" i="1"/>
  <c r="CM5" i="1"/>
  <c r="DM5" i="1" s="1"/>
  <c r="AT74" i="1"/>
  <c r="AU74" i="1" s="1"/>
  <c r="BT74" i="1" s="1"/>
  <c r="AL144" i="1"/>
  <c r="AM144" i="1" s="1"/>
  <c r="CF144" i="1" s="1"/>
  <c r="DL144" i="1" s="1"/>
  <c r="AC69" i="1"/>
  <c r="AD69" i="1" s="1"/>
  <c r="CN69" i="1" s="1"/>
  <c r="AT145" i="1"/>
  <c r="AU145" i="1" s="1"/>
  <c r="AC153" i="1"/>
  <c r="AD153" i="1" s="1"/>
  <c r="AE153" i="1" s="1"/>
  <c r="AL137" i="1"/>
  <c r="AM137" i="1" s="1"/>
  <c r="AP137" i="1" s="1"/>
  <c r="AC134" i="1"/>
  <c r="AD134" i="1" s="1"/>
  <c r="BS134" i="1" s="1"/>
  <c r="AC177" i="1"/>
  <c r="AD177" i="1" s="1"/>
  <c r="CG177" i="1" s="1"/>
  <c r="AL147" i="1"/>
  <c r="AM147" i="1" s="1"/>
  <c r="BY147" i="1" s="1"/>
  <c r="DK147" i="1" s="1"/>
  <c r="AT155" i="1"/>
  <c r="AU155" i="1" s="1"/>
  <c r="AV155" i="1" s="1"/>
  <c r="AC85" i="1"/>
  <c r="AD85" i="1" s="1"/>
  <c r="AE85" i="1" s="1"/>
  <c r="AC56" i="1"/>
  <c r="AD56" i="1" s="1"/>
  <c r="AT114" i="1"/>
  <c r="AU114" i="1" s="1"/>
  <c r="AV114" i="1" s="1"/>
  <c r="AL105" i="1"/>
  <c r="AM105" i="1" s="1"/>
  <c r="AN105" i="1" s="1"/>
  <c r="AL3" i="1"/>
  <c r="AM3" i="1" s="1"/>
  <c r="AC72" i="1"/>
  <c r="AD72" i="1" s="1"/>
  <c r="AL118" i="1"/>
  <c r="AM118" i="1" s="1"/>
  <c r="AN118" i="1" s="1"/>
  <c r="AC81" i="1"/>
  <c r="AD81" i="1" s="1"/>
  <c r="AL4" i="1"/>
  <c r="AM4" i="1" s="1"/>
  <c r="BR4" i="1" s="1"/>
  <c r="DJ4" i="1" s="1"/>
  <c r="AC115" i="1"/>
  <c r="AD115" i="1" s="1"/>
  <c r="AG115" i="1" s="1"/>
  <c r="AT164" i="1"/>
  <c r="AU164" i="1" s="1"/>
  <c r="AX164" i="1" s="1"/>
  <c r="AC101" i="1"/>
  <c r="AD101" i="1" s="1"/>
  <c r="BS101" i="1" s="1"/>
  <c r="AL150" i="1"/>
  <c r="AM150" i="1" s="1"/>
  <c r="AN150" i="1" s="1"/>
  <c r="AL128" i="1"/>
  <c r="AM128" i="1" s="1"/>
  <c r="CF128" i="1" s="1"/>
  <c r="DL128" i="1" s="1"/>
  <c r="AC147" i="1"/>
  <c r="AD147" i="1" s="1"/>
  <c r="BS147" i="1" s="1"/>
  <c r="AL92" i="1"/>
  <c r="AM92" i="1" s="1"/>
  <c r="AT87" i="1"/>
  <c r="AU87" i="1" s="1"/>
  <c r="AC91" i="1"/>
  <c r="AD91" i="1" s="1"/>
  <c r="AG91" i="1" s="1"/>
  <c r="AL155" i="1"/>
  <c r="AM155" i="1" s="1"/>
  <c r="AL85" i="1"/>
  <c r="AM85" i="1" s="1"/>
  <c r="AL56" i="1"/>
  <c r="AM56" i="1" s="1"/>
  <c r="BY56" i="1" s="1"/>
  <c r="DK56" i="1" s="1"/>
  <c r="AL100" i="1"/>
  <c r="AM100" i="1" s="1"/>
  <c r="AC172" i="1"/>
  <c r="AD172" i="1" s="1"/>
  <c r="BZ172" i="1" s="1"/>
  <c r="AC4" i="1"/>
  <c r="AD4" i="1" s="1"/>
  <c r="CN4" i="1" s="1"/>
  <c r="AT89" i="1"/>
  <c r="AU89" i="1" s="1"/>
  <c r="AT135" i="1"/>
  <c r="AU135" i="1" s="1"/>
  <c r="AL122" i="1"/>
  <c r="AM122" i="1" s="1"/>
  <c r="AP122" i="1" s="1"/>
  <c r="AT91" i="1"/>
  <c r="AU91" i="1" s="1"/>
  <c r="AC96" i="1"/>
  <c r="AD96" i="1" s="1"/>
  <c r="BS96" i="1" s="1"/>
  <c r="AL127" i="1"/>
  <c r="AM127" i="1" s="1"/>
  <c r="AL78" i="1"/>
  <c r="AM78" i="1" s="1"/>
  <c r="AC163" i="1"/>
  <c r="AD163" i="1" s="1"/>
  <c r="AC98" i="1"/>
  <c r="AD98" i="1" s="1"/>
  <c r="AC143" i="1"/>
  <c r="AD143" i="1" s="1"/>
  <c r="AL124" i="1"/>
  <c r="AM124" i="1" s="1"/>
  <c r="AT82" i="1"/>
  <c r="AU82" i="1" s="1"/>
  <c r="AT112" i="1"/>
  <c r="AU112" i="1" s="1"/>
  <c r="CH74" i="1"/>
  <c r="AE69" i="1"/>
  <c r="BS69" i="1"/>
  <c r="BZ69" i="1"/>
  <c r="AG69" i="1"/>
  <c r="AC158" i="1"/>
  <c r="AD158" i="1" s="1"/>
  <c r="AT160" i="1"/>
  <c r="AU160" i="1" s="1"/>
  <c r="AL171" i="1"/>
  <c r="AM171" i="1" s="1"/>
  <c r="AC84" i="1"/>
  <c r="AD84" i="1" s="1"/>
  <c r="AP266" i="1"/>
  <c r="AN266" i="1"/>
  <c r="BS153" i="1"/>
  <c r="AG153" i="1"/>
  <c r="AG134" i="1"/>
  <c r="AE134" i="1"/>
  <c r="BS177" i="1"/>
  <c r="AG177" i="1"/>
  <c r="BZ177" i="1"/>
  <c r="AE177" i="1"/>
  <c r="CM147" i="1"/>
  <c r="DM147" i="1" s="1"/>
  <c r="CF147" i="1"/>
  <c r="DL147" i="1" s="1"/>
  <c r="AC109" i="1"/>
  <c r="AD109" i="1" s="1"/>
  <c r="AL175" i="1"/>
  <c r="AM175" i="1" s="1"/>
  <c r="AV329" i="1"/>
  <c r="AX329" i="1"/>
  <c r="BZ85" i="1"/>
  <c r="AG85" i="1"/>
  <c r="CG114" i="1"/>
  <c r="CN114" i="1"/>
  <c r="BR174" i="1"/>
  <c r="DJ174" i="1" s="1"/>
  <c r="CM174" i="1"/>
  <c r="DM174" i="1" s="1"/>
  <c r="CF174" i="1"/>
  <c r="DL174" i="1" s="1"/>
  <c r="AN174" i="1"/>
  <c r="AG145" i="1"/>
  <c r="AP81" i="1"/>
  <c r="AN81" i="1"/>
  <c r="BY81" i="1"/>
  <c r="DK81" i="1" s="1"/>
  <c r="CO142" i="1"/>
  <c r="AV142" i="1"/>
  <c r="CM84" i="1"/>
  <c r="DM84" i="1" s="1"/>
  <c r="BY84" i="1"/>
  <c r="DK84" i="1" s="1"/>
  <c r="AN152" i="1"/>
  <c r="AP152" i="1"/>
  <c r="CF152" i="1"/>
  <c r="DL152" i="1" s="1"/>
  <c r="BR152" i="1"/>
  <c r="DJ152" i="1" s="1"/>
  <c r="AG92" i="1"/>
  <c r="CG92" i="1"/>
  <c r="AE92" i="1"/>
  <c r="BS92" i="1"/>
  <c r="BY119" i="1"/>
  <c r="DK119" i="1" s="1"/>
  <c r="BR119" i="1"/>
  <c r="DJ119" i="1" s="1"/>
  <c r="AP119" i="1"/>
  <c r="AE167" i="1"/>
  <c r="CN167" i="1"/>
  <c r="AG167" i="1"/>
  <c r="AE73" i="1"/>
  <c r="CN73" i="1"/>
  <c r="AG73" i="1"/>
  <c r="CG124" i="1"/>
  <c r="AE124" i="1"/>
  <c r="AG124" i="1"/>
  <c r="AX144" i="1"/>
  <c r="CH144" i="1"/>
  <c r="AT159" i="1"/>
  <c r="AU159" i="1" s="1"/>
  <c r="BY172" i="1"/>
  <c r="DK172" i="1" s="1"/>
  <c r="AP172" i="1"/>
  <c r="AN172" i="1"/>
  <c r="CG160" i="1"/>
  <c r="BS160" i="1"/>
  <c r="AG160" i="1"/>
  <c r="AE160" i="1"/>
  <c r="CO133" i="1"/>
  <c r="CA133" i="1"/>
  <c r="CA134" i="1"/>
  <c r="AX134" i="1"/>
  <c r="AV134" i="1"/>
  <c r="BT136" i="1"/>
  <c r="AN156" i="1"/>
  <c r="BR156" i="1"/>
  <c r="DJ156" i="1" s="1"/>
  <c r="AP156" i="1"/>
  <c r="CF156" i="1"/>
  <c r="DL156" i="1" s="1"/>
  <c r="CO96" i="1"/>
  <c r="AV96" i="1"/>
  <c r="CA96" i="1"/>
  <c r="BR52" i="1"/>
  <c r="DJ52" i="1" s="1"/>
  <c r="BY52" i="1"/>
  <c r="DK52" i="1" s="1"/>
  <c r="AN52" i="1"/>
  <c r="CF52" i="1"/>
  <c r="DL52" i="1" s="1"/>
  <c r="BS165" i="1"/>
  <c r="CG165" i="1"/>
  <c r="CN165" i="1"/>
  <c r="AE165" i="1"/>
  <c r="CF139" i="1"/>
  <c r="DL139" i="1" s="1"/>
  <c r="AL80" i="1"/>
  <c r="AM80" i="1" s="1"/>
  <c r="AT3" i="1"/>
  <c r="AU3" i="1" s="1"/>
  <c r="AC113" i="1"/>
  <c r="AD113" i="1" s="1"/>
  <c r="AC121" i="1"/>
  <c r="AD121" i="1" s="1"/>
  <c r="AL157" i="1"/>
  <c r="AM157" i="1" s="1"/>
  <c r="AP182" i="1"/>
  <c r="AN182" i="1"/>
  <c r="AT129" i="1"/>
  <c r="AU129" i="1" s="1"/>
  <c r="AL86" i="1"/>
  <c r="AM86" i="1" s="1"/>
  <c r="BZ152" i="1"/>
  <c r="BS152" i="1"/>
  <c r="BY76" i="1"/>
  <c r="DK76" i="1" s="1"/>
  <c r="AP76" i="1"/>
  <c r="BR76" i="1"/>
  <c r="DJ76" i="1" s="1"/>
  <c r="AG170" i="1"/>
  <c r="AE170" i="1"/>
  <c r="CG170" i="1"/>
  <c r="CN170" i="1"/>
  <c r="AE96" i="1"/>
  <c r="AG96" i="1"/>
  <c r="CG96" i="1"/>
  <c r="BZ96" i="1"/>
  <c r="CN96" i="1"/>
  <c r="CN88" i="1"/>
  <c r="BS88" i="1"/>
  <c r="CG3" i="1"/>
  <c r="AG3" i="1"/>
  <c r="BZ3" i="1"/>
  <c r="AX174" i="1"/>
  <c r="BT174" i="1"/>
  <c r="CO174" i="1"/>
  <c r="AP116" i="1"/>
  <c r="AN116" i="1"/>
  <c r="BR116" i="1"/>
  <c r="DJ116" i="1" s="1"/>
  <c r="CF116" i="1"/>
  <c r="DL116" i="1" s="1"/>
  <c r="BZ52" i="1"/>
  <c r="BY73" i="1"/>
  <c r="DK73" i="1" s="1"/>
  <c r="CM73" i="1"/>
  <c r="DM73" i="1" s="1"/>
  <c r="CF73" i="1"/>
  <c r="DL73" i="1" s="1"/>
  <c r="CH80" i="1"/>
  <c r="CA80" i="1"/>
  <c r="AV80" i="1"/>
  <c r="AX124" i="1"/>
  <c r="CA124" i="1"/>
  <c r="BT124" i="1"/>
  <c r="CO124" i="1"/>
  <c r="BY69" i="1"/>
  <c r="DK69" i="1" s="1"/>
  <c r="AP69" i="1"/>
  <c r="CM69" i="1"/>
  <c r="DM69" i="1" s="1"/>
  <c r="AE100" i="1"/>
  <c r="CG100" i="1"/>
  <c r="CN100" i="1"/>
  <c r="BS100" i="1"/>
  <c r="BZ100" i="1"/>
  <c r="AG100" i="1"/>
  <c r="CO101" i="1"/>
  <c r="CN137" i="1"/>
  <c r="BS137" i="1"/>
  <c r="CG137" i="1"/>
  <c r="CA147" i="1"/>
  <c r="CO147" i="1"/>
  <c r="CH147" i="1"/>
  <c r="AX147" i="1"/>
  <c r="BT166" i="1"/>
  <c r="AV166" i="1"/>
  <c r="BZ141" i="1"/>
  <c r="BS141" i="1"/>
  <c r="AG141" i="1"/>
  <c r="BT98" i="1"/>
  <c r="AV98" i="1"/>
  <c r="CH98" i="1"/>
  <c r="CA98" i="1"/>
  <c r="CO98" i="1"/>
  <c r="AX98" i="1"/>
  <c r="BT126" i="1"/>
  <c r="BY105" i="1"/>
  <c r="DK105" i="1" s="1"/>
  <c r="CF105" i="1"/>
  <c r="DL105" i="1" s="1"/>
  <c r="AP3" i="1"/>
  <c r="AN3" i="1"/>
  <c r="CM3" i="1"/>
  <c r="DM3" i="1" s="1"/>
  <c r="BR3" i="1"/>
  <c r="DJ3" i="1" s="1"/>
  <c r="BY3" i="1"/>
  <c r="DK3" i="1" s="1"/>
  <c r="CF3" i="1"/>
  <c r="DL3" i="1" s="1"/>
  <c r="AX83" i="1"/>
  <c r="AV83" i="1"/>
  <c r="CA83" i="1"/>
  <c r="CH83" i="1"/>
  <c r="BT83" i="1"/>
  <c r="CO83" i="1"/>
  <c r="CF118" i="1"/>
  <c r="DL118" i="1" s="1"/>
  <c r="AP118" i="1"/>
  <c r="CM118" i="1"/>
  <c r="DM118" i="1" s="1"/>
  <c r="AP4" i="1"/>
  <c r="BY4" i="1"/>
  <c r="DK4" i="1" s="1"/>
  <c r="CM4" i="1"/>
  <c r="DM4" i="1" s="1"/>
  <c r="BZ115" i="1"/>
  <c r="CN115" i="1"/>
  <c r="AE115" i="1"/>
  <c r="BS115" i="1"/>
  <c r="AV164" i="1"/>
  <c r="CH164" i="1"/>
  <c r="AP150" i="1"/>
  <c r="BY128" i="1"/>
  <c r="DK128" i="1" s="1"/>
  <c r="AN128" i="1"/>
  <c r="CM128" i="1"/>
  <c r="DM128" i="1" s="1"/>
  <c r="BR128" i="1"/>
  <c r="DJ128" i="1" s="1"/>
  <c r="CO87" i="1"/>
  <c r="BT87" i="1"/>
  <c r="AV87" i="1"/>
  <c r="CH87" i="1"/>
  <c r="CA87" i="1"/>
  <c r="AX87" i="1"/>
  <c r="CF56" i="1"/>
  <c r="DL56" i="1" s="1"/>
  <c r="BR56" i="1"/>
  <c r="DJ56" i="1" s="1"/>
  <c r="CM56" i="1"/>
  <c r="DM56" i="1" s="1"/>
  <c r="BS149" i="1"/>
  <c r="AG149" i="1"/>
  <c r="CN149" i="1"/>
  <c r="BZ149" i="1"/>
  <c r="AE149" i="1"/>
  <c r="CG149" i="1"/>
  <c r="AG75" i="1"/>
  <c r="AE75" i="1"/>
  <c r="BS75" i="1"/>
  <c r="CG75" i="1"/>
  <c r="CN75" i="1"/>
  <c r="AG328" i="1"/>
  <c r="AE328" i="1"/>
  <c r="AN77" i="1"/>
  <c r="CM77" i="1"/>
  <c r="DM77" i="1" s="1"/>
  <c r="AP77" i="1"/>
  <c r="CA150" i="1"/>
  <c r="CO177" i="1"/>
  <c r="AX177" i="1"/>
  <c r="AV177" i="1"/>
  <c r="CH177" i="1"/>
  <c r="CA177" i="1"/>
  <c r="BT177" i="1"/>
  <c r="BR165" i="1"/>
  <c r="DJ165" i="1" s="1"/>
  <c r="AN165" i="1"/>
  <c r="CF165" i="1"/>
  <c r="DL165" i="1" s="1"/>
  <c r="CM165" i="1"/>
  <c r="DM165" i="1" s="1"/>
  <c r="AP165" i="1"/>
  <c r="BY165" i="1"/>
  <c r="DK165" i="1" s="1"/>
  <c r="AP140" i="1"/>
  <c r="BY130" i="1"/>
  <c r="DK130" i="1" s="1"/>
  <c r="CM130" i="1"/>
  <c r="DM130" i="1" s="1"/>
  <c r="CF154" i="1"/>
  <c r="DL154" i="1" s="1"/>
  <c r="AP154" i="1"/>
  <c r="BY154" i="1"/>
  <c r="DK154" i="1" s="1"/>
  <c r="CM154" i="1"/>
  <c r="DM154" i="1" s="1"/>
  <c r="AP151" i="1"/>
  <c r="AN151" i="1"/>
  <c r="AV182" i="1"/>
  <c r="AX182" i="1"/>
  <c r="AL131" i="1"/>
  <c r="AM131" i="1" s="1"/>
  <c r="AC157" i="1"/>
  <c r="AD157" i="1" s="1"/>
  <c r="AT128" i="1"/>
  <c r="AU128" i="1" s="1"/>
  <c r="AC111" i="1"/>
  <c r="AD111" i="1" s="1"/>
  <c r="AL90" i="1"/>
  <c r="AM90" i="1" s="1"/>
  <c r="CO176" i="1"/>
  <c r="AV176" i="1"/>
  <c r="CA176" i="1"/>
  <c r="AX350" i="1"/>
  <c r="AV350" i="1"/>
  <c r="AG119" i="1"/>
  <c r="AC161" i="1"/>
  <c r="AD161" i="1" s="1"/>
  <c r="AL96" i="1"/>
  <c r="AM96" i="1" s="1"/>
  <c r="AT141" i="1"/>
  <c r="AU141" i="1" s="1"/>
  <c r="AT108" i="1"/>
  <c r="AU108" i="1" s="1"/>
  <c r="AC139" i="1"/>
  <c r="AD139" i="1" s="1"/>
  <c r="AT130" i="1"/>
  <c r="AU130" i="1" s="1"/>
  <c r="AL97" i="1"/>
  <c r="AM97" i="1" s="1"/>
  <c r="AC82" i="1"/>
  <c r="AD82" i="1" s="1"/>
  <c r="AT99" i="1"/>
  <c r="AU99" i="1" s="1"/>
  <c r="AL120" i="1"/>
  <c r="AM120" i="1" s="1"/>
  <c r="AC144" i="1"/>
  <c r="AD144" i="1" s="1"/>
  <c r="AT121" i="1"/>
  <c r="AU121" i="1" s="1"/>
  <c r="AT172" i="1"/>
  <c r="AU172" i="1" s="1"/>
  <c r="AC86" i="1"/>
  <c r="AD86" i="1" s="1"/>
  <c r="AT4" i="1"/>
  <c r="AU4" i="1" s="1"/>
  <c r="AL164" i="1"/>
  <c r="AM164" i="1" s="1"/>
  <c r="AT76" i="1"/>
  <c r="AU76" i="1" s="1"/>
  <c r="AL153" i="1"/>
  <c r="AM153" i="1" s="1"/>
  <c r="AT93" i="1"/>
  <c r="AU93" i="1" s="1"/>
  <c r="AC90" i="1"/>
  <c r="AD90" i="1" s="1"/>
  <c r="AT125" i="1"/>
  <c r="AU125" i="1" s="1"/>
  <c r="AL135" i="1"/>
  <c r="AM135" i="1" s="1"/>
  <c r="AC87" i="1"/>
  <c r="AD87" i="1" s="1"/>
  <c r="AT102" i="1"/>
  <c r="AU102" i="1" s="1"/>
  <c r="AC175" i="1"/>
  <c r="AD175" i="1" s="1"/>
  <c r="AL170" i="1"/>
  <c r="AM170" i="1" s="1"/>
  <c r="AC108" i="1"/>
  <c r="AD108" i="1" s="1"/>
  <c r="AT139" i="1"/>
  <c r="AU139" i="1" s="1"/>
  <c r="AT78" i="1"/>
  <c r="AU78" i="1" s="1"/>
  <c r="AT104" i="1"/>
  <c r="AU104" i="1" s="1"/>
  <c r="AC80" i="1"/>
  <c r="AD80" i="1" s="1"/>
  <c r="AT173" i="1"/>
  <c r="AU173" i="1" s="1"/>
  <c r="AT123" i="1"/>
  <c r="AU123" i="1" s="1"/>
  <c r="AC120" i="1"/>
  <c r="AD120" i="1" s="1"/>
  <c r="AL158" i="1"/>
  <c r="AM158" i="1" s="1"/>
  <c r="AT86" i="1"/>
  <c r="AU86" i="1" s="1"/>
  <c r="AC171" i="1"/>
  <c r="AD171" i="1" s="1"/>
  <c r="AC38" i="1"/>
  <c r="AD38" i="1" s="1"/>
  <c r="AL177" i="1"/>
  <c r="AM177" i="1" s="1"/>
  <c r="AL110" i="1"/>
  <c r="AM110" i="1" s="1"/>
  <c r="AT146" i="1"/>
  <c r="AU146" i="1" s="1"/>
  <c r="AC102" i="1"/>
  <c r="AD102" i="1" s="1"/>
  <c r="AT109" i="1"/>
  <c r="AU109" i="1" s="1"/>
  <c r="AT175" i="1"/>
  <c r="AU175" i="1" s="1"/>
  <c r="AT170" i="1"/>
  <c r="AU170" i="1" s="1"/>
  <c r="AL161" i="1"/>
  <c r="AM161" i="1" s="1"/>
  <c r="AL108" i="1"/>
  <c r="AM108" i="1" s="1"/>
  <c r="AC140" i="1"/>
  <c r="AD140" i="1" s="1"/>
  <c r="AL168" i="1"/>
  <c r="AM168" i="1" s="1"/>
  <c r="CO143" i="1"/>
  <c r="AX143" i="1"/>
  <c r="CN151" i="1"/>
  <c r="AE151" i="1"/>
  <c r="CG151" i="1"/>
  <c r="BS151" i="1"/>
  <c r="AP99" i="1"/>
  <c r="CM99" i="1"/>
  <c r="DM99" i="1" s="1"/>
  <c r="CA72" i="1"/>
  <c r="CH72" i="1"/>
  <c r="CO72" i="1"/>
  <c r="AN83" i="1"/>
  <c r="BR83" i="1"/>
  <c r="DJ83" i="1" s="1"/>
  <c r="AP83" i="1"/>
  <c r="BY83" i="1"/>
  <c r="DK83" i="1" s="1"/>
  <c r="CM83" i="1"/>
  <c r="DM83" i="1" s="1"/>
  <c r="CF83" i="1"/>
  <c r="DL83" i="1" s="1"/>
  <c r="AL145" i="1"/>
  <c r="AM145" i="1" s="1"/>
  <c r="CO100" i="1"/>
  <c r="CA100" i="1"/>
  <c r="BT100" i="1"/>
  <c r="AL115" i="1"/>
  <c r="AM115" i="1" s="1"/>
  <c r="AC164" i="1"/>
  <c r="AD164" i="1" s="1"/>
  <c r="AT171" i="1"/>
  <c r="AU171" i="1" s="1"/>
  <c r="AT84" i="1"/>
  <c r="AU84" i="1" s="1"/>
  <c r="AT38" i="1"/>
  <c r="AU38" i="1" s="1"/>
  <c r="AT117" i="1"/>
  <c r="AU117" i="1" s="1"/>
  <c r="AC110" i="1"/>
  <c r="AD110" i="1" s="1"/>
  <c r="AC148" i="1"/>
  <c r="AD148" i="1" s="1"/>
  <c r="AL162" i="1"/>
  <c r="AM162" i="1" s="1"/>
  <c r="AT161" i="1"/>
  <c r="AU161" i="1" s="1"/>
  <c r="AC155" i="1"/>
  <c r="AD155" i="1" s="1"/>
  <c r="CG9" i="1"/>
  <c r="AT73" i="1"/>
  <c r="AU73" i="1" s="1"/>
  <c r="AL126" i="1"/>
  <c r="AM126" i="1" s="1"/>
  <c r="AL123" i="1"/>
  <c r="AM123" i="1" s="1"/>
  <c r="AL75" i="1"/>
  <c r="AM75" i="1" s="1"/>
  <c r="AC60" i="1"/>
  <c r="AD60" i="1" s="1"/>
  <c r="AL114" i="1"/>
  <c r="AM114" i="1" s="1"/>
  <c r="AC105" i="1"/>
  <c r="AD105" i="1" s="1"/>
  <c r="AL113" i="1"/>
  <c r="AM113" i="1" s="1"/>
  <c r="AC129" i="1"/>
  <c r="AD129" i="1" s="1"/>
  <c r="AC77" i="1"/>
  <c r="AD77" i="1" s="1"/>
  <c r="AT81" i="1"/>
  <c r="AU81" i="1" s="1"/>
  <c r="AL142" i="1"/>
  <c r="AM142" i="1" s="1"/>
  <c r="AT115" i="1"/>
  <c r="AU115" i="1" s="1"/>
  <c r="AT94" i="1"/>
  <c r="AU94" i="1" s="1"/>
  <c r="AL132" i="1"/>
  <c r="AM132" i="1" s="1"/>
  <c r="AC93" i="1"/>
  <c r="AD93" i="1" s="1"/>
  <c r="AL125" i="1"/>
  <c r="AM125" i="1" s="1"/>
  <c r="AL167" i="1"/>
  <c r="AM167" i="1" s="1"/>
  <c r="AT162" i="1"/>
  <c r="AU162" i="1" s="1"/>
  <c r="AL166" i="1"/>
  <c r="AM166" i="1" s="1"/>
  <c r="AT165" i="1"/>
  <c r="AU165" i="1" s="1"/>
  <c r="AC104" i="1"/>
  <c r="AD104" i="1" s="1"/>
  <c r="AT163" i="1"/>
  <c r="AU163" i="1" s="1"/>
  <c r="AC123" i="1"/>
  <c r="AD123" i="1" s="1"/>
  <c r="AT151" i="1"/>
  <c r="AU151" i="1" s="1"/>
  <c r="AT105" i="1"/>
  <c r="AU105" i="1" s="1"/>
  <c r="AL72" i="1"/>
  <c r="AM72" i="1" s="1"/>
  <c r="AC83" i="1"/>
  <c r="AD83" i="1" s="1"/>
  <c r="AT118" i="1"/>
  <c r="AU118" i="1" s="1"/>
  <c r="AL129" i="1"/>
  <c r="AM129" i="1" s="1"/>
  <c r="AC128" i="1"/>
  <c r="AD128" i="1" s="1"/>
  <c r="AC136" i="1"/>
  <c r="AD136" i="1" s="1"/>
  <c r="AT110" i="1"/>
  <c r="AU110" i="1" s="1"/>
  <c r="AT156" i="1"/>
  <c r="AU156" i="1" s="1"/>
  <c r="AC127" i="1"/>
  <c r="AD127" i="1" s="1"/>
  <c r="AL149" i="1"/>
  <c r="AM149" i="1" s="1"/>
  <c r="AT140" i="1"/>
  <c r="AU140" i="1" s="1"/>
  <c r="AL163" i="1"/>
  <c r="AM163" i="1" s="1"/>
  <c r="AC107" i="1"/>
  <c r="AD107" i="1" s="1"/>
  <c r="AL82" i="1"/>
  <c r="AM82" i="1" s="1"/>
  <c r="AL112" i="1"/>
  <c r="AM112" i="1" s="1"/>
  <c r="AC99" i="1"/>
  <c r="AD99" i="1" s="1"/>
  <c r="AC131" i="1"/>
  <c r="AD131" i="1" s="1"/>
  <c r="AC174" i="1"/>
  <c r="AD174" i="1" s="1"/>
  <c r="AL121" i="1"/>
  <c r="AM121" i="1" s="1"/>
  <c r="AC142" i="1"/>
  <c r="AD142" i="1" s="1"/>
  <c r="AC89" i="1"/>
  <c r="AD89" i="1" s="1"/>
  <c r="AC94" i="1"/>
  <c r="AD94" i="1" s="1"/>
  <c r="AT132" i="1"/>
  <c r="AU132" i="1" s="1"/>
  <c r="AC76" i="1"/>
  <c r="AD76" i="1" s="1"/>
  <c r="AT137" i="1"/>
  <c r="AU137" i="1" s="1"/>
  <c r="AT116" i="1"/>
  <c r="AU116" i="1" s="1"/>
  <c r="AC125" i="1"/>
  <c r="AD125" i="1" s="1"/>
  <c r="AL148" i="1"/>
  <c r="AM148" i="1" s="1"/>
  <c r="AT119" i="1"/>
  <c r="AU119" i="1" s="1"/>
  <c r="AT167" i="1"/>
  <c r="AU167" i="1" s="1"/>
  <c r="AL141" i="1"/>
  <c r="AM141" i="1" s="1"/>
  <c r="AT127" i="1"/>
  <c r="AU127" i="1" s="1"/>
  <c r="AL104" i="1"/>
  <c r="AM104" i="1" s="1"/>
  <c r="AE5" i="1"/>
  <c r="BZ5" i="1"/>
  <c r="CG5" i="1"/>
  <c r="AG5" i="1"/>
  <c r="CN5" i="1"/>
  <c r="BS5" i="1"/>
  <c r="AL98" i="1"/>
  <c r="AM98" i="1" s="1"/>
  <c r="AT88" i="1"/>
  <c r="AU88" i="1" s="1"/>
  <c r="AL9" i="1"/>
  <c r="AM9" i="1" s="1"/>
  <c r="AT120" i="1"/>
  <c r="AU120" i="1" s="1"/>
  <c r="AC118" i="1"/>
  <c r="AD118" i="1" s="1"/>
  <c r="AL159" i="1"/>
  <c r="AM159" i="1" s="1"/>
  <c r="AT158" i="1"/>
  <c r="AU158" i="1" s="1"/>
  <c r="AL160" i="1"/>
  <c r="AM160" i="1" s="1"/>
  <c r="AL133" i="1"/>
  <c r="AM133" i="1" s="1"/>
  <c r="AL89" i="1"/>
  <c r="AM89" i="1" s="1"/>
  <c r="AL94" i="1"/>
  <c r="AM94" i="1" s="1"/>
  <c r="AC132" i="1"/>
  <c r="AD132" i="1" s="1"/>
  <c r="AL93" i="1"/>
  <c r="AM93" i="1" s="1"/>
  <c r="AL111" i="1"/>
  <c r="AM111" i="1" s="1"/>
  <c r="AT90" i="1"/>
  <c r="AU90" i="1" s="1"/>
  <c r="AC116" i="1"/>
  <c r="AD116" i="1" s="1"/>
  <c r="AL87" i="1"/>
  <c r="AM87" i="1" s="1"/>
  <c r="AL102" i="1"/>
  <c r="AM102" i="1" s="1"/>
  <c r="AL109" i="1"/>
  <c r="AM109" i="1" s="1"/>
  <c r="AC166" i="1"/>
  <c r="AD166" i="1" s="1"/>
  <c r="AC156" i="1"/>
  <c r="AD156" i="1" s="1"/>
  <c r="AV312" i="1"/>
  <c r="AX312" i="1"/>
  <c r="AX277" i="1"/>
  <c r="AV277" i="1"/>
  <c r="AX292" i="1"/>
  <c r="AV292" i="1"/>
  <c r="AG301" i="1"/>
  <c r="AE301" i="1"/>
  <c r="AX313" i="1"/>
  <c r="AV313" i="1"/>
  <c r="AN231" i="1"/>
  <c r="AP231" i="1"/>
  <c r="AV221" i="1"/>
  <c r="AX221" i="1"/>
  <c r="AV308" i="1"/>
  <c r="AX308" i="1"/>
  <c r="AX217" i="1"/>
  <c r="AV217" i="1"/>
  <c r="AN299" i="1"/>
  <c r="AP299" i="1"/>
  <c r="AX211" i="1"/>
  <c r="AV211" i="1"/>
  <c r="AV260" i="1"/>
  <c r="AX260" i="1"/>
  <c r="AV310" i="1"/>
  <c r="AX310" i="1"/>
  <c r="AG307" i="1"/>
  <c r="AE307" i="1"/>
  <c r="AN314" i="1"/>
  <c r="AP314" i="1"/>
  <c r="AE296" i="1"/>
  <c r="AG296" i="1"/>
  <c r="AX230" i="1"/>
  <c r="AV230" i="1"/>
  <c r="AN239" i="1"/>
  <c r="AP239" i="1"/>
  <c r="BR39" i="1"/>
  <c r="DJ39" i="1" s="1"/>
  <c r="AN39" i="1"/>
  <c r="BY39" i="1"/>
  <c r="DK39" i="1" s="1"/>
  <c r="CF39" i="1"/>
  <c r="DL39" i="1" s="1"/>
  <c r="AP39" i="1"/>
  <c r="CM39" i="1"/>
  <c r="DM39" i="1" s="1"/>
  <c r="AN215" i="1"/>
  <c r="AP215" i="1"/>
  <c r="AG304" i="1"/>
  <c r="AE304" i="1"/>
  <c r="AX253" i="1"/>
  <c r="AV253" i="1"/>
  <c r="AX291" i="1"/>
  <c r="AV291" i="1"/>
  <c r="CH70" i="1"/>
  <c r="BT70" i="1"/>
  <c r="AX70" i="1"/>
  <c r="CO70" i="1"/>
  <c r="AV70" i="1"/>
  <c r="CA70" i="1"/>
  <c r="BZ22" i="1"/>
  <c r="CG22" i="1"/>
  <c r="BS22" i="1"/>
  <c r="AG22" i="1"/>
  <c r="CN22" i="1"/>
  <c r="AE22" i="1"/>
  <c r="CO67" i="1"/>
  <c r="AX67" i="1"/>
  <c r="CA67" i="1"/>
  <c r="BT67" i="1"/>
  <c r="AV67" i="1"/>
  <c r="CH67" i="1"/>
  <c r="AG310" i="1"/>
  <c r="AE310" i="1"/>
  <c r="AV341" i="1"/>
  <c r="AX341" i="1"/>
  <c r="CN26" i="1"/>
  <c r="CG26" i="1"/>
  <c r="AG26" i="1"/>
  <c r="BS26" i="1"/>
  <c r="AE26" i="1"/>
  <c r="BZ26" i="1"/>
  <c r="AN57" i="1"/>
  <c r="CM57" i="1"/>
  <c r="DM57" i="1" s="1"/>
  <c r="AP57" i="1"/>
  <c r="CF57" i="1"/>
  <c r="DL57" i="1" s="1"/>
  <c r="BR57" i="1"/>
  <c r="DJ57" i="1" s="1"/>
  <c r="BY57" i="1"/>
  <c r="DK57" i="1" s="1"/>
  <c r="AX286" i="1"/>
  <c r="AV286" i="1"/>
  <c r="CG16" i="1"/>
  <c r="AE16" i="1"/>
  <c r="BZ16" i="1"/>
  <c r="AG16" i="1"/>
  <c r="CN16" i="1"/>
  <c r="BS16" i="1"/>
  <c r="AX43" i="1"/>
  <c r="BT43" i="1"/>
  <c r="CH43" i="1"/>
  <c r="CA43" i="1"/>
  <c r="CO43" i="1"/>
  <c r="AV43" i="1"/>
  <c r="AN302" i="1"/>
  <c r="AP302" i="1"/>
  <c r="AV331" i="1"/>
  <c r="AX331" i="1"/>
  <c r="AV42" i="1"/>
  <c r="BT42" i="1"/>
  <c r="AX42" i="1"/>
  <c r="CO42" i="1"/>
  <c r="CA42" i="1"/>
  <c r="CH42" i="1"/>
  <c r="AX280" i="1"/>
  <c r="AV280" i="1"/>
  <c r="AG340" i="1"/>
  <c r="AE340" i="1"/>
  <c r="CG35" i="1"/>
  <c r="AG35" i="1"/>
  <c r="BZ35" i="1"/>
  <c r="CN35" i="1"/>
  <c r="BS35" i="1"/>
  <c r="AE35" i="1"/>
  <c r="AP240" i="1"/>
  <c r="AN240" i="1"/>
  <c r="AN262" i="1"/>
  <c r="AP262" i="1"/>
  <c r="AV323" i="1"/>
  <c r="AX323" i="1"/>
  <c r="CA8" i="1"/>
  <c r="AX8" i="1"/>
  <c r="CH8" i="1"/>
  <c r="BT8" i="1"/>
  <c r="AV8" i="1"/>
  <c r="CO8" i="1"/>
  <c r="AN288" i="1"/>
  <c r="AP288" i="1"/>
  <c r="AE254" i="1"/>
  <c r="AG254" i="1"/>
  <c r="AV279" i="1"/>
  <c r="AX279" i="1"/>
  <c r="AE318" i="1"/>
  <c r="AG318" i="1"/>
  <c r="AX219" i="1"/>
  <c r="AV219" i="1"/>
  <c r="AE319" i="1"/>
  <c r="AG319" i="1"/>
  <c r="AE312" i="1"/>
  <c r="AG312" i="1"/>
  <c r="BS57" i="1"/>
  <c r="AG57" i="1"/>
  <c r="CN57" i="1"/>
  <c r="BZ57" i="1"/>
  <c r="CG57" i="1"/>
  <c r="AE57" i="1"/>
  <c r="AP273" i="1"/>
  <c r="AN273" i="1"/>
  <c r="AX282" i="1"/>
  <c r="AV282" i="1"/>
  <c r="AN291" i="1"/>
  <c r="AP291" i="1"/>
  <c r="CN51" i="1"/>
  <c r="BZ51" i="1"/>
  <c r="CG51" i="1"/>
  <c r="AG51" i="1"/>
  <c r="AE51" i="1"/>
  <c r="BS51" i="1"/>
  <c r="BY19" i="1"/>
  <c r="DK19" i="1" s="1"/>
  <c r="CM19" i="1"/>
  <c r="DM19" i="1" s="1"/>
  <c r="AN19" i="1"/>
  <c r="AP19" i="1"/>
  <c r="CF19" i="1"/>
  <c r="DL19" i="1" s="1"/>
  <c r="BR19" i="1"/>
  <c r="DJ19" i="1" s="1"/>
  <c r="AX305" i="1"/>
  <c r="AV305" i="1"/>
  <c r="AP337" i="1"/>
  <c r="AN337" i="1"/>
  <c r="AE282" i="1"/>
  <c r="AG282" i="1"/>
  <c r="AV271" i="1"/>
  <c r="AX271" i="1"/>
  <c r="AN35" i="1"/>
  <c r="BY35" i="1"/>
  <c r="DK35" i="1" s="1"/>
  <c r="AP35" i="1"/>
  <c r="CM35" i="1"/>
  <c r="DM35" i="1" s="1"/>
  <c r="CF35" i="1"/>
  <c r="DL35" i="1" s="1"/>
  <c r="BR35" i="1"/>
  <c r="DJ35" i="1" s="1"/>
  <c r="AX337" i="1"/>
  <c r="AV337" i="1"/>
  <c r="AX24" i="1"/>
  <c r="CA24" i="1"/>
  <c r="CO24" i="1"/>
  <c r="BT24" i="1"/>
  <c r="AV24" i="1"/>
  <c r="CH24" i="1"/>
  <c r="AX210" i="1"/>
  <c r="AV210" i="1"/>
  <c r="CH33" i="1"/>
  <c r="CO33" i="1"/>
  <c r="CA33" i="1"/>
  <c r="BT33" i="1"/>
  <c r="AV33" i="1"/>
  <c r="AX33" i="1"/>
  <c r="AG323" i="1"/>
  <c r="AE323" i="1"/>
  <c r="CH25" i="1"/>
  <c r="CA25" i="1"/>
  <c r="AV25" i="1"/>
  <c r="CO25" i="1"/>
  <c r="BT25" i="1"/>
  <c r="AX25" i="1"/>
  <c r="AP298" i="1"/>
  <c r="AN298" i="1"/>
  <c r="AE300" i="1"/>
  <c r="AG300" i="1"/>
  <c r="AX261" i="1"/>
  <c r="AV261" i="1"/>
  <c r="AP289" i="1"/>
  <c r="AN289" i="1"/>
  <c r="AN309" i="1"/>
  <c r="AP309" i="1"/>
  <c r="AV343" i="1"/>
  <c r="AX343" i="1"/>
  <c r="AG215" i="1"/>
  <c r="AE215" i="1"/>
  <c r="BT19" i="1"/>
  <c r="CO19" i="1"/>
  <c r="AX19" i="1"/>
  <c r="AV19" i="1"/>
  <c r="CA19" i="1"/>
  <c r="CH19" i="1"/>
  <c r="AG308" i="1"/>
  <c r="AE308" i="1"/>
  <c r="AN211" i="1"/>
  <c r="AP211" i="1"/>
  <c r="AE217" i="1"/>
  <c r="AG217" i="1"/>
  <c r="AV309" i="1"/>
  <c r="AX309" i="1"/>
  <c r="AX232" i="1"/>
  <c r="AV232" i="1"/>
  <c r="AE13" i="1"/>
  <c r="CN13" i="1"/>
  <c r="CG13" i="1"/>
  <c r="AG13" i="1"/>
  <c r="BS13" i="1"/>
  <c r="BZ13" i="1"/>
  <c r="AP265" i="1"/>
  <c r="AN265" i="1"/>
  <c r="AP320" i="1"/>
  <c r="AN320" i="1"/>
  <c r="AP218" i="1"/>
  <c r="AN218" i="1"/>
  <c r="AP290" i="1"/>
  <c r="AN290" i="1"/>
  <c r="AE44" i="1"/>
  <c r="BZ44" i="1"/>
  <c r="CG44" i="1"/>
  <c r="AG44" i="1"/>
  <c r="BS44" i="1"/>
  <c r="CN44" i="1"/>
  <c r="AP305" i="1"/>
  <c r="AN305" i="1"/>
  <c r="AV61" i="1"/>
  <c r="CA61" i="1"/>
  <c r="CH61" i="1"/>
  <c r="BT61" i="1"/>
  <c r="CO61" i="1"/>
  <c r="AX61" i="1"/>
  <c r="AP234" i="1"/>
  <c r="AN234" i="1"/>
  <c r="AN37" i="1"/>
  <c r="AP37" i="1"/>
  <c r="CM37" i="1"/>
  <c r="DM37" i="1" s="1"/>
  <c r="BY37" i="1"/>
  <c r="DK37" i="1" s="1"/>
  <c r="BR37" i="1"/>
  <c r="DJ37" i="1" s="1"/>
  <c r="CF37" i="1"/>
  <c r="DL37" i="1" s="1"/>
  <c r="AP242" i="1"/>
  <c r="AN242" i="1"/>
  <c r="AX300" i="1"/>
  <c r="AV300" i="1"/>
  <c r="AE25" i="1"/>
  <c r="BS25" i="1"/>
  <c r="CN25" i="1"/>
  <c r="CG25" i="1"/>
  <c r="AG25" i="1"/>
  <c r="BZ25" i="1"/>
  <c r="AV223" i="1"/>
  <c r="AX223" i="1"/>
  <c r="AX234" i="1"/>
  <c r="AV234" i="1"/>
  <c r="AN217" i="1"/>
  <c r="AP217" i="1"/>
  <c r="AP341" i="1"/>
  <c r="AN341" i="1"/>
  <c r="AN276" i="1"/>
  <c r="AP276" i="1"/>
  <c r="AG231" i="1"/>
  <c r="AE231" i="1"/>
  <c r="AV243" i="1"/>
  <c r="AX243" i="1"/>
  <c r="AX242" i="1"/>
  <c r="AV242" i="1"/>
  <c r="CF27" i="1"/>
  <c r="DL27" i="1" s="1"/>
  <c r="BY27" i="1"/>
  <c r="DK27" i="1" s="1"/>
  <c r="CM27" i="1"/>
  <c r="DM27" i="1" s="1"/>
  <c r="AN27" i="1"/>
  <c r="BR27" i="1"/>
  <c r="DJ27" i="1" s="1"/>
  <c r="AP27" i="1"/>
  <c r="AE272" i="1"/>
  <c r="AG272" i="1"/>
  <c r="AV274" i="1"/>
  <c r="AX274" i="1"/>
  <c r="AE15" i="1"/>
  <c r="AG15" i="1"/>
  <c r="BS15" i="1"/>
  <c r="BZ15" i="1"/>
  <c r="CN15" i="1"/>
  <c r="CG15" i="1"/>
  <c r="AV259" i="1"/>
  <c r="AX259" i="1"/>
  <c r="AP308" i="1"/>
  <c r="AN308" i="1"/>
  <c r="AE270" i="1"/>
  <c r="AG270" i="1"/>
  <c r="CF17" i="1"/>
  <c r="DL17" i="1" s="1"/>
  <c r="BR17" i="1"/>
  <c r="DJ17" i="1" s="1"/>
  <c r="BY17" i="1"/>
  <c r="DK17" i="1" s="1"/>
  <c r="CM17" i="1"/>
  <c r="DM17" i="1" s="1"/>
  <c r="AN17" i="1"/>
  <c r="AP17" i="1"/>
  <c r="AE232" i="1"/>
  <c r="AG232" i="1"/>
  <c r="AN24" i="1"/>
  <c r="CF24" i="1"/>
  <c r="DL24" i="1" s="1"/>
  <c r="AP24" i="1"/>
  <c r="CM24" i="1"/>
  <c r="DM24" i="1" s="1"/>
  <c r="BR24" i="1"/>
  <c r="DJ24" i="1" s="1"/>
  <c r="BY24" i="1"/>
  <c r="DK24" i="1" s="1"/>
  <c r="CH30" i="1"/>
  <c r="CO30" i="1"/>
  <c r="AV30" i="1"/>
  <c r="BT30" i="1"/>
  <c r="AX30" i="1"/>
  <c r="CA30" i="1"/>
  <c r="AN226" i="1"/>
  <c r="AP226" i="1"/>
  <c r="CG65" i="1"/>
  <c r="AE65" i="1"/>
  <c r="BS65" i="1"/>
  <c r="AG65" i="1"/>
  <c r="BZ65" i="1"/>
  <c r="CN65" i="1"/>
  <c r="AG305" i="1"/>
  <c r="AE305" i="1"/>
  <c r="AN47" i="1"/>
  <c r="BY47" i="1"/>
  <c r="DK47" i="1" s="1"/>
  <c r="BR47" i="1"/>
  <c r="DJ47" i="1" s="1"/>
  <c r="CF47" i="1"/>
  <c r="DL47" i="1" s="1"/>
  <c r="AP47" i="1"/>
  <c r="CM47" i="1"/>
  <c r="DM47" i="1" s="1"/>
  <c r="AE341" i="1"/>
  <c r="AG341" i="1"/>
  <c r="AN301" i="1"/>
  <c r="AP301" i="1"/>
  <c r="AX297" i="1"/>
  <c r="AV297" i="1"/>
  <c r="AG314" i="1"/>
  <c r="AE314" i="1"/>
  <c r="AV293" i="1"/>
  <c r="AX293" i="1"/>
  <c r="BT34" i="1"/>
  <c r="CH34" i="1"/>
  <c r="CO34" i="1"/>
  <c r="AX34" i="1"/>
  <c r="CA34" i="1"/>
  <c r="AV34" i="1"/>
  <c r="AV294" i="1"/>
  <c r="AX294" i="1"/>
  <c r="AE311" i="1"/>
  <c r="AG311" i="1"/>
  <c r="AX103" i="1"/>
  <c r="AV103" i="1"/>
  <c r="CO103" i="1"/>
  <c r="CH103" i="1"/>
  <c r="CA103" i="1"/>
  <c r="BT103" i="1"/>
  <c r="AX233" i="1"/>
  <c r="AV233" i="1"/>
  <c r="BZ58" i="1"/>
  <c r="AG58" i="1"/>
  <c r="AE58" i="1"/>
  <c r="BS58" i="1"/>
  <c r="CG58" i="1"/>
  <c r="CN58" i="1"/>
  <c r="AG283" i="1"/>
  <c r="AE283" i="1"/>
  <c r="AN223" i="1"/>
  <c r="AP223" i="1"/>
  <c r="AE213" i="1"/>
  <c r="AG213" i="1"/>
  <c r="AG241" i="1"/>
  <c r="AE241" i="1"/>
  <c r="BR59" i="1"/>
  <c r="DJ59" i="1" s="1"/>
  <c r="CM59" i="1"/>
  <c r="DM59" i="1" s="1"/>
  <c r="BY59" i="1"/>
  <c r="DK59" i="1" s="1"/>
  <c r="CF59" i="1"/>
  <c r="DL59" i="1" s="1"/>
  <c r="AP59" i="1"/>
  <c r="AN59" i="1"/>
  <c r="AP296" i="1"/>
  <c r="AN296" i="1"/>
  <c r="AX55" i="1"/>
  <c r="CH55" i="1"/>
  <c r="CO55" i="1"/>
  <c r="CA55" i="1"/>
  <c r="AV55" i="1"/>
  <c r="BT55" i="1"/>
  <c r="AE265" i="1"/>
  <c r="AG265" i="1"/>
  <c r="AP285" i="1"/>
  <c r="AN285" i="1"/>
  <c r="CO14" i="1"/>
  <c r="CH14" i="1"/>
  <c r="AX14" i="1"/>
  <c r="AV14" i="1"/>
  <c r="CA14" i="1"/>
  <c r="BT14" i="1"/>
  <c r="AG45" i="1"/>
  <c r="CN45" i="1"/>
  <c r="BZ45" i="1"/>
  <c r="CG45" i="1"/>
  <c r="AE45" i="1"/>
  <c r="BS45" i="1"/>
  <c r="AP274" i="1"/>
  <c r="AN274" i="1"/>
  <c r="AN311" i="1"/>
  <c r="AP311" i="1"/>
  <c r="AX238" i="1"/>
  <c r="AV238" i="1"/>
  <c r="AV278" i="1"/>
  <c r="AX278" i="1"/>
  <c r="AP316" i="1"/>
  <c r="AN316" i="1"/>
  <c r="AN51" i="1"/>
  <c r="BY51" i="1"/>
  <c r="DK51" i="1" s="1"/>
  <c r="AP51" i="1"/>
  <c r="BR51" i="1"/>
  <c r="DJ51" i="1" s="1"/>
  <c r="CF51" i="1"/>
  <c r="DL51" i="1" s="1"/>
  <c r="CM51" i="1"/>
  <c r="DM51" i="1" s="1"/>
  <c r="AP214" i="1"/>
  <c r="AN214" i="1"/>
  <c r="AV296" i="1"/>
  <c r="AX296" i="1"/>
  <c r="AV314" i="1"/>
  <c r="AX314" i="1"/>
  <c r="AP55" i="1"/>
  <c r="CF55" i="1"/>
  <c r="DL55" i="1" s="1"/>
  <c r="BR55" i="1"/>
  <c r="DJ55" i="1" s="1"/>
  <c r="AN55" i="1"/>
  <c r="CM55" i="1"/>
  <c r="DM55" i="1" s="1"/>
  <c r="BY55" i="1"/>
  <c r="DK55" i="1" s="1"/>
  <c r="BZ151" i="1" l="1"/>
  <c r="BT176" i="1"/>
  <c r="BY140" i="1"/>
  <c r="DK140" i="1" s="1"/>
  <c r="CF150" i="1"/>
  <c r="DL150" i="1" s="1"/>
  <c r="CF4" i="1"/>
  <c r="DL4" i="1" s="1"/>
  <c r="CO126" i="1"/>
  <c r="AX101" i="1"/>
  <c r="AV124" i="1"/>
  <c r="BR73" i="1"/>
  <c r="DJ73" i="1" s="1"/>
  <c r="CA174" i="1"/>
  <c r="AG88" i="1"/>
  <c r="CF76" i="1"/>
  <c r="DL76" i="1" s="1"/>
  <c r="CM52" i="1"/>
  <c r="DM52" i="1" s="1"/>
  <c r="BY156" i="1"/>
  <c r="DK156" i="1" s="1"/>
  <c r="BZ160" i="1"/>
  <c r="CO144" i="1"/>
  <c r="CG167" i="1"/>
  <c r="AP174" i="1"/>
  <c r="CG134" i="1"/>
  <c r="AG348" i="1"/>
  <c r="CA183" i="1"/>
  <c r="AN178" i="1"/>
  <c r="BS325" i="1"/>
  <c r="BR317" i="1"/>
  <c r="DJ317" i="1" s="1"/>
  <c r="BZ6" i="1"/>
  <c r="AG6" i="1"/>
  <c r="AX176" i="1"/>
  <c r="CM140" i="1"/>
  <c r="DM140" i="1" s="1"/>
  <c r="BY150" i="1"/>
  <c r="DK150" i="1" s="1"/>
  <c r="AN4" i="1"/>
  <c r="CH126" i="1"/>
  <c r="CH101" i="1"/>
  <c r="AP73" i="1"/>
  <c r="CH174" i="1"/>
  <c r="AE88" i="1"/>
  <c r="CM76" i="1"/>
  <c r="DM76" i="1" s="1"/>
  <c r="AV136" i="1"/>
  <c r="BZ167" i="1"/>
  <c r="CF137" i="1"/>
  <c r="DL137" i="1" s="1"/>
  <c r="AX183" i="1"/>
  <c r="CO321" i="1"/>
  <c r="AV183" i="1"/>
  <c r="BZ195" i="1"/>
  <c r="AN317" i="1"/>
  <c r="CO150" i="1"/>
  <c r="AE52" i="1"/>
  <c r="CA136" i="1"/>
  <c r="CA74" i="1"/>
  <c r="CA321" i="1"/>
  <c r="BT183" i="1"/>
  <c r="CH150" i="1"/>
  <c r="CN52" i="1"/>
  <c r="BZ342" i="1"/>
  <c r="BT321" i="1"/>
  <c r="CM6" i="1"/>
  <c r="DM6" i="1" s="1"/>
  <c r="AP6" i="1"/>
  <c r="CF6" i="1"/>
  <c r="DL6" i="1" s="1"/>
  <c r="BR6" i="1"/>
  <c r="DJ6" i="1" s="1"/>
  <c r="AN6" i="1"/>
  <c r="BY6" i="1"/>
  <c r="DK6" i="1" s="1"/>
  <c r="AX126" i="1"/>
  <c r="AX150" i="1"/>
  <c r="CM122" i="1"/>
  <c r="DM122" i="1" s="1"/>
  <c r="AE342" i="1"/>
  <c r="AG202" i="1"/>
  <c r="AE202" i="1"/>
  <c r="CN147" i="1"/>
  <c r="AV100" i="1"/>
  <c r="AX72" i="1"/>
  <c r="AE119" i="1"/>
  <c r="BR154" i="1"/>
  <c r="DJ154" i="1" s="1"/>
  <c r="BR77" i="1"/>
  <c r="DJ77" i="1" s="1"/>
  <c r="BZ130" i="1"/>
  <c r="AN56" i="1"/>
  <c r="AG147" i="1"/>
  <c r="CG115" i="1"/>
  <c r="AP105" i="1"/>
  <c r="AG137" i="1"/>
  <c r="AX80" i="1"/>
  <c r="BY122" i="1"/>
  <c r="DK122" i="1" s="1"/>
  <c r="AE3" i="1"/>
  <c r="AE152" i="1"/>
  <c r="AG165" i="1"/>
  <c r="CH96" i="1"/>
  <c r="CH134" i="1"/>
  <c r="CM172" i="1"/>
  <c r="DM172" i="1" s="1"/>
  <c r="BS73" i="1"/>
  <c r="BZ92" i="1"/>
  <c r="CA142" i="1"/>
  <c r="AE114" i="1"/>
  <c r="CN177" i="1"/>
  <c r="BS342" i="1"/>
  <c r="BS317" i="1"/>
  <c r="BY338" i="1"/>
  <c r="DK338" i="1" s="1"/>
  <c r="CH100" i="1"/>
  <c r="CF99" i="1"/>
  <c r="DL99" i="1" s="1"/>
  <c r="BS119" i="1"/>
  <c r="AP130" i="1"/>
  <c r="CF77" i="1"/>
  <c r="DL77" i="1" s="1"/>
  <c r="BS130" i="1"/>
  <c r="AP56" i="1"/>
  <c r="AE147" i="1"/>
  <c r="BZ137" i="1"/>
  <c r="BT80" i="1"/>
  <c r="CM116" i="1"/>
  <c r="DM116" i="1" s="1"/>
  <c r="BS3" i="1"/>
  <c r="AX96" i="1"/>
  <c r="BT134" i="1"/>
  <c r="CF172" i="1"/>
  <c r="DL172" i="1" s="1"/>
  <c r="CG73" i="1"/>
  <c r="CM81" i="1"/>
  <c r="DM81" i="1" s="1"/>
  <c r="BZ114" i="1"/>
  <c r="AG342" i="1"/>
  <c r="AE348" i="1"/>
  <c r="CG130" i="1"/>
  <c r="BS91" i="1"/>
  <c r="CG342" i="1"/>
  <c r="CG348" i="1"/>
  <c r="BZ244" i="1"/>
  <c r="CG244" i="1"/>
  <c r="AG244" i="1"/>
  <c r="CN244" i="1"/>
  <c r="AE244" i="1"/>
  <c r="CN119" i="1"/>
  <c r="AE91" i="1"/>
  <c r="CO114" i="1"/>
  <c r="BS348" i="1"/>
  <c r="CF140" i="1"/>
  <c r="DL140" i="1" s="1"/>
  <c r="CN91" i="1"/>
  <c r="CA114" i="1"/>
  <c r="CH184" i="1"/>
  <c r="CA184" i="1"/>
  <c r="AV184" i="1"/>
  <c r="AX184" i="1"/>
  <c r="BY99" i="1"/>
  <c r="DK99" i="1" s="1"/>
  <c r="BT143" i="1"/>
  <c r="CM151" i="1"/>
  <c r="DM151" i="1" s="1"/>
  <c r="BR130" i="1"/>
  <c r="DJ130" i="1" s="1"/>
  <c r="CN130" i="1"/>
  <c r="AP128" i="1"/>
  <c r="CA164" i="1"/>
  <c r="BY118" i="1"/>
  <c r="DK118" i="1" s="1"/>
  <c r="BT114" i="1"/>
  <c r="CH166" i="1"/>
  <c r="CA101" i="1"/>
  <c r="BR69" i="1"/>
  <c r="DJ69" i="1" s="1"/>
  <c r="AG52" i="1"/>
  <c r="BZ88" i="1"/>
  <c r="BR139" i="1"/>
  <c r="DJ139" i="1" s="1"/>
  <c r="AX136" i="1"/>
  <c r="BT133" i="1"/>
  <c r="BT144" i="1"/>
  <c r="CM119" i="1"/>
  <c r="DM119" i="1" s="1"/>
  <c r="BY152" i="1"/>
  <c r="DK152" i="1" s="1"/>
  <c r="CH142" i="1"/>
  <c r="CN145" i="1"/>
  <c r="AG114" i="1"/>
  <c r="BR147" i="1"/>
  <c r="DJ147" i="1" s="1"/>
  <c r="AN137" i="1"/>
  <c r="CG69" i="1"/>
  <c r="AG325" i="1"/>
  <c r="CM324" i="1"/>
  <c r="DM324" i="1" s="1"/>
  <c r="BS195" i="1"/>
  <c r="AV6" i="1"/>
  <c r="CH6" i="1"/>
  <c r="CO6" i="1"/>
  <c r="BT6" i="1"/>
  <c r="AX6" i="1"/>
  <c r="CA6" i="1"/>
  <c r="BY139" i="1"/>
  <c r="DK139" i="1" s="1"/>
  <c r="AE145" i="1"/>
  <c r="BS183" i="1"/>
  <c r="AN99" i="1"/>
  <c r="CA143" i="1"/>
  <c r="BR151" i="1"/>
  <c r="DJ151" i="1" s="1"/>
  <c r="AN130" i="1"/>
  <c r="AG130" i="1"/>
  <c r="CM150" i="1"/>
  <c r="DM150" i="1" s="1"/>
  <c r="BR118" i="1"/>
  <c r="DJ118" i="1" s="1"/>
  <c r="CH114" i="1"/>
  <c r="AE141" i="1"/>
  <c r="BT147" i="1"/>
  <c r="AV101" i="1"/>
  <c r="AN69" i="1"/>
  <c r="CG52" i="1"/>
  <c r="CH136" i="1"/>
  <c r="CA144" i="1"/>
  <c r="CO122" i="1"/>
  <c r="AX142" i="1"/>
  <c r="BS145" i="1"/>
  <c r="CN85" i="1"/>
  <c r="AN147" i="1"/>
  <c r="CM137" i="1"/>
  <c r="DM137" i="1" s="1"/>
  <c r="BR324" i="1"/>
  <c r="DJ324" i="1" s="1"/>
  <c r="CG195" i="1"/>
  <c r="AE338" i="1"/>
  <c r="AG338" i="1"/>
  <c r="BY151" i="1"/>
  <c r="DK151" i="1" s="1"/>
  <c r="AV122" i="1"/>
  <c r="BZ145" i="1"/>
  <c r="CG85" i="1"/>
  <c r="AP147" i="1"/>
  <c r="CN153" i="1"/>
  <c r="CM351" i="1"/>
  <c r="DM351" i="1" s="1"/>
  <c r="AG195" i="1"/>
  <c r="AG324" i="1"/>
  <c r="AE324" i="1"/>
  <c r="BT328" i="1"/>
  <c r="AV328" i="1"/>
  <c r="AX328" i="1"/>
  <c r="CA328" i="1"/>
  <c r="CO328" i="1"/>
  <c r="CH328" i="1"/>
  <c r="CG147" i="1"/>
  <c r="CM88" i="1"/>
  <c r="DM88" i="1" s="1"/>
  <c r="AE4" i="1"/>
  <c r="CH122" i="1"/>
  <c r="CF351" i="1"/>
  <c r="DL351" i="1" s="1"/>
  <c r="AP330" i="1"/>
  <c r="AN330" i="1"/>
  <c r="CM328" i="1"/>
  <c r="DM328" i="1" s="1"/>
  <c r="AP328" i="1"/>
  <c r="AN328" i="1"/>
  <c r="CF328" i="1"/>
  <c r="DL328" i="1" s="1"/>
  <c r="BY328" i="1"/>
  <c r="DK328" i="1" s="1"/>
  <c r="BR328" i="1"/>
  <c r="DJ328" i="1" s="1"/>
  <c r="BR88" i="1"/>
  <c r="DJ88" i="1" s="1"/>
  <c r="CN172" i="1"/>
  <c r="AX122" i="1"/>
  <c r="BR351" i="1"/>
  <c r="DJ351" i="1" s="1"/>
  <c r="BR41" i="1"/>
  <c r="DJ41" i="1" s="1"/>
  <c r="BY41" i="1"/>
  <c r="DK41" i="1" s="1"/>
  <c r="AP41" i="1"/>
  <c r="CM41" i="1"/>
  <c r="DM41" i="1" s="1"/>
  <c r="CF41" i="1"/>
  <c r="DL41" i="1" s="1"/>
  <c r="AN41" i="1"/>
  <c r="AV72" i="1"/>
  <c r="CG119" i="1"/>
  <c r="BR140" i="1"/>
  <c r="DJ140" i="1" s="1"/>
  <c r="BZ91" i="1"/>
  <c r="BZ147" i="1"/>
  <c r="BR150" i="1"/>
  <c r="DJ150" i="1" s="1"/>
  <c r="BR105" i="1"/>
  <c r="DJ105" i="1" s="1"/>
  <c r="CA126" i="1"/>
  <c r="CN141" i="1"/>
  <c r="AN88" i="1"/>
  <c r="BR122" i="1"/>
  <c r="DJ122" i="1" s="1"/>
  <c r="BS172" i="1"/>
  <c r="CG152" i="1"/>
  <c r="BZ124" i="1"/>
  <c r="BT122" i="1"/>
  <c r="BR81" i="1"/>
  <c r="DJ81" i="1" s="1"/>
  <c r="BS85" i="1"/>
  <c r="BR144" i="1"/>
  <c r="DJ144" i="1" s="1"/>
  <c r="BY351" i="1"/>
  <c r="DK351" i="1" s="1"/>
  <c r="AG181" i="1"/>
  <c r="AE181" i="1"/>
  <c r="CG49" i="1"/>
  <c r="CN49" i="1"/>
  <c r="AG49" i="1"/>
  <c r="AE49" i="1"/>
  <c r="BS49" i="1"/>
  <c r="BZ49" i="1"/>
  <c r="CN101" i="1"/>
  <c r="AX52" i="1"/>
  <c r="AP88" i="1"/>
  <c r="CG172" i="1"/>
  <c r="BZ36" i="1"/>
  <c r="AN351" i="1"/>
  <c r="AE183" i="1"/>
  <c r="CH195" i="1"/>
  <c r="CO164" i="1"/>
  <c r="CF88" i="1"/>
  <c r="DL88" i="1" s="1"/>
  <c r="AG172" i="1"/>
  <c r="AN139" i="1"/>
  <c r="AV133" i="1"/>
  <c r="CN36" i="1"/>
  <c r="AG183" i="1"/>
  <c r="AV195" i="1"/>
  <c r="AX348" i="1"/>
  <c r="AV348" i="1"/>
  <c r="AX49" i="1"/>
  <c r="CO49" i="1"/>
  <c r="CH49" i="1"/>
  <c r="AV49" i="1"/>
  <c r="CA49" i="1"/>
  <c r="BT49" i="1"/>
  <c r="AX335" i="1"/>
  <c r="AV335" i="1"/>
  <c r="CH335" i="1"/>
  <c r="CA335" i="1"/>
  <c r="BT335" i="1"/>
  <c r="CO335" i="1"/>
  <c r="CA166" i="1"/>
  <c r="AV143" i="1"/>
  <c r="BT150" i="1"/>
  <c r="CG91" i="1"/>
  <c r="BT164" i="1"/>
  <c r="CM105" i="1"/>
  <c r="DM105" i="1" s="1"/>
  <c r="CO166" i="1"/>
  <c r="AN122" i="1"/>
  <c r="AE172" i="1"/>
  <c r="BS170" i="1"/>
  <c r="AG152" i="1"/>
  <c r="CM139" i="1"/>
  <c r="DM139" i="1" s="1"/>
  <c r="CH133" i="1"/>
  <c r="BS124" i="1"/>
  <c r="AN119" i="1"/>
  <c r="AP84" i="1"/>
  <c r="CO77" i="1"/>
  <c r="CO74" i="1"/>
  <c r="AG36" i="1"/>
  <c r="CG183" i="1"/>
  <c r="AX195" i="1"/>
  <c r="AX321" i="1"/>
  <c r="AV321" i="1"/>
  <c r="AX114" i="1"/>
  <c r="CF122" i="1"/>
  <c r="DL122" i="1" s="1"/>
  <c r="BR84" i="1"/>
  <c r="DJ84" i="1" s="1"/>
  <c r="CA352" i="1"/>
  <c r="AX352" i="1"/>
  <c r="AV352" i="1"/>
  <c r="CH352" i="1"/>
  <c r="BT352" i="1"/>
  <c r="CO352" i="1"/>
  <c r="CO347" i="1"/>
  <c r="BT347" i="1"/>
  <c r="CH347" i="1"/>
  <c r="CA347" i="1"/>
  <c r="AX347" i="1"/>
  <c r="AV347" i="1"/>
  <c r="CM187" i="1"/>
  <c r="DM187" i="1" s="1"/>
  <c r="BR187" i="1"/>
  <c r="DJ187" i="1" s="1"/>
  <c r="BY187" i="1"/>
  <c r="DK187" i="1" s="1"/>
  <c r="CF187" i="1"/>
  <c r="DL187" i="1" s="1"/>
  <c r="AP187" i="1"/>
  <c r="AN187" i="1"/>
  <c r="BS344" i="1"/>
  <c r="CN344" i="1"/>
  <c r="BZ344" i="1"/>
  <c r="CG344" i="1"/>
  <c r="AE344" i="1"/>
  <c r="AG344" i="1"/>
  <c r="CN336" i="1"/>
  <c r="BZ336" i="1"/>
  <c r="BS336" i="1"/>
  <c r="CG336" i="1"/>
  <c r="AG336" i="1"/>
  <c r="AE336" i="1"/>
  <c r="CG101" i="1"/>
  <c r="CH52" i="1"/>
  <c r="BZ4" i="1"/>
  <c r="AG78" i="1"/>
  <c r="CA77" i="1"/>
  <c r="CN134" i="1"/>
  <c r="BZ153" i="1"/>
  <c r="AX194" i="1"/>
  <c r="AV194" i="1"/>
  <c r="CH194" i="1"/>
  <c r="CA194" i="1"/>
  <c r="BT194" i="1"/>
  <c r="CO194" i="1"/>
  <c r="AE187" i="1"/>
  <c r="AG187" i="1"/>
  <c r="CG187" i="1"/>
  <c r="CN187" i="1"/>
  <c r="BZ187" i="1"/>
  <c r="BS187" i="1"/>
  <c r="BZ203" i="1"/>
  <c r="BS203" i="1"/>
  <c r="CN203" i="1"/>
  <c r="CG203" i="1"/>
  <c r="AG203" i="1"/>
  <c r="AE203" i="1"/>
  <c r="BY207" i="1"/>
  <c r="DK207" i="1" s="1"/>
  <c r="CF207" i="1"/>
  <c r="DL207" i="1" s="1"/>
  <c r="AP207" i="1"/>
  <c r="BR207" i="1"/>
  <c r="DJ207" i="1" s="1"/>
  <c r="CM207" i="1"/>
  <c r="DM207" i="1" s="1"/>
  <c r="AN207" i="1"/>
  <c r="BY62" i="1"/>
  <c r="DK62" i="1" s="1"/>
  <c r="BR62" i="1"/>
  <c r="DJ62" i="1" s="1"/>
  <c r="AN62" i="1"/>
  <c r="CM62" i="1"/>
  <c r="DM62" i="1" s="1"/>
  <c r="AP62" i="1"/>
  <c r="CF62" i="1"/>
  <c r="DL62" i="1" s="1"/>
  <c r="AN348" i="1"/>
  <c r="AP348" i="1"/>
  <c r="BR348" i="1"/>
  <c r="DJ348" i="1" s="1"/>
  <c r="BY348" i="1"/>
  <c r="DK348" i="1" s="1"/>
  <c r="CM348" i="1"/>
  <c r="DM348" i="1" s="1"/>
  <c r="CF348" i="1"/>
  <c r="DL348" i="1" s="1"/>
  <c r="CH344" i="1"/>
  <c r="CO344" i="1"/>
  <c r="BT344" i="1"/>
  <c r="CA344" i="1"/>
  <c r="AV344" i="1"/>
  <c r="AX344" i="1"/>
  <c r="BZ101" i="1"/>
  <c r="BT52" i="1"/>
  <c r="AG4" i="1"/>
  <c r="BS78" i="1"/>
  <c r="CH148" i="1"/>
  <c r="CF84" i="1"/>
  <c r="DL84" i="1" s="1"/>
  <c r="CH155" i="1"/>
  <c r="BZ134" i="1"/>
  <c r="CM144" i="1"/>
  <c r="DM144" i="1" s="1"/>
  <c r="AV330" i="1"/>
  <c r="AX330" i="1"/>
  <c r="CH330" i="1"/>
  <c r="CA330" i="1"/>
  <c r="BT330" i="1"/>
  <c r="CO330" i="1"/>
  <c r="AP203" i="1"/>
  <c r="AN203" i="1"/>
  <c r="CM203" i="1"/>
  <c r="DM203" i="1" s="1"/>
  <c r="BR203" i="1"/>
  <c r="DJ203" i="1" s="1"/>
  <c r="CF203" i="1"/>
  <c r="DL203" i="1" s="1"/>
  <c r="BY203" i="1"/>
  <c r="DK203" i="1" s="1"/>
  <c r="AX324" i="1"/>
  <c r="CO324" i="1"/>
  <c r="CA324" i="1"/>
  <c r="BT324" i="1"/>
  <c r="AV324" i="1"/>
  <c r="CH324" i="1"/>
  <c r="AG101" i="1"/>
  <c r="CO52" i="1"/>
  <c r="BS4" i="1"/>
  <c r="CN78" i="1"/>
  <c r="AX148" i="1"/>
  <c r="CO155" i="1"/>
  <c r="CO353" i="1"/>
  <c r="CH353" i="1"/>
  <c r="CA353" i="1"/>
  <c r="BT353" i="1"/>
  <c r="AV353" i="1"/>
  <c r="AX353" i="1"/>
  <c r="BT207" i="1"/>
  <c r="CH207" i="1"/>
  <c r="CA207" i="1"/>
  <c r="CO207" i="1"/>
  <c r="AX207" i="1"/>
  <c r="AV207" i="1"/>
  <c r="AN195" i="1"/>
  <c r="CF195" i="1"/>
  <c r="DL195" i="1" s="1"/>
  <c r="CM195" i="1"/>
  <c r="DM195" i="1" s="1"/>
  <c r="BY195" i="1"/>
  <c r="DK195" i="1" s="1"/>
  <c r="AP195" i="1"/>
  <c r="BR195" i="1"/>
  <c r="DJ195" i="1" s="1"/>
  <c r="CF101" i="1"/>
  <c r="DL101" i="1" s="1"/>
  <c r="AP60" i="1"/>
  <c r="BR117" i="1"/>
  <c r="DJ117" i="1" s="1"/>
  <c r="AE78" i="1"/>
  <c r="AV148" i="1"/>
  <c r="AX155" i="1"/>
  <c r="AN144" i="1"/>
  <c r="BY342" i="1"/>
  <c r="DK342" i="1" s="1"/>
  <c r="BR342" i="1"/>
  <c r="DJ342" i="1" s="1"/>
  <c r="CF342" i="1"/>
  <c r="DL342" i="1" s="1"/>
  <c r="CM342" i="1"/>
  <c r="DM342" i="1" s="1"/>
  <c r="AN342" i="1"/>
  <c r="AP342" i="1"/>
  <c r="AN347" i="1"/>
  <c r="AP347" i="1"/>
  <c r="CM347" i="1"/>
  <c r="DM347" i="1" s="1"/>
  <c r="BR347" i="1"/>
  <c r="DJ347" i="1" s="1"/>
  <c r="CF347" i="1"/>
  <c r="DL347" i="1" s="1"/>
  <c r="BY347" i="1"/>
  <c r="DK347" i="1" s="1"/>
  <c r="CM101" i="1"/>
  <c r="DM101" i="1" s="1"/>
  <c r="BR60" i="1"/>
  <c r="DJ60" i="1" s="1"/>
  <c r="CF117" i="1"/>
  <c r="DL117" i="1" s="1"/>
  <c r="CG78" i="1"/>
  <c r="CA148" i="1"/>
  <c r="BT155" i="1"/>
  <c r="AP144" i="1"/>
  <c r="AX342" i="1"/>
  <c r="AV342" i="1"/>
  <c r="CA342" i="1"/>
  <c r="CH342" i="1"/>
  <c r="BT342" i="1"/>
  <c r="CO342" i="1"/>
  <c r="CA181" i="1"/>
  <c r="BT181" i="1"/>
  <c r="CO181" i="1"/>
  <c r="CH181" i="1"/>
  <c r="AV181" i="1"/>
  <c r="AX181" i="1"/>
  <c r="BY60" i="1"/>
  <c r="DK60" i="1" s="1"/>
  <c r="BY117" i="1"/>
  <c r="DK117" i="1" s="1"/>
  <c r="CO148" i="1"/>
  <c r="CA155" i="1"/>
  <c r="AG353" i="1"/>
  <c r="CN353" i="1"/>
  <c r="CG353" i="1"/>
  <c r="AE353" i="1"/>
  <c r="BZ353" i="1"/>
  <c r="BS353" i="1"/>
  <c r="BY183" i="1"/>
  <c r="DK183" i="1" s="1"/>
  <c r="CM183" i="1"/>
  <c r="DM183" i="1" s="1"/>
  <c r="CF183" i="1"/>
  <c r="DL183" i="1" s="1"/>
  <c r="BR183" i="1"/>
  <c r="DJ183" i="1" s="1"/>
  <c r="AN183" i="1"/>
  <c r="AP183" i="1"/>
  <c r="AX191" i="1"/>
  <c r="BT191" i="1"/>
  <c r="CH191" i="1"/>
  <c r="CO191" i="1"/>
  <c r="CA191" i="1"/>
  <c r="AV191" i="1"/>
  <c r="BT325" i="1"/>
  <c r="CH325" i="1"/>
  <c r="CO325" i="1"/>
  <c r="CA325" i="1"/>
  <c r="AX325" i="1"/>
  <c r="AV325" i="1"/>
  <c r="AP101" i="1"/>
  <c r="BR101" i="1"/>
  <c r="DJ101" i="1" s="1"/>
  <c r="CF60" i="1"/>
  <c r="DL60" i="1" s="1"/>
  <c r="AP117" i="1"/>
  <c r="BR137" i="1"/>
  <c r="DJ137" i="1" s="1"/>
  <c r="AV74" i="1"/>
  <c r="CG351" i="1"/>
  <c r="CN351" i="1"/>
  <c r="BZ351" i="1"/>
  <c r="BS351" i="1"/>
  <c r="AE351" i="1"/>
  <c r="AG351" i="1"/>
  <c r="AP295" i="1"/>
  <c r="AN295" i="1"/>
  <c r="BY295" i="1"/>
  <c r="DK295" i="1" s="1"/>
  <c r="CF295" i="1"/>
  <c r="DL295" i="1" s="1"/>
  <c r="CM295" i="1"/>
  <c r="DM295" i="1" s="1"/>
  <c r="BR295" i="1"/>
  <c r="DJ295" i="1" s="1"/>
  <c r="CO202" i="1"/>
  <c r="CH202" i="1"/>
  <c r="BT202" i="1"/>
  <c r="CA202" i="1"/>
  <c r="AV202" i="1"/>
  <c r="AX202" i="1"/>
  <c r="CH187" i="1"/>
  <c r="CO187" i="1"/>
  <c r="CA187" i="1"/>
  <c r="AX187" i="1"/>
  <c r="AV187" i="1"/>
  <c r="BT187" i="1"/>
  <c r="AN101" i="1"/>
  <c r="AN60" i="1"/>
  <c r="CM117" i="1"/>
  <c r="DM117" i="1" s="1"/>
  <c r="AV77" i="1"/>
  <c r="AN344" i="1"/>
  <c r="AP344" i="1"/>
  <c r="CF344" i="1"/>
  <c r="DL344" i="1" s="1"/>
  <c r="BY344" i="1"/>
  <c r="DK344" i="1" s="1"/>
  <c r="BR344" i="1"/>
  <c r="DJ344" i="1" s="1"/>
  <c r="CM344" i="1"/>
  <c r="DM344" i="1" s="1"/>
  <c r="AP181" i="1"/>
  <c r="AN181" i="1"/>
  <c r="BY181" i="1"/>
  <c r="DK181" i="1" s="1"/>
  <c r="CF181" i="1"/>
  <c r="DL181" i="1" s="1"/>
  <c r="BR181" i="1"/>
  <c r="DJ181" i="1" s="1"/>
  <c r="CM181" i="1"/>
  <c r="DM181" i="1" s="1"/>
  <c r="CA206" i="1"/>
  <c r="CO206" i="1"/>
  <c r="BT206" i="1"/>
  <c r="CH206" i="1"/>
  <c r="AX206" i="1"/>
  <c r="AV206" i="1"/>
  <c r="AX77" i="1"/>
  <c r="AN325" i="1"/>
  <c r="BY325" i="1"/>
  <c r="DK325" i="1" s="1"/>
  <c r="CM325" i="1"/>
  <c r="DM325" i="1" s="1"/>
  <c r="CF325" i="1"/>
  <c r="DL325" i="1" s="1"/>
  <c r="BR325" i="1"/>
  <c r="DJ325" i="1" s="1"/>
  <c r="AP325" i="1"/>
  <c r="BY36" i="1"/>
  <c r="DK36" i="1" s="1"/>
  <c r="AN36" i="1"/>
  <c r="AP36" i="1"/>
  <c r="CF36" i="1"/>
  <c r="DL36" i="1" s="1"/>
  <c r="BR36" i="1"/>
  <c r="DJ36" i="1" s="1"/>
  <c r="CM36" i="1"/>
  <c r="DM36" i="1" s="1"/>
  <c r="AN321" i="1"/>
  <c r="AP321" i="1"/>
  <c r="CM321" i="1"/>
  <c r="DM321" i="1" s="1"/>
  <c r="BR321" i="1"/>
  <c r="DJ321" i="1" s="1"/>
  <c r="CF321" i="1"/>
  <c r="DL321" i="1" s="1"/>
  <c r="BY321" i="1"/>
  <c r="DK321" i="1" s="1"/>
  <c r="AE101" i="1"/>
  <c r="CA52" i="1"/>
  <c r="CG4" i="1"/>
  <c r="CH77" i="1"/>
  <c r="CG153" i="1"/>
  <c r="AX74" i="1"/>
  <c r="BS206" i="1"/>
  <c r="CN206" i="1"/>
  <c r="AE206" i="1"/>
  <c r="BZ206" i="1"/>
  <c r="AG206" i="1"/>
  <c r="CG206" i="1"/>
  <c r="AV349" i="1"/>
  <c r="AX349" i="1"/>
  <c r="CO349" i="1"/>
  <c r="CA349" i="1"/>
  <c r="BT349" i="1"/>
  <c r="CH349" i="1"/>
  <c r="AG349" i="1"/>
  <c r="AE349" i="1"/>
  <c r="CG349" i="1"/>
  <c r="CN349" i="1"/>
  <c r="BS349" i="1"/>
  <c r="BZ349" i="1"/>
  <c r="CN352" i="1"/>
  <c r="BS352" i="1"/>
  <c r="BZ352" i="1"/>
  <c r="CG352" i="1"/>
  <c r="AE352" i="1"/>
  <c r="AG352" i="1"/>
  <c r="CO203" i="1"/>
  <c r="CH203" i="1"/>
  <c r="BT203" i="1"/>
  <c r="CA203" i="1"/>
  <c r="AV203" i="1"/>
  <c r="AX203" i="1"/>
  <c r="BZ186" i="1"/>
  <c r="CG186" i="1"/>
  <c r="BS186" i="1"/>
  <c r="CN186" i="1"/>
  <c r="AG186" i="1"/>
  <c r="AE186" i="1"/>
  <c r="AN346" i="1"/>
  <c r="AP346" i="1"/>
  <c r="BR346" i="1"/>
  <c r="DJ346" i="1" s="1"/>
  <c r="BY346" i="1"/>
  <c r="DK346" i="1" s="1"/>
  <c r="CM346" i="1"/>
  <c r="DM346" i="1" s="1"/>
  <c r="CF346" i="1"/>
  <c r="DL346" i="1" s="1"/>
  <c r="CN191" i="1"/>
  <c r="CG191" i="1"/>
  <c r="BZ191" i="1"/>
  <c r="BS191" i="1"/>
  <c r="AE191" i="1"/>
  <c r="AG191" i="1"/>
  <c r="CH336" i="1"/>
  <c r="CA336" i="1"/>
  <c r="CO336" i="1"/>
  <c r="BT336" i="1"/>
  <c r="AV336" i="1"/>
  <c r="AX336" i="1"/>
  <c r="BT317" i="1"/>
  <c r="CH317" i="1"/>
  <c r="CA317" i="1"/>
  <c r="CO317" i="1"/>
  <c r="AV317" i="1"/>
  <c r="AX317" i="1"/>
  <c r="BY137" i="1"/>
  <c r="DK137" i="1" s="1"/>
  <c r="BY144" i="1"/>
  <c r="DK144" i="1" s="1"/>
  <c r="CF136" i="1"/>
  <c r="DL136" i="1" s="1"/>
  <c r="CM136" i="1"/>
  <c r="DM136" i="1" s="1"/>
  <c r="AN136" i="1"/>
  <c r="BY136" i="1"/>
  <c r="DK136" i="1" s="1"/>
  <c r="AP136" i="1"/>
  <c r="BR136" i="1"/>
  <c r="DJ136" i="1" s="1"/>
  <c r="AV157" i="1"/>
  <c r="AX157" i="1"/>
  <c r="CO157" i="1"/>
  <c r="BT157" i="1"/>
  <c r="CA157" i="1"/>
  <c r="CH157" i="1"/>
  <c r="BZ150" i="1"/>
  <c r="CG150" i="1"/>
  <c r="BS150" i="1"/>
  <c r="AE150" i="1"/>
  <c r="AG150" i="1"/>
  <c r="CN150" i="1"/>
  <c r="BZ9" i="1"/>
  <c r="BS9" i="1"/>
  <c r="AE9" i="1"/>
  <c r="CN9" i="1"/>
  <c r="AG9" i="1"/>
  <c r="CG159" i="1"/>
  <c r="AE159" i="1"/>
  <c r="BS159" i="1"/>
  <c r="CN159" i="1"/>
  <c r="BZ159" i="1"/>
  <c r="AG159" i="1"/>
  <c r="CA149" i="1"/>
  <c r="BT149" i="1"/>
  <c r="CO149" i="1"/>
  <c r="AX149" i="1"/>
  <c r="CH149" i="1"/>
  <c r="AV149" i="1"/>
  <c r="CA168" i="1"/>
  <c r="AV168" i="1"/>
  <c r="CH168" i="1"/>
  <c r="CO168" i="1"/>
  <c r="BT168" i="1"/>
  <c r="AX168" i="1"/>
  <c r="BR79" i="1"/>
  <c r="DJ79" i="1" s="1"/>
  <c r="AN79" i="1"/>
  <c r="CF79" i="1"/>
  <c r="DL79" i="1" s="1"/>
  <c r="AP79" i="1"/>
  <c r="BY79" i="1"/>
  <c r="DK79" i="1" s="1"/>
  <c r="CM79" i="1"/>
  <c r="DM79" i="1" s="1"/>
  <c r="CA106" i="1"/>
  <c r="CO106" i="1"/>
  <c r="CH106" i="1"/>
  <c r="AX106" i="1"/>
  <c r="AV106" i="1"/>
  <c r="BT106" i="1"/>
  <c r="BY91" i="1"/>
  <c r="DK91" i="1" s="1"/>
  <c r="AP91" i="1"/>
  <c r="AN91" i="1"/>
  <c r="CM91" i="1"/>
  <c r="DM91" i="1" s="1"/>
  <c r="BR91" i="1"/>
  <c r="DJ91" i="1" s="1"/>
  <c r="CF91" i="1"/>
  <c r="DL91" i="1" s="1"/>
  <c r="CN106" i="1"/>
  <c r="BZ106" i="1"/>
  <c r="AE106" i="1"/>
  <c r="AG106" i="1"/>
  <c r="CG106" i="1"/>
  <c r="BS106" i="1"/>
  <c r="CF138" i="1"/>
  <c r="DL138" i="1" s="1"/>
  <c r="BR138" i="1"/>
  <c r="DJ138" i="1" s="1"/>
  <c r="AP138" i="1"/>
  <c r="AN138" i="1"/>
  <c r="BY138" i="1"/>
  <c r="DK138" i="1" s="1"/>
  <c r="CM138" i="1"/>
  <c r="DM138" i="1" s="1"/>
  <c r="AX60" i="1"/>
  <c r="CH60" i="1"/>
  <c r="CO60" i="1"/>
  <c r="CA60" i="1"/>
  <c r="AV60" i="1"/>
  <c r="BT60" i="1"/>
  <c r="CN176" i="1"/>
  <c r="AE176" i="1"/>
  <c r="AG176" i="1"/>
  <c r="BZ176" i="1"/>
  <c r="CG176" i="1"/>
  <c r="BS176" i="1"/>
  <c r="CA153" i="1"/>
  <c r="CH153" i="1"/>
  <c r="BT153" i="1"/>
  <c r="AX153" i="1"/>
  <c r="CO153" i="1"/>
  <c r="AV153" i="1"/>
  <c r="BS138" i="1"/>
  <c r="AE138" i="1"/>
  <c r="CN138" i="1"/>
  <c r="BZ138" i="1"/>
  <c r="CG138" i="1"/>
  <c r="AG138" i="1"/>
  <c r="BY176" i="1"/>
  <c r="DK176" i="1" s="1"/>
  <c r="AP176" i="1"/>
  <c r="CF176" i="1"/>
  <c r="DL176" i="1" s="1"/>
  <c r="AN176" i="1"/>
  <c r="BR176" i="1"/>
  <c r="DJ176" i="1" s="1"/>
  <c r="CM176" i="1"/>
  <c r="DM176" i="1" s="1"/>
  <c r="AX138" i="1"/>
  <c r="CA138" i="1"/>
  <c r="BT138" i="1"/>
  <c r="CH138" i="1"/>
  <c r="AV138" i="1"/>
  <c r="CO138" i="1"/>
  <c r="BT107" i="1"/>
  <c r="CH107" i="1"/>
  <c r="CA107" i="1"/>
  <c r="AX107" i="1"/>
  <c r="CO107" i="1"/>
  <c r="AV107" i="1"/>
  <c r="AE135" i="1"/>
  <c r="CG135" i="1"/>
  <c r="BZ135" i="1"/>
  <c r="CN135" i="1"/>
  <c r="BS135" i="1"/>
  <c r="AG135" i="1"/>
  <c r="BT152" i="1"/>
  <c r="CH152" i="1"/>
  <c r="CA152" i="1"/>
  <c r="CO152" i="1"/>
  <c r="AV152" i="1"/>
  <c r="AX152" i="1"/>
  <c r="BZ168" i="1"/>
  <c r="CN168" i="1"/>
  <c r="AE168" i="1"/>
  <c r="BS168" i="1"/>
  <c r="AG168" i="1"/>
  <c r="CG168" i="1"/>
  <c r="BT92" i="1"/>
  <c r="CO92" i="1"/>
  <c r="CH92" i="1"/>
  <c r="CA92" i="1"/>
  <c r="AX92" i="1"/>
  <c r="AV92" i="1"/>
  <c r="BR107" i="1"/>
  <c r="DJ107" i="1" s="1"/>
  <c r="AN107" i="1"/>
  <c r="CF107" i="1"/>
  <c r="DL107" i="1" s="1"/>
  <c r="BY107" i="1"/>
  <c r="DK107" i="1" s="1"/>
  <c r="CM107" i="1"/>
  <c r="DM107" i="1" s="1"/>
  <c r="AP107" i="1"/>
  <c r="BS162" i="1"/>
  <c r="CN162" i="1"/>
  <c r="AE162" i="1"/>
  <c r="BZ162" i="1"/>
  <c r="CG162" i="1"/>
  <c r="AG162" i="1"/>
  <c r="CG74" i="1"/>
  <c r="AE74" i="1"/>
  <c r="BS74" i="1"/>
  <c r="AG74" i="1"/>
  <c r="CN74" i="1"/>
  <c r="BZ74" i="1"/>
  <c r="AX154" i="1"/>
  <c r="CO154" i="1"/>
  <c r="CA154" i="1"/>
  <c r="BT154" i="1"/>
  <c r="AV154" i="1"/>
  <c r="CH154" i="1"/>
  <c r="CO113" i="1"/>
  <c r="CA113" i="1"/>
  <c r="BT113" i="1"/>
  <c r="AV113" i="1"/>
  <c r="AX113" i="1"/>
  <c r="CH113" i="1"/>
  <c r="CH91" i="1"/>
  <c r="AX91" i="1"/>
  <c r="CO91" i="1"/>
  <c r="CA91" i="1"/>
  <c r="AV91" i="1"/>
  <c r="BT91" i="1"/>
  <c r="CM85" i="1"/>
  <c r="DM85" i="1" s="1"/>
  <c r="BY85" i="1"/>
  <c r="DK85" i="1" s="1"/>
  <c r="BR85" i="1"/>
  <c r="DJ85" i="1" s="1"/>
  <c r="AP85" i="1"/>
  <c r="CF85" i="1"/>
  <c r="DL85" i="1" s="1"/>
  <c r="AN85" i="1"/>
  <c r="CM92" i="1"/>
  <c r="DM92" i="1" s="1"/>
  <c r="AN92" i="1"/>
  <c r="BY92" i="1"/>
  <c r="DK92" i="1" s="1"/>
  <c r="AP92" i="1"/>
  <c r="CF92" i="1"/>
  <c r="DL92" i="1" s="1"/>
  <c r="BR92" i="1"/>
  <c r="DJ92" i="1" s="1"/>
  <c r="AG81" i="1"/>
  <c r="CG81" i="1"/>
  <c r="BS81" i="1"/>
  <c r="AE81" i="1"/>
  <c r="CN81" i="1"/>
  <c r="BZ81" i="1"/>
  <c r="AP134" i="1"/>
  <c r="AN134" i="1"/>
  <c r="CF134" i="1"/>
  <c r="DL134" i="1" s="1"/>
  <c r="BY134" i="1"/>
  <c r="DK134" i="1" s="1"/>
  <c r="BR134" i="1"/>
  <c r="DJ134" i="1" s="1"/>
  <c r="CM134" i="1"/>
  <c r="DM134" i="1" s="1"/>
  <c r="AN106" i="1"/>
  <c r="AP106" i="1"/>
  <c r="CF106" i="1"/>
  <c r="DL106" i="1" s="1"/>
  <c r="CM106" i="1"/>
  <c r="DM106" i="1" s="1"/>
  <c r="BR106" i="1"/>
  <c r="DJ106" i="1" s="1"/>
  <c r="BY106" i="1"/>
  <c r="DK106" i="1" s="1"/>
  <c r="AE126" i="1"/>
  <c r="CG126" i="1"/>
  <c r="BS126" i="1"/>
  <c r="CN126" i="1"/>
  <c r="BZ126" i="1"/>
  <c r="AG126" i="1"/>
  <c r="AX56" i="1"/>
  <c r="BT56" i="1"/>
  <c r="AV56" i="1"/>
  <c r="CO56" i="1"/>
  <c r="CA56" i="1"/>
  <c r="CH56" i="1"/>
  <c r="AX111" i="1"/>
  <c r="AV111" i="1"/>
  <c r="CA111" i="1"/>
  <c r="CH111" i="1"/>
  <c r="BT111" i="1"/>
  <c r="CO111" i="1"/>
  <c r="BS79" i="1"/>
  <c r="CG79" i="1"/>
  <c r="CN79" i="1"/>
  <c r="BZ79" i="1"/>
  <c r="AG79" i="1"/>
  <c r="AE79" i="1"/>
  <c r="CO97" i="1"/>
  <c r="AX97" i="1"/>
  <c r="BT97" i="1"/>
  <c r="CH97" i="1"/>
  <c r="CA97" i="1"/>
  <c r="AV97" i="1"/>
  <c r="AP155" i="1"/>
  <c r="CM155" i="1"/>
  <c r="DM155" i="1" s="1"/>
  <c r="AN155" i="1"/>
  <c r="BR155" i="1"/>
  <c r="DJ155" i="1" s="1"/>
  <c r="BY155" i="1"/>
  <c r="DK155" i="1" s="1"/>
  <c r="CF155" i="1"/>
  <c r="DL155" i="1" s="1"/>
  <c r="CH79" i="1"/>
  <c r="CO79" i="1"/>
  <c r="BT79" i="1"/>
  <c r="AX79" i="1"/>
  <c r="AV79" i="1"/>
  <c r="CA79" i="1"/>
  <c r="AG112" i="1"/>
  <c r="CG112" i="1"/>
  <c r="BZ112" i="1"/>
  <c r="AE112" i="1"/>
  <c r="BS112" i="1"/>
  <c r="CN112" i="1"/>
  <c r="CG97" i="1"/>
  <c r="AG97" i="1"/>
  <c r="BZ97" i="1"/>
  <c r="CN97" i="1"/>
  <c r="AE97" i="1"/>
  <c r="BS97" i="1"/>
  <c r="CH85" i="1"/>
  <c r="AX85" i="1"/>
  <c r="BT85" i="1"/>
  <c r="CA85" i="1"/>
  <c r="AV85" i="1"/>
  <c r="CO85" i="1"/>
  <c r="CG117" i="1"/>
  <c r="AG117" i="1"/>
  <c r="BZ117" i="1"/>
  <c r="BS117" i="1"/>
  <c r="AE117" i="1"/>
  <c r="CN117" i="1"/>
  <c r="BS133" i="1"/>
  <c r="AE133" i="1"/>
  <c r="CN133" i="1"/>
  <c r="BZ133" i="1"/>
  <c r="AG133" i="1"/>
  <c r="CG133" i="1"/>
  <c r="CH75" i="1"/>
  <c r="AX75" i="1"/>
  <c r="CO75" i="1"/>
  <c r="AV75" i="1"/>
  <c r="CA75" i="1"/>
  <c r="BT75" i="1"/>
  <c r="AV135" i="1"/>
  <c r="AX135" i="1"/>
  <c r="CH135" i="1"/>
  <c r="CO135" i="1"/>
  <c r="BT135" i="1"/>
  <c r="CA135" i="1"/>
  <c r="BR100" i="1"/>
  <c r="DJ100" i="1" s="1"/>
  <c r="CF100" i="1"/>
  <c r="DL100" i="1" s="1"/>
  <c r="CM100" i="1"/>
  <c r="DM100" i="1" s="1"/>
  <c r="BY100" i="1"/>
  <c r="DK100" i="1" s="1"/>
  <c r="AP100" i="1"/>
  <c r="AN100" i="1"/>
  <c r="AG72" i="1"/>
  <c r="BZ72" i="1"/>
  <c r="CN72" i="1"/>
  <c r="AE72" i="1"/>
  <c r="BS72" i="1"/>
  <c r="CG72" i="1"/>
  <c r="AE56" i="1"/>
  <c r="BZ56" i="1"/>
  <c r="BS56" i="1"/>
  <c r="AG56" i="1"/>
  <c r="CG56" i="1"/>
  <c r="CN56" i="1"/>
  <c r="AX145" i="1"/>
  <c r="CO145" i="1"/>
  <c r="BT145" i="1"/>
  <c r="CA145" i="1"/>
  <c r="AV145" i="1"/>
  <c r="CH145" i="1"/>
  <c r="AE122" i="1"/>
  <c r="AG122" i="1"/>
  <c r="BS122" i="1"/>
  <c r="CN122" i="1"/>
  <c r="CG122" i="1"/>
  <c r="BZ122" i="1"/>
  <c r="BR38" i="1"/>
  <c r="DJ38" i="1" s="1"/>
  <c r="CF38" i="1"/>
  <c r="DL38" i="1" s="1"/>
  <c r="CM38" i="1"/>
  <c r="DM38" i="1" s="1"/>
  <c r="AP38" i="1"/>
  <c r="AN38" i="1"/>
  <c r="BY38" i="1"/>
  <c r="DK38" i="1" s="1"/>
  <c r="CF143" i="1"/>
  <c r="DL143" i="1" s="1"/>
  <c r="BY143" i="1"/>
  <c r="DK143" i="1" s="1"/>
  <c r="BR143" i="1"/>
  <c r="DJ143" i="1" s="1"/>
  <c r="CM143" i="1"/>
  <c r="DM143" i="1" s="1"/>
  <c r="AN143" i="1"/>
  <c r="AP143" i="1"/>
  <c r="CG173" i="1"/>
  <c r="CN173" i="1"/>
  <c r="BZ173" i="1"/>
  <c r="AE173" i="1"/>
  <c r="BS173" i="1"/>
  <c r="AG173" i="1"/>
  <c r="CA89" i="1"/>
  <c r="BT89" i="1"/>
  <c r="CO89" i="1"/>
  <c r="AV89" i="1"/>
  <c r="AX89" i="1"/>
  <c r="CH89" i="1"/>
  <c r="CA131" i="1"/>
  <c r="AV131" i="1"/>
  <c r="AX131" i="1"/>
  <c r="BT131" i="1"/>
  <c r="CH131" i="1"/>
  <c r="CO131" i="1"/>
  <c r="AP173" i="1"/>
  <c r="BR173" i="1"/>
  <c r="DJ173" i="1" s="1"/>
  <c r="CF173" i="1"/>
  <c r="DL173" i="1" s="1"/>
  <c r="AN173" i="1"/>
  <c r="CM173" i="1"/>
  <c r="DM173" i="1" s="1"/>
  <c r="BY173" i="1"/>
  <c r="DK173" i="1" s="1"/>
  <c r="AN146" i="1"/>
  <c r="BR146" i="1"/>
  <c r="DJ146" i="1" s="1"/>
  <c r="CF146" i="1"/>
  <c r="DL146" i="1" s="1"/>
  <c r="BY146" i="1"/>
  <c r="DK146" i="1" s="1"/>
  <c r="CM146" i="1"/>
  <c r="DM146" i="1" s="1"/>
  <c r="AP146" i="1"/>
  <c r="AP74" i="1"/>
  <c r="AN74" i="1"/>
  <c r="BR74" i="1"/>
  <c r="DJ74" i="1" s="1"/>
  <c r="BY74" i="1"/>
  <c r="DK74" i="1" s="1"/>
  <c r="CM74" i="1"/>
  <c r="DM74" i="1" s="1"/>
  <c r="CF74" i="1"/>
  <c r="DL74" i="1" s="1"/>
  <c r="CG154" i="1"/>
  <c r="BZ154" i="1"/>
  <c r="AE154" i="1"/>
  <c r="BS154" i="1"/>
  <c r="AG154" i="1"/>
  <c r="CN154" i="1"/>
  <c r="CN146" i="1"/>
  <c r="CG146" i="1"/>
  <c r="BS146" i="1"/>
  <c r="BZ146" i="1"/>
  <c r="AG146" i="1"/>
  <c r="AE146" i="1"/>
  <c r="AN102" i="1"/>
  <c r="BR102" i="1"/>
  <c r="DJ102" i="1" s="1"/>
  <c r="BY102" i="1"/>
  <c r="DK102" i="1" s="1"/>
  <c r="AP102" i="1"/>
  <c r="CF102" i="1"/>
  <c r="DL102" i="1" s="1"/>
  <c r="CM102" i="1"/>
  <c r="DM102" i="1" s="1"/>
  <c r="AP111" i="1"/>
  <c r="AN111" i="1"/>
  <c r="CF111" i="1"/>
  <c r="DL111" i="1" s="1"/>
  <c r="CM111" i="1"/>
  <c r="DM111" i="1" s="1"/>
  <c r="BR111" i="1"/>
  <c r="DJ111" i="1" s="1"/>
  <c r="BY111" i="1"/>
  <c r="DK111" i="1" s="1"/>
  <c r="CM89" i="1"/>
  <c r="DM89" i="1" s="1"/>
  <c r="BY89" i="1"/>
  <c r="DK89" i="1" s="1"/>
  <c r="CF89" i="1"/>
  <c r="DL89" i="1" s="1"/>
  <c r="BR89" i="1"/>
  <c r="DJ89" i="1" s="1"/>
  <c r="AN89" i="1"/>
  <c r="AP89" i="1"/>
  <c r="CF159" i="1"/>
  <c r="DL159" i="1" s="1"/>
  <c r="AP159" i="1"/>
  <c r="BR159" i="1"/>
  <c r="DJ159" i="1" s="1"/>
  <c r="CM159" i="1"/>
  <c r="DM159" i="1" s="1"/>
  <c r="AN159" i="1"/>
  <c r="BY159" i="1"/>
  <c r="DK159" i="1" s="1"/>
  <c r="CH88" i="1"/>
  <c r="CO88" i="1"/>
  <c r="BT88" i="1"/>
  <c r="AV88" i="1"/>
  <c r="AX88" i="1"/>
  <c r="CA88" i="1"/>
  <c r="BY104" i="1"/>
  <c r="DK104" i="1" s="1"/>
  <c r="BR104" i="1"/>
  <c r="DJ104" i="1" s="1"/>
  <c r="AN104" i="1"/>
  <c r="CM104" i="1"/>
  <c r="DM104" i="1" s="1"/>
  <c r="CF104" i="1"/>
  <c r="DL104" i="1" s="1"/>
  <c r="AP104" i="1"/>
  <c r="CH119" i="1"/>
  <c r="CO119" i="1"/>
  <c r="AV119" i="1"/>
  <c r="BT119" i="1"/>
  <c r="AX119" i="1"/>
  <c r="CA119" i="1"/>
  <c r="BT137" i="1"/>
  <c r="CH137" i="1"/>
  <c r="CA137" i="1"/>
  <c r="AV137" i="1"/>
  <c r="CO137" i="1"/>
  <c r="AX137" i="1"/>
  <c r="AG89" i="1"/>
  <c r="AE89" i="1"/>
  <c r="BZ89" i="1"/>
  <c r="CG89" i="1"/>
  <c r="CN89" i="1"/>
  <c r="BS89" i="1"/>
  <c r="BS131" i="1"/>
  <c r="AE131" i="1"/>
  <c r="BZ131" i="1"/>
  <c r="CN131" i="1"/>
  <c r="AG131" i="1"/>
  <c r="CG131" i="1"/>
  <c r="BZ107" i="1"/>
  <c r="CN107" i="1"/>
  <c r="AG107" i="1"/>
  <c r="BS107" i="1"/>
  <c r="AE107" i="1"/>
  <c r="CG107" i="1"/>
  <c r="AG127" i="1"/>
  <c r="BZ127" i="1"/>
  <c r="AE127" i="1"/>
  <c r="CN127" i="1"/>
  <c r="BS127" i="1"/>
  <c r="CG127" i="1"/>
  <c r="CN128" i="1"/>
  <c r="BS128" i="1"/>
  <c r="AG128" i="1"/>
  <c r="BZ128" i="1"/>
  <c r="AE128" i="1"/>
  <c r="CG128" i="1"/>
  <c r="BR72" i="1"/>
  <c r="DJ72" i="1" s="1"/>
  <c r="AP72" i="1"/>
  <c r="CF72" i="1"/>
  <c r="DL72" i="1" s="1"/>
  <c r="BY72" i="1"/>
  <c r="DK72" i="1" s="1"/>
  <c r="AN72" i="1"/>
  <c r="CM72" i="1"/>
  <c r="DM72" i="1" s="1"/>
  <c r="AX163" i="1"/>
  <c r="AV163" i="1"/>
  <c r="CA163" i="1"/>
  <c r="CO163" i="1"/>
  <c r="BT163" i="1"/>
  <c r="CH163" i="1"/>
  <c r="BT162" i="1"/>
  <c r="CO162" i="1"/>
  <c r="AX162" i="1"/>
  <c r="AV162" i="1"/>
  <c r="CH162" i="1"/>
  <c r="CA162" i="1"/>
  <c r="CM132" i="1"/>
  <c r="DM132" i="1" s="1"/>
  <c r="CF132" i="1"/>
  <c r="DL132" i="1" s="1"/>
  <c r="AN132" i="1"/>
  <c r="BY132" i="1"/>
  <c r="DK132" i="1" s="1"/>
  <c r="BR132" i="1"/>
  <c r="DJ132" i="1" s="1"/>
  <c r="AP132" i="1"/>
  <c r="AX81" i="1"/>
  <c r="BT81" i="1"/>
  <c r="CO81" i="1"/>
  <c r="CA81" i="1"/>
  <c r="CH81" i="1"/>
  <c r="AV81" i="1"/>
  <c r="AE105" i="1"/>
  <c r="CN105" i="1"/>
  <c r="BZ105" i="1"/>
  <c r="BS105" i="1"/>
  <c r="CG105" i="1"/>
  <c r="AG105" i="1"/>
  <c r="AP123" i="1"/>
  <c r="CM123" i="1"/>
  <c r="DM123" i="1" s="1"/>
  <c r="CF123" i="1"/>
  <c r="DL123" i="1" s="1"/>
  <c r="BR123" i="1"/>
  <c r="DJ123" i="1" s="1"/>
  <c r="BY123" i="1"/>
  <c r="DK123" i="1" s="1"/>
  <c r="AN123" i="1"/>
  <c r="CN155" i="1"/>
  <c r="CG155" i="1"/>
  <c r="BS155" i="1"/>
  <c r="BZ155" i="1"/>
  <c r="AE155" i="1"/>
  <c r="AG155" i="1"/>
  <c r="CG110" i="1"/>
  <c r="AE110" i="1"/>
  <c r="BZ110" i="1"/>
  <c r="AG110" i="1"/>
  <c r="CN110" i="1"/>
  <c r="BS110" i="1"/>
  <c r="CO171" i="1"/>
  <c r="BT171" i="1"/>
  <c r="AV171" i="1"/>
  <c r="CH171" i="1"/>
  <c r="CA171" i="1"/>
  <c r="AX171" i="1"/>
  <c r="BR168" i="1"/>
  <c r="DJ168" i="1" s="1"/>
  <c r="CF168" i="1"/>
  <c r="DL168" i="1" s="1"/>
  <c r="AN168" i="1"/>
  <c r="AP168" i="1"/>
  <c r="BY168" i="1"/>
  <c r="DK168" i="1" s="1"/>
  <c r="CM168" i="1"/>
  <c r="DM168" i="1" s="1"/>
  <c r="AX170" i="1"/>
  <c r="CH170" i="1"/>
  <c r="CO170" i="1"/>
  <c r="AV170" i="1"/>
  <c r="CA170" i="1"/>
  <c r="BT170" i="1"/>
  <c r="AX146" i="1"/>
  <c r="CO146" i="1"/>
  <c r="BT146" i="1"/>
  <c r="CA146" i="1"/>
  <c r="CH146" i="1"/>
  <c r="AV146" i="1"/>
  <c r="CG171" i="1"/>
  <c r="AG171" i="1"/>
  <c r="AE171" i="1"/>
  <c r="BS171" i="1"/>
  <c r="BZ171" i="1"/>
  <c r="CN171" i="1"/>
  <c r="AX123" i="1"/>
  <c r="BT123" i="1"/>
  <c r="CO123" i="1"/>
  <c r="CA123" i="1"/>
  <c r="CH123" i="1"/>
  <c r="AV123" i="1"/>
  <c r="BT78" i="1"/>
  <c r="AV78" i="1"/>
  <c r="CA78" i="1"/>
  <c r="CO78" i="1"/>
  <c r="AX78" i="1"/>
  <c r="CH78" i="1"/>
  <c r="BZ175" i="1"/>
  <c r="CN175" i="1"/>
  <c r="AE175" i="1"/>
  <c r="AG175" i="1"/>
  <c r="CG175" i="1"/>
  <c r="BS175" i="1"/>
  <c r="BT125" i="1"/>
  <c r="CH125" i="1"/>
  <c r="AV125" i="1"/>
  <c r="CA125" i="1"/>
  <c r="AX125" i="1"/>
  <c r="CO125" i="1"/>
  <c r="BT76" i="1"/>
  <c r="CO76" i="1"/>
  <c r="AV76" i="1"/>
  <c r="CH76" i="1"/>
  <c r="AX76" i="1"/>
  <c r="CA76" i="1"/>
  <c r="AV172" i="1"/>
  <c r="CH172" i="1"/>
  <c r="CA172" i="1"/>
  <c r="BT172" i="1"/>
  <c r="AX172" i="1"/>
  <c r="CO172" i="1"/>
  <c r="AX99" i="1"/>
  <c r="AV99" i="1"/>
  <c r="CA99" i="1"/>
  <c r="BT99" i="1"/>
  <c r="CO99" i="1"/>
  <c r="CH99" i="1"/>
  <c r="CG139" i="1"/>
  <c r="AE139" i="1"/>
  <c r="BZ139" i="1"/>
  <c r="CN139" i="1"/>
  <c r="AG139" i="1"/>
  <c r="BS139" i="1"/>
  <c r="BZ161" i="1"/>
  <c r="BS161" i="1"/>
  <c r="AE161" i="1"/>
  <c r="AG161" i="1"/>
  <c r="CN161" i="1"/>
  <c r="CG161" i="1"/>
  <c r="CG111" i="1"/>
  <c r="CN111" i="1"/>
  <c r="AG111" i="1"/>
  <c r="BZ111" i="1"/>
  <c r="BS111" i="1"/>
  <c r="AE111" i="1"/>
  <c r="CG157" i="1"/>
  <c r="AG157" i="1"/>
  <c r="AE157" i="1"/>
  <c r="BZ157" i="1"/>
  <c r="BS157" i="1"/>
  <c r="CN157" i="1"/>
  <c r="AE113" i="1"/>
  <c r="BS113" i="1"/>
  <c r="AG113" i="1"/>
  <c r="BZ113" i="1"/>
  <c r="CG113" i="1"/>
  <c r="CN113" i="1"/>
  <c r="BY175" i="1"/>
  <c r="DK175" i="1" s="1"/>
  <c r="CM175" i="1"/>
  <c r="DM175" i="1" s="1"/>
  <c r="AP175" i="1"/>
  <c r="AN175" i="1"/>
  <c r="CF175" i="1"/>
  <c r="DL175" i="1" s="1"/>
  <c r="BR175" i="1"/>
  <c r="DJ175" i="1" s="1"/>
  <c r="AV160" i="1"/>
  <c r="CO160" i="1"/>
  <c r="AX160" i="1"/>
  <c r="BT160" i="1"/>
  <c r="CA160" i="1"/>
  <c r="CH160" i="1"/>
  <c r="AV112" i="1"/>
  <c r="AX112" i="1"/>
  <c r="CH112" i="1"/>
  <c r="CA112" i="1"/>
  <c r="CO112" i="1"/>
  <c r="BT112" i="1"/>
  <c r="CN98" i="1"/>
  <c r="BS98" i="1"/>
  <c r="AG98" i="1"/>
  <c r="BZ98" i="1"/>
  <c r="AE98" i="1"/>
  <c r="CG98" i="1"/>
  <c r="AG156" i="1"/>
  <c r="BS156" i="1"/>
  <c r="CN156" i="1"/>
  <c r="BZ156" i="1"/>
  <c r="AE156" i="1"/>
  <c r="CG156" i="1"/>
  <c r="CF87" i="1"/>
  <c r="DL87" i="1" s="1"/>
  <c r="AN87" i="1"/>
  <c r="CM87" i="1"/>
  <c r="DM87" i="1" s="1"/>
  <c r="AP87" i="1"/>
  <c r="BY87" i="1"/>
  <c r="DK87" i="1" s="1"/>
  <c r="BR87" i="1"/>
  <c r="DJ87" i="1" s="1"/>
  <c r="BR93" i="1"/>
  <c r="DJ93" i="1" s="1"/>
  <c r="CM93" i="1"/>
  <c r="DM93" i="1" s="1"/>
  <c r="CF93" i="1"/>
  <c r="DL93" i="1" s="1"/>
  <c r="AN93" i="1"/>
  <c r="AP93" i="1"/>
  <c r="BY93" i="1"/>
  <c r="DK93" i="1" s="1"/>
  <c r="CF133" i="1"/>
  <c r="DL133" i="1" s="1"/>
  <c r="BY133" i="1"/>
  <c r="DK133" i="1" s="1"/>
  <c r="AP133" i="1"/>
  <c r="AN133" i="1"/>
  <c r="CM133" i="1"/>
  <c r="DM133" i="1" s="1"/>
  <c r="BR133" i="1"/>
  <c r="DJ133" i="1" s="1"/>
  <c r="BZ118" i="1"/>
  <c r="AG118" i="1"/>
  <c r="AE118" i="1"/>
  <c r="BS118" i="1"/>
  <c r="CG118" i="1"/>
  <c r="CN118" i="1"/>
  <c r="CF98" i="1"/>
  <c r="DL98" i="1" s="1"/>
  <c r="BY98" i="1"/>
  <c r="DK98" i="1" s="1"/>
  <c r="CM98" i="1"/>
  <c r="DM98" i="1" s="1"/>
  <c r="AN98" i="1"/>
  <c r="BR98" i="1"/>
  <c r="DJ98" i="1" s="1"/>
  <c r="AP98" i="1"/>
  <c r="AV127" i="1"/>
  <c r="BT127" i="1"/>
  <c r="AX127" i="1"/>
  <c r="CH127" i="1"/>
  <c r="CA127" i="1"/>
  <c r="CO127" i="1"/>
  <c r="CF148" i="1"/>
  <c r="DL148" i="1" s="1"/>
  <c r="CM148" i="1"/>
  <c r="DM148" i="1" s="1"/>
  <c r="BR148" i="1"/>
  <c r="DJ148" i="1" s="1"/>
  <c r="AP148" i="1"/>
  <c r="AN148" i="1"/>
  <c r="BY148" i="1"/>
  <c r="DK148" i="1" s="1"/>
  <c r="AG76" i="1"/>
  <c r="CN76" i="1"/>
  <c r="CG76" i="1"/>
  <c r="AE76" i="1"/>
  <c r="BZ76" i="1"/>
  <c r="BS76" i="1"/>
  <c r="AG142" i="1"/>
  <c r="BZ142" i="1"/>
  <c r="CN142" i="1"/>
  <c r="CG142" i="1"/>
  <c r="BS142" i="1"/>
  <c r="AE142" i="1"/>
  <c r="AE99" i="1"/>
  <c r="AG99" i="1"/>
  <c r="CG99" i="1"/>
  <c r="BZ99" i="1"/>
  <c r="BS99" i="1"/>
  <c r="CN99" i="1"/>
  <c r="AN163" i="1"/>
  <c r="AP163" i="1"/>
  <c r="CM163" i="1"/>
  <c r="DM163" i="1" s="1"/>
  <c r="BY163" i="1"/>
  <c r="DK163" i="1" s="1"/>
  <c r="CF163" i="1"/>
  <c r="DL163" i="1" s="1"/>
  <c r="BR163" i="1"/>
  <c r="DJ163" i="1" s="1"/>
  <c r="AX156" i="1"/>
  <c r="AV156" i="1"/>
  <c r="BT156" i="1"/>
  <c r="CA156" i="1"/>
  <c r="CH156" i="1"/>
  <c r="CO156" i="1"/>
  <c r="AN129" i="1"/>
  <c r="BR129" i="1"/>
  <c r="DJ129" i="1" s="1"/>
  <c r="CM129" i="1"/>
  <c r="DM129" i="1" s="1"/>
  <c r="CF129" i="1"/>
  <c r="DL129" i="1" s="1"/>
  <c r="BY129" i="1"/>
  <c r="DK129" i="1" s="1"/>
  <c r="AP129" i="1"/>
  <c r="AX105" i="1"/>
  <c r="BT105" i="1"/>
  <c r="AV105" i="1"/>
  <c r="CO105" i="1"/>
  <c r="CA105" i="1"/>
  <c r="CH105" i="1"/>
  <c r="AE104" i="1"/>
  <c r="AG104" i="1"/>
  <c r="CG104" i="1"/>
  <c r="BZ104" i="1"/>
  <c r="BS104" i="1"/>
  <c r="CN104" i="1"/>
  <c r="BR167" i="1"/>
  <c r="DJ167" i="1" s="1"/>
  <c r="CF167" i="1"/>
  <c r="DL167" i="1" s="1"/>
  <c r="AN167" i="1"/>
  <c r="CM167" i="1"/>
  <c r="DM167" i="1" s="1"/>
  <c r="AP167" i="1"/>
  <c r="BY167" i="1"/>
  <c r="DK167" i="1" s="1"/>
  <c r="BT94" i="1"/>
  <c r="CH94" i="1"/>
  <c r="AX94" i="1"/>
  <c r="AV94" i="1"/>
  <c r="CA94" i="1"/>
  <c r="CO94" i="1"/>
  <c r="BS77" i="1"/>
  <c r="CG77" i="1"/>
  <c r="AE77" i="1"/>
  <c r="BZ77" i="1"/>
  <c r="CN77" i="1"/>
  <c r="AG77" i="1"/>
  <c r="AN114" i="1"/>
  <c r="AP114" i="1"/>
  <c r="BR114" i="1"/>
  <c r="DJ114" i="1" s="1"/>
  <c r="CM114" i="1"/>
  <c r="DM114" i="1" s="1"/>
  <c r="CF114" i="1"/>
  <c r="DL114" i="1" s="1"/>
  <c r="BY114" i="1"/>
  <c r="DK114" i="1" s="1"/>
  <c r="AN126" i="1"/>
  <c r="BY126" i="1"/>
  <c r="DK126" i="1" s="1"/>
  <c r="CF126" i="1"/>
  <c r="DL126" i="1" s="1"/>
  <c r="BR126" i="1"/>
  <c r="DJ126" i="1" s="1"/>
  <c r="CM126" i="1"/>
  <c r="DM126" i="1" s="1"/>
  <c r="AP126" i="1"/>
  <c r="AV161" i="1"/>
  <c r="BT161" i="1"/>
  <c r="AX161" i="1"/>
  <c r="CO161" i="1"/>
  <c r="CA161" i="1"/>
  <c r="CH161" i="1"/>
  <c r="CO117" i="1"/>
  <c r="AX117" i="1"/>
  <c r="CH117" i="1"/>
  <c r="CA117" i="1"/>
  <c r="BT117" i="1"/>
  <c r="AV117" i="1"/>
  <c r="CN164" i="1"/>
  <c r="BS164" i="1"/>
  <c r="AG164" i="1"/>
  <c r="CG164" i="1"/>
  <c r="AE164" i="1"/>
  <c r="BZ164" i="1"/>
  <c r="BY145" i="1"/>
  <c r="DK145" i="1" s="1"/>
  <c r="CM145" i="1"/>
  <c r="DM145" i="1" s="1"/>
  <c r="CF145" i="1"/>
  <c r="DL145" i="1" s="1"/>
  <c r="AN145" i="1"/>
  <c r="BR145" i="1"/>
  <c r="DJ145" i="1" s="1"/>
  <c r="AP145" i="1"/>
  <c r="AE140" i="1"/>
  <c r="BS140" i="1"/>
  <c r="BZ140" i="1"/>
  <c r="AG140" i="1"/>
  <c r="CN140" i="1"/>
  <c r="CG140" i="1"/>
  <c r="CO175" i="1"/>
  <c r="AV175" i="1"/>
  <c r="BT175" i="1"/>
  <c r="AX175" i="1"/>
  <c r="CA175" i="1"/>
  <c r="CH175" i="1"/>
  <c r="AP110" i="1"/>
  <c r="CM110" i="1"/>
  <c r="DM110" i="1" s="1"/>
  <c r="AN110" i="1"/>
  <c r="BR110" i="1"/>
  <c r="DJ110" i="1" s="1"/>
  <c r="BY110" i="1"/>
  <c r="DK110" i="1" s="1"/>
  <c r="CF110" i="1"/>
  <c r="DL110" i="1" s="1"/>
  <c r="CO86" i="1"/>
  <c r="AV86" i="1"/>
  <c r="AX86" i="1"/>
  <c r="CA86" i="1"/>
  <c r="BT86" i="1"/>
  <c r="CH86" i="1"/>
  <c r="AV173" i="1"/>
  <c r="CO173" i="1"/>
  <c r="CA173" i="1"/>
  <c r="BT173" i="1"/>
  <c r="AX173" i="1"/>
  <c r="CH173" i="1"/>
  <c r="CO139" i="1"/>
  <c r="BT139" i="1"/>
  <c r="AX139" i="1"/>
  <c r="CA139" i="1"/>
  <c r="CH139" i="1"/>
  <c r="AV139" i="1"/>
  <c r="AV102" i="1"/>
  <c r="AX102" i="1"/>
  <c r="CH102" i="1"/>
  <c r="CA102" i="1"/>
  <c r="BT102" i="1"/>
  <c r="CO102" i="1"/>
  <c r="BS90" i="1"/>
  <c r="AG90" i="1"/>
  <c r="CN90" i="1"/>
  <c r="CG90" i="1"/>
  <c r="AE90" i="1"/>
  <c r="BZ90" i="1"/>
  <c r="AP164" i="1"/>
  <c r="BR164" i="1"/>
  <c r="DJ164" i="1" s="1"/>
  <c r="AN164" i="1"/>
  <c r="CF164" i="1"/>
  <c r="DL164" i="1" s="1"/>
  <c r="BY164" i="1"/>
  <c r="DK164" i="1" s="1"/>
  <c r="CM164" i="1"/>
  <c r="DM164" i="1" s="1"/>
  <c r="AX121" i="1"/>
  <c r="AV121" i="1"/>
  <c r="BT121" i="1"/>
  <c r="CH121" i="1"/>
  <c r="CA121" i="1"/>
  <c r="CO121" i="1"/>
  <c r="AE82" i="1"/>
  <c r="CG82" i="1"/>
  <c r="CN82" i="1"/>
  <c r="AG82" i="1"/>
  <c r="BZ82" i="1"/>
  <c r="BS82" i="1"/>
  <c r="CH108" i="1"/>
  <c r="BT108" i="1"/>
  <c r="AV108" i="1"/>
  <c r="CA108" i="1"/>
  <c r="AX108" i="1"/>
  <c r="CO108" i="1"/>
  <c r="CH128" i="1"/>
  <c r="CA128" i="1"/>
  <c r="AX128" i="1"/>
  <c r="AV128" i="1"/>
  <c r="BT128" i="1"/>
  <c r="CO128" i="1"/>
  <c r="AN131" i="1"/>
  <c r="AP131" i="1"/>
  <c r="CM131" i="1"/>
  <c r="DM131" i="1" s="1"/>
  <c r="CF131" i="1"/>
  <c r="DL131" i="1" s="1"/>
  <c r="BR131" i="1"/>
  <c r="DJ131" i="1" s="1"/>
  <c r="BY131" i="1"/>
  <c r="DK131" i="1" s="1"/>
  <c r="AX3" i="1"/>
  <c r="AV3" i="1"/>
  <c r="CO3" i="1"/>
  <c r="CH3" i="1"/>
  <c r="BT3" i="1"/>
  <c r="CA3" i="1"/>
  <c r="AV159" i="1"/>
  <c r="BT159" i="1"/>
  <c r="CO159" i="1"/>
  <c r="CA159" i="1"/>
  <c r="CH159" i="1"/>
  <c r="AX159" i="1"/>
  <c r="AG109" i="1"/>
  <c r="AE109" i="1"/>
  <c r="CN109" i="1"/>
  <c r="BZ109" i="1"/>
  <c r="BS109" i="1"/>
  <c r="CG109" i="1"/>
  <c r="BZ158" i="1"/>
  <c r="AE158" i="1"/>
  <c r="AG158" i="1"/>
  <c r="CG158" i="1"/>
  <c r="BS158" i="1"/>
  <c r="CN158" i="1"/>
  <c r="CO82" i="1"/>
  <c r="AV82" i="1"/>
  <c r="CH82" i="1"/>
  <c r="AX82" i="1"/>
  <c r="CA82" i="1"/>
  <c r="BT82" i="1"/>
  <c r="CG163" i="1"/>
  <c r="AE163" i="1"/>
  <c r="AG163" i="1"/>
  <c r="CN163" i="1"/>
  <c r="BS163" i="1"/>
  <c r="BZ163" i="1"/>
  <c r="AG166" i="1"/>
  <c r="CG166" i="1"/>
  <c r="AE166" i="1"/>
  <c r="BS166" i="1"/>
  <c r="CN166" i="1"/>
  <c r="BZ166" i="1"/>
  <c r="BZ116" i="1"/>
  <c r="BS116" i="1"/>
  <c r="AE116" i="1"/>
  <c r="CG116" i="1"/>
  <c r="CN116" i="1"/>
  <c r="AG116" i="1"/>
  <c r="BZ132" i="1"/>
  <c r="BS132" i="1"/>
  <c r="AG132" i="1"/>
  <c r="CN132" i="1"/>
  <c r="CG132" i="1"/>
  <c r="AE132" i="1"/>
  <c r="AN160" i="1"/>
  <c r="AP160" i="1"/>
  <c r="CF160" i="1"/>
  <c r="DL160" i="1" s="1"/>
  <c r="BY160" i="1"/>
  <c r="DK160" i="1" s="1"/>
  <c r="BR160" i="1"/>
  <c r="DJ160" i="1" s="1"/>
  <c r="CM160" i="1"/>
  <c r="DM160" i="1" s="1"/>
  <c r="CO120" i="1"/>
  <c r="BT120" i="1"/>
  <c r="AX120" i="1"/>
  <c r="CA120" i="1"/>
  <c r="AV120" i="1"/>
  <c r="CH120" i="1"/>
  <c r="CM141" i="1"/>
  <c r="DM141" i="1" s="1"/>
  <c r="AN141" i="1"/>
  <c r="CF141" i="1"/>
  <c r="DL141" i="1" s="1"/>
  <c r="AP141" i="1"/>
  <c r="BR141" i="1"/>
  <c r="DJ141" i="1" s="1"/>
  <c r="BY141" i="1"/>
  <c r="DK141" i="1" s="1"/>
  <c r="CG125" i="1"/>
  <c r="AG125" i="1"/>
  <c r="BS125" i="1"/>
  <c r="CN125" i="1"/>
  <c r="AE125" i="1"/>
  <c r="BZ125" i="1"/>
  <c r="CH132" i="1"/>
  <c r="CO132" i="1"/>
  <c r="BT132" i="1"/>
  <c r="AX132" i="1"/>
  <c r="AV132" i="1"/>
  <c r="CA132" i="1"/>
  <c r="AP121" i="1"/>
  <c r="BR121" i="1"/>
  <c r="DJ121" i="1" s="1"/>
  <c r="CM121" i="1"/>
  <c r="DM121" i="1" s="1"/>
  <c r="BY121" i="1"/>
  <c r="DK121" i="1" s="1"/>
  <c r="AN121" i="1"/>
  <c r="CF121" i="1"/>
  <c r="DL121" i="1" s="1"/>
  <c r="CF112" i="1"/>
  <c r="DL112" i="1" s="1"/>
  <c r="CM112" i="1"/>
  <c r="DM112" i="1" s="1"/>
  <c r="BR112" i="1"/>
  <c r="DJ112" i="1" s="1"/>
  <c r="AN112" i="1"/>
  <c r="AP112" i="1"/>
  <c r="BY112" i="1"/>
  <c r="DK112" i="1" s="1"/>
  <c r="AV140" i="1"/>
  <c r="CO140" i="1"/>
  <c r="AX140" i="1"/>
  <c r="CA140" i="1"/>
  <c r="CH140" i="1"/>
  <c r="BT140" i="1"/>
  <c r="AV110" i="1"/>
  <c r="AX110" i="1"/>
  <c r="CA110" i="1"/>
  <c r="CO110" i="1"/>
  <c r="BT110" i="1"/>
  <c r="CH110" i="1"/>
  <c r="AX118" i="1"/>
  <c r="AV118" i="1"/>
  <c r="CO118" i="1"/>
  <c r="CA118" i="1"/>
  <c r="BT118" i="1"/>
  <c r="CH118" i="1"/>
  <c r="CO151" i="1"/>
  <c r="BT151" i="1"/>
  <c r="AV151" i="1"/>
  <c r="AX151" i="1"/>
  <c r="CA151" i="1"/>
  <c r="CH151" i="1"/>
  <c r="BT165" i="1"/>
  <c r="CH165" i="1"/>
  <c r="CO165" i="1"/>
  <c r="AX165" i="1"/>
  <c r="CA165" i="1"/>
  <c r="AV165" i="1"/>
  <c r="BR125" i="1"/>
  <c r="DJ125" i="1" s="1"/>
  <c r="CF125" i="1"/>
  <c r="DL125" i="1" s="1"/>
  <c r="AN125" i="1"/>
  <c r="AP125" i="1"/>
  <c r="BY125" i="1"/>
  <c r="DK125" i="1" s="1"/>
  <c r="CM125" i="1"/>
  <c r="DM125" i="1" s="1"/>
  <c r="AX115" i="1"/>
  <c r="CA115" i="1"/>
  <c r="CO115" i="1"/>
  <c r="AV115" i="1"/>
  <c r="BT115" i="1"/>
  <c r="CH115" i="1"/>
  <c r="AG129" i="1"/>
  <c r="CG129" i="1"/>
  <c r="BS129" i="1"/>
  <c r="BZ129" i="1"/>
  <c r="AE129" i="1"/>
  <c r="CN129" i="1"/>
  <c r="CG60" i="1"/>
  <c r="AE60" i="1"/>
  <c r="AG60" i="1"/>
  <c r="BZ60" i="1"/>
  <c r="CN60" i="1"/>
  <c r="BS60" i="1"/>
  <c r="CH73" i="1"/>
  <c r="AX73" i="1"/>
  <c r="CA73" i="1"/>
  <c r="AV73" i="1"/>
  <c r="CO73" i="1"/>
  <c r="BT73" i="1"/>
  <c r="AP162" i="1"/>
  <c r="BY162" i="1"/>
  <c r="DK162" i="1" s="1"/>
  <c r="AN162" i="1"/>
  <c r="CF162" i="1"/>
  <c r="DL162" i="1" s="1"/>
  <c r="BR162" i="1"/>
  <c r="DJ162" i="1" s="1"/>
  <c r="CM162" i="1"/>
  <c r="DM162" i="1" s="1"/>
  <c r="BT38" i="1"/>
  <c r="CO38" i="1"/>
  <c r="AV38" i="1"/>
  <c r="AX38" i="1"/>
  <c r="CH38" i="1"/>
  <c r="CA38" i="1"/>
  <c r="AN115" i="1"/>
  <c r="AP115" i="1"/>
  <c r="CF115" i="1"/>
  <c r="DL115" i="1" s="1"/>
  <c r="BR115" i="1"/>
  <c r="DJ115" i="1" s="1"/>
  <c r="BY115" i="1"/>
  <c r="DK115" i="1" s="1"/>
  <c r="CM115" i="1"/>
  <c r="DM115" i="1" s="1"/>
  <c r="BR108" i="1"/>
  <c r="DJ108" i="1" s="1"/>
  <c r="BY108" i="1"/>
  <c r="DK108" i="1" s="1"/>
  <c r="AP108" i="1"/>
  <c r="AN108" i="1"/>
  <c r="CM108" i="1"/>
  <c r="DM108" i="1" s="1"/>
  <c r="CF108" i="1"/>
  <c r="DL108" i="1" s="1"/>
  <c r="AV109" i="1"/>
  <c r="BT109" i="1"/>
  <c r="CA109" i="1"/>
  <c r="CH109" i="1"/>
  <c r="AX109" i="1"/>
  <c r="CO109" i="1"/>
  <c r="CM177" i="1"/>
  <c r="DM177" i="1" s="1"/>
  <c r="BR177" i="1"/>
  <c r="DJ177" i="1" s="1"/>
  <c r="AN177" i="1"/>
  <c r="BY177" i="1"/>
  <c r="DK177" i="1" s="1"/>
  <c r="CF177" i="1"/>
  <c r="DL177" i="1" s="1"/>
  <c r="AP177" i="1"/>
  <c r="AN158" i="1"/>
  <c r="AP158" i="1"/>
  <c r="BR158" i="1"/>
  <c r="DJ158" i="1" s="1"/>
  <c r="CF158" i="1"/>
  <c r="DL158" i="1" s="1"/>
  <c r="CM158" i="1"/>
  <c r="DM158" i="1" s="1"/>
  <c r="BY158" i="1"/>
  <c r="DK158" i="1" s="1"/>
  <c r="CG80" i="1"/>
  <c r="BS80" i="1"/>
  <c r="CN80" i="1"/>
  <c r="AG80" i="1"/>
  <c r="AE80" i="1"/>
  <c r="BZ80" i="1"/>
  <c r="CN108" i="1"/>
  <c r="CG108" i="1"/>
  <c r="AE108" i="1"/>
  <c r="BS108" i="1"/>
  <c r="AG108" i="1"/>
  <c r="BZ108" i="1"/>
  <c r="BZ87" i="1"/>
  <c r="CG87" i="1"/>
  <c r="AG87" i="1"/>
  <c r="BS87" i="1"/>
  <c r="CN87" i="1"/>
  <c r="AE87" i="1"/>
  <c r="CH93" i="1"/>
  <c r="CA93" i="1"/>
  <c r="CO93" i="1"/>
  <c r="AV93" i="1"/>
  <c r="AX93" i="1"/>
  <c r="BT93" i="1"/>
  <c r="AV4" i="1"/>
  <c r="AX4" i="1"/>
  <c r="BT4" i="1"/>
  <c r="CO4" i="1"/>
  <c r="CH4" i="1"/>
  <c r="CA4" i="1"/>
  <c r="AE144" i="1"/>
  <c r="BS144" i="1"/>
  <c r="AG144" i="1"/>
  <c r="CG144" i="1"/>
  <c r="CN144" i="1"/>
  <c r="BZ144" i="1"/>
  <c r="AN97" i="1"/>
  <c r="CM97" i="1"/>
  <c r="DM97" i="1" s="1"/>
  <c r="AP97" i="1"/>
  <c r="BR97" i="1"/>
  <c r="DJ97" i="1" s="1"/>
  <c r="BY97" i="1"/>
  <c r="DK97" i="1" s="1"/>
  <c r="CF97" i="1"/>
  <c r="DL97" i="1" s="1"/>
  <c r="CO141" i="1"/>
  <c r="CH141" i="1"/>
  <c r="AX141" i="1"/>
  <c r="BT141" i="1"/>
  <c r="CA141" i="1"/>
  <c r="AV141" i="1"/>
  <c r="CF86" i="1"/>
  <c r="DL86" i="1" s="1"/>
  <c r="BR86" i="1"/>
  <c r="DJ86" i="1" s="1"/>
  <c r="AN86" i="1"/>
  <c r="AP86" i="1"/>
  <c r="BY86" i="1"/>
  <c r="DK86" i="1" s="1"/>
  <c r="CM86" i="1"/>
  <c r="DM86" i="1" s="1"/>
  <c r="CF157" i="1"/>
  <c r="DL157" i="1" s="1"/>
  <c r="CM157" i="1"/>
  <c r="DM157" i="1" s="1"/>
  <c r="BR157" i="1"/>
  <c r="DJ157" i="1" s="1"/>
  <c r="AN157" i="1"/>
  <c r="AP157" i="1"/>
  <c r="BY157" i="1"/>
  <c r="DK157" i="1" s="1"/>
  <c r="CM80" i="1"/>
  <c r="DM80" i="1" s="1"/>
  <c r="AN80" i="1"/>
  <c r="AP80" i="1"/>
  <c r="BR80" i="1"/>
  <c r="DJ80" i="1" s="1"/>
  <c r="BY80" i="1"/>
  <c r="DK80" i="1" s="1"/>
  <c r="CF80" i="1"/>
  <c r="DL80" i="1" s="1"/>
  <c r="CN84" i="1"/>
  <c r="AG84" i="1"/>
  <c r="BZ84" i="1"/>
  <c r="CG84" i="1"/>
  <c r="AE84" i="1"/>
  <c r="BS84" i="1"/>
  <c r="AP124" i="1"/>
  <c r="AN124" i="1"/>
  <c r="CF124" i="1"/>
  <c r="DL124" i="1" s="1"/>
  <c r="BY124" i="1"/>
  <c r="DK124" i="1" s="1"/>
  <c r="CM124" i="1"/>
  <c r="DM124" i="1" s="1"/>
  <c r="BR124" i="1"/>
  <c r="DJ124" i="1" s="1"/>
  <c r="BY78" i="1"/>
  <c r="DK78" i="1" s="1"/>
  <c r="CF78" i="1"/>
  <c r="DL78" i="1" s="1"/>
  <c r="AP78" i="1"/>
  <c r="BR78" i="1"/>
  <c r="DJ78" i="1" s="1"/>
  <c r="AN78" i="1"/>
  <c r="CM78" i="1"/>
  <c r="DM78" i="1" s="1"/>
  <c r="AP109" i="1"/>
  <c r="BY109" i="1"/>
  <c r="DK109" i="1" s="1"/>
  <c r="BR109" i="1"/>
  <c r="DJ109" i="1" s="1"/>
  <c r="AN109" i="1"/>
  <c r="CM109" i="1"/>
  <c r="DM109" i="1" s="1"/>
  <c r="CF109" i="1"/>
  <c r="DL109" i="1" s="1"/>
  <c r="CH90" i="1"/>
  <c r="BT90" i="1"/>
  <c r="AV90" i="1"/>
  <c r="AX90" i="1"/>
  <c r="CA90" i="1"/>
  <c r="CO90" i="1"/>
  <c r="AN94" i="1"/>
  <c r="BR94" i="1"/>
  <c r="DJ94" i="1" s="1"/>
  <c r="CM94" i="1"/>
  <c r="DM94" i="1" s="1"/>
  <c r="CF94" i="1"/>
  <c r="DL94" i="1" s="1"/>
  <c r="AP94" i="1"/>
  <c r="BY94" i="1"/>
  <c r="DK94" i="1" s="1"/>
  <c r="CO158" i="1"/>
  <c r="AV158" i="1"/>
  <c r="BT158" i="1"/>
  <c r="AX158" i="1"/>
  <c r="CA158" i="1"/>
  <c r="CH158" i="1"/>
  <c r="BR9" i="1"/>
  <c r="DJ9" i="1" s="1"/>
  <c r="CM9" i="1"/>
  <c r="DM9" i="1" s="1"/>
  <c r="CF9" i="1"/>
  <c r="DL9" i="1" s="1"/>
  <c r="AN9" i="1"/>
  <c r="BY9" i="1"/>
  <c r="DK9" i="1" s="1"/>
  <c r="AP9" i="1"/>
  <c r="BT167" i="1"/>
  <c r="CA167" i="1"/>
  <c r="AX167" i="1"/>
  <c r="CH167" i="1"/>
  <c r="CO167" i="1"/>
  <c r="AV167" i="1"/>
  <c r="CO116" i="1"/>
  <c r="AV116" i="1"/>
  <c r="BT116" i="1"/>
  <c r="AX116" i="1"/>
  <c r="CA116" i="1"/>
  <c r="CH116" i="1"/>
  <c r="AG94" i="1"/>
  <c r="CN94" i="1"/>
  <c r="BZ94" i="1"/>
  <c r="AE94" i="1"/>
  <c r="BS94" i="1"/>
  <c r="CG94" i="1"/>
  <c r="AG174" i="1"/>
  <c r="CN174" i="1"/>
  <c r="AE174" i="1"/>
  <c r="BS174" i="1"/>
  <c r="BZ174" i="1"/>
  <c r="CG174" i="1"/>
  <c r="CF82" i="1"/>
  <c r="DL82" i="1" s="1"/>
  <c r="BY82" i="1"/>
  <c r="DK82" i="1" s="1"/>
  <c r="CM82" i="1"/>
  <c r="DM82" i="1" s="1"/>
  <c r="BR82" i="1"/>
  <c r="DJ82" i="1" s="1"/>
  <c r="AP82" i="1"/>
  <c r="AN82" i="1"/>
  <c r="CF149" i="1"/>
  <c r="DL149" i="1" s="1"/>
  <c r="CM149" i="1"/>
  <c r="DM149" i="1" s="1"/>
  <c r="BY149" i="1"/>
  <c r="DK149" i="1" s="1"/>
  <c r="AP149" i="1"/>
  <c r="AN149" i="1"/>
  <c r="BR149" i="1"/>
  <c r="DJ149" i="1" s="1"/>
  <c r="AG136" i="1"/>
  <c r="CN136" i="1"/>
  <c r="AE136" i="1"/>
  <c r="BS136" i="1"/>
  <c r="CG136" i="1"/>
  <c r="BZ136" i="1"/>
  <c r="AE83" i="1"/>
  <c r="BS83" i="1"/>
  <c r="AG83" i="1"/>
  <c r="BZ83" i="1"/>
  <c r="CG83" i="1"/>
  <c r="CN83" i="1"/>
  <c r="BS123" i="1"/>
  <c r="BZ123" i="1"/>
  <c r="CN123" i="1"/>
  <c r="AE123" i="1"/>
  <c r="CG123" i="1"/>
  <c r="AG123" i="1"/>
  <c r="BY166" i="1"/>
  <c r="DK166" i="1" s="1"/>
  <c r="CF166" i="1"/>
  <c r="DL166" i="1" s="1"/>
  <c r="BR166" i="1"/>
  <c r="DJ166" i="1" s="1"/>
  <c r="AP166" i="1"/>
  <c r="AN166" i="1"/>
  <c r="CM166" i="1"/>
  <c r="DM166" i="1" s="1"/>
  <c r="BS93" i="1"/>
  <c r="BZ93" i="1"/>
  <c r="AG93" i="1"/>
  <c r="CG93" i="1"/>
  <c r="CN93" i="1"/>
  <c r="AE93" i="1"/>
  <c r="CF142" i="1"/>
  <c r="DL142" i="1" s="1"/>
  <c r="BR142" i="1"/>
  <c r="DJ142" i="1" s="1"/>
  <c r="AP142" i="1"/>
  <c r="AN142" i="1"/>
  <c r="BY142" i="1"/>
  <c r="DK142" i="1" s="1"/>
  <c r="CM142" i="1"/>
  <c r="DM142" i="1" s="1"/>
  <c r="CF113" i="1"/>
  <c r="DL113" i="1" s="1"/>
  <c r="AP113" i="1"/>
  <c r="BR113" i="1"/>
  <c r="DJ113" i="1" s="1"/>
  <c r="AN113" i="1"/>
  <c r="CM113" i="1"/>
  <c r="DM113" i="1" s="1"/>
  <c r="BY113" i="1"/>
  <c r="DK113" i="1" s="1"/>
  <c r="CM75" i="1"/>
  <c r="DM75" i="1" s="1"/>
  <c r="CF75" i="1"/>
  <c r="DL75" i="1" s="1"/>
  <c r="BR75" i="1"/>
  <c r="DJ75" i="1" s="1"/>
  <c r="AP75" i="1"/>
  <c r="BY75" i="1"/>
  <c r="DK75" i="1" s="1"/>
  <c r="AN75" i="1"/>
  <c r="CN148" i="1"/>
  <c r="BZ148" i="1"/>
  <c r="BS148" i="1"/>
  <c r="AE148" i="1"/>
  <c r="AG148" i="1"/>
  <c r="CG148" i="1"/>
  <c r="CA84" i="1"/>
  <c r="AX84" i="1"/>
  <c r="BT84" i="1"/>
  <c r="AV84" i="1"/>
  <c r="CH84" i="1"/>
  <c r="CO84" i="1"/>
  <c r="AP161" i="1"/>
  <c r="CM161" i="1"/>
  <c r="DM161" i="1" s="1"/>
  <c r="AN161" i="1"/>
  <c r="BY161" i="1"/>
  <c r="DK161" i="1" s="1"/>
  <c r="CF161" i="1"/>
  <c r="DL161" i="1" s="1"/>
  <c r="BR161" i="1"/>
  <c r="DJ161" i="1" s="1"/>
  <c r="BZ102" i="1"/>
  <c r="CN102" i="1"/>
  <c r="CG102" i="1"/>
  <c r="BS102" i="1"/>
  <c r="AG102" i="1"/>
  <c r="AE102" i="1"/>
  <c r="BS38" i="1"/>
  <c r="AE38" i="1"/>
  <c r="CN38" i="1"/>
  <c r="CG38" i="1"/>
  <c r="BZ38" i="1"/>
  <c r="AG38" i="1"/>
  <c r="BS120" i="1"/>
  <c r="AG120" i="1"/>
  <c r="BZ120" i="1"/>
  <c r="CN120" i="1"/>
  <c r="CG120" i="1"/>
  <c r="AE120" i="1"/>
  <c r="AX104" i="1"/>
  <c r="BT104" i="1"/>
  <c r="CH104" i="1"/>
  <c r="CA104" i="1"/>
  <c r="AV104" i="1"/>
  <c r="CO104" i="1"/>
  <c r="BY170" i="1"/>
  <c r="DK170" i="1" s="1"/>
  <c r="BR170" i="1"/>
  <c r="DJ170" i="1" s="1"/>
  <c r="AP170" i="1"/>
  <c r="CM170" i="1"/>
  <c r="DM170" i="1" s="1"/>
  <c r="CF170" i="1"/>
  <c r="DL170" i="1" s="1"/>
  <c r="AN170" i="1"/>
  <c r="BY135" i="1"/>
  <c r="DK135" i="1" s="1"/>
  <c r="AP135" i="1"/>
  <c r="CF135" i="1"/>
  <c r="DL135" i="1" s="1"/>
  <c r="CM135" i="1"/>
  <c r="DM135" i="1" s="1"/>
  <c r="BR135" i="1"/>
  <c r="DJ135" i="1" s="1"/>
  <c r="AN135" i="1"/>
  <c r="CM153" i="1"/>
  <c r="DM153" i="1" s="1"/>
  <c r="BR153" i="1"/>
  <c r="DJ153" i="1" s="1"/>
  <c r="AN153" i="1"/>
  <c r="CF153" i="1"/>
  <c r="DL153" i="1" s="1"/>
  <c r="BY153" i="1"/>
  <c r="DK153" i="1" s="1"/>
  <c r="AP153" i="1"/>
  <c r="AG86" i="1"/>
  <c r="BS86" i="1"/>
  <c r="BZ86" i="1"/>
  <c r="CG86" i="1"/>
  <c r="AE86" i="1"/>
  <c r="CN86" i="1"/>
  <c r="BR120" i="1"/>
  <c r="DJ120" i="1" s="1"/>
  <c r="AP120" i="1"/>
  <c r="CF120" i="1"/>
  <c r="DL120" i="1" s="1"/>
  <c r="CM120" i="1"/>
  <c r="DM120" i="1" s="1"/>
  <c r="AN120" i="1"/>
  <c r="BY120" i="1"/>
  <c r="DK120" i="1" s="1"/>
  <c r="CH130" i="1"/>
  <c r="AX130" i="1"/>
  <c r="CO130" i="1"/>
  <c r="CA130" i="1"/>
  <c r="AV130" i="1"/>
  <c r="BT130" i="1"/>
  <c r="CM96" i="1"/>
  <c r="DM96" i="1" s="1"/>
  <c r="AP96" i="1"/>
  <c r="BR96" i="1"/>
  <c r="DJ96" i="1" s="1"/>
  <c r="BY96" i="1"/>
  <c r="DK96" i="1" s="1"/>
  <c r="CF96" i="1"/>
  <c r="DL96" i="1" s="1"/>
  <c r="AN96" i="1"/>
  <c r="AN90" i="1"/>
  <c r="CF90" i="1"/>
  <c r="DL90" i="1" s="1"/>
  <c r="BR90" i="1"/>
  <c r="DJ90" i="1" s="1"/>
  <c r="CM90" i="1"/>
  <c r="DM90" i="1" s="1"/>
  <c r="BY90" i="1"/>
  <c r="DK90" i="1" s="1"/>
  <c r="AP90" i="1"/>
  <c r="CA129" i="1"/>
  <c r="CH129" i="1"/>
  <c r="BT129" i="1"/>
  <c r="AX129" i="1"/>
  <c r="AV129" i="1"/>
  <c r="CO129" i="1"/>
  <c r="CN121" i="1"/>
  <c r="BS121" i="1"/>
  <c r="CG121" i="1"/>
  <c r="BZ121" i="1"/>
  <c r="AG121" i="1"/>
  <c r="AE121" i="1"/>
  <c r="BY171" i="1"/>
  <c r="DK171" i="1" s="1"/>
  <c r="AN171" i="1"/>
  <c r="BR171" i="1"/>
  <c r="DJ171" i="1" s="1"/>
  <c r="CM171" i="1"/>
  <c r="DM171" i="1" s="1"/>
  <c r="AP171" i="1"/>
  <c r="CF171" i="1"/>
  <c r="DL171" i="1" s="1"/>
  <c r="CG143" i="1"/>
  <c r="BS143" i="1"/>
  <c r="CN143" i="1"/>
  <c r="AG143" i="1"/>
  <c r="AE143" i="1"/>
  <c r="BZ143" i="1"/>
  <c r="AP127" i="1"/>
  <c r="AN127" i="1"/>
  <c r="BY127" i="1"/>
  <c r="DK127" i="1" s="1"/>
  <c r="CF127" i="1"/>
  <c r="DL127" i="1" s="1"/>
  <c r="BR127" i="1"/>
  <c r="DJ127" i="1" s="1"/>
  <c r="CM127" i="1"/>
  <c r="DM1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Jackie Gatland</author>
    <author>Jackie</author>
    <author>limno</author>
    <author>Leah Domine</author>
    <author>LMDomine</author>
    <author>Leah M. Domine</author>
    <author>User</author>
  </authors>
  <commentList>
    <comment ref="N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Measured ppm of CO2 from sample in dry air (not corrected for 100% humidity)
</t>
        </r>
      </text>
    </comment>
    <comment ref="S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Vapour pressure (atm) or 100% humidity</t>
        </r>
      </text>
    </comment>
    <comment ref="T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(moles/l/atm). Solubility coefficient of CO2, constants from Weiss 1974</t>
        </r>
      </text>
    </comment>
    <comment ref="U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(moles/l/atm), solubility coefficient for CH4 from Yamamoto (1976). </t>
        </r>
      </text>
    </comment>
    <comment ref="V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(moles/l/atm), solubility coefficient of N2O, constants from Weiss and Price (1980)</t>
        </r>
      </text>
    </comment>
    <comment ref="W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Henry's law constant, Solubility CH4 from Wiesenburg and Guinasso 1979
</t>
        </r>
      </text>
    </comment>
    <comment ref="X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pCO2 at 100% humidity</t>
        </r>
      </text>
    </comment>
    <comment ref="Y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pCH4 at 100% humidity</t>
        </r>
      </text>
    </comment>
    <comment ref="Z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Amount of CH4 in headspace</t>
        </r>
      </text>
    </comment>
    <comment ref="AD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Original concentration in sample</t>
        </r>
      </text>
    </comment>
    <comment ref="AF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Dissolved CH4 concentration (uM) at atmospheric equilibrium</t>
        </r>
      </text>
    </comment>
    <comment ref="AH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pN2O at 100% humidity</t>
        </r>
      </text>
    </comment>
    <comment ref="AP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Jackie: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>Δ</t>
        </r>
        <r>
          <rPr>
            <sz val="9"/>
            <color indexed="81"/>
            <rFont val="Tahoma"/>
            <family val="2"/>
          </rPr>
          <t xml:space="preserve">CO2 uM (deviation from saturation)
</t>
        </r>
      </text>
    </comment>
    <comment ref="AY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Atmospheric pressure</t>
        </r>
      </text>
    </comment>
    <comment ref="BA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Concentration of gas in overlying air. Ensure this is multiplied by solubility coefficient when computing final flux calcualtions</t>
        </r>
      </text>
    </comment>
    <comment ref="BG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Calculated from Wanninkhof 2014 for freshwater
</t>
        </r>
      </text>
    </comment>
    <comment ref="BH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Wanninkhof 2014</t>
        </r>
      </text>
    </comment>
    <comment ref="BI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Wanninkhof 2014</t>
        </r>
      </text>
    </comment>
    <comment ref="BL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Measured wind spind corrected to 10 m using Amorocho and
DeVries, 1980 equation
Need someone to check this is correct</t>
        </r>
      </text>
    </comment>
    <comment ref="BM1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limno:</t>
        </r>
        <r>
          <rPr>
            <sz val="9"/>
            <color indexed="81"/>
            <rFont val="Tahoma"/>
            <family val="2"/>
          </rPr>
          <t xml:space="preserve">
Wind speed correction for surface to 10m from Crusius and Wanninkhof, 2003</t>
        </r>
      </text>
    </comment>
    <comment ref="BN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Calculated transfer velocity from Cole and Caraco 1998. m/d
</t>
        </r>
      </text>
    </comment>
    <comment ref="BO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m/day. Schmidt number exponent is set at 0.67 for lentic waters (Looman et al., 2017)</t>
        </r>
      </text>
    </comment>
    <comment ref="BP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 xml:space="preserve">m/day
</t>
        </r>
      </text>
    </comment>
    <comment ref="BQ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m/day
</t>
        </r>
      </text>
    </comment>
    <comment ref="BR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CO2 flux mmol/m2/d
</t>
        </r>
      </text>
    </comment>
    <comment ref="BS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mmol/m2/d
</t>
        </r>
      </text>
    </comment>
    <comment ref="BT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umol/m2/d
</t>
        </r>
      </text>
    </comment>
    <comment ref="BU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Calculated transfer velocity from Vachon and Prairie 2013, model B based on lake size. m/d
</t>
        </r>
      </text>
    </comment>
    <comment ref="BV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m/day</t>
        </r>
      </text>
    </comment>
    <comment ref="BW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 xml:space="preserve">m/day
</t>
        </r>
      </text>
    </comment>
    <comment ref="BX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m/day
</t>
        </r>
      </text>
    </comment>
    <comment ref="BY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CO2 flux mmol/m2/d
</t>
        </r>
      </text>
    </comment>
    <comment ref="BZ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mmol/m2/d
</t>
        </r>
      </text>
    </comment>
    <comment ref="CA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umol/m2/d
</t>
        </r>
      </text>
    </comment>
    <comment ref="CC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m/day</t>
        </r>
      </text>
    </comment>
    <comment ref="CD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 xml:space="preserve">m/day
</t>
        </r>
      </text>
    </comment>
    <comment ref="CE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m/day
</t>
        </r>
      </text>
    </comment>
    <comment ref="CF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CO2 flux mmol/m2/d
</t>
        </r>
      </text>
    </comment>
    <comment ref="CG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mmol/m2/d
</t>
        </r>
      </text>
    </comment>
    <comment ref="CH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umol/m2/d
</t>
        </r>
      </text>
    </comment>
    <comment ref="CI1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limno:</t>
        </r>
        <r>
          <rPr>
            <sz val="9"/>
            <color indexed="81"/>
            <rFont val="Tahoma"/>
            <family val="2"/>
          </rPr>
          <t xml:space="preserve">
Average from normalised k600-CH4 and k600-CO2 floating chamber incubations</t>
        </r>
      </text>
    </comment>
    <comment ref="CJ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m/day</t>
        </r>
      </text>
    </comment>
    <comment ref="CK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 xml:space="preserve">m/day
</t>
        </r>
      </text>
    </comment>
    <comment ref="CL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m/day
</t>
        </r>
      </text>
    </comment>
    <comment ref="CM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CO2 flux mmol/m2/d
</t>
        </r>
      </text>
    </comment>
    <comment ref="CN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mmol/m2/d
</t>
        </r>
      </text>
    </comment>
    <comment ref="CO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umol/m2/d
</t>
        </r>
      </text>
    </comment>
    <comment ref="CQ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=0.64*sp-conductivity mS/cm</t>
        </r>
      </text>
    </comment>
    <comment ref="CR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From TSD
</t>
        </r>
      </text>
    </comment>
    <comment ref="CS1" authorId="3" shapeId="0" xr:uid="{00000000-0006-0000-0000-000032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got equation from jon cole</t>
        </r>
      </text>
    </comment>
    <comment ref="CT1" authorId="3" shapeId="0" xr:uid="{00000000-0006-0000-0000-000033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approximate pH value where HCO3 almost 100% DIC</t>
        </r>
      </text>
    </comment>
    <comment ref="CU1" authorId="3" shapeId="0" xr:uid="{00000000-0006-0000-0000-000034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first apparent dissociation constant for carbonic acid (concentration based)
mol L-1
got equation from jon cole</t>
        </r>
      </text>
    </comment>
    <comment ref="CV1" authorId="3" shapeId="0" xr:uid="{00000000-0006-0000-0000-000035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got equation from jon cole</t>
        </r>
      </text>
    </comment>
    <comment ref="CW1" authorId="3" shapeId="0" xr:uid="{00000000-0006-0000-0000-000036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approximate value where CO3 almost 100%</t>
        </r>
      </text>
    </comment>
    <comment ref="CX1" authorId="3" shapeId="0" xr:uid="{00000000-0006-0000-0000-000037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second apparent dissociation constant for carbonic acid (concentration based)
mol L-1
got equation from jon cole</t>
        </r>
      </text>
    </comment>
    <comment ref="CY1" authorId="4" shapeId="0" xr:uid="{00000000-0006-0000-0000-000038000000}">
      <text>
        <r>
          <rPr>
            <b/>
            <sz val="9"/>
            <color indexed="81"/>
            <rFont val="Tahoma"/>
            <family val="2"/>
          </rPr>
          <t>LMDomine:</t>
        </r>
        <r>
          <rPr>
            <sz val="9"/>
            <color indexed="81"/>
            <rFont val="Tahoma"/>
            <family val="2"/>
          </rPr>
          <t xml:space="preserve">
from Johnson 1982
hydration rate constant for adding water to CO2 to create H+ and HCO3- (s-1)
important at pH &lt; 9</t>
        </r>
      </text>
    </comment>
    <comment ref="CZ1" authorId="5" shapeId="0" xr:uid="{00000000-0006-0000-0000-000039000000}">
      <text>
        <r>
          <rPr>
            <b/>
            <sz val="9"/>
            <color indexed="81"/>
            <rFont val="Tahoma"/>
            <family val="2"/>
          </rPr>
          <t>Leah M. Domine:</t>
        </r>
        <r>
          <rPr>
            <sz val="9"/>
            <color indexed="81"/>
            <rFont val="Tahoma"/>
            <family val="2"/>
          </rPr>
          <t xml:space="preserve">
Kern 1960
rate constant: add CO2 and OH- to create HCO3-
(L mol-1 s-1)
important at pH &gt;9
temp dep</t>
        </r>
      </text>
    </comment>
    <comment ref="DA1" authorId="3" shapeId="0" xr:uid="{00000000-0006-0000-0000-00003A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stumm morgan 1996 pg 94
dissociation constant for water mol-2 L-2</t>
        </r>
      </text>
    </comment>
    <comment ref="DB1" authorId="3" shapeId="0" xr:uid="{00000000-0006-0000-0000-00003B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Smith 1985
activity coefficient for hydrogen ion</t>
        </r>
      </text>
    </comment>
    <comment ref="DD1" authorId="3" shapeId="0" xr:uid="{00000000-0006-0000-0000-00003C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molecular diffusion coefficient for CO2; depends on temp
Zeebe 2011
</t>
        </r>
      </text>
    </comment>
    <comment ref="DI1" authorId="3" shapeId="0" xr:uid="{00000000-0006-0000-0000-00003D000000}">
      <text>
        <r>
          <rPr>
            <b/>
            <sz val="9"/>
            <color indexed="81"/>
            <rFont val="Tahoma"/>
            <family val="2"/>
          </rPr>
          <t>Leah Domine:</t>
        </r>
        <r>
          <rPr>
            <sz val="9"/>
            <color indexed="81"/>
            <rFont val="Tahoma"/>
            <family val="2"/>
          </rPr>
          <t xml:space="preserve">
chemical enhancement factor</t>
        </r>
      </text>
    </comment>
    <comment ref="DJ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Jackie Gatland:</t>
        </r>
        <r>
          <rPr>
            <sz val="9"/>
            <color indexed="81"/>
            <rFont val="Tahoma"/>
            <family val="2"/>
          </rPr>
          <t xml:space="preserve">
Chemically enhanced CO2 flux (mmol/cm/hr)</t>
        </r>
      </text>
    </comment>
    <comment ref="A274" authorId="6" shapeId="0" xr:uid="{5B955B49-1A77-4F2F-9D14-B76050EFE2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Pretty sure this is actually 4D - August 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Finlaylab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Finlaylab:</t>
        </r>
        <r>
          <rPr>
            <sz val="9"/>
            <color indexed="81"/>
            <rFont val="Tahoma"/>
            <family val="2"/>
          </rPr>
          <t xml:space="preserve">
Vial ID</t>
        </r>
      </text>
    </comment>
  </commentList>
</comments>
</file>

<file path=xl/sharedStrings.xml><?xml version="1.0" encoding="utf-8"?>
<sst xmlns="http://schemas.openxmlformats.org/spreadsheetml/2006/main" count="2294" uniqueCount="579">
  <si>
    <t>Temp</t>
  </si>
  <si>
    <t>Salinity</t>
  </si>
  <si>
    <t>Temp (K)</t>
  </si>
  <si>
    <t>pH</t>
  </si>
  <si>
    <t>[H+]</t>
  </si>
  <si>
    <t>Sample</t>
  </si>
  <si>
    <t>Sample.CO2.ppm</t>
  </si>
  <si>
    <t>Sample.CH4.ppm</t>
  </si>
  <si>
    <t>Sample.N2O.ppm</t>
  </si>
  <si>
    <t>pH2O</t>
  </si>
  <si>
    <t>fCO2</t>
  </si>
  <si>
    <t>fCH4</t>
  </si>
  <si>
    <t>k0(CO2)</t>
  </si>
  <si>
    <t>k0(N20)</t>
  </si>
  <si>
    <t>fN2O</t>
  </si>
  <si>
    <t>pN2O.uatm</t>
  </si>
  <si>
    <t>Barometric.pressure(mmHg)</t>
  </si>
  <si>
    <t>Barometric.pressure(atm)</t>
  </si>
  <si>
    <t>pCO2_air.ppm</t>
  </si>
  <si>
    <t>pCH4_air.ppm</t>
  </si>
  <si>
    <t>Schmidt_CO2</t>
  </si>
  <si>
    <t>Schmidt_CH4</t>
  </si>
  <si>
    <t>Schmidt_N2O</t>
  </si>
  <si>
    <t>Wind_m.s</t>
  </si>
  <si>
    <t>U10</t>
  </si>
  <si>
    <t>k600_C&amp;C_1998</t>
  </si>
  <si>
    <t>k600-CO2</t>
  </si>
  <si>
    <t>k600-CH4</t>
  </si>
  <si>
    <t>k600-N2O</t>
  </si>
  <si>
    <t>r1</t>
  </si>
  <si>
    <t>r2</t>
  </si>
  <si>
    <t>Kw</t>
  </si>
  <si>
    <r>
      <t>a</t>
    </r>
    <r>
      <rPr>
        <vertAlign val="subscript"/>
        <sz val="10"/>
        <rFont val="Arial"/>
        <family val="2"/>
      </rPr>
      <t>H</t>
    </r>
  </si>
  <si>
    <r>
      <t>a</t>
    </r>
    <r>
      <rPr>
        <vertAlign val="subscript"/>
        <sz val="10"/>
        <rFont val="Arial"/>
        <family val="2"/>
      </rPr>
      <t>H^2</t>
    </r>
  </si>
  <si>
    <t>D (cm2/s)</t>
  </si>
  <si>
    <t>K1</t>
  </si>
  <si>
    <t>K2</t>
  </si>
  <si>
    <t>r</t>
  </si>
  <si>
    <t>T</t>
  </si>
  <si>
    <t>Q</t>
  </si>
  <si>
    <t>z</t>
  </si>
  <si>
    <t>alpha</t>
  </si>
  <si>
    <t>TDS_g/L</t>
  </si>
  <si>
    <t>Cond.mS.cm</t>
  </si>
  <si>
    <t>pK1</t>
  </si>
  <si>
    <t>pK1'</t>
  </si>
  <si>
    <t>pK2</t>
  </si>
  <si>
    <t>pK2'</t>
  </si>
  <si>
    <t>Ionic_stregnth</t>
  </si>
  <si>
    <t>Flux_CO2_CC</t>
  </si>
  <si>
    <t>Flux_CH4_CC</t>
  </si>
  <si>
    <t>Flux_N2O_CC</t>
  </si>
  <si>
    <t>Atm.CO2.ppm</t>
  </si>
  <si>
    <t>Atm.CH4.ppm</t>
  </si>
  <si>
    <t>Atm.N2O.ppm</t>
  </si>
  <si>
    <t>Headspace.Vol.mL</t>
  </si>
  <si>
    <t>Water.Vol.mL</t>
  </si>
  <si>
    <t>CH4.uM</t>
  </si>
  <si>
    <t>14A</t>
  </si>
  <si>
    <t>Site_ID</t>
  </si>
  <si>
    <t>Sal.ppt</t>
  </si>
  <si>
    <t>YSI_atm</t>
  </si>
  <si>
    <t>k0_CH4</t>
  </si>
  <si>
    <t xml:space="preserve">Atmospheric N2O = </t>
  </si>
  <si>
    <t xml:space="preserve">Atmospheric CO2 = </t>
  </si>
  <si>
    <t xml:space="preserve">Atmospheric CH4 = </t>
  </si>
  <si>
    <t>44b</t>
  </si>
  <si>
    <t>Kh_CH4</t>
  </si>
  <si>
    <t>Moles_of_headspace_CH4</t>
  </si>
  <si>
    <t>Moles_of_air_CH4</t>
  </si>
  <si>
    <t>Moles_in_liquid_CH4</t>
  </si>
  <si>
    <t>Total_moles_in_vessel_CH4</t>
  </si>
  <si>
    <t>CH4_equil</t>
  </si>
  <si>
    <t>Moles_of_headspace_CO2</t>
  </si>
  <si>
    <t>Moles_of_air_CO2</t>
  </si>
  <si>
    <t>Total_moles_in_vessel_CO2</t>
  </si>
  <si>
    <t>Moles_in_liquid_CO2</t>
  </si>
  <si>
    <t>CO2_equil</t>
  </si>
  <si>
    <t>Moles_of_headspace_N2O</t>
  </si>
  <si>
    <t>Moles_of_air_N2O</t>
  </si>
  <si>
    <t>Moles_in_liquid_N2O</t>
  </si>
  <si>
    <t>Total_moles_in_vessel_N2O</t>
  </si>
  <si>
    <t>N2O_equil</t>
  </si>
  <si>
    <t>pCO2.uatm</t>
  </si>
  <si>
    <t>CH4.uatm</t>
  </si>
  <si>
    <t>Local atmospheric N2O</t>
  </si>
  <si>
    <t>Local atmospheric CO2</t>
  </si>
  <si>
    <t>Local atmospheric CH4</t>
  </si>
  <si>
    <t>Measured Wind km/hr</t>
  </si>
  <si>
    <t>Site ID</t>
  </si>
  <si>
    <t>Wind m/s</t>
  </si>
  <si>
    <t>pN2O_air.ppm</t>
  </si>
  <si>
    <t>CO2_uM_atm</t>
  </si>
  <si>
    <t>CH4_uM_atm</t>
  </si>
  <si>
    <t>N2O_nM_atm</t>
  </si>
  <si>
    <t>U10_C&amp;W</t>
  </si>
  <si>
    <t>k600_V&amp;P_2013</t>
  </si>
  <si>
    <t>k600_Holgerson2017</t>
  </si>
  <si>
    <t>Flux_CO2_VP</t>
  </si>
  <si>
    <t>Flux_CH4_VP</t>
  </si>
  <si>
    <t>Flux_N2O_VP</t>
  </si>
  <si>
    <t>Flux_CO2_H</t>
  </si>
  <si>
    <t>Flux_CH4_H</t>
  </si>
  <si>
    <t>Flux_N2O_H</t>
  </si>
  <si>
    <t>CO2.uM</t>
  </si>
  <si>
    <t>N2O.nM</t>
  </si>
  <si>
    <t>Wind_av m.s</t>
  </si>
  <si>
    <t>Av atm pressure</t>
  </si>
  <si>
    <t>Flux_CO2_enh_CC</t>
  </si>
  <si>
    <t>Flux_CO2_enh_VP</t>
  </si>
  <si>
    <t>Flux_CO2_enh_H</t>
  </si>
  <si>
    <t>Flux_CO2_enh_dugout</t>
  </si>
  <si>
    <t>Flux_CO2_dugouts</t>
  </si>
  <si>
    <t>Flux_CH4_dugouts</t>
  </si>
  <si>
    <t>Flux_N2O_dugouts</t>
  </si>
  <si>
    <t>Atm</t>
  </si>
  <si>
    <t>cow</t>
  </si>
  <si>
    <t>sheep</t>
  </si>
  <si>
    <t>Diff_CO2eq.uM</t>
  </si>
  <si>
    <t>Diff_N2Oeq.nM</t>
  </si>
  <si>
    <t>Diff_CH4eq.uM</t>
  </si>
  <si>
    <t>Rep</t>
  </si>
  <si>
    <t>Name</t>
  </si>
  <si>
    <t>kCH4600_Dugouts</t>
  </si>
  <si>
    <t># July and August average 2017</t>
  </si>
  <si>
    <t>Source: https://www.esrl.noaa.gov/gmd/dv/data/index.php?parameter_name=Nitrous%2BOxide&amp;search=nitrous&amp;frequency=Monthly%2BAverages</t>
  </si>
  <si>
    <t># ftp://aftp.cmdl.noaa.gov/products/trends/co2/co2_mm_mlo.txt</t>
  </si>
  <si>
    <t xml:space="preserve">32A1 </t>
  </si>
  <si>
    <t xml:space="preserve">32A2 </t>
  </si>
  <si>
    <t xml:space="preserve">32A3 </t>
  </si>
  <si>
    <t xml:space="preserve">32A4 </t>
  </si>
  <si>
    <t xml:space="preserve">32A5 </t>
  </si>
  <si>
    <t xml:space="preserve">66A1 </t>
  </si>
  <si>
    <t xml:space="preserve">66A2 </t>
  </si>
  <si>
    <t xml:space="preserve">66A3 </t>
  </si>
  <si>
    <t xml:space="preserve">66A4 </t>
  </si>
  <si>
    <t xml:space="preserve">66A5 </t>
  </si>
  <si>
    <t xml:space="preserve">32B1 </t>
  </si>
  <si>
    <t xml:space="preserve">32B2 </t>
  </si>
  <si>
    <t xml:space="preserve">32B3 </t>
  </si>
  <si>
    <t xml:space="preserve">32B4 </t>
  </si>
  <si>
    <t xml:space="preserve">32B5 </t>
  </si>
  <si>
    <t xml:space="preserve">32C1 </t>
  </si>
  <si>
    <t xml:space="preserve">32C2 </t>
  </si>
  <si>
    <t xml:space="preserve">32C3 </t>
  </si>
  <si>
    <t xml:space="preserve">32C4 </t>
  </si>
  <si>
    <t xml:space="preserve">32C5 </t>
  </si>
  <si>
    <t xml:space="preserve">66B1 </t>
  </si>
  <si>
    <t xml:space="preserve">66B2 </t>
  </si>
  <si>
    <t xml:space="preserve">66B3 </t>
  </si>
  <si>
    <t xml:space="preserve">66B4 </t>
  </si>
  <si>
    <t xml:space="preserve">66B5 </t>
  </si>
  <si>
    <t xml:space="preserve">66C1 </t>
  </si>
  <si>
    <t xml:space="preserve">66C2 </t>
  </si>
  <si>
    <t xml:space="preserve">66C3 </t>
  </si>
  <si>
    <t xml:space="preserve">66C4 </t>
  </si>
  <si>
    <t xml:space="preserve">66C5 </t>
  </si>
  <si>
    <t xml:space="preserve">56B4 </t>
  </si>
  <si>
    <t xml:space="preserve">56B2 </t>
  </si>
  <si>
    <t xml:space="preserve">56B3 </t>
  </si>
  <si>
    <t xml:space="preserve">56B1 </t>
  </si>
  <si>
    <t xml:space="preserve">56B5 </t>
  </si>
  <si>
    <t xml:space="preserve">56A1 </t>
  </si>
  <si>
    <t xml:space="preserve">56A2 </t>
  </si>
  <si>
    <t xml:space="preserve">56A3 </t>
  </si>
  <si>
    <t xml:space="preserve">56A4 </t>
  </si>
  <si>
    <t xml:space="preserve">56A5 </t>
  </si>
  <si>
    <t xml:space="preserve">62B1 </t>
  </si>
  <si>
    <t xml:space="preserve">62B2 </t>
  </si>
  <si>
    <t xml:space="preserve">62B3 </t>
  </si>
  <si>
    <t xml:space="preserve">62B4 </t>
  </si>
  <si>
    <t xml:space="preserve">62B5 </t>
  </si>
  <si>
    <t xml:space="preserve">62C1 </t>
  </si>
  <si>
    <t xml:space="preserve">62C2 </t>
  </si>
  <si>
    <t xml:space="preserve">62C3 </t>
  </si>
  <si>
    <t xml:space="preserve">62C4 </t>
  </si>
  <si>
    <t xml:space="preserve">62C5 </t>
  </si>
  <si>
    <t xml:space="preserve">62E1 </t>
  </si>
  <si>
    <t xml:space="preserve">62E2 </t>
  </si>
  <si>
    <t xml:space="preserve">62E3 </t>
  </si>
  <si>
    <t xml:space="preserve">62E4 </t>
  </si>
  <si>
    <t xml:space="preserve">62E5 </t>
  </si>
  <si>
    <t xml:space="preserve">61C1 </t>
  </si>
  <si>
    <t xml:space="preserve">61C2 </t>
  </si>
  <si>
    <t xml:space="preserve">61C3 </t>
  </si>
  <si>
    <t xml:space="preserve">61C4 </t>
  </si>
  <si>
    <t xml:space="preserve">61C5 </t>
  </si>
  <si>
    <t xml:space="preserve">61B1 </t>
  </si>
  <si>
    <t xml:space="preserve">61B2 </t>
  </si>
  <si>
    <t xml:space="preserve">61B3 </t>
  </si>
  <si>
    <t xml:space="preserve">61B4 </t>
  </si>
  <si>
    <t xml:space="preserve">61B5 </t>
  </si>
  <si>
    <t xml:space="preserve">4C1 </t>
  </si>
  <si>
    <t xml:space="preserve">4C2 </t>
  </si>
  <si>
    <t xml:space="preserve">4C3 </t>
  </si>
  <si>
    <t xml:space="preserve">4C4 </t>
  </si>
  <si>
    <t xml:space="preserve">4C5 </t>
  </si>
  <si>
    <t xml:space="preserve">14A1 </t>
  </si>
  <si>
    <t xml:space="preserve">14A2 </t>
  </si>
  <si>
    <t xml:space="preserve">14A3 </t>
  </si>
  <si>
    <t xml:space="preserve">14A4 </t>
  </si>
  <si>
    <t xml:space="preserve">14A5 </t>
  </si>
  <si>
    <t xml:space="preserve">4D1 </t>
  </si>
  <si>
    <t xml:space="preserve">4D2 </t>
  </si>
  <si>
    <t xml:space="preserve">4D3 </t>
  </si>
  <si>
    <t xml:space="preserve">4D4 </t>
  </si>
  <si>
    <t xml:space="preserve">4D5 </t>
  </si>
  <si>
    <t xml:space="preserve">14B1 </t>
  </si>
  <si>
    <t xml:space="preserve">14B2 </t>
  </si>
  <si>
    <t xml:space="preserve">14B3 </t>
  </si>
  <si>
    <t xml:space="preserve">14B4 </t>
  </si>
  <si>
    <t xml:space="preserve">14B5 </t>
  </si>
  <si>
    <t xml:space="preserve">68-1 </t>
  </si>
  <si>
    <t xml:space="preserve">68-2 </t>
  </si>
  <si>
    <t xml:space="preserve">68-3 </t>
  </si>
  <si>
    <t xml:space="preserve">68-4 </t>
  </si>
  <si>
    <t xml:space="preserve">68-5 </t>
  </si>
  <si>
    <t xml:space="preserve">23-1 </t>
  </si>
  <si>
    <t xml:space="preserve">23-2 </t>
  </si>
  <si>
    <t xml:space="preserve">23-3 </t>
  </si>
  <si>
    <t xml:space="preserve">23-4 </t>
  </si>
  <si>
    <t xml:space="preserve">23-5 </t>
  </si>
  <si>
    <t xml:space="preserve">62E6 </t>
  </si>
  <si>
    <t xml:space="preserve">62E7 </t>
  </si>
  <si>
    <t xml:space="preserve">62E8 </t>
  </si>
  <si>
    <t xml:space="preserve">62E9 </t>
  </si>
  <si>
    <t xml:space="preserve">62E10 </t>
  </si>
  <si>
    <t xml:space="preserve">62B6 </t>
  </si>
  <si>
    <t xml:space="preserve">62B7 </t>
  </si>
  <si>
    <t xml:space="preserve">62B8 </t>
  </si>
  <si>
    <t xml:space="preserve">62B9 </t>
  </si>
  <si>
    <t xml:space="preserve">62B10 </t>
  </si>
  <si>
    <t xml:space="preserve">62C6 </t>
  </si>
  <si>
    <t xml:space="preserve">62C7 </t>
  </si>
  <si>
    <t xml:space="preserve">62C8 </t>
  </si>
  <si>
    <t xml:space="preserve">62C9 </t>
  </si>
  <si>
    <t xml:space="preserve">62C10 </t>
  </si>
  <si>
    <t xml:space="preserve">14B6 </t>
  </si>
  <si>
    <t xml:space="preserve">14B7 </t>
  </si>
  <si>
    <t xml:space="preserve">14B8 </t>
  </si>
  <si>
    <t xml:space="preserve">14B9 </t>
  </si>
  <si>
    <t xml:space="preserve">14B10 </t>
  </si>
  <si>
    <t xml:space="preserve">68-6 </t>
  </si>
  <si>
    <t xml:space="preserve">68-7 </t>
  </si>
  <si>
    <t xml:space="preserve">68-8 </t>
  </si>
  <si>
    <t xml:space="preserve">68-9 </t>
  </si>
  <si>
    <t xml:space="preserve">68-10 </t>
  </si>
  <si>
    <t xml:space="preserve">14A6 </t>
  </si>
  <si>
    <t xml:space="preserve">14A7 </t>
  </si>
  <si>
    <t xml:space="preserve">14A8 </t>
  </si>
  <si>
    <t xml:space="preserve">14A9 </t>
  </si>
  <si>
    <t xml:space="preserve">14A10 </t>
  </si>
  <si>
    <t xml:space="preserve">32C6 </t>
  </si>
  <si>
    <t xml:space="preserve">32C7 </t>
  </si>
  <si>
    <t xml:space="preserve">32C8 </t>
  </si>
  <si>
    <t xml:space="preserve">32C9 </t>
  </si>
  <si>
    <t xml:space="preserve">32C10 </t>
  </si>
  <si>
    <t xml:space="preserve">23-6 </t>
  </si>
  <si>
    <t xml:space="preserve">23-7 </t>
  </si>
  <si>
    <t xml:space="preserve">23-8 </t>
  </si>
  <si>
    <t xml:space="preserve">23-9 </t>
  </si>
  <si>
    <t xml:space="preserve">23-10 </t>
  </si>
  <si>
    <t xml:space="preserve">61B6 </t>
  </si>
  <si>
    <t xml:space="preserve">61B7 </t>
  </si>
  <si>
    <t xml:space="preserve">61B8 </t>
  </si>
  <si>
    <t xml:space="preserve">61B9 </t>
  </si>
  <si>
    <t xml:space="preserve">61B10 </t>
  </si>
  <si>
    <t xml:space="preserve">61C6 </t>
  </si>
  <si>
    <t xml:space="preserve">61C7 </t>
  </si>
  <si>
    <t xml:space="preserve">61C8 </t>
  </si>
  <si>
    <t xml:space="preserve">61C9 </t>
  </si>
  <si>
    <t xml:space="preserve">61C10 </t>
  </si>
  <si>
    <t xml:space="preserve">4D6 </t>
  </si>
  <si>
    <t xml:space="preserve">4D7 </t>
  </si>
  <si>
    <t xml:space="preserve">4D8 </t>
  </si>
  <si>
    <t xml:space="preserve">4D9 </t>
  </si>
  <si>
    <t xml:space="preserve">4D10 </t>
  </si>
  <si>
    <t xml:space="preserve">4C6 </t>
  </si>
  <si>
    <t xml:space="preserve">4C7 </t>
  </si>
  <si>
    <t xml:space="preserve">4C8 </t>
  </si>
  <si>
    <t xml:space="preserve">4C9 </t>
  </si>
  <si>
    <t xml:space="preserve">4C10 </t>
  </si>
  <si>
    <t xml:space="preserve">56A6 </t>
  </si>
  <si>
    <t xml:space="preserve">56A7 </t>
  </si>
  <si>
    <t xml:space="preserve">56A8 </t>
  </si>
  <si>
    <t xml:space="preserve">56A9 </t>
  </si>
  <si>
    <t xml:space="preserve">56A10 </t>
  </si>
  <si>
    <t xml:space="preserve">56B6 </t>
  </si>
  <si>
    <t xml:space="preserve">56B7 </t>
  </si>
  <si>
    <t xml:space="preserve">56B8 </t>
  </si>
  <si>
    <t xml:space="preserve">56B9 </t>
  </si>
  <si>
    <t xml:space="preserve">56B10 </t>
  </si>
  <si>
    <t xml:space="preserve">66C6 </t>
  </si>
  <si>
    <t xml:space="preserve">66C7 </t>
  </si>
  <si>
    <t xml:space="preserve">66C8 </t>
  </si>
  <si>
    <t xml:space="preserve">66C9 </t>
  </si>
  <si>
    <t xml:space="preserve">66C10 </t>
  </si>
  <si>
    <t xml:space="preserve">66B6 </t>
  </si>
  <si>
    <t xml:space="preserve">66B7 </t>
  </si>
  <si>
    <t xml:space="preserve">66B8 </t>
  </si>
  <si>
    <t xml:space="preserve">66B9 </t>
  </si>
  <si>
    <t xml:space="preserve">66B10 </t>
  </si>
  <si>
    <t xml:space="preserve">4A6 </t>
  </si>
  <si>
    <t xml:space="preserve">4A7 </t>
  </si>
  <si>
    <t xml:space="preserve">4A8 </t>
  </si>
  <si>
    <t xml:space="preserve">4A9 </t>
  </si>
  <si>
    <t xml:space="preserve">32A6 </t>
  </si>
  <si>
    <t xml:space="preserve">32A7 </t>
  </si>
  <si>
    <t xml:space="preserve">32A8 </t>
  </si>
  <si>
    <t xml:space="preserve">32A9 </t>
  </si>
  <si>
    <t xml:space="preserve">32A10 </t>
  </si>
  <si>
    <t xml:space="preserve">32B6 </t>
  </si>
  <si>
    <t xml:space="preserve">32B7 </t>
  </si>
  <si>
    <t xml:space="preserve">32B8 </t>
  </si>
  <si>
    <t xml:space="preserve">32B9 </t>
  </si>
  <si>
    <t xml:space="preserve">32B10 </t>
  </si>
  <si>
    <t xml:space="preserve">66A6 </t>
  </si>
  <si>
    <t xml:space="preserve">66A7 </t>
  </si>
  <si>
    <t xml:space="preserve">66A8 </t>
  </si>
  <si>
    <t xml:space="preserve">66A9 </t>
  </si>
  <si>
    <t xml:space="preserve">66A10 </t>
  </si>
  <si>
    <t>4D11</t>
  </si>
  <si>
    <t>32A</t>
  </si>
  <si>
    <t>66A</t>
  </si>
  <si>
    <t>32B</t>
  </si>
  <si>
    <t>32C</t>
  </si>
  <si>
    <t>66B</t>
  </si>
  <si>
    <t>66C</t>
  </si>
  <si>
    <t>56B</t>
  </si>
  <si>
    <t>56A</t>
  </si>
  <si>
    <t>62B</t>
  </si>
  <si>
    <t>62C</t>
  </si>
  <si>
    <t>62E</t>
  </si>
  <si>
    <t>61C</t>
  </si>
  <si>
    <t>61B</t>
  </si>
  <si>
    <t>4C</t>
  </si>
  <si>
    <t>4D</t>
  </si>
  <si>
    <t>14B</t>
  </si>
  <si>
    <t>4A</t>
  </si>
  <si>
    <t>1A</t>
  </si>
  <si>
    <t>1B</t>
  </si>
  <si>
    <t>2A</t>
  </si>
  <si>
    <t>2B</t>
  </si>
  <si>
    <t>CO2ppm</t>
  </si>
  <si>
    <t>CH4ppm</t>
  </si>
  <si>
    <t>N2Oppm</t>
  </si>
  <si>
    <t>Date</t>
  </si>
  <si>
    <t>Surface_pH</t>
  </si>
  <si>
    <t>NA</t>
  </si>
  <si>
    <t xml:space="preserve">23-11 </t>
  </si>
  <si>
    <t xml:space="preserve">23-12 </t>
  </si>
  <si>
    <t xml:space="preserve">23-13 </t>
  </si>
  <si>
    <t xml:space="preserve">23-14 </t>
  </si>
  <si>
    <t xml:space="preserve">23-15 </t>
  </si>
  <si>
    <t xml:space="preserve">4A11 </t>
  </si>
  <si>
    <t xml:space="preserve">4A12 </t>
  </si>
  <si>
    <t xml:space="preserve">4A13 </t>
  </si>
  <si>
    <t xml:space="preserve">4A14 </t>
  </si>
  <si>
    <t xml:space="preserve">4A15 </t>
  </si>
  <si>
    <t xml:space="preserve">4D12 </t>
  </si>
  <si>
    <t xml:space="preserve">4D13 </t>
  </si>
  <si>
    <t xml:space="preserve">4D14 </t>
  </si>
  <si>
    <t xml:space="preserve">4D15 </t>
  </si>
  <si>
    <t xml:space="preserve">66A11 </t>
  </si>
  <si>
    <t xml:space="preserve">66A12 </t>
  </si>
  <si>
    <t xml:space="preserve">66A13 </t>
  </si>
  <si>
    <t xml:space="preserve">66A14 </t>
  </si>
  <si>
    <t xml:space="preserve">66A15 </t>
  </si>
  <si>
    <t xml:space="preserve">66C11 </t>
  </si>
  <si>
    <t xml:space="preserve">66C12 </t>
  </si>
  <si>
    <t xml:space="preserve">66C13 </t>
  </si>
  <si>
    <t xml:space="preserve">66C14 </t>
  </si>
  <si>
    <t xml:space="preserve">66C15 </t>
  </si>
  <si>
    <t>62E11</t>
  </si>
  <si>
    <t>68-11</t>
  </si>
  <si>
    <t>14B11</t>
  </si>
  <si>
    <t>14A11</t>
  </si>
  <si>
    <t xml:space="preserve">32B11 </t>
  </si>
  <si>
    <t xml:space="preserve">32B12 </t>
  </si>
  <si>
    <t xml:space="preserve">32B13 </t>
  </si>
  <si>
    <t xml:space="preserve">32B14 </t>
  </si>
  <si>
    <t xml:space="preserve">32B15 </t>
  </si>
  <si>
    <t xml:space="preserve">32A11 </t>
  </si>
  <si>
    <t xml:space="preserve">32A12 </t>
  </si>
  <si>
    <t xml:space="preserve">32A13 </t>
  </si>
  <si>
    <t xml:space="preserve">32A14 </t>
  </si>
  <si>
    <t xml:space="preserve">32A15 </t>
  </si>
  <si>
    <t xml:space="preserve">32C11 </t>
  </si>
  <si>
    <t xml:space="preserve">32C12 </t>
  </si>
  <si>
    <t xml:space="preserve">32C13 </t>
  </si>
  <si>
    <t xml:space="preserve">32C14 </t>
  </si>
  <si>
    <t xml:space="preserve">32C15 </t>
  </si>
  <si>
    <t xml:space="preserve">23-16 </t>
  </si>
  <si>
    <t xml:space="preserve">23-17 </t>
  </si>
  <si>
    <t xml:space="preserve">23-18 </t>
  </si>
  <si>
    <t xml:space="preserve">23-19 </t>
  </si>
  <si>
    <t xml:space="preserve">23-20 </t>
  </si>
  <si>
    <t xml:space="preserve">4D16 </t>
  </si>
  <si>
    <t xml:space="preserve">4D17 </t>
  </si>
  <si>
    <t xml:space="preserve">4D18 </t>
  </si>
  <si>
    <t xml:space="preserve">4D19 </t>
  </si>
  <si>
    <t xml:space="preserve">4D20 </t>
  </si>
  <si>
    <t xml:space="preserve">4C11 </t>
  </si>
  <si>
    <t xml:space="preserve">4C12 </t>
  </si>
  <si>
    <t xml:space="preserve">4C13 </t>
  </si>
  <si>
    <t xml:space="preserve">4C14 </t>
  </si>
  <si>
    <t xml:space="preserve">4C15 </t>
  </si>
  <si>
    <t xml:space="preserve">56A11 </t>
  </si>
  <si>
    <t xml:space="preserve">56A12 </t>
  </si>
  <si>
    <t xml:space="preserve">56A13 </t>
  </si>
  <si>
    <t xml:space="preserve">56A14 </t>
  </si>
  <si>
    <t xml:space="preserve">56A15 </t>
  </si>
  <si>
    <t xml:space="preserve">56B11 </t>
  </si>
  <si>
    <t xml:space="preserve">56B12 </t>
  </si>
  <si>
    <t xml:space="preserve">56B13 </t>
  </si>
  <si>
    <t xml:space="preserve">56B14 </t>
  </si>
  <si>
    <t xml:space="preserve">56B15 </t>
  </si>
  <si>
    <t>61C11</t>
  </si>
  <si>
    <t xml:space="preserve">61C12 </t>
  </si>
  <si>
    <t xml:space="preserve">61B11 </t>
  </si>
  <si>
    <t xml:space="preserve">61B13 </t>
  </si>
  <si>
    <t xml:space="preserve">61B14 </t>
  </si>
  <si>
    <t xml:space="preserve">62C11 </t>
  </si>
  <si>
    <t xml:space="preserve">62C12 </t>
  </si>
  <si>
    <t xml:space="preserve">62C13 </t>
  </si>
  <si>
    <t xml:space="preserve">62C14 </t>
  </si>
  <si>
    <t xml:space="preserve">62C15 </t>
  </si>
  <si>
    <t xml:space="preserve">62B11 </t>
  </si>
  <si>
    <t xml:space="preserve">62B12 </t>
  </si>
  <si>
    <t xml:space="preserve">62B13 </t>
  </si>
  <si>
    <t xml:space="preserve">62B14 </t>
  </si>
  <si>
    <t xml:space="preserve">62B15 </t>
  </si>
  <si>
    <t>66A16</t>
  </si>
  <si>
    <t xml:space="preserve">66A17 </t>
  </si>
  <si>
    <t xml:space="preserve">66A18 </t>
  </si>
  <si>
    <t xml:space="preserve">66A19 </t>
  </si>
  <si>
    <t xml:space="preserve">66A20 </t>
  </si>
  <si>
    <t xml:space="preserve">66C16 </t>
  </si>
  <si>
    <t xml:space="preserve">66C17 </t>
  </si>
  <si>
    <t xml:space="preserve">66C18 </t>
  </si>
  <si>
    <t xml:space="preserve">66C19 </t>
  </si>
  <si>
    <t xml:space="preserve">66C20 </t>
  </si>
  <si>
    <t xml:space="preserve">66B11 </t>
  </si>
  <si>
    <t xml:space="preserve">66B12 </t>
  </si>
  <si>
    <t xml:space="preserve">66B13 </t>
  </si>
  <si>
    <t xml:space="preserve">66B14 </t>
  </si>
  <si>
    <t xml:space="preserve">66B15 </t>
  </si>
  <si>
    <t xml:space="preserve">4A16 </t>
  </si>
  <si>
    <t xml:space="preserve">4A17 </t>
  </si>
  <si>
    <t xml:space="preserve">4A18 </t>
  </si>
  <si>
    <t xml:space="preserve">4A19 </t>
  </si>
  <si>
    <t xml:space="preserve">4A20 </t>
  </si>
  <si>
    <t>66C21</t>
  </si>
  <si>
    <t>66C22</t>
  </si>
  <si>
    <t>66C23</t>
  </si>
  <si>
    <t>66C24</t>
  </si>
  <si>
    <t>66C25</t>
  </si>
  <si>
    <t>66A21</t>
  </si>
  <si>
    <t>66A22</t>
  </si>
  <si>
    <t>66A23</t>
  </si>
  <si>
    <t>66A24</t>
  </si>
  <si>
    <t>66A25</t>
  </si>
  <si>
    <t>23-21</t>
  </si>
  <si>
    <t>23-22</t>
  </si>
  <si>
    <t>23-23</t>
  </si>
  <si>
    <t>23-24</t>
  </si>
  <si>
    <t>23-25</t>
  </si>
  <si>
    <t>4A21</t>
  </si>
  <si>
    <t>4A22</t>
  </si>
  <si>
    <t>4A23</t>
  </si>
  <si>
    <t>4A24</t>
  </si>
  <si>
    <t>4A25</t>
  </si>
  <si>
    <t>4C21</t>
  </si>
  <si>
    <t>4C22</t>
  </si>
  <si>
    <t>4C23</t>
  </si>
  <si>
    <t>4C24</t>
  </si>
  <si>
    <t>4C25</t>
  </si>
  <si>
    <t>68A</t>
  </si>
  <si>
    <t>23A</t>
  </si>
  <si>
    <t>Sample_ID</t>
  </si>
  <si>
    <t xml:space="preserve">62E12 </t>
  </si>
  <si>
    <t xml:space="preserve">62E13 </t>
  </si>
  <si>
    <t xml:space="preserve">62E14 </t>
  </si>
  <si>
    <t xml:space="preserve">62E15 </t>
  </si>
  <si>
    <t xml:space="preserve">68-12 </t>
  </si>
  <si>
    <t xml:space="preserve">68-13 </t>
  </si>
  <si>
    <t xml:space="preserve">68-14 </t>
  </si>
  <si>
    <t xml:space="preserve">68-15 </t>
  </si>
  <si>
    <t xml:space="preserve">14B12 </t>
  </si>
  <si>
    <t xml:space="preserve">14B13 </t>
  </si>
  <si>
    <t xml:space="preserve">14B14 </t>
  </si>
  <si>
    <t xml:space="preserve">14B15 </t>
  </si>
  <si>
    <t xml:space="preserve">14A12 </t>
  </si>
  <si>
    <t xml:space="preserve">14A13 </t>
  </si>
  <si>
    <t xml:space="preserve">14A14 </t>
  </si>
  <si>
    <t xml:space="preserve">14A15 </t>
  </si>
  <si>
    <t xml:space="preserve">61C13 </t>
  </si>
  <si>
    <t xml:space="preserve">61C14 </t>
  </si>
  <si>
    <t xml:space="preserve">61C15 </t>
  </si>
  <si>
    <t xml:space="preserve">61B12 </t>
  </si>
  <si>
    <t xml:space="preserve">61B15 </t>
  </si>
  <si>
    <t>23-27</t>
  </si>
  <si>
    <t>23-28</t>
  </si>
  <si>
    <t>23-29</t>
  </si>
  <si>
    <t>23-30</t>
  </si>
  <si>
    <t>32B22</t>
  </si>
  <si>
    <t>32B23</t>
  </si>
  <si>
    <t>32B24</t>
  </si>
  <si>
    <t>32B25</t>
  </si>
  <si>
    <t>32A22</t>
  </si>
  <si>
    <t>32A23</t>
  </si>
  <si>
    <t>32A24</t>
  </si>
  <si>
    <t>32A25</t>
  </si>
  <si>
    <t>32C22</t>
  </si>
  <si>
    <t>32C23</t>
  </si>
  <si>
    <t>32C24</t>
  </si>
  <si>
    <t>32C25</t>
  </si>
  <si>
    <t>56A22</t>
  </si>
  <si>
    <t>56A23</t>
  </si>
  <si>
    <t>56A24</t>
  </si>
  <si>
    <t>56A25</t>
  </si>
  <si>
    <t>56B22</t>
  </si>
  <si>
    <t>56B23</t>
  </si>
  <si>
    <t>56B24</t>
  </si>
  <si>
    <t>56B25</t>
  </si>
  <si>
    <t>4D27</t>
  </si>
  <si>
    <t>4D28</t>
  </si>
  <si>
    <t>4D29</t>
  </si>
  <si>
    <t>4D30</t>
  </si>
  <si>
    <t>61C22</t>
  </si>
  <si>
    <t>61C23</t>
  </si>
  <si>
    <t>61C24</t>
  </si>
  <si>
    <t>61C25</t>
  </si>
  <si>
    <t>61B22</t>
  </si>
  <si>
    <t>61B23</t>
  </si>
  <si>
    <t>61B24</t>
  </si>
  <si>
    <t>61B25</t>
  </si>
  <si>
    <t>62E22</t>
  </si>
  <si>
    <t>62E23</t>
  </si>
  <si>
    <t>62E24</t>
  </si>
  <si>
    <t>62E25</t>
  </si>
  <si>
    <t>62C22</t>
  </si>
  <si>
    <t>62C23</t>
  </si>
  <si>
    <t>62C24</t>
  </si>
  <si>
    <t>62C25</t>
  </si>
  <si>
    <t>62B22</t>
  </si>
  <si>
    <t>62B23</t>
  </si>
  <si>
    <t>62B24</t>
  </si>
  <si>
    <t>62B25</t>
  </si>
  <si>
    <t>4A27</t>
  </si>
  <si>
    <t>4A28</t>
  </si>
  <si>
    <t>4A29</t>
  </si>
  <si>
    <t>4A30</t>
  </si>
  <si>
    <t>66A27</t>
  </si>
  <si>
    <t>66A28</t>
  </si>
  <si>
    <t>66A29</t>
  </si>
  <si>
    <t>66A30</t>
  </si>
  <si>
    <t>66C27</t>
  </si>
  <si>
    <t>66C28</t>
  </si>
  <si>
    <t>66C29</t>
  </si>
  <si>
    <t>66C30</t>
  </si>
  <si>
    <t>66B22</t>
  </si>
  <si>
    <t>66B23</t>
  </si>
  <si>
    <t>66B24</t>
  </si>
  <si>
    <t>66B25</t>
  </si>
  <si>
    <t>14A22</t>
  </si>
  <si>
    <t>14A23</t>
  </si>
  <si>
    <t>14A24</t>
  </si>
  <si>
    <t>14A25</t>
  </si>
  <si>
    <t>14B22</t>
  </si>
  <si>
    <t>14B23</t>
  </si>
  <si>
    <t>14B24</t>
  </si>
  <si>
    <t>14B25</t>
  </si>
  <si>
    <t># Last revised 23/10/2018</t>
  </si>
  <si>
    <t># Removed incorrect values highlight in red</t>
  </si>
  <si>
    <t>4D22</t>
  </si>
  <si>
    <t>4D23</t>
  </si>
  <si>
    <t>4D24</t>
  </si>
  <si>
    <t>4D25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</si>
</sst>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"/>
    <numFmt numFmtId="166" formatCode="0.00000E+00"/>
    <numFmt numFmtId="167" formatCode="[$-1009]d/mmm/yy;@"/>
    <numFmt numFmtId="168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Calibri"/>
      <family val="2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0" borderId="0"/>
    <xf numFmtId="0" fontId="3" fillId="0" borderId="0"/>
    <xf numFmtId="0" fontId="13" fillId="5" borderId="0" applyNumberFormat="0" applyBorder="0" applyAlignment="0" applyProtection="0"/>
  </cellStyleXfs>
  <cellXfs count="85">
    <xf numFmtId="0" fontId="0" fillId="0" borderId="0" xfId="0"/>
    <xf numFmtId="0" fontId="4" fillId="0" borderId="0" xfId="3"/>
    <xf numFmtId="0" fontId="0" fillId="3" borderId="1" xfId="0" applyFill="1" applyBorder="1"/>
    <xf numFmtId="0" fontId="0" fillId="3" borderId="4" xfId="0" applyFill="1" applyBorder="1"/>
    <xf numFmtId="0" fontId="2" fillId="3" borderId="3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7" fillId="0" borderId="0" xfId="1" applyFont="1" applyFill="1"/>
    <xf numFmtId="164" fontId="7" fillId="0" borderId="0" xfId="1" applyNumberFormat="1" applyFont="1" applyFill="1"/>
    <xf numFmtId="0" fontId="2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3" borderId="9" xfId="0" applyFill="1" applyBorder="1"/>
    <xf numFmtId="0" fontId="2" fillId="3" borderId="10" xfId="0" applyFont="1" applyFill="1" applyBorder="1" applyAlignment="1">
      <alignment wrapText="1"/>
    </xf>
    <xf numFmtId="0" fontId="0" fillId="3" borderId="10" xfId="0" applyFill="1" applyBorder="1"/>
    <xf numFmtId="0" fontId="7" fillId="0" borderId="0" xfId="0" applyFont="1"/>
    <xf numFmtId="0" fontId="8" fillId="0" borderId="0" xfId="0" applyFont="1"/>
    <xf numFmtId="0" fontId="0" fillId="3" borderId="11" xfId="0" applyFill="1" applyBorder="1"/>
    <xf numFmtId="0" fontId="3" fillId="0" borderId="0" xfId="4"/>
    <xf numFmtId="0" fontId="11" fillId="0" borderId="0" xfId="0" applyFont="1" applyFill="1" applyAlignment="1">
      <alignment horizontal="center"/>
    </xf>
    <xf numFmtId="165" fontId="0" fillId="0" borderId="0" xfId="0" applyNumberFormat="1"/>
    <xf numFmtId="0" fontId="0" fillId="3" borderId="12" xfId="0" applyFill="1" applyBorder="1"/>
    <xf numFmtId="0" fontId="0" fillId="3" borderId="13" xfId="0" applyFill="1" applyBorder="1"/>
    <xf numFmtId="0" fontId="2" fillId="3" borderId="14" xfId="0" applyFont="1" applyFill="1" applyBorder="1" applyAlignment="1">
      <alignment wrapText="1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2" fillId="3" borderId="19" xfId="0" applyFont="1" applyFill="1" applyBorder="1" applyAlignment="1">
      <alignment wrapText="1"/>
    </xf>
    <xf numFmtId="0" fontId="2" fillId="3" borderId="20" xfId="0" applyFont="1" applyFill="1" applyBorder="1" applyAlignment="1">
      <alignment wrapText="1"/>
    </xf>
    <xf numFmtId="0" fontId="2" fillId="3" borderId="21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3" borderId="23" xfId="0" applyFont="1" applyFill="1" applyBorder="1" applyAlignment="1">
      <alignment wrapText="1"/>
    </xf>
    <xf numFmtId="0" fontId="11" fillId="0" borderId="22" xfId="0" applyFont="1" applyFill="1" applyBorder="1"/>
    <xf numFmtId="0" fontId="3" fillId="0" borderId="22" xfId="0" applyFont="1" applyFill="1" applyBorder="1"/>
    <xf numFmtId="165" fontId="3" fillId="0" borderId="22" xfId="0" applyNumberFormat="1" applyFont="1" applyFill="1" applyBorder="1"/>
    <xf numFmtId="2" fontId="10" fillId="0" borderId="22" xfId="0" applyNumberFormat="1" applyFont="1" applyFill="1" applyBorder="1"/>
    <xf numFmtId="166" fontId="0" fillId="0" borderId="0" xfId="0" applyNumberFormat="1"/>
    <xf numFmtId="0" fontId="2" fillId="4" borderId="6" xfId="0" applyFont="1" applyFill="1" applyBorder="1" applyAlignment="1">
      <alignment wrapText="1"/>
    </xf>
    <xf numFmtId="0" fontId="0" fillId="4" borderId="0" xfId="0" applyFill="1"/>
    <xf numFmtId="0" fontId="2" fillId="4" borderId="22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0" fillId="0" borderId="0" xfId="0" applyFill="1"/>
    <xf numFmtId="0" fontId="2" fillId="3" borderId="22" xfId="0" applyFont="1" applyFill="1" applyBorder="1" applyAlignment="1">
      <alignment wrapText="1"/>
    </xf>
    <xf numFmtId="0" fontId="0" fillId="3" borderId="0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2" fillId="0" borderId="22" xfId="0" applyFont="1" applyFill="1" applyBorder="1" applyAlignment="1">
      <alignment wrapText="1"/>
    </xf>
    <xf numFmtId="0" fontId="0" fillId="6" borderId="0" xfId="0" applyFill="1"/>
    <xf numFmtId="0" fontId="13" fillId="5" borderId="0" xfId="5"/>
    <xf numFmtId="0" fontId="0" fillId="0" borderId="0" xfId="0" applyNumberFormat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13" fillId="5" borderId="0" xfId="5" applyAlignment="1">
      <alignment horizontal="lef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13" fillId="5" borderId="0" xfId="5" applyAlignment="1">
      <alignment horizontal="right"/>
    </xf>
    <xf numFmtId="167" fontId="0" fillId="0" borderId="0" xfId="0" applyNumberFormat="1"/>
    <xf numFmtId="167" fontId="13" fillId="5" borderId="0" xfId="5" applyNumberFormat="1"/>
    <xf numFmtId="0" fontId="0" fillId="0" borderId="0" xfId="0" applyFill="1" applyAlignment="1">
      <alignment horizontal="left"/>
    </xf>
    <xf numFmtId="168" fontId="0" fillId="0" borderId="0" xfId="0" applyNumberFormat="1"/>
    <xf numFmtId="15" fontId="0" fillId="0" borderId="0" xfId="0" applyNumberFormat="1"/>
    <xf numFmtId="2" fontId="0" fillId="0" borderId="0" xfId="0" applyNumberFormat="1"/>
    <xf numFmtId="49" fontId="0" fillId="0" borderId="0" xfId="0" applyNumberFormat="1"/>
    <xf numFmtId="0" fontId="7" fillId="0" borderId="0" xfId="0" applyNumberFormat="1" applyFont="1" applyFill="1"/>
    <xf numFmtId="167" fontId="7" fillId="0" borderId="0" xfId="0" applyNumberFormat="1" applyFont="1" applyFill="1"/>
    <xf numFmtId="0" fontId="7" fillId="0" borderId="0" xfId="5" applyNumberFormat="1" applyFont="1" applyFill="1"/>
    <xf numFmtId="167" fontId="7" fillId="0" borderId="0" xfId="5" applyNumberFormat="1" applyFont="1" applyFill="1"/>
    <xf numFmtId="2" fontId="7" fillId="0" borderId="0" xfId="0" applyNumberFormat="1" applyFont="1" applyFill="1"/>
    <xf numFmtId="49" fontId="7" fillId="0" borderId="0" xfId="0" applyNumberFormat="1" applyFont="1" applyFill="1"/>
    <xf numFmtId="2" fontId="7" fillId="0" borderId="0" xfId="5" applyNumberFormat="1" applyFont="1" applyFill="1"/>
    <xf numFmtId="49" fontId="7" fillId="0" borderId="0" xfId="5" applyNumberFormat="1" applyFont="1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49" fontId="0" fillId="0" borderId="0" xfId="0" applyNumberFormat="1" applyFill="1"/>
    <xf numFmtId="167" fontId="0" fillId="0" borderId="0" xfId="0" applyNumberFormat="1" applyFill="1"/>
    <xf numFmtId="0" fontId="0" fillId="0" borderId="0" xfId="0" applyAlignment="1">
      <alignment horizontal="left" wrapText="1"/>
    </xf>
    <xf numFmtId="0" fontId="7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7" fillId="0" borderId="0" xfId="0" applyFont="1" applyFill="1" applyAlignment="1">
      <alignment horizontal="left"/>
    </xf>
    <xf numFmtId="15" fontId="7" fillId="3" borderId="0" xfId="0" applyNumberFormat="1" applyFont="1" applyFill="1"/>
    <xf numFmtId="15" fontId="0" fillId="3" borderId="0" xfId="0" applyNumberFormat="1" applyFill="1"/>
    <xf numFmtId="15" fontId="7" fillId="0" borderId="0" xfId="0" applyNumberFormat="1" applyFont="1" applyFill="1"/>
    <xf numFmtId="0" fontId="7" fillId="3" borderId="0" xfId="0" applyFont="1" applyFill="1"/>
    <xf numFmtId="0" fontId="7" fillId="0" borderId="0" xfId="0" applyFont="1" applyFill="1"/>
  </cellXfs>
  <cellStyles count="6">
    <cellStyle name="Bad" xfId="5" builtinId="27"/>
    <cellStyle name="Good" xfId="1" builtinId="26"/>
    <cellStyle name="Normal" xfId="0" builtinId="0"/>
    <cellStyle name="Normal 2" xfId="3" xr:uid="{00000000-0005-0000-0000-000003000000}"/>
    <cellStyle name="Normal 2 2" xfId="2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353"/>
  <sheetViews>
    <sheetView tabSelected="1" topLeftCell="BI1" zoomScaleNormal="100" workbookViewId="0">
      <pane ySplit="1" topLeftCell="A2" activePane="bottomLeft" state="frozen"/>
      <selection activeCell="W1" sqref="W1"/>
      <selection pane="bottomLeft" activeCell="AD14" sqref="AD14"/>
    </sheetView>
  </sheetViews>
  <sheetFormatPr defaultRowHeight="15" x14ac:dyDescent="0.25"/>
  <cols>
    <col min="2" max="2" width="5.28515625" customWidth="1"/>
    <col min="3" max="3" width="7.42578125" customWidth="1"/>
    <col min="4" max="4" width="12.85546875" customWidth="1"/>
    <col min="5" max="5" width="9" customWidth="1"/>
    <col min="6" max="7" width="9.42578125" style="2" bestFit="1" customWidth="1"/>
    <col min="8" max="8" width="9.42578125" bestFit="1" customWidth="1"/>
    <col min="9" max="9" width="9.42578125" style="2" bestFit="1" customWidth="1"/>
    <col min="10" max="10" width="13.28515625" bestFit="1" customWidth="1"/>
    <col min="11" max="13" width="9.42578125" style="14" customWidth="1"/>
    <col min="14" max="14" width="9.28515625" style="22"/>
    <col min="15" max="15" width="9.28515625" style="2"/>
    <col min="16" max="16" width="9.28515625" style="24"/>
    <col min="17" max="18" width="9.28515625" style="14"/>
    <col min="19" max="19" width="13" bestFit="1" customWidth="1"/>
    <col min="21" max="22" width="12.7109375" bestFit="1" customWidth="1"/>
    <col min="23" max="23" width="12.7109375" customWidth="1"/>
    <col min="26" max="26" width="13" bestFit="1" customWidth="1"/>
    <col min="27" max="27" width="11.7109375" bestFit="1" customWidth="1"/>
    <col min="28" max="29" width="13" bestFit="1" customWidth="1"/>
    <col min="30" max="30" width="10.28515625" style="39" customWidth="1"/>
    <col min="31" max="31" width="10.5703125" style="39" customWidth="1"/>
    <col min="32" max="32" width="10" style="39" customWidth="1"/>
    <col min="33" max="33" width="9.7109375" style="39" customWidth="1"/>
    <col min="34" max="34" width="9.28515625" style="42"/>
    <col min="35" max="35" width="13" bestFit="1" customWidth="1"/>
    <col min="36" max="36" width="13" style="37" bestFit="1" customWidth="1"/>
    <col min="37" max="37" width="13" style="37" customWidth="1"/>
    <col min="38" max="38" width="13" bestFit="1" customWidth="1"/>
    <col min="39" max="42" width="9.28515625" style="39"/>
    <col min="43" max="44" width="13" bestFit="1" customWidth="1"/>
    <col min="45" max="45" width="11.7109375" bestFit="1" customWidth="1"/>
    <col min="46" max="46" width="13" bestFit="1" customWidth="1"/>
    <col min="47" max="50" width="9.28515625" style="39"/>
    <col min="51" max="51" width="9.28515625" style="12"/>
    <col min="53" max="57" width="9.28515625" style="2"/>
    <col min="58" max="58" width="9.28515625" style="44"/>
    <col min="62" max="62" width="9.28515625" style="14"/>
    <col min="63" max="63" width="9.28515625" style="44"/>
    <col min="70" max="72" width="9.28515625" style="39"/>
    <col min="77" max="79" width="9.28515625" style="39"/>
    <col min="80" max="93" width="9.28515625" style="42"/>
    <col min="94" max="94" width="9.28515625" style="17"/>
    <col min="97" max="98" width="8.7109375"/>
    <col min="99" max="99" width="13.42578125" bestFit="1" customWidth="1"/>
    <col min="100" max="101" width="8.7109375"/>
    <col min="102" max="102" width="13.42578125" bestFit="1" customWidth="1"/>
    <col min="103" max="103" width="8.7109375" style="15"/>
    <col min="104" max="104" width="8.7109375"/>
    <col min="105" max="105" width="8.7109375" style="15" customWidth="1"/>
    <col min="106" max="106" width="9.28515625" customWidth="1"/>
    <col min="107" max="107" width="8.7109375"/>
    <col min="108" max="108" width="13" style="20" bestFit="1" customWidth="1"/>
    <col min="109" max="111" width="8.7109375"/>
    <col min="112" max="112" width="13" bestFit="1" customWidth="1"/>
    <col min="113" max="113" width="8.7109375" style="16"/>
  </cols>
  <sheetData>
    <row r="1" spans="1:146" s="6" customFormat="1" ht="60.75" x14ac:dyDescent="0.3">
      <c r="A1" s="10" t="s">
        <v>59</v>
      </c>
      <c r="B1" s="6" t="s">
        <v>121</v>
      </c>
      <c r="C1" s="6" t="s">
        <v>5</v>
      </c>
      <c r="D1" s="6" t="s">
        <v>346</v>
      </c>
      <c r="E1" s="6" t="s">
        <v>122</v>
      </c>
      <c r="F1" s="4" t="s">
        <v>0</v>
      </c>
      <c r="G1" s="5" t="s">
        <v>1</v>
      </c>
      <c r="H1" s="6" t="s">
        <v>2</v>
      </c>
      <c r="I1" s="7" t="s">
        <v>3</v>
      </c>
      <c r="J1" s="6" t="s">
        <v>4</v>
      </c>
      <c r="K1" s="28" t="s">
        <v>52</v>
      </c>
      <c r="L1" s="28" t="s">
        <v>53</v>
      </c>
      <c r="M1" s="28" t="s">
        <v>54</v>
      </c>
      <c r="N1" s="5" t="s">
        <v>6</v>
      </c>
      <c r="O1" s="7" t="s">
        <v>7</v>
      </c>
      <c r="P1" s="23" t="s">
        <v>8</v>
      </c>
      <c r="Q1" s="13" t="s">
        <v>55</v>
      </c>
      <c r="R1" s="28" t="s">
        <v>56</v>
      </c>
      <c r="S1" s="6" t="s">
        <v>9</v>
      </c>
      <c r="T1" s="6" t="s">
        <v>12</v>
      </c>
      <c r="U1" s="6" t="s">
        <v>62</v>
      </c>
      <c r="V1" s="6" t="s">
        <v>13</v>
      </c>
      <c r="W1" s="6" t="s">
        <v>67</v>
      </c>
      <c r="X1" s="6" t="s">
        <v>10</v>
      </c>
      <c r="Y1" s="6" t="s">
        <v>11</v>
      </c>
      <c r="Z1" s="6" t="s">
        <v>68</v>
      </c>
      <c r="AA1" s="6" t="s">
        <v>69</v>
      </c>
      <c r="AB1" s="6" t="s">
        <v>70</v>
      </c>
      <c r="AC1" s="6" t="s">
        <v>71</v>
      </c>
      <c r="AD1" s="38" t="s">
        <v>57</v>
      </c>
      <c r="AE1" s="38" t="s">
        <v>84</v>
      </c>
      <c r="AF1" s="38" t="s">
        <v>72</v>
      </c>
      <c r="AG1" s="38" t="s">
        <v>120</v>
      </c>
      <c r="AH1" s="41" t="s">
        <v>14</v>
      </c>
      <c r="AI1" s="6" t="s">
        <v>73</v>
      </c>
      <c r="AJ1" s="6" t="s">
        <v>74</v>
      </c>
      <c r="AK1" s="6" t="s">
        <v>76</v>
      </c>
      <c r="AL1" s="6" t="s">
        <v>75</v>
      </c>
      <c r="AM1" s="38" t="s">
        <v>104</v>
      </c>
      <c r="AN1" s="38" t="s">
        <v>83</v>
      </c>
      <c r="AO1" s="38" t="s">
        <v>77</v>
      </c>
      <c r="AP1" s="38" t="s">
        <v>118</v>
      </c>
      <c r="AQ1" s="6" t="s">
        <v>78</v>
      </c>
      <c r="AR1" s="6" t="s">
        <v>79</v>
      </c>
      <c r="AS1" s="6" t="s">
        <v>80</v>
      </c>
      <c r="AT1" s="6" t="s">
        <v>81</v>
      </c>
      <c r="AU1" s="38" t="s">
        <v>105</v>
      </c>
      <c r="AV1" s="38" t="s">
        <v>15</v>
      </c>
      <c r="AW1" s="40" t="s">
        <v>82</v>
      </c>
      <c r="AX1" s="40" t="s">
        <v>119</v>
      </c>
      <c r="AY1" s="29" t="s">
        <v>16</v>
      </c>
      <c r="AZ1" s="6" t="s">
        <v>17</v>
      </c>
      <c r="BA1" s="30" t="s">
        <v>18</v>
      </c>
      <c r="BB1" s="30" t="s">
        <v>92</v>
      </c>
      <c r="BC1" s="30" t="s">
        <v>19</v>
      </c>
      <c r="BD1" s="30" t="s">
        <v>93</v>
      </c>
      <c r="BE1" s="30" t="s">
        <v>91</v>
      </c>
      <c r="BF1" s="43" t="s">
        <v>94</v>
      </c>
      <c r="BG1" s="6" t="s">
        <v>20</v>
      </c>
      <c r="BH1" s="6" t="s">
        <v>21</v>
      </c>
      <c r="BI1" s="6" t="s">
        <v>22</v>
      </c>
      <c r="BJ1" s="28" t="s">
        <v>23</v>
      </c>
      <c r="BK1" s="43" t="s">
        <v>106</v>
      </c>
      <c r="BL1" s="6" t="s">
        <v>24</v>
      </c>
      <c r="BM1" s="6" t="s">
        <v>95</v>
      </c>
      <c r="BN1" s="6" t="s">
        <v>25</v>
      </c>
      <c r="BO1" s="6" t="s">
        <v>26</v>
      </c>
      <c r="BP1" s="6" t="s">
        <v>27</v>
      </c>
      <c r="BQ1" s="6" t="s">
        <v>28</v>
      </c>
      <c r="BR1" s="40" t="s">
        <v>49</v>
      </c>
      <c r="BS1" s="40" t="s">
        <v>50</v>
      </c>
      <c r="BT1" s="40" t="s">
        <v>51</v>
      </c>
      <c r="BU1" s="6" t="s">
        <v>96</v>
      </c>
      <c r="BV1" s="6" t="s">
        <v>26</v>
      </c>
      <c r="BW1" s="6" t="s">
        <v>27</v>
      </c>
      <c r="BX1" s="6" t="s">
        <v>28</v>
      </c>
      <c r="BY1" s="40" t="s">
        <v>98</v>
      </c>
      <c r="BZ1" s="40" t="s">
        <v>99</v>
      </c>
      <c r="CA1" s="40" t="s">
        <v>100</v>
      </c>
      <c r="CB1" s="47" t="s">
        <v>97</v>
      </c>
      <c r="CC1" s="6" t="s">
        <v>26</v>
      </c>
      <c r="CD1" s="6" t="s">
        <v>27</v>
      </c>
      <c r="CE1" s="6" t="s">
        <v>28</v>
      </c>
      <c r="CF1" s="40" t="s">
        <v>101</v>
      </c>
      <c r="CG1" s="40" t="s">
        <v>102</v>
      </c>
      <c r="CH1" s="40" t="s">
        <v>103</v>
      </c>
      <c r="CI1" s="47" t="s">
        <v>123</v>
      </c>
      <c r="CJ1" s="6" t="s">
        <v>26</v>
      </c>
      <c r="CK1" s="6" t="s">
        <v>27</v>
      </c>
      <c r="CL1" s="6" t="s">
        <v>28</v>
      </c>
      <c r="CM1" s="40" t="s">
        <v>112</v>
      </c>
      <c r="CN1" s="40" t="s">
        <v>113</v>
      </c>
      <c r="CO1" s="40" t="s">
        <v>114</v>
      </c>
      <c r="CP1" s="32" t="s">
        <v>43</v>
      </c>
      <c r="CQ1" s="31" t="s">
        <v>42</v>
      </c>
      <c r="CR1" s="31" t="s">
        <v>48</v>
      </c>
      <c r="CS1" s="33" t="s">
        <v>44</v>
      </c>
      <c r="CT1" s="33" t="s">
        <v>45</v>
      </c>
      <c r="CU1" s="33" t="s">
        <v>35</v>
      </c>
      <c r="CV1" s="33" t="s">
        <v>46</v>
      </c>
      <c r="CW1" s="33" t="s">
        <v>47</v>
      </c>
      <c r="CX1" s="33" t="s">
        <v>36</v>
      </c>
      <c r="CY1" s="34" t="s">
        <v>29</v>
      </c>
      <c r="CZ1" s="34" t="s">
        <v>30</v>
      </c>
      <c r="DA1" s="34" t="s">
        <v>31</v>
      </c>
      <c r="DB1" s="34" t="s">
        <v>32</v>
      </c>
      <c r="DC1" s="34" t="s">
        <v>33</v>
      </c>
      <c r="DD1" s="35" t="s">
        <v>34</v>
      </c>
      <c r="DE1" s="34" t="s">
        <v>37</v>
      </c>
      <c r="DF1" s="34" t="s">
        <v>38</v>
      </c>
      <c r="DG1" s="34" t="s">
        <v>39</v>
      </c>
      <c r="DH1" s="34" t="s">
        <v>40</v>
      </c>
      <c r="DI1" s="36" t="s">
        <v>41</v>
      </c>
      <c r="DJ1" s="6" t="s">
        <v>108</v>
      </c>
      <c r="DK1" s="6" t="s">
        <v>109</v>
      </c>
      <c r="DL1" s="6" t="s">
        <v>110</v>
      </c>
      <c r="DM1" s="6" t="s">
        <v>111</v>
      </c>
      <c r="EP1" s="11"/>
    </row>
    <row r="2" spans="1:146" ht="15.75" x14ac:dyDescent="0.25">
      <c r="A2" s="51" t="s">
        <v>322</v>
      </c>
      <c r="B2" s="54" t="s">
        <v>339</v>
      </c>
      <c r="C2" s="48" t="s">
        <v>128</v>
      </c>
      <c r="D2" s="57">
        <v>43221</v>
      </c>
      <c r="E2" s="42" t="str">
        <f>A2&amp;D2</f>
        <v>32A43221</v>
      </c>
      <c r="F2" s="3">
        <f>VLOOKUP($E2,Water!$C$2:$E$90, 2, FALSE)</f>
        <v>11.6</v>
      </c>
      <c r="G2" s="3">
        <f>VLOOKUP($E2,Water!$C$2:$E$90, 3, FALSE)</f>
        <v>0.71</v>
      </c>
      <c r="H2" s="1">
        <f>F2+273.15</f>
        <v>284.75</v>
      </c>
      <c r="I2" s="3">
        <f>VLOOKUP($E2,Water!$C$2:$F$90, 4, FALSE)</f>
        <v>8.01</v>
      </c>
      <c r="J2">
        <f>10^(I2*-1)</f>
        <v>9.7723722095580911E-9</v>
      </c>
      <c r="K2" s="25">
        <f>VLOOKUP($E2,Atm!$D$2:$G$45, 2, FALSE)</f>
        <v>416.71157764018687</v>
      </c>
      <c r="L2" s="25">
        <f>VLOOKUP($E2,Atm!$D$2:$G$45, 3, FALSE)</f>
        <v>2.121522248100145</v>
      </c>
      <c r="M2" s="25">
        <f>VLOOKUP($E2,Atm!$D$2:$G$45, 4, FALSE)</f>
        <v>0.32618413930397455</v>
      </c>
      <c r="N2" s="21">
        <f>VLOOKUP($C2,Raw!$B$2:$F$353, 3, FALSE)</f>
        <v>1829.8430000000001</v>
      </c>
      <c r="O2" s="21">
        <f>VLOOKUP($C2,Raw!$B$2:$F$353, 4, FALSE)</f>
        <v>153.137</v>
      </c>
      <c r="P2" s="21">
        <f>VLOOKUP($C2,Raw!$B$2:$F$353, 5, FALSE)</f>
        <v>0.38400000000000001</v>
      </c>
      <c r="Q2" s="14">
        <v>60</v>
      </c>
      <c r="R2" s="25">
        <v>1140</v>
      </c>
      <c r="S2">
        <f>EXP(24.4543-(100/H2*(67.4509))-(4.8489*LN(H2/100))-(0.000544*G2))</f>
        <v>1.3461288682359919E-2</v>
      </c>
      <c r="T2" s="8">
        <f>EXP(-58.0931+90.5069*(100/H2)+22.294*LN(H2/100)+G2*(0.027766-0.025888*(H2/100)+0.0050578*(H2/100)^2))</f>
        <v>5.0663262247960153E-2</v>
      </c>
      <c r="U2" s="9">
        <f>(EXP(-67.1962+99.1624*(100/H2)+27.9015*LN(H2/100)+G2*(-0.072909+0.041674*(H2/100)-0.0064603*(H2/100)^2)))</f>
        <v>4.1617037379307234E-2</v>
      </c>
      <c r="V2" s="9">
        <f>(EXP(-64.8539+100.252*(100/H2)+25.2049*LN(H2/100)+(-0.062544+0.035337*(H2/100)-0.0054699*(H2/100)^2)*G2))</f>
        <v>3.7783641178152562E-2</v>
      </c>
      <c r="W2" s="9">
        <f>(EXP(-68.8862+101.4956*(100/H2)+28.7314*LN(H2/100)+G2*(-0.076146+0.04397*(H2/100)-0.0068672*(H2/100)^2)))</f>
        <v>4.152675575651503E-2</v>
      </c>
      <c r="X2">
        <f>N2*(AZ2-S2)</f>
        <v>1672.0658000020258</v>
      </c>
      <c r="Y2">
        <f>O2*(AZ2-S2)</f>
        <v>139.93284692452315</v>
      </c>
      <c r="Z2">
        <f>((Y2/10^6)*AZ2)/(0.082056*H2)</f>
        <v>5.5531099679883719E-6</v>
      </c>
      <c r="AA2">
        <f>(((L2/10^6)*AZ2)/(0.082056*H2))</f>
        <v>8.4190714347350236E-8</v>
      </c>
      <c r="AB2">
        <f>((Y2/10^6)*U2*1)/(0.082056*H2)</f>
        <v>2.4923943335174328E-7</v>
      </c>
      <c r="AC2">
        <f>(Z2*(Q2/1000))+(AB2*(R2/1000))</f>
        <v>6.1731955210028964E-7</v>
      </c>
      <c r="AD2" s="39">
        <f>((AC2-(AA2*(Q2/1000)))/(R2/1000))*1000000</f>
        <v>0.53707728880653383</v>
      </c>
      <c r="AE2" s="39">
        <f>(AD2/((U2*AZ2*1))*(0.0821*273.15))</f>
        <v>312.1183555603115</v>
      </c>
      <c r="AF2" s="39">
        <f>L2*U2*AZ2*1/(0.0821*273.15)</f>
        <v>3.650606883106543E-3</v>
      </c>
      <c r="AG2" s="39">
        <f>AD2-AF2</f>
        <v>0.53342668192342724</v>
      </c>
      <c r="AH2" s="42">
        <f>P2*(AZ2-S2)</f>
        <v>0.35088981251439488</v>
      </c>
      <c r="AI2">
        <f>(((X2/10^6)*(Q2/1000))/(0.082056*H2))</f>
        <v>4.2936885518950306E-6</v>
      </c>
      <c r="AJ2">
        <f>(((K2/10^6)*AZ2)*(Q2/1000))/(0.082056*H2)</f>
        <v>9.9220959185574041E-7</v>
      </c>
      <c r="AK2">
        <f>(X2/10^6)*T2*(R2/1000)</f>
        <v>9.6572031258336614E-5</v>
      </c>
      <c r="AL2">
        <f>AI2+AK2</f>
        <v>1.0086571981023165E-4</v>
      </c>
      <c r="AM2" s="39">
        <f>((AL2-AJ2)/(R2/1000))*1000000</f>
        <v>87.608342296820979</v>
      </c>
      <c r="AN2" s="39">
        <f>AM2/(T2*AZ2)</f>
        <v>1864.9261241738484</v>
      </c>
      <c r="AO2" s="39">
        <f>(K2*AZ2)*T2</f>
        <v>19.575794483077637</v>
      </c>
      <c r="AP2" s="39">
        <f>AM2-AO2</f>
        <v>68.032547813743349</v>
      </c>
      <c r="AQ2">
        <f>(((AH2/10^6)*(Q2/1000))/(0.082056*H2))</f>
        <v>9.0104801555526448E-10</v>
      </c>
      <c r="AR2">
        <f>(((M2/10^6)*AZ2)*(Q2/1000))/(0.082056*H2)</f>
        <v>7.7665956285972177E-10</v>
      </c>
      <c r="AS2">
        <f>(AH2/10^6)*V2*(R2/1000)</f>
        <v>1.5114000036788959E-8</v>
      </c>
      <c r="AT2">
        <f>AQ2+AS2</f>
        <v>1.6015048052344224E-8</v>
      </c>
      <c r="AU2" s="39">
        <f>((AT2-AR2)/(R2/1000))*1000000000</f>
        <v>13.367007446916233</v>
      </c>
      <c r="AV2" s="39">
        <f>(AU2/1000)/(V2*AZ2)</f>
        <v>0.38153967249988313</v>
      </c>
      <c r="AW2" s="39">
        <f>(M2*AZ2)*V2*1000</f>
        <v>11.427660433250294</v>
      </c>
      <c r="AX2" s="39">
        <f>AU2-AW2</f>
        <v>1.9393470136659392</v>
      </c>
      <c r="AY2" s="26">
        <f>VLOOKUP($E2,Water!$C$2:$G$90, 5, FALSE)</f>
        <v>704.7</v>
      </c>
      <c r="AZ2">
        <f>AY2/760</f>
        <v>0.92723684210526325</v>
      </c>
      <c r="BA2" s="3">
        <f>Assumptions!$B$3</f>
        <v>406.07</v>
      </c>
      <c r="BB2" s="3">
        <f>BA2*AZ2*T2</f>
        <v>19.075886757835875</v>
      </c>
      <c r="BC2" s="3">
        <f>Assumptions!$B$4</f>
        <v>1.8474300000000001</v>
      </c>
      <c r="BD2" s="45">
        <f>BC2*AZ2*U2*1/(0.0821*273.15)</f>
        <v>3.1789629734484707E-3</v>
      </c>
      <c r="BE2" s="3">
        <f>Assumptions!$B$2</f>
        <v>0.33054499999999998</v>
      </c>
      <c r="BF2" s="44">
        <f>BE2*AZ2*V2*1000</f>
        <v>11.580440502009079</v>
      </c>
      <c r="BG2">
        <f>1923.6+(-125.06*F2)+(4.3773*(F2^2))+(-0.085681*(F2^3))+(0.00070284*(F2^4))</f>
        <v>940.90025550182418</v>
      </c>
      <c r="BH2">
        <f>1909.4+(-120.78*F2)+(4.1555*(F2^2))+(-0.080578*(F2^3))+(0.00065777*(F2^4))</f>
        <v>953.65204463027203</v>
      </c>
      <c r="BI2">
        <f>2141.2+(-152.56*F2)+(5.8963*(F2^2))+(-0.12411*(F2^3))+(0.0010655*(F2^4))</f>
        <v>990.4796878208</v>
      </c>
      <c r="BJ2" s="25">
        <f>VLOOKUP(E2,Wind!$C$2:$E$109,3, FALSE)</f>
        <v>0</v>
      </c>
      <c r="BK2" s="44">
        <v>1.66</v>
      </c>
      <c r="BL2">
        <f>BK2/(1-(((1.3*10^-3)^0.5)/0.41)*LN(10/1.5))</f>
        <v>1.9923982880693825</v>
      </c>
      <c r="BM2">
        <f>BK2*1.22</f>
        <v>2.0251999999999999</v>
      </c>
      <c r="BN2">
        <f>2.07+0.215*(BM2^1.7)*(24/100)</f>
        <v>2.241255750541113</v>
      </c>
      <c r="BO2">
        <f>BN2*((600/BG2)^0.67)</f>
        <v>1.657977191320124</v>
      </c>
      <c r="BP2">
        <f>BN2*((600/BH2)^0.67)</f>
        <v>1.6430905277272934</v>
      </c>
      <c r="BQ2">
        <f>BN2*((600/BI2)^0.67)</f>
        <v>1.6019030203734419</v>
      </c>
      <c r="BR2" s="39">
        <f>BO2*(AM2-BB2)</f>
        <v>113.62524814879779</v>
      </c>
      <c r="BS2" s="39">
        <f>BP2*(AD2-BD2)</f>
        <v>0.8772432819458027</v>
      </c>
      <c r="BT2" s="39">
        <f>BQ2*(AU2-BF2)</f>
        <v>2.8619069851461223</v>
      </c>
      <c r="BU2">
        <f>(2.51+1.48*BM2)+(0.39*BM2*LOG10(0.0015))</f>
        <v>3.2768938069574309</v>
      </c>
      <c r="BV2">
        <f>BU2*((600/$BG2)^0.67)</f>
        <v>2.4240942556430167</v>
      </c>
      <c r="BW2">
        <f>BU2*((600/$BH2)^0.67)</f>
        <v>2.4023287718414346</v>
      </c>
      <c r="BX2">
        <f>BU2*((600/$BI2)^0.67)</f>
        <v>2.3421093668318704</v>
      </c>
      <c r="BY2" s="39">
        <f>BV2*($AM2-$BB2)</f>
        <v>166.12913179716423</v>
      </c>
      <c r="BZ2" s="39">
        <f>BW2*($AD2-$BD2)</f>
        <v>1.282599309386794</v>
      </c>
      <c r="CA2" s="39">
        <f>BX2*($AU2-$BF2)</f>
        <v>4.1843351761392436</v>
      </c>
      <c r="CB2" s="42">
        <f>AVERAGE(0.72,0.69,0.4,0.22)</f>
        <v>0.50750000000000006</v>
      </c>
      <c r="CC2">
        <f>CB2*((600/$BG2)^0.67)</f>
        <v>0.3754249930610622</v>
      </c>
      <c r="CD2">
        <f>CB2*((600/$BH2)^0.67)</f>
        <v>0.37205412306037727</v>
      </c>
      <c r="CE2">
        <f>CB2*((600/$BI2)^0.67)</f>
        <v>0.36272780678565808</v>
      </c>
      <c r="CF2" s="39">
        <f>CC2*($AM2-$BB2)</f>
        <v>25.728796645181035</v>
      </c>
      <c r="CG2" s="39">
        <f>CD2*($AD2-$BD2)</f>
        <v>0.19863907342123216</v>
      </c>
      <c r="CH2" s="39">
        <f>CE2*($AU2-$BF2)</f>
        <v>0.64803750960192563</v>
      </c>
      <c r="CI2">
        <v>0.86263901889527161</v>
      </c>
      <c r="CJ2">
        <f>((BG2/BH2)^0.67)*CI2</f>
        <v>0.85489354631363834</v>
      </c>
      <c r="CK2">
        <f>((BH2/BH2)^0.67)*CI2</f>
        <v>0.86263901889527161</v>
      </c>
      <c r="CL2">
        <f>((BI2/BH2)^0.67)*CI2</f>
        <v>0.88481885780099101</v>
      </c>
      <c r="CM2" s="39">
        <f>CJ2*($AM2-$BB2)</f>
        <v>58.587953953304719</v>
      </c>
      <c r="CN2" s="39">
        <f>CK2*($AD2-$BD2)</f>
        <v>0.46056152798648081</v>
      </c>
      <c r="CO2" s="39">
        <f>CL2*($AU2-$BF2)</f>
        <v>1.5807881235777539</v>
      </c>
      <c r="CP2" s="27">
        <f>VLOOKUP(A2,Water!$A$2:$E$109, 5, FALSE)/1000</f>
        <v>7.0999999999999991E-4</v>
      </c>
      <c r="CQ2">
        <f>0.64*CP2</f>
        <v>4.5439999999999993E-4</v>
      </c>
      <c r="CR2" s="19">
        <f>CQ2*1000*(2.5*10^-5)</f>
        <v>1.1359999999999998E-5</v>
      </c>
      <c r="CS2" s="18">
        <f>(-0.0000009*F2^3)+(0.0002*F2^2)-(0.0134*F2)+6.579</f>
        <v>6.4490671935999995</v>
      </c>
      <c r="CT2" s="18">
        <f>CS2-(SQRT(CP2))/(1+1.4*SQRT(CP2))</f>
        <v>6.4233796215858359</v>
      </c>
      <c r="CU2" s="18">
        <f>10^(-CT2)</f>
        <v>3.772422951221066E-7</v>
      </c>
      <c r="CV2" s="18">
        <f>(0.000001*F2^3)+(0.00006*F2^2)-(0.014*F2)+10.625</f>
        <v>10.472234496</v>
      </c>
      <c r="CW2" s="18">
        <f>CV2-(2*SQRT(CR2))/(1+1.4*SQRT(CR2))</f>
        <v>10.465525234795733</v>
      </c>
      <c r="CX2" s="18">
        <f>10^(-CW2)</f>
        <v>3.4235349450816626E-11</v>
      </c>
      <c r="CY2">
        <f>EXP(1246.98+-61900/H2-183*LN(H2))</f>
        <v>9.5750635031078436E-3</v>
      </c>
      <c r="CZ2">
        <f>12.225*(F2^2)+15.258*F2+1125.7</f>
        <v>2947.6887999999999</v>
      </c>
      <c r="DA2" s="15">
        <f>10^(-4470.99/H2+6.0875-0.01706*H2)</f>
        <v>3.3744856155593806E-15</v>
      </c>
      <c r="DB2">
        <f>(10^-I2)</f>
        <v>9.7723722095580911E-9</v>
      </c>
      <c r="DC2">
        <f>DB2^2</f>
        <v>9.5499258602143292E-17</v>
      </c>
      <c r="DD2" s="20">
        <f>((14.6836*10^-9)*((H2/217.2056)-1)^1.997)*100*100</f>
        <v>1.4249218646045663E-5</v>
      </c>
      <c r="DE2">
        <f>CY2+CZ2*DA2/DB2</f>
        <v>1.059292623300025E-2</v>
      </c>
      <c r="DF2">
        <f>1+DC2*(CU2*CX2+CU2*DB2)^-1</f>
        <v>1.0258143280944794</v>
      </c>
      <c r="DG2">
        <f>(DE2*DF2/DD2)^0.5</f>
        <v>27.615113281988751</v>
      </c>
      <c r="DH2">
        <f>DD2/(BO2/60/60)</f>
        <v>3.0939621723577664E-2</v>
      </c>
      <c r="DI2" s="16">
        <f>DF2/((DF2-1)+TANH(DG2*DH2)/(DG2*DH2))</f>
        <v>1.2250984912972864</v>
      </c>
      <c r="DJ2">
        <f>$DI2*BR2</f>
        <v>139.20212008037197</v>
      </c>
      <c r="DK2">
        <f>$DI2*BY2</f>
        <v>203.52454872523396</v>
      </c>
      <c r="DL2">
        <f>$DI2*CF2</f>
        <v>31.520309952905972</v>
      </c>
      <c r="DM2">
        <f>$DI2*CM2</f>
        <v>71.7760139963885</v>
      </c>
    </row>
    <row r="3" spans="1:146" ht="15.75" x14ac:dyDescent="0.25">
      <c r="A3" s="52" t="s">
        <v>322</v>
      </c>
      <c r="B3" s="55" t="s">
        <v>340</v>
      </c>
      <c r="C3" t="s">
        <v>129</v>
      </c>
      <c r="D3" s="57">
        <v>43221</v>
      </c>
      <c r="E3" s="42" t="str">
        <f>A3&amp;D3</f>
        <v>32A43221</v>
      </c>
      <c r="F3" s="3">
        <f>VLOOKUP($E3,Water!$C$2:$E$90, 2, FALSE)</f>
        <v>11.6</v>
      </c>
      <c r="G3" s="3">
        <f>VLOOKUP($E3,Water!$C$2:$E$90, 3, FALSE)</f>
        <v>0.71</v>
      </c>
      <c r="H3" s="1">
        <f>F3+273.15</f>
        <v>284.75</v>
      </c>
      <c r="I3" s="3">
        <f>VLOOKUP($E3,Water!$C$2:$F$90, 4, FALSE)</f>
        <v>8.01</v>
      </c>
      <c r="J3">
        <f>10^(I3*-1)</f>
        <v>9.7723722095580911E-9</v>
      </c>
      <c r="K3" s="25">
        <f>VLOOKUP($E3,Atm!$D$2:$G$45, 2, FALSE)</f>
        <v>416.71157764018687</v>
      </c>
      <c r="L3" s="25">
        <f>VLOOKUP($E3,Atm!$D$2:$G$45, 3, FALSE)</f>
        <v>2.121522248100145</v>
      </c>
      <c r="M3" s="25">
        <f>VLOOKUP($E3,Atm!$D$2:$G$45, 4, FALSE)</f>
        <v>0.32618413930397455</v>
      </c>
      <c r="N3" s="21">
        <f>VLOOKUP($C3,Raw!$B$2:$F$353, 3, FALSE)</f>
        <v>1862.5567667533869</v>
      </c>
      <c r="O3" s="21">
        <f>VLOOKUP($C3,Raw!$B$2:$F$353, 4, FALSE)</f>
        <v>143.8949361012414</v>
      </c>
      <c r="P3" s="21">
        <f>VLOOKUP($C3,Raw!$B$2:$F$353, 5, FALSE)</f>
        <v>0.42562795232164452</v>
      </c>
      <c r="Q3" s="14">
        <v>60</v>
      </c>
      <c r="R3" s="25">
        <v>1140</v>
      </c>
      <c r="S3">
        <f>EXP(24.4543-(100/H3*(67.4509))-(4.8489*LN(H3/100))-(0.000544*G3))</f>
        <v>1.3461288682359919E-2</v>
      </c>
      <c r="T3" s="8">
        <f>EXP(-58.0931+90.5069*(100/H3)+22.294*LN(H3/100)+G3*(0.027766-0.025888*(H3/100)+0.0050578*(H3/100)^2))</f>
        <v>5.0663262247960153E-2</v>
      </c>
      <c r="U3" s="9">
        <f>(EXP(-67.1962+99.1624*(100/H3)+27.9015*LN(H3/100)+G3*(-0.072909+0.041674*(H3/100)-0.0064603*(H3/100)^2)))</f>
        <v>4.1617037379307234E-2</v>
      </c>
      <c r="V3" s="9">
        <f>(EXP(-64.8539+100.252*(100/H3)+25.2049*LN(H3/100)+(-0.062544+0.035337*(H3/100)-0.0054699*(H3/100)^2)*G3))</f>
        <v>3.7783641178152562E-2</v>
      </c>
      <c r="W3" s="9">
        <f>(EXP(-68.8862+101.4956*(100/H3)+28.7314*LN(H3/100)+G3*(-0.076146+0.04397*(H3/100)-0.0068672*(H3/100)^2)))</f>
        <v>4.152675575651503E-2</v>
      </c>
      <c r="X3">
        <f>N3*(AZ3-S3)</f>
        <v>1701.9588403216494</v>
      </c>
      <c r="Y3">
        <f>O3*(AZ3-S3)</f>
        <v>131.48767487066516</v>
      </c>
      <c r="Z3">
        <f>((Y3/10^6)*AZ3)/(0.082056*H3)</f>
        <v>5.2179708627363302E-6</v>
      </c>
      <c r="AA3">
        <f>(((L3/10^6)*AZ3)/(0.082056*H3))</f>
        <v>8.4190714347350236E-8</v>
      </c>
      <c r="AB3">
        <f>((Y3/10^6)*U3*1)/(0.082056*H3)</f>
        <v>2.3419743325296115E-7</v>
      </c>
      <c r="AC3">
        <f>(Z3*(Q3/1000))+(AB3*(R3/1000))</f>
        <v>5.800633256725554E-7</v>
      </c>
      <c r="AD3" s="39">
        <f>((AC3-(AA3*(Q3/1000)))/(R3/1000))*1000000</f>
        <v>0.50439638843132839</v>
      </c>
      <c r="AE3" s="39">
        <f>(AD3/((U3*AZ3*1))*(0.0821*273.15))</f>
        <v>293.12610044930864</v>
      </c>
      <c r="AF3" s="39">
        <f>L3*U3*AZ3*1/(0.0821*273.15)</f>
        <v>3.650606883106543E-3</v>
      </c>
      <c r="AG3" s="39">
        <f>AD3-AF3</f>
        <v>0.5007457815482218</v>
      </c>
      <c r="AH3" s="42">
        <f>P3*(AZ3-S3)</f>
        <v>0.38892841768496783</v>
      </c>
      <c r="AI3">
        <f>(((X3/10^6)*(Q3/1000))/(0.082056*H3))</f>
        <v>4.3704507253702303E-6</v>
      </c>
      <c r="AJ3">
        <f>(((K3/10^6)*AZ3)*(Q3/1000))/(0.082056*H3)</f>
        <v>9.9220959185574041E-7</v>
      </c>
      <c r="AK3">
        <f>(X3/10^6)*T3*(R3/1000)</f>
        <v>9.8298537251192834E-5</v>
      </c>
      <c r="AL3">
        <f>AI3+AK3</f>
        <v>1.0266898797656307E-4</v>
      </c>
      <c r="AM3" s="39">
        <f>((AL3-AJ3)/(R3/1000))*1000000</f>
        <v>89.190156477813446</v>
      </c>
      <c r="AN3" s="39">
        <f>AM3/(T3*AZ3)</f>
        <v>1898.5983352028722</v>
      </c>
      <c r="AO3" s="39">
        <f>(K3*AZ3)*T3</f>
        <v>19.575794483077637</v>
      </c>
      <c r="AP3" s="39">
        <f>AM3-AO3</f>
        <v>69.614361994735816</v>
      </c>
      <c r="AQ3">
        <f>(((AH3/10^6)*(Q3/1000))/(0.082056*H3))</f>
        <v>9.9872714011528251E-10</v>
      </c>
      <c r="AR3">
        <f>(((M3/10^6)*AZ3)*(Q3/1000))/(0.082056*H3)</f>
        <v>7.7665956285972177E-10</v>
      </c>
      <c r="AS3">
        <f>(AH3/10^6)*V3*(R3/1000)</f>
        <v>1.6752450226686833E-8</v>
      </c>
      <c r="AT3">
        <f>AQ3+AS3</f>
        <v>1.7751177366802117E-8</v>
      </c>
      <c r="AU3" s="39">
        <f>((AT3-AR3)/(R3/1000))*1000000000</f>
        <v>14.889927898195085</v>
      </c>
      <c r="AV3" s="39">
        <f>(AU3/1000)/(V3*AZ3)</f>
        <v>0.42500898098436046</v>
      </c>
      <c r="AW3" s="39">
        <f>(M3*AZ3)*V3*1000</f>
        <v>11.427660433250294</v>
      </c>
      <c r="AX3" s="39">
        <f>AU3-AW3</f>
        <v>3.4622674649447909</v>
      </c>
      <c r="AY3" s="26">
        <f>VLOOKUP($E3,Water!$C$2:$G$90, 5, FALSE)</f>
        <v>704.7</v>
      </c>
      <c r="AZ3">
        <f>AY3/760</f>
        <v>0.92723684210526325</v>
      </c>
      <c r="BA3" s="3">
        <f>Assumptions!$B$3</f>
        <v>406.07</v>
      </c>
      <c r="BB3" s="3">
        <f>BA3*AZ3*T3</f>
        <v>19.075886757835875</v>
      </c>
      <c r="BC3" s="3">
        <f>Assumptions!$B$4</f>
        <v>1.8474300000000001</v>
      </c>
      <c r="BD3" s="45">
        <f>BC3*AZ3*U3*1/(0.0821*273.15)</f>
        <v>3.1789629734484707E-3</v>
      </c>
      <c r="BE3" s="3">
        <f>Assumptions!$B$2</f>
        <v>0.33054499999999998</v>
      </c>
      <c r="BF3" s="44">
        <f>BE3*AZ3*V3*1000</f>
        <v>11.580440502009079</v>
      </c>
      <c r="BG3">
        <f>1923.6+(-125.06*F3)+(4.3773*(F3^2))+(-0.085681*(F3^3))+(0.00070284*(F3^4))</f>
        <v>940.90025550182418</v>
      </c>
      <c r="BH3">
        <f>1909.4+(-120.78*F3)+(4.1555*(F3^2))+(-0.080578*(F3^3))+(0.00065777*(F3^4))</f>
        <v>953.65204463027203</v>
      </c>
      <c r="BI3">
        <f>2141.2+(-152.56*F3)+(5.8963*(F3^2))+(-0.12411*(F3^3))+(0.0010655*(F3^4))</f>
        <v>990.4796878208</v>
      </c>
      <c r="BJ3" s="25">
        <f>VLOOKUP(E3,Wind!$C$2:$E$109,3, FALSE)</f>
        <v>0</v>
      </c>
      <c r="BK3" s="44">
        <v>1.66</v>
      </c>
      <c r="BL3">
        <f>BK3/(1-(((1.3*10^-3)^0.5)/0.41)*LN(10/1.5))</f>
        <v>1.9923982880693825</v>
      </c>
      <c r="BM3">
        <f>BK3*1.22</f>
        <v>2.0251999999999999</v>
      </c>
      <c r="BN3">
        <f>2.07+0.215*(BM3^1.7)*(24/100)</f>
        <v>2.241255750541113</v>
      </c>
      <c r="BO3">
        <f>BN3*((600/BG3)^0.67)</f>
        <v>1.657977191320124</v>
      </c>
      <c r="BP3">
        <f>BN3*((600/BH3)^0.67)</f>
        <v>1.6430905277272934</v>
      </c>
      <c r="BQ3">
        <f>BN3*((600/BI3)^0.67)</f>
        <v>1.6019030203734419</v>
      </c>
      <c r="BR3" s="39">
        <f>BO3*(AM3-BB3)</f>
        <v>116.24785998179003</v>
      </c>
      <c r="BS3" s="39">
        <f>BP3*(AD3-BD3)</f>
        <v>0.8235456041017033</v>
      </c>
      <c r="BT3" s="39">
        <f>BQ3*(AU3-BF3)</f>
        <v>5.3014778558382005</v>
      </c>
      <c r="BU3">
        <f>(2.51+1.48*BM3)+(0.39*BM3*LOG10(0.0015))</f>
        <v>3.2768938069574309</v>
      </c>
      <c r="BV3">
        <f>BU3*((600/$BG3)^0.67)</f>
        <v>2.4240942556430167</v>
      </c>
      <c r="BW3">
        <f>BU3*((600/$BH3)^0.67)</f>
        <v>2.4023287718414346</v>
      </c>
      <c r="BX3">
        <f>BU3*((600/$BI3)^0.67)</f>
        <v>2.3421093668318704</v>
      </c>
      <c r="BY3" s="39">
        <f>BV3*($AM3-$BB3)</f>
        <v>169.96359846680275</v>
      </c>
      <c r="BZ3" s="39">
        <f>BW3*($AD3-$BD3)</f>
        <v>1.2040890421257546</v>
      </c>
      <c r="CA3" s="39">
        <f>BX3*($AU3-$BF3)</f>
        <v>7.751181430019261</v>
      </c>
      <c r="CB3" s="42">
        <f>AVERAGE(0.72,0.69,0.4,0.22)</f>
        <v>0.50750000000000006</v>
      </c>
      <c r="CC3">
        <f>CB3*((600/$BG3)^0.67)</f>
        <v>0.3754249930610622</v>
      </c>
      <c r="CD3">
        <f>CB3*((600/$BH3)^0.67)</f>
        <v>0.37205412306037727</v>
      </c>
      <c r="CE3">
        <f>CB3*((600/$BI3)^0.67)</f>
        <v>0.36272780678565808</v>
      </c>
      <c r="CF3" s="39">
        <f>CC3*($AM3-$BB3)</f>
        <v>26.322649223104023</v>
      </c>
      <c r="CG3" s="39">
        <f>CD3*($AD3-$BD3)</f>
        <v>0.18648000969131154</v>
      </c>
      <c r="CH3" s="39">
        <f>CE3*($AU3-$BF3)</f>
        <v>1.2004431048033282</v>
      </c>
      <c r="CI3">
        <v>0.86263901889527161</v>
      </c>
      <c r="CJ3">
        <f>((BG3/BH3)^0.67)*CI3</f>
        <v>0.85489354631363834</v>
      </c>
      <c r="CK3">
        <f>((BH3/BH3)^0.67)*CI3</f>
        <v>0.86263901889527161</v>
      </c>
      <c r="CL3">
        <f>((BI3/BH3)^0.67)*CI3</f>
        <v>0.88481885780099101</v>
      </c>
      <c r="CM3" s="39">
        <f>CJ3*($AM3-$BB3)</f>
        <v>59.940236688102573</v>
      </c>
      <c r="CN3" s="39">
        <f>CK3*($AD3-$BD3)</f>
        <v>0.43236970815019948</v>
      </c>
      <c r="CO3" s="39">
        <f>CL3*($AU3-$BF3)</f>
        <v>2.9282968578000772</v>
      </c>
      <c r="CP3" s="27">
        <f>VLOOKUP(A3,Water!$A$2:$E$109, 5, FALSE)/1000</f>
        <v>7.0999999999999991E-4</v>
      </c>
      <c r="CQ3">
        <f>0.64*CP3</f>
        <v>4.5439999999999993E-4</v>
      </c>
      <c r="CR3" s="19">
        <f>CQ3*1000*(2.5*10^-5)</f>
        <v>1.1359999999999998E-5</v>
      </c>
      <c r="CS3" s="18">
        <f>(-0.0000009*F3^3)+(0.0002*F3^2)-(0.0134*F3)+6.579</f>
        <v>6.4490671935999995</v>
      </c>
      <c r="CT3" s="18">
        <f>CS3-(SQRT(CP3))/(1+1.4*SQRT(CP3))</f>
        <v>6.4233796215858359</v>
      </c>
      <c r="CU3" s="18">
        <f>10^(-CT3)</f>
        <v>3.772422951221066E-7</v>
      </c>
      <c r="CV3" s="18">
        <f>(0.000001*F3^3)+(0.00006*F3^2)-(0.014*F3)+10.625</f>
        <v>10.472234496</v>
      </c>
      <c r="CW3" s="18">
        <f>CV3-(2*SQRT(CR3))/(1+1.4*SQRT(CR3))</f>
        <v>10.465525234795733</v>
      </c>
      <c r="CX3" s="18">
        <f>10^(-CW3)</f>
        <v>3.4235349450816626E-11</v>
      </c>
      <c r="CY3">
        <f>EXP(1246.98+-61900/H3-183*LN(H3))</f>
        <v>9.5750635031078436E-3</v>
      </c>
      <c r="CZ3">
        <f>12.225*(F3^2)+15.258*F3+1125.7</f>
        <v>2947.6887999999999</v>
      </c>
      <c r="DA3" s="15">
        <f>10^(-4470.99/H3+6.0875-0.01706*H3)</f>
        <v>3.3744856155593806E-15</v>
      </c>
      <c r="DB3">
        <f>(10^-I3)</f>
        <v>9.7723722095580911E-9</v>
      </c>
      <c r="DC3">
        <f>DB3^2</f>
        <v>9.5499258602143292E-17</v>
      </c>
      <c r="DD3" s="20">
        <f>((14.6836*10^-9)*((H3/217.2056)-1)^1.997)*100*100</f>
        <v>1.4249218646045663E-5</v>
      </c>
      <c r="DE3">
        <f>CY3+CZ3*DA3/DB3</f>
        <v>1.059292623300025E-2</v>
      </c>
      <c r="DF3">
        <f>1+DC3*(CU3*CX3+CU3*DB3)^-1</f>
        <v>1.0258143280944794</v>
      </c>
      <c r="DG3">
        <f>(DE3*DF3/DD3)^0.5</f>
        <v>27.615113281988751</v>
      </c>
      <c r="DH3">
        <f>DD3/(BO3/60/60)</f>
        <v>3.0939621723577664E-2</v>
      </c>
      <c r="DI3" s="16">
        <f>DF3/((DF3-1)+TANH(DG3*DH3)/(DG3*DH3))</f>
        <v>1.2250984912972864</v>
      </c>
      <c r="DJ3">
        <f>$DI3*BR3</f>
        <v>142.41507788022918</v>
      </c>
      <c r="DK3">
        <f>$DI3*BY3</f>
        <v>208.22214805713784</v>
      </c>
      <c r="DL3">
        <f>$DI3*CF3</f>
        <v>32.247837850172424</v>
      </c>
      <c r="DM3">
        <f>$DI3*CM3</f>
        <v>73.432693534596723</v>
      </c>
    </row>
    <row r="4" spans="1:146" ht="15.75" x14ac:dyDescent="0.25">
      <c r="A4" s="52" t="s">
        <v>322</v>
      </c>
      <c r="B4" s="55" t="s">
        <v>341</v>
      </c>
      <c r="C4" t="s">
        <v>130</v>
      </c>
      <c r="D4" s="57">
        <v>43221</v>
      </c>
      <c r="E4" s="42" t="str">
        <f>A4&amp;D4</f>
        <v>32A43221</v>
      </c>
      <c r="F4" s="3">
        <f>VLOOKUP($E4,Water!$C$2:$E$90, 2, FALSE)</f>
        <v>11.6</v>
      </c>
      <c r="G4" s="3">
        <f>VLOOKUP($E4,Water!$C$2:$E$90, 3, FALSE)</f>
        <v>0.71</v>
      </c>
      <c r="H4" s="1">
        <f>F4+273.15</f>
        <v>284.75</v>
      </c>
      <c r="I4" s="3">
        <f>VLOOKUP($E4,Water!$C$2:$F$90, 4, FALSE)</f>
        <v>8.01</v>
      </c>
      <c r="J4">
        <f>10^(I4*-1)</f>
        <v>9.7723722095580911E-9</v>
      </c>
      <c r="K4" s="25">
        <f>VLOOKUP($E4,Atm!$D$2:$G$45, 2, FALSE)</f>
        <v>416.71157764018687</v>
      </c>
      <c r="L4" s="25">
        <f>VLOOKUP($E4,Atm!$D$2:$G$45, 3, FALSE)</f>
        <v>2.121522248100145</v>
      </c>
      <c r="M4" s="25">
        <f>VLOOKUP($E4,Atm!$D$2:$G$45, 4, FALSE)</f>
        <v>0.32618413930397455</v>
      </c>
      <c r="N4" s="21">
        <f>VLOOKUP($C4,Raw!$B$2:$F$353, 3, FALSE)</f>
        <v>1870.3489900528191</v>
      </c>
      <c r="O4" s="21">
        <f>VLOOKUP($C4,Raw!$B$2:$F$353, 4, FALSE)</f>
        <v>143.0947249395166</v>
      </c>
      <c r="P4" s="21">
        <f>VLOOKUP($C4,Raw!$B$2:$F$353, 5, FALSE)</f>
        <v>0.42515304968218648</v>
      </c>
      <c r="Q4" s="14">
        <v>60</v>
      </c>
      <c r="R4" s="25">
        <v>1140</v>
      </c>
      <c r="S4">
        <f>EXP(24.4543-(100/H4*(67.4509))-(4.8489*LN(H4/100))-(0.000544*G4))</f>
        <v>1.3461288682359919E-2</v>
      </c>
      <c r="T4" s="8">
        <f>EXP(-58.0931+90.5069*(100/H4)+22.294*LN(H4/100)+G4*(0.027766-0.025888*(H4/100)+0.0050578*(H4/100)^2))</f>
        <v>5.0663262247960153E-2</v>
      </c>
      <c r="U4" s="9">
        <f>(EXP(-67.1962+99.1624*(100/H4)+27.9015*LN(H4/100)+G4*(-0.072909+0.041674*(H4/100)-0.0064603*(H4/100)^2)))</f>
        <v>4.1617037379307234E-2</v>
      </c>
      <c r="V4" s="9">
        <f>(EXP(-64.8539+100.252*(100/H4)+25.2049*LN(H4/100)+(-0.062544+0.035337*(H4/100)-0.0054699*(H4/100)^2)*G4))</f>
        <v>3.7783641178152562E-2</v>
      </c>
      <c r="W4" s="9">
        <f>(EXP(-68.8862+101.4956*(100/H4)+28.7314*LN(H4/100)+G4*(-0.076146+0.04397*(H4/100)-0.0068672*(H4/100)^2)))</f>
        <v>4.152675575651503E-2</v>
      </c>
      <c r="X4">
        <f>N4*(AZ4-S4)</f>
        <v>1709.0791834794829</v>
      </c>
      <c r="Y4">
        <f>O4*(AZ4-S4)</f>
        <v>130.75646147350488</v>
      </c>
      <c r="Z4">
        <f>((Y4/10^6)*AZ4)/(0.082056*H4)</f>
        <v>5.1889533125775204E-6</v>
      </c>
      <c r="AA4">
        <f>(((L4/10^6)*AZ4)/(0.082056*H4))</f>
        <v>8.4190714347350236E-8</v>
      </c>
      <c r="AB4">
        <f>((Y4/10^6)*U4*1)/(0.082056*H4)</f>
        <v>2.328950427365606E-7</v>
      </c>
      <c r="AC4">
        <f>(Z4*(Q4/1000))+(AB4*(R4/1000))</f>
        <v>5.7683754747433026E-7</v>
      </c>
      <c r="AD4" s="39">
        <f>((AC4-(AA4*(Q4/1000)))/(R4/1000))*1000000</f>
        <v>0.50156675843288534</v>
      </c>
      <c r="AE4" s="39">
        <f>(AD4/((U4*AZ4*1))*(0.0821*273.15))</f>
        <v>291.48168263391238</v>
      </c>
      <c r="AF4" s="39">
        <f>L4*U4*AZ4*1/(0.0821*273.15)</f>
        <v>3.650606883106543E-3</v>
      </c>
      <c r="AG4" s="39">
        <f>AD4-AF4</f>
        <v>0.49791615154977881</v>
      </c>
      <c r="AH4" s="42">
        <f>P4*(AZ4-S4)</f>
        <v>0.38849446326277504</v>
      </c>
      <c r="AI4">
        <f>(((X4/10^6)*(Q4/1000))/(0.082056*H4))</f>
        <v>4.3887350153200146E-6</v>
      </c>
      <c r="AJ4">
        <f>(((K4/10^6)*AZ4)*(Q4/1000))/(0.082056*H4)</f>
        <v>9.9220959185574041E-7</v>
      </c>
      <c r="AK4">
        <f>(X4/10^6)*T4*(R4/1000)</f>
        <v>9.8709780637671726E-5</v>
      </c>
      <c r="AL4">
        <f>AI4+AK4</f>
        <v>1.0309851565299174E-4</v>
      </c>
      <c r="AM4" s="39">
        <f>((AL4-AJ4)/(R4/1000))*1000000</f>
        <v>89.566935141347358</v>
      </c>
      <c r="AN4" s="39">
        <f>AM4/(T4*AZ4)</f>
        <v>1906.6188541880967</v>
      </c>
      <c r="AO4" s="39">
        <f>(K4*AZ4)*T4</f>
        <v>19.575794483077637</v>
      </c>
      <c r="AP4" s="39">
        <f>AM4-AO4</f>
        <v>69.991140658269728</v>
      </c>
      <c r="AQ4">
        <f>(((AH4/10^6)*(Q4/1000))/(0.082056*H4))</f>
        <v>9.9761279094636147E-10</v>
      </c>
      <c r="AR4">
        <f>(((M4/10^6)*AZ4)*(Q4/1000))/(0.082056*H4)</f>
        <v>7.7665956285972177E-10</v>
      </c>
      <c r="AS4">
        <f>(AH4/10^6)*V4*(R4/1000)</f>
        <v>1.6733758355566417E-8</v>
      </c>
      <c r="AT4">
        <f>AQ4+AS4</f>
        <v>1.7731371146512779E-8</v>
      </c>
      <c r="AU4" s="39">
        <f>((AT4-AR4)/(R4/1000))*1000000000</f>
        <v>14.872554020748298</v>
      </c>
      <c r="AV4" s="39">
        <f>(AU4/1000)/(V4*AZ4)</f>
        <v>0.4245130716690238</v>
      </c>
      <c r="AW4" s="39">
        <f>(M4*AZ4)*V4*1000</f>
        <v>11.427660433250294</v>
      </c>
      <c r="AX4" s="39">
        <f>AU4-AW4</f>
        <v>3.4448935874980045</v>
      </c>
      <c r="AY4" s="26">
        <f>VLOOKUP($E4,Water!$C$2:$G$90, 5, FALSE)</f>
        <v>704.7</v>
      </c>
      <c r="AZ4">
        <f>AY4/760</f>
        <v>0.92723684210526325</v>
      </c>
      <c r="BA4" s="3">
        <f>Assumptions!$B$3</f>
        <v>406.07</v>
      </c>
      <c r="BB4" s="3">
        <f>BA4*AZ4*T4</f>
        <v>19.075886757835875</v>
      </c>
      <c r="BC4" s="3">
        <f>Assumptions!$B$4</f>
        <v>1.8474300000000001</v>
      </c>
      <c r="BD4" s="45">
        <f>BC4*AZ4*U4*1/(0.0821*273.15)</f>
        <v>3.1789629734484707E-3</v>
      </c>
      <c r="BE4" s="3">
        <f>Assumptions!$B$2</f>
        <v>0.33054499999999998</v>
      </c>
      <c r="BF4" s="44">
        <f>BE4*AZ4*V4*1000</f>
        <v>11.580440502009079</v>
      </c>
      <c r="BG4">
        <f>1923.6+(-125.06*F4)+(4.3773*(F4^2))+(-0.085681*(F4^3))+(0.00070284*(F4^4))</f>
        <v>940.90025550182418</v>
      </c>
      <c r="BH4">
        <f>1909.4+(-120.78*F4)+(4.1555*(F4^2))+(-0.080578*(F4^3))+(0.00065777*(F4^4))</f>
        <v>953.65204463027203</v>
      </c>
      <c r="BI4">
        <f>2141.2+(-152.56*F4)+(5.8963*(F4^2))+(-0.12411*(F4^3))+(0.0010655*(F4^4))</f>
        <v>990.4796878208</v>
      </c>
      <c r="BJ4" s="25">
        <f>VLOOKUP(E4,Wind!$C$2:$E$109,3, FALSE)</f>
        <v>0</v>
      </c>
      <c r="BK4" s="44">
        <v>1.66</v>
      </c>
      <c r="BL4">
        <f>BK4/(1-(((1.3*10^-3)^0.5)/0.41)*LN(10/1.5))</f>
        <v>1.9923982880693825</v>
      </c>
      <c r="BM4">
        <f>BK4*1.22</f>
        <v>2.0251999999999999</v>
      </c>
      <c r="BN4">
        <f>2.07+0.215*(BM4^1.7)*(24/100)</f>
        <v>2.241255750541113</v>
      </c>
      <c r="BO4">
        <f>BN4*((600/BG4)^0.67)</f>
        <v>1.657977191320124</v>
      </c>
      <c r="BP4">
        <f>BN4*((600/BH4)^0.67)</f>
        <v>1.6430905277272934</v>
      </c>
      <c r="BQ4">
        <f>BN4*((600/BI4)^0.67)</f>
        <v>1.6019030203734419</v>
      </c>
      <c r="BR4" s="39">
        <f>BO4*(AM4-BB4)</f>
        <v>116.87255041210534</v>
      </c>
      <c r="BS4" s="39">
        <f>BP4*(AD4-BD4)</f>
        <v>0.81889626585428843</v>
      </c>
      <c r="BT4" s="39">
        <f>BQ4*(AU4-BF4)</f>
        <v>5.2736465890805952</v>
      </c>
      <c r="BU4">
        <f>(2.51+1.48*BM4)+(0.39*BM4*LOG10(0.0015))</f>
        <v>3.2768938069574309</v>
      </c>
      <c r="BV4">
        <f>BU4*((600/$BG4)^0.67)</f>
        <v>2.4240942556430167</v>
      </c>
      <c r="BW4">
        <f>BU4*((600/$BH4)^0.67)</f>
        <v>2.4023287718414346</v>
      </c>
      <c r="BX4">
        <f>BU4*((600/$BI4)^0.67)</f>
        <v>2.3421093668318704</v>
      </c>
      <c r="BY4" s="39">
        <f>BV4*($AM4-$BB4)</f>
        <v>170.87694546072416</v>
      </c>
      <c r="BZ4" s="39">
        <f>BW4*($AD4-$BD4)</f>
        <v>1.1972913405668291</v>
      </c>
      <c r="CA4" s="39">
        <f>BX4*($AU4-$BF4)</f>
        <v>7.7104899089129537</v>
      </c>
      <c r="CB4" s="42">
        <f>AVERAGE(0.72,0.69,0.4,0.22)</f>
        <v>0.50750000000000006</v>
      </c>
      <c r="CC4">
        <f>CB4*((600/$BG4)^0.67)</f>
        <v>0.3754249930610622</v>
      </c>
      <c r="CD4">
        <f>CB4*((600/$BH4)^0.67)</f>
        <v>0.37205412306037727</v>
      </c>
      <c r="CE4">
        <f>CB4*((600/$BI4)^0.67)</f>
        <v>0.36272780678565808</v>
      </c>
      <c r="CF4" s="39">
        <f>CC4*($AM4-$BB4)</f>
        <v>26.464101350246796</v>
      </c>
      <c r="CG4" s="39">
        <f>CD4*($AD4-$BD4)</f>
        <v>0.18542723418365545</v>
      </c>
      <c r="CH4" s="39">
        <f>CE4*($AU4-$BF4)</f>
        <v>1.1941411163416924</v>
      </c>
      <c r="CI4">
        <v>0.86263901889527161</v>
      </c>
      <c r="CJ4">
        <f>((BG4/BH4)^0.67)*CI4</f>
        <v>0.85489354631363834</v>
      </c>
      <c r="CK4">
        <f>((BH4/BH4)^0.67)*CI4</f>
        <v>0.86263901889527161</v>
      </c>
      <c r="CL4">
        <f>((BI4/BH4)^0.67)*CI4</f>
        <v>0.88481885780099101</v>
      </c>
      <c r="CM4" s="39">
        <f>CJ4*($AM4-$BB4)</f>
        <v>60.262342335946393</v>
      </c>
      <c r="CN4" s="39">
        <f>CK4*($AD4-$BD4)</f>
        <v>0.42992875890450588</v>
      </c>
      <c r="CO4" s="39">
        <f>CL4*($AU4-$BF4)</f>
        <v>2.9129241234020373</v>
      </c>
      <c r="CP4" s="27">
        <f>VLOOKUP(A4,Water!$A$2:$E$109, 5, FALSE)/1000</f>
        <v>7.0999999999999991E-4</v>
      </c>
      <c r="CQ4">
        <f>0.64*CP4</f>
        <v>4.5439999999999993E-4</v>
      </c>
      <c r="CR4" s="19">
        <f>CQ4*1000*(2.5*10^-5)</f>
        <v>1.1359999999999998E-5</v>
      </c>
      <c r="CS4" s="18">
        <f>(-0.0000009*F4^3)+(0.0002*F4^2)-(0.0134*F4)+6.579</f>
        <v>6.4490671935999995</v>
      </c>
      <c r="CT4" s="18">
        <f>CS4-(SQRT(CP4))/(1+1.4*SQRT(CP4))</f>
        <v>6.4233796215858359</v>
      </c>
      <c r="CU4" s="18">
        <f>10^(-CT4)</f>
        <v>3.772422951221066E-7</v>
      </c>
      <c r="CV4" s="18">
        <f>(0.000001*F4^3)+(0.00006*F4^2)-(0.014*F4)+10.625</f>
        <v>10.472234496</v>
      </c>
      <c r="CW4" s="18">
        <f>CV4-(2*SQRT(CR4))/(1+1.4*SQRT(CR4))</f>
        <v>10.465525234795733</v>
      </c>
      <c r="CX4" s="18">
        <f>10^(-CW4)</f>
        <v>3.4235349450816626E-11</v>
      </c>
      <c r="CY4">
        <f>EXP(1246.98+-61900/H4-183*LN(H4))</f>
        <v>9.5750635031078436E-3</v>
      </c>
      <c r="CZ4">
        <f>12.225*(F4^2)+15.258*F4+1125.7</f>
        <v>2947.6887999999999</v>
      </c>
      <c r="DA4" s="15">
        <f>10^(-4470.99/H4+6.0875-0.01706*H4)</f>
        <v>3.3744856155593806E-15</v>
      </c>
      <c r="DB4">
        <f>(10^-I4)</f>
        <v>9.7723722095580911E-9</v>
      </c>
      <c r="DC4">
        <f>DB4^2</f>
        <v>9.5499258602143292E-17</v>
      </c>
      <c r="DD4" s="20">
        <f>((14.6836*10^-9)*((H4/217.2056)-1)^1.997)*100*100</f>
        <v>1.4249218646045663E-5</v>
      </c>
      <c r="DE4">
        <f>CY4+CZ4*DA4/DB4</f>
        <v>1.059292623300025E-2</v>
      </c>
      <c r="DF4">
        <f>1+DC4*(CU4*CX4+CU4*DB4)^-1</f>
        <v>1.0258143280944794</v>
      </c>
      <c r="DG4">
        <f>(DE4*DF4/DD4)^0.5</f>
        <v>27.615113281988751</v>
      </c>
      <c r="DH4">
        <f>DD4/(BO4/60/60)</f>
        <v>3.0939621723577664E-2</v>
      </c>
      <c r="DI4" s="16">
        <f>DF4/((DF4-1)+TANH(DG4*DH4)/(DG4*DH4))</f>
        <v>1.2250984912972864</v>
      </c>
      <c r="DJ4">
        <f>$DI4*BR4</f>
        <v>143.18038518393629</v>
      </c>
      <c r="DK4">
        <f>$DI4*BY4</f>
        <v>209.34108808142187</v>
      </c>
      <c r="DL4">
        <f>$DI4*CF4</f>
        <v>32.421130637725831</v>
      </c>
      <c r="DM4">
        <f>$DI4*CM4</f>
        <v>73.827304677808513</v>
      </c>
    </row>
    <row r="5" spans="1:146" ht="15.75" x14ac:dyDescent="0.25">
      <c r="A5" s="51" t="s">
        <v>322</v>
      </c>
      <c r="B5" s="54" t="s">
        <v>342</v>
      </c>
      <c r="C5" s="48" t="s">
        <v>131</v>
      </c>
      <c r="D5" s="57">
        <v>43221</v>
      </c>
      <c r="E5" s="42" t="str">
        <f>A5&amp;D5</f>
        <v>32A43221</v>
      </c>
      <c r="F5" s="3">
        <f>VLOOKUP($E5,Water!$C$2:$E$90, 2, FALSE)</f>
        <v>11.6</v>
      </c>
      <c r="G5" s="3">
        <f>VLOOKUP($E5,Water!$C$2:$E$90, 3, FALSE)</f>
        <v>0.71</v>
      </c>
      <c r="H5" s="1">
        <f>F5+273.15</f>
        <v>284.75</v>
      </c>
      <c r="I5" s="3">
        <f>VLOOKUP($E5,Water!$C$2:$F$90, 4, FALSE)</f>
        <v>8.01</v>
      </c>
      <c r="J5">
        <f>10^(I5*-1)</f>
        <v>9.7723722095580911E-9</v>
      </c>
      <c r="K5" s="25">
        <f>VLOOKUP($E5,Atm!$D$2:$G$45, 2, FALSE)</f>
        <v>416.71157764018687</v>
      </c>
      <c r="L5" s="25">
        <f>VLOOKUP($E5,Atm!$D$2:$G$45, 3, FALSE)</f>
        <v>2.121522248100145</v>
      </c>
      <c r="M5" s="25">
        <f>VLOOKUP($E5,Atm!$D$2:$G$45, 4, FALSE)</f>
        <v>0.32618413930397455</v>
      </c>
      <c r="N5" s="21">
        <f>VLOOKUP($C5,Raw!$B$2:$F$353, 3, FALSE)</f>
        <v>1860.557</v>
      </c>
      <c r="O5" s="21">
        <f>VLOOKUP($C5,Raw!$B$2:$F$353, 4, FALSE)</f>
        <v>145.35900000000001</v>
      </c>
      <c r="P5" s="21">
        <f>VLOOKUP($C5,Raw!$B$2:$F$353, 5, FALSE)</f>
        <v>0.39700000000000002</v>
      </c>
      <c r="Q5" s="14">
        <v>60</v>
      </c>
      <c r="R5" s="25">
        <v>1140</v>
      </c>
      <c r="S5">
        <f>EXP(24.4543-(100/H5*(67.4509))-(4.8489*LN(H5/100))-(0.000544*G5))</f>
        <v>1.3461288682359919E-2</v>
      </c>
      <c r="T5" s="8">
        <f>EXP(-58.0931+90.5069*(100/H5)+22.294*LN(H5/100)+G5*(0.027766-0.025888*(H5/100)+0.0050578*(H5/100)^2))</f>
        <v>5.0663262247960153E-2</v>
      </c>
      <c r="U5" s="9">
        <f>(EXP(-67.1962+99.1624*(100/H5)+27.9015*LN(H5/100)+G5*(-0.072909+0.041674*(H5/100)-0.0064603*(H5/100)^2)))</f>
        <v>4.1617037379307234E-2</v>
      </c>
      <c r="V5" s="9">
        <f>(EXP(-64.8539+100.252*(100/H5)+25.2049*LN(H5/100)+(-0.062544+0.035337*(H5/100)-0.0054699*(H5/100)^2)*G5))</f>
        <v>3.7783641178152562E-2</v>
      </c>
      <c r="W5" s="9">
        <f>(EXP(-68.8862+101.4956*(100/H5)+28.7314*LN(H5/100)+G5*(-0.076146+0.04397*(H5/100)-0.0068672*(H5/100)^2)))</f>
        <v>4.152675575651503E-2</v>
      </c>
      <c r="X5">
        <f>N5*(AZ5-S5)</f>
        <v>1700.1315023498566</v>
      </c>
      <c r="Y5">
        <f>O5*(AZ5-S5)</f>
        <v>132.8255006699998</v>
      </c>
      <c r="Z5">
        <f>((Y5/10^6)*AZ5)/(0.082056*H5)</f>
        <v>5.2710612839276058E-6</v>
      </c>
      <c r="AA5">
        <f>(((L5/10^6)*AZ5)/(0.082056*H5))</f>
        <v>8.4190714347350236E-8</v>
      </c>
      <c r="AB5">
        <f>((Y5/10^6)*U5*1)/(0.082056*H5)</f>
        <v>2.3658028296607648E-7</v>
      </c>
      <c r="AC5">
        <f>(Z5*(Q5/1000))+(AB5*(R5/1000))</f>
        <v>5.8596519961698351E-7</v>
      </c>
      <c r="AD5" s="39">
        <f>((AC5-(AA5*(Q5/1000)))/(R5/1000))*1000000</f>
        <v>0.50957347083872151</v>
      </c>
      <c r="AE5" s="39">
        <f>(AD5/((U5*AZ5*1))*(0.0821*273.15))</f>
        <v>296.13472226459044</v>
      </c>
      <c r="AF5" s="39">
        <f>L5*U5*AZ5*1/(0.0821*273.15)</f>
        <v>3.650606883106543E-3</v>
      </c>
      <c r="AG5" s="39">
        <f>AD5-AF5</f>
        <v>0.50592286395561492</v>
      </c>
      <c r="AH5" s="42">
        <f>P5*(AZ5-S5)</f>
        <v>0.36276889470889262</v>
      </c>
      <c r="AI5">
        <f>(((X5/10^6)*(Q5/1000))/(0.082056*H5))</f>
        <v>4.3657583142642082E-6</v>
      </c>
      <c r="AJ5">
        <f>(((K5/10^6)*AZ5)*(Q5/1000))/(0.082056*H5)</f>
        <v>9.9220959185574041E-7</v>
      </c>
      <c r="AK5">
        <f>(X5/10^6)*T5*(R5/1000)</f>
        <v>9.8192997301908968E-5</v>
      </c>
      <c r="AL5">
        <f>AI5+AK5</f>
        <v>1.0255875561617318E-4</v>
      </c>
      <c r="AM5" s="39">
        <f>((AL5-AJ5)/(R5/1000))*1000000</f>
        <v>89.093461424839859</v>
      </c>
      <c r="AN5" s="39">
        <f>AM5/(T5*AZ5)</f>
        <v>1896.539979507043</v>
      </c>
      <c r="AO5" s="39">
        <f>(K5*AZ5)*T5</f>
        <v>19.575794483077637</v>
      </c>
      <c r="AP5" s="39">
        <f>AM5-AO5</f>
        <v>69.517666941762229</v>
      </c>
      <c r="AQ5">
        <f>(((AH5/10^6)*(Q5/1000))/(0.082056*H5))</f>
        <v>9.3155224524854164E-10</v>
      </c>
      <c r="AR5">
        <f>(((M5/10^6)*AZ5)*(Q5/1000))/(0.082056*H5)</f>
        <v>7.7665956285972177E-10</v>
      </c>
      <c r="AS5">
        <f>(AH5/10^6)*V5*(R5/1000)</f>
        <v>1.5625671913034418E-8</v>
      </c>
      <c r="AT5">
        <f>AQ5+AS5</f>
        <v>1.6557224158282958E-8</v>
      </c>
      <c r="AU5" s="39">
        <f>((AT5-AR5)/(R5/1000))*1000000000</f>
        <v>13.842600522301085</v>
      </c>
      <c r="AV5" s="39">
        <f>(AU5/1000)/(V5*AZ5)</f>
        <v>0.39511470991541253</v>
      </c>
      <c r="AW5" s="39">
        <f>(M5*AZ5)*V5*1000</f>
        <v>11.427660433250294</v>
      </c>
      <c r="AX5" s="39">
        <f>AU5-AW5</f>
        <v>2.4149400890507913</v>
      </c>
      <c r="AY5" s="26">
        <f>VLOOKUP($E5,Water!$C$2:$G$90, 5, FALSE)</f>
        <v>704.7</v>
      </c>
      <c r="AZ5">
        <f>AY5/760</f>
        <v>0.92723684210526325</v>
      </c>
      <c r="BA5" s="3">
        <f>Assumptions!$B$3</f>
        <v>406.07</v>
      </c>
      <c r="BB5" s="3">
        <f>BA5*AZ5*T5</f>
        <v>19.075886757835875</v>
      </c>
      <c r="BC5" s="3">
        <f>Assumptions!$B$4</f>
        <v>1.8474300000000001</v>
      </c>
      <c r="BD5" s="45">
        <f>BC5*AZ5*U5*1/(0.0821*273.15)</f>
        <v>3.1789629734484707E-3</v>
      </c>
      <c r="BE5" s="3">
        <f>Assumptions!$B$2</f>
        <v>0.33054499999999998</v>
      </c>
      <c r="BF5" s="44">
        <f>BE5*AZ5*V5*1000</f>
        <v>11.580440502009079</v>
      </c>
      <c r="BG5">
        <f>1923.6+(-125.06*F5)+(4.3773*(F5^2))+(-0.085681*(F5^3))+(0.00070284*(F5^4))</f>
        <v>940.90025550182418</v>
      </c>
      <c r="BH5">
        <f>1909.4+(-120.78*F5)+(4.1555*(F5^2))+(-0.080578*(F5^3))+(0.00065777*(F5^4))</f>
        <v>953.65204463027203</v>
      </c>
      <c r="BI5">
        <f>2141.2+(-152.56*F5)+(5.8963*(F5^2))+(-0.12411*(F5^3))+(0.0010655*(F5^4))</f>
        <v>990.4796878208</v>
      </c>
      <c r="BJ5" s="25">
        <f>VLOOKUP(E5,Wind!$C$2:$E$109,3, FALSE)</f>
        <v>0</v>
      </c>
      <c r="BK5" s="44">
        <v>1.66</v>
      </c>
      <c r="BL5">
        <f>BK5/(1-(((1.3*10^-3)^0.5)/0.41)*LN(10/1.5))</f>
        <v>1.9923982880693825</v>
      </c>
      <c r="BM5">
        <f>BK5*1.22</f>
        <v>2.0251999999999999</v>
      </c>
      <c r="BN5">
        <f>2.07+0.215*(BM5^1.7)*(24/100)</f>
        <v>2.241255750541113</v>
      </c>
      <c r="BO5">
        <f>BN5*((600/BG5)^0.67)</f>
        <v>1.657977191320124</v>
      </c>
      <c r="BP5">
        <f>BN5*((600/BH5)^0.67)</f>
        <v>1.6430905277272934</v>
      </c>
      <c r="BQ5">
        <f>BN5*((600/BI5)^0.67)</f>
        <v>1.6019030203734419</v>
      </c>
      <c r="BR5" s="39">
        <f>BO5*(AM5-BB5)</f>
        <v>116.08754178944633</v>
      </c>
      <c r="BS5" s="39">
        <f>BP5*(AD5-BD5)</f>
        <v>0.83205201916655458</v>
      </c>
      <c r="BT5" s="39">
        <f>BQ5*(AU5-BF5)</f>
        <v>3.6237609690738108</v>
      </c>
      <c r="BU5">
        <f>(2.51+1.48*BM5)+(0.39*BM5*LOG10(0.0015))</f>
        <v>3.2768938069574309</v>
      </c>
      <c r="BV5">
        <f>BU5*((600/$BG5)^0.67)</f>
        <v>2.4240942556430167</v>
      </c>
      <c r="BW5">
        <f>BU5*((600/$BH5)^0.67)</f>
        <v>2.4023287718414346</v>
      </c>
      <c r="BX5">
        <f>BU5*((600/$BI5)^0.67)</f>
        <v>2.3421093668318704</v>
      </c>
      <c r="BY5" s="39">
        <f>BV5*($AM5-$BB5)</f>
        <v>169.72920054434036</v>
      </c>
      <c r="BZ5" s="39">
        <f>BW5*($AD5-$BD5)</f>
        <v>1.2165260961472291</v>
      </c>
      <c r="CA5" s="39">
        <f>BX5*($AU5-$BF5)</f>
        <v>5.298226172798481</v>
      </c>
      <c r="CB5" s="42">
        <f>AVERAGE(0.72,0.69,0.4,0.22)</f>
        <v>0.50750000000000006</v>
      </c>
      <c r="CC5">
        <f>CB5*((600/$BG5)^0.67)</f>
        <v>0.3754249930610622</v>
      </c>
      <c r="CD5">
        <f>CB5*((600/$BH5)^0.67)</f>
        <v>0.37205412306037727</v>
      </c>
      <c r="CE5">
        <f>CB5*((600/$BI5)^0.67)</f>
        <v>0.36272780678565808</v>
      </c>
      <c r="CF5" s="39">
        <f>CC5*($AM5-$BB5)</f>
        <v>26.286347483512376</v>
      </c>
      <c r="CG5" s="39">
        <f>CD5*($AD5-$BD5)</f>
        <v>0.18840616454640549</v>
      </c>
      <c r="CH5" s="39">
        <f>CE5*($AU5-$BF5)</f>
        <v>0.82054834275871913</v>
      </c>
      <c r="CI5">
        <v>0.86263901889527161</v>
      </c>
      <c r="CJ5">
        <f>((BG5/BH5)^0.67)*CI5</f>
        <v>0.85489354631363834</v>
      </c>
      <c r="CK5">
        <f>((BH5/BH5)^0.67)*CI5</f>
        <v>0.86263901889527161</v>
      </c>
      <c r="CL5">
        <f>((BI5/BH5)^0.67)*CI5</f>
        <v>0.88481885780099101</v>
      </c>
      <c r="CM5" s="39">
        <f>CJ5*($AM5-$BB5)</f>
        <v>59.857572711355004</v>
      </c>
      <c r="CN5" s="39">
        <f>CK5*($AD5-$BD5)</f>
        <v>0.43683566143885305</v>
      </c>
      <c r="CO5" s="39">
        <f>CL5*($AU5-$BF5)</f>
        <v>2.0016018453178392</v>
      </c>
      <c r="CP5" s="27">
        <f>VLOOKUP(A5,Water!$A$2:$E$109, 5, FALSE)/1000</f>
        <v>7.0999999999999991E-4</v>
      </c>
      <c r="CQ5">
        <f>0.64*CP5</f>
        <v>4.5439999999999993E-4</v>
      </c>
      <c r="CR5" s="19">
        <f>CQ5*1000*(2.5*10^-5)</f>
        <v>1.1359999999999998E-5</v>
      </c>
      <c r="CS5" s="18">
        <f>(-0.0000009*F5^3)+(0.0002*F5^2)-(0.0134*F5)+6.579</f>
        <v>6.4490671935999995</v>
      </c>
      <c r="CT5" s="18">
        <f>CS5-(SQRT(CP5))/(1+1.4*SQRT(CP5))</f>
        <v>6.4233796215858359</v>
      </c>
      <c r="CU5" s="18">
        <f>10^(-CT5)</f>
        <v>3.772422951221066E-7</v>
      </c>
      <c r="CV5" s="18">
        <f>(0.000001*F5^3)+(0.00006*F5^2)-(0.014*F5)+10.625</f>
        <v>10.472234496</v>
      </c>
      <c r="CW5" s="18">
        <f>CV5-(2*SQRT(CR5))/(1+1.4*SQRT(CR5))</f>
        <v>10.465525234795733</v>
      </c>
      <c r="CX5" s="18">
        <f>10^(-CW5)</f>
        <v>3.4235349450816626E-11</v>
      </c>
      <c r="CY5">
        <f>EXP(1246.98+-61900/H5-183*LN(H5))</f>
        <v>9.5750635031078436E-3</v>
      </c>
      <c r="CZ5">
        <f>12.225*(F5^2)+15.258*F5+1125.7</f>
        <v>2947.6887999999999</v>
      </c>
      <c r="DA5" s="15">
        <f>10^(-4470.99/H5+6.0875-0.01706*H5)</f>
        <v>3.3744856155593806E-15</v>
      </c>
      <c r="DB5">
        <f>(10^-I5)</f>
        <v>9.7723722095580911E-9</v>
      </c>
      <c r="DC5">
        <f>DB5^2</f>
        <v>9.5499258602143292E-17</v>
      </c>
      <c r="DD5" s="20">
        <f>((14.6836*10^-9)*((H5/217.2056)-1)^1.997)*100*100</f>
        <v>1.4249218646045663E-5</v>
      </c>
      <c r="DE5">
        <f>CY5+CZ5*DA5/DB5</f>
        <v>1.059292623300025E-2</v>
      </c>
      <c r="DF5">
        <f>1+DC5*(CU5*CX5+CU5*DB5)^-1</f>
        <v>1.0258143280944794</v>
      </c>
      <c r="DG5">
        <f>(DE5*DF5/DD5)^0.5</f>
        <v>27.615113281988751</v>
      </c>
      <c r="DH5">
        <f>DD5/(BO5/60/60)</f>
        <v>3.0939621723577664E-2</v>
      </c>
      <c r="DI5" s="16">
        <f>DF5/((DF5-1)+TANH(DG5*DH5)/(DG5*DH5))</f>
        <v>1.2250984912972864</v>
      </c>
      <c r="DJ5">
        <f>$DI5*BR5</f>
        <v>142.2186723046614</v>
      </c>
      <c r="DK5">
        <f>$DI5*BY5</f>
        <v>207.93498751596593</v>
      </c>
      <c r="DL5">
        <f>$DI5*CF5</f>
        <v>32.20336464376723</v>
      </c>
      <c r="DM5">
        <f>$DI5*CM5</f>
        <v>73.331422021398637</v>
      </c>
    </row>
    <row r="6" spans="1:146" ht="15.75" x14ac:dyDescent="0.25">
      <c r="A6" s="52" t="s">
        <v>323</v>
      </c>
      <c r="B6" s="55" t="s">
        <v>339</v>
      </c>
      <c r="C6" t="s">
        <v>133</v>
      </c>
      <c r="D6" s="57">
        <v>43217</v>
      </c>
      <c r="E6" s="42" t="str">
        <f>A6&amp;D6</f>
        <v>66A43217</v>
      </c>
      <c r="F6" s="3">
        <f>VLOOKUP($E6,Water!$C$2:$E$90, 2, FALSE)</f>
        <v>11.4</v>
      </c>
      <c r="G6" s="3">
        <f>VLOOKUP($E6,Water!$C$2:$E$90, 3, FALSE)</f>
        <v>0.13</v>
      </c>
      <c r="H6" s="1">
        <f>F6+273.15</f>
        <v>284.54999999999995</v>
      </c>
      <c r="I6" s="3">
        <f>VLOOKUP($E6,Water!$C$2:$F$90, 4, FALSE)</f>
        <v>7.45</v>
      </c>
      <c r="J6">
        <f>10^(I6*-1)</f>
        <v>3.5481338923357426E-8</v>
      </c>
      <c r="K6" s="25">
        <f>VLOOKUP($E6,Atm!$D$2:$G$45, 2, FALSE)</f>
        <v>459.45823569072093</v>
      </c>
      <c r="L6" s="25">
        <f>VLOOKUP($E6,Atm!$D$2:$G$45, 3, FALSE)</f>
        <v>8.4175947379717329</v>
      </c>
      <c r="M6" s="25">
        <f>VLOOKUP($E6,Atm!$D$2:$G$45, 4, FALSE)</f>
        <v>0.33156416833357744</v>
      </c>
      <c r="N6" s="21">
        <f>VLOOKUP($C6,Raw!$B$2:$F$353, 3, FALSE)</f>
        <v>458.00212501903951</v>
      </c>
      <c r="O6" s="21">
        <f>VLOOKUP($C6,Raw!$B$2:$F$353, 4, FALSE)</f>
        <v>8.6283880732685834</v>
      </c>
      <c r="P6" s="21">
        <f>VLOOKUP($C6,Raw!$B$2:$F$353, 5, FALSE)</f>
        <v>0.31436191938268693</v>
      </c>
      <c r="Q6" s="14">
        <v>60</v>
      </c>
      <c r="R6" s="25">
        <v>1140</v>
      </c>
      <c r="S6">
        <f>EXP(24.4543-(100/H6*(67.4509))-(4.8489*LN(H6/100))-(0.000544*G6))</f>
        <v>1.3288396669036837E-2</v>
      </c>
      <c r="T6" s="8">
        <f>EXP(-58.0931+90.5069*(100/H6)+22.294*LN(H6/100)+G6*(0.027766-0.025888*(H6/100)+0.0050578*(H6/100)^2))</f>
        <v>5.114893816729775E-2</v>
      </c>
      <c r="U6" s="9">
        <f>(EXP(-67.1962+99.1624*(100/H6)+27.9015*LN(H6/100)+G6*(-0.072909+0.041674*(H6/100)-0.0064603*(H6/100)^2)))</f>
        <v>4.1981247949888785E-2</v>
      </c>
      <c r="V6" s="9">
        <f>(EXP(-64.8539+100.252*(100/H6)+25.2049*LN(H6/100)+(-0.062544+0.035337*(H6/100)-0.0054699*(H6/100)^2)*G6))</f>
        <v>3.8189094217634965E-2</v>
      </c>
      <c r="W6" s="9">
        <f>(EXP(-68.8862+101.4956*(100/H6)+28.7314*LN(H6/100)+G6*(-0.076146+0.04397*(H6/100)-0.0068672*(H6/100)^2)))</f>
        <v>4.1889836325442603E-2</v>
      </c>
      <c r="X6">
        <f>N6*(AZ6-S6)</f>
        <v>423.41140516783975</v>
      </c>
      <c r="Y6">
        <f>O6*(AZ6-S6)</f>
        <v>7.9767270037976514</v>
      </c>
      <c r="Z6">
        <f>((Y6/10^6)*AZ6)/(0.082056*H6)</f>
        <v>3.2036787682313574E-7</v>
      </c>
      <c r="AA6">
        <f>(((L6/10^6)*AZ6)/(0.082056*H6))</f>
        <v>3.3807436971049841E-7</v>
      </c>
      <c r="AB6">
        <f>((Y6/10^6)*U6*1)/(0.082056*H6)</f>
        <v>1.434204698581385E-8</v>
      </c>
      <c r="AC6">
        <f>(Z6*(Q6/1000))+(AB6*(R6/1000))</f>
        <v>3.5572006173215933E-8</v>
      </c>
      <c r="AD6" s="39">
        <f>((AC6-(AA6*(Q6/1000)))/(R6/1000))*1000000</f>
        <v>1.3410126307531604E-2</v>
      </c>
      <c r="AE6" s="39">
        <f>(AD6/((U6*AZ6*1))*(0.0821*273.15))</f>
        <v>7.6388629689330516</v>
      </c>
      <c r="AF6" s="39">
        <f>L6*U6*AZ6*1/(0.0821*273.15)</f>
        <v>1.4777200363574635E-2</v>
      </c>
      <c r="AG6" s="39">
        <f>AD6-AF6</f>
        <v>-1.3670740560430307E-3</v>
      </c>
      <c r="AH6" s="42">
        <f>P6*(AZ6-S6)</f>
        <v>0.29061966035976228</v>
      </c>
      <c r="AI6">
        <f>(((X6/10^6)*(Q6/1000))/(0.082056*H6))</f>
        <v>1.0880400208264876E-6</v>
      </c>
      <c r="AJ6">
        <f>(((K6/10^6)*AZ6)*(Q6/1000))/(0.082056*H6)</f>
        <v>1.1071883948421066E-6</v>
      </c>
      <c r="AK6">
        <f>(X6/10^6)*T6*(R6/1000)</f>
        <v>2.4689029911774677E-5</v>
      </c>
      <c r="AL6">
        <f>AI6+AK6</f>
        <v>2.5777069932601164E-5</v>
      </c>
      <c r="AM6" s="39">
        <f>((AL6-AJ6)/(R6/1000))*1000000</f>
        <v>21.640246962946541</v>
      </c>
      <c r="AN6" s="39">
        <f>AM6/(T6*AZ6)</f>
        <v>451.16190716670309</v>
      </c>
      <c r="AO6" s="39">
        <f>(K6*AZ6)*T6</f>
        <v>22.038185253599138</v>
      </c>
      <c r="AP6" s="39">
        <f>AM6-AO6</f>
        <v>-0.397938290652597</v>
      </c>
      <c r="AQ6">
        <f>(((AH6/10^6)*(Q6/1000))/(0.082056*H6))</f>
        <v>7.4680515794107857E-10</v>
      </c>
      <c r="AR6">
        <f>(((M6/10^6)*AZ6)*(Q6/1000))/(0.082056*H6)</f>
        <v>7.9899318546881689E-10</v>
      </c>
      <c r="AS6">
        <f>(AH6/10^6)*V6*(R6/1000)</f>
        <v>1.2652291813712679E-8</v>
      </c>
      <c r="AT6">
        <f>AQ6+AS6</f>
        <v>1.3399096971653759E-8</v>
      </c>
      <c r="AU6" s="39">
        <f>((AT6-AR6)/(R6/1000))*1000000000</f>
        <v>11.052722619460477</v>
      </c>
      <c r="AV6" s="39">
        <f>(AU6/1000)/(V6*AZ6)</f>
        <v>0.30862901074316978</v>
      </c>
      <c r="AW6" s="39">
        <f>(M6*AZ6)*V6*1000</f>
        <v>11.874083950561458</v>
      </c>
      <c r="AX6" s="39">
        <f>AU6-AW6</f>
        <v>-0.82136133110098086</v>
      </c>
      <c r="AY6" s="26">
        <f>VLOOKUP($E6,Water!$C$2:$G$90, 5, FALSE)</f>
        <v>712.7</v>
      </c>
      <c r="AZ6">
        <f>AY6/760</f>
        <v>0.93776315789473685</v>
      </c>
      <c r="BA6" s="3">
        <f>Assumptions!$B$3</f>
        <v>406.07</v>
      </c>
      <c r="BB6" s="3">
        <f>BA6*AZ6*T6</f>
        <v>19.477387041447987</v>
      </c>
      <c r="BC6" s="3">
        <f>Assumptions!$B$4</f>
        <v>1.8474300000000001</v>
      </c>
      <c r="BD6" s="45">
        <f>BC6*AZ6*U6*1/(0.0821*273.15)</f>
        <v>3.2431881217242758E-3</v>
      </c>
      <c r="BE6" s="3">
        <f>Assumptions!$B$2</f>
        <v>0.33054499999999998</v>
      </c>
      <c r="BF6" s="44">
        <f>BE6*AZ6*V6*1000</f>
        <v>11.837585162367684</v>
      </c>
      <c r="BG6">
        <f>1923.6+(-125.06*F6)+(4.3773*(F6^2))+(-0.085681*(F6^3))+(0.00070284*(F6^4))</f>
        <v>951.72042412454391</v>
      </c>
      <c r="BH6">
        <f>1909.4+(-120.78*F6)+(4.1555*(F6^2))+(-0.080578*(F6^3))+(0.00065777*(F6^4))</f>
        <v>964.28640081243213</v>
      </c>
      <c r="BI6">
        <f>2141.2+(-152.56*F6)+(5.8963*(F6^2))+(-0.12411*(F6^3))+(0.0010655*(F6^4))</f>
        <v>1002.4205926648001</v>
      </c>
      <c r="BJ6" s="25">
        <f>VLOOKUP(E6,Wind!$C$2:$E$109,3, FALSE)</f>
        <v>1.8333333333333333</v>
      </c>
      <c r="BK6" s="44">
        <v>1.66</v>
      </c>
      <c r="BL6">
        <f>BK6/(1-(((1.3*10^-3)^0.5)/0.41)*LN(10/1.5))</f>
        <v>1.9923982880693825</v>
      </c>
      <c r="BM6">
        <f>BK6*1.22</f>
        <v>2.0251999999999999</v>
      </c>
      <c r="BN6">
        <f>2.07+0.215*(BM6^1.7)*(24/100)</f>
        <v>2.241255750541113</v>
      </c>
      <c r="BO6">
        <f>BN6*((600/BG6)^0.67)</f>
        <v>1.6453241173326298</v>
      </c>
      <c r="BP6">
        <f>BN6*((600/BH6)^0.67)</f>
        <v>1.6309276907801846</v>
      </c>
      <c r="BQ6">
        <f>BN6*((600/BI6)^0.67)</f>
        <v>1.5890928302451592</v>
      </c>
      <c r="BR6" s="39">
        <f>BO6*(AM6-BB6)</f>
        <v>3.5586055912537309</v>
      </c>
      <c r="BS6" s="39">
        <f>BP6*(AD6-BD6)</f>
        <v>1.6581541017683627E-2</v>
      </c>
      <c r="BT6" s="39">
        <f>BQ6*(AU6-BF6)</f>
        <v>-1.2472194396618272</v>
      </c>
      <c r="BU6">
        <f>(2.51+1.48*BM6)+(0.39*BM6*LOG10(0.0015))</f>
        <v>3.2768938069574309</v>
      </c>
      <c r="BV6">
        <f>BU6*((600/$BG6)^0.67)</f>
        <v>2.4055944571356025</v>
      </c>
      <c r="BW6">
        <f>BU6*((600/$BH6)^0.67)</f>
        <v>2.3845457387996269</v>
      </c>
      <c r="BX6">
        <f>BU6*((600/$BI6)^0.67)</f>
        <v>2.3233798520555307</v>
      </c>
      <c r="BY6" s="39">
        <f>BV6*($AM6-$BB6)</f>
        <v>5.2029638387176682</v>
      </c>
      <c r="BZ6" s="39">
        <f>BW6*($AD6-$BD6)</f>
        <v>2.4243529127606075E-2</v>
      </c>
      <c r="CA6" s="39">
        <f>BX6*($AU6-$BF6)</f>
        <v>-1.8235338188236756</v>
      </c>
      <c r="CB6" s="42">
        <f>AVERAGE(0.72,0.69,0.4,0.22)</f>
        <v>0.50750000000000006</v>
      </c>
      <c r="CC6">
        <f>CB6*((600/$BG6)^0.67)</f>
        <v>0.37255988717249816</v>
      </c>
      <c r="CD6">
        <f>CB6*((600/$BH6)^0.67)</f>
        <v>0.36930002427037201</v>
      </c>
      <c r="CE6">
        <f>CB6*((600/$BI6)^0.67)</f>
        <v>0.35982712421583807</v>
      </c>
      <c r="CF6" s="39">
        <f>CC6*($AM6-$BB6)</f>
        <v>0.80579484832341985</v>
      </c>
      <c r="CG6" s="39">
        <f>CD6*($AD6-$BD6)</f>
        <v>3.7546505187740181E-3</v>
      </c>
      <c r="CH6" s="39">
        <f>CE6*($AU6-$BF6)</f>
        <v>-0.28241483171903031</v>
      </c>
      <c r="CI6">
        <v>0.86263901889527161</v>
      </c>
      <c r="CJ6">
        <f>((BG6/BH6)^0.67)*CI6</f>
        <v>0.85509101109184116</v>
      </c>
      <c r="CK6">
        <f>((BH6/BH6)^0.67)*CI6</f>
        <v>0.86263901889527161</v>
      </c>
      <c r="CL6">
        <f>((BI6/BH6)^0.67)*CI6</f>
        <v>0.88534907230479276</v>
      </c>
      <c r="CM6" s="39">
        <f>CJ6*($AM6-$BB6)</f>
        <v>1.8494420771242195</v>
      </c>
      <c r="CN6" s="39">
        <f>CK6*($AD6-$BD6)</f>
        <v>8.7703975817737066E-3</v>
      </c>
      <c r="CO6" s="39">
        <f>CL6*($AU6-$BF6)</f>
        <v>-0.69487732424967685</v>
      </c>
      <c r="CP6" s="27">
        <f>VLOOKUP(A6,Water!$A$2:$E$109, 5, FALSE)/1000</f>
        <v>1.3000000000000002E-4</v>
      </c>
      <c r="CQ6">
        <f>0.64*CP6</f>
        <v>8.3200000000000017E-5</v>
      </c>
      <c r="CR6" s="19">
        <f>CQ6*1000*(2.5*10^-5)</f>
        <v>2.0800000000000004E-6</v>
      </c>
      <c r="CS6" s="18">
        <f>(-0.0000009*F6^3)+(0.0002*F6^2)-(0.0134*F6)+6.579</f>
        <v>6.4508986103999995</v>
      </c>
      <c r="CT6" s="18">
        <f>CS6-(SQRT(CP6))/(1+1.4*SQRT(CP6))</f>
        <v>6.4396759966270185</v>
      </c>
      <c r="CU6" s="18">
        <f>10^(-CT6)</f>
        <v>3.6334902852650811E-7</v>
      </c>
      <c r="CV6" s="18">
        <f>(0.000001*F6^3)+(0.00006*F6^2)-(0.014*F6)+10.625</f>
        <v>10.474679144</v>
      </c>
      <c r="CW6" s="18">
        <f>CV6-(2*SQRT(CR6))/(1+1.4*SQRT(CR6))</f>
        <v>10.471800515244034</v>
      </c>
      <c r="CX6" s="18">
        <f>10^(-CW6)</f>
        <v>3.3744227063594882E-11</v>
      </c>
      <c r="CY6">
        <f>EXP(1246.98+-61900/H6-183*LN(H6))</f>
        <v>9.3460139425233114E-3</v>
      </c>
      <c r="CZ6">
        <f>12.225*(F6^2)+15.258*F6+1125.7</f>
        <v>2888.4022</v>
      </c>
      <c r="DA6" s="15">
        <f>10^(-4470.99/H6+6.0875-0.01706*H6)</f>
        <v>3.3157638270578669E-15</v>
      </c>
      <c r="DB6">
        <f>(10^-I6)</f>
        <v>3.5481338923357426E-8</v>
      </c>
      <c r="DC6">
        <f>DB6^2</f>
        <v>1.2589254117941586E-15</v>
      </c>
      <c r="DD6" s="20">
        <f>((14.6836*10^-9)*((H6/217.2056)-1)^1.997)*100*100</f>
        <v>1.4165085284782597E-5</v>
      </c>
      <c r="DE6">
        <f>CY6+CZ6*DA6/DB6</f>
        <v>9.6159377904773587E-3</v>
      </c>
      <c r="DF6">
        <f>1+DC6*(CU6*CX6+CU6*DB6)^-1</f>
        <v>1.0975580611890292</v>
      </c>
      <c r="DG6">
        <f>(DE6*DF6/DD6)^0.5</f>
        <v>27.296060848114539</v>
      </c>
      <c r="DH6">
        <f>DD6/(BO6/60/60)</f>
        <v>3.0993472038742382E-2</v>
      </c>
      <c r="DI6" s="16">
        <f>DF6/((DF6-1)+TANH(DG6*DH6)/(DG6*DH6))</f>
        <v>1.2035311038815151</v>
      </c>
      <c r="DJ6">
        <f>$DI6*BR6</f>
        <v>4.2828925155205342</v>
      </c>
      <c r="DK6">
        <f>$DI6*BY6</f>
        <v>6.2619288122674801</v>
      </c>
      <c r="DL6">
        <f>$DI6*CF6</f>
        <v>0.96979916330472349</v>
      </c>
      <c r="DM6">
        <f>$DI6*CM6</f>
        <v>2.2258610646462342</v>
      </c>
    </row>
    <row r="7" spans="1:146" ht="15.75" x14ac:dyDescent="0.25">
      <c r="A7" s="52" t="s">
        <v>323</v>
      </c>
      <c r="B7" s="55" t="s">
        <v>340</v>
      </c>
      <c r="C7" t="s">
        <v>134</v>
      </c>
      <c r="D7" s="57">
        <v>43217</v>
      </c>
      <c r="E7" s="42" t="str">
        <f>A7&amp;D7</f>
        <v>66A43217</v>
      </c>
      <c r="F7" s="3">
        <f>VLOOKUP($E7,Water!$C$2:$E$90, 2, FALSE)</f>
        <v>11.4</v>
      </c>
      <c r="G7" s="3">
        <f>VLOOKUP($E7,Water!$C$2:$E$90, 3, FALSE)</f>
        <v>0.13</v>
      </c>
      <c r="H7" s="1">
        <f>F7+273.15</f>
        <v>284.54999999999995</v>
      </c>
      <c r="I7" s="3">
        <f>VLOOKUP($E7,Water!$C$2:$F$90, 4, FALSE)</f>
        <v>7.45</v>
      </c>
      <c r="J7">
        <f>10^(I7*-1)</f>
        <v>3.5481338923357426E-8</v>
      </c>
      <c r="K7" s="25">
        <f>VLOOKUP($E7,Atm!$D$2:$G$45, 2, FALSE)</f>
        <v>459.45823569072093</v>
      </c>
      <c r="L7" s="25">
        <f>VLOOKUP($E7,Atm!$D$2:$G$45, 3, FALSE)</f>
        <v>8.4175947379717329</v>
      </c>
      <c r="M7" s="25">
        <f>VLOOKUP($E7,Atm!$D$2:$G$45, 4, FALSE)</f>
        <v>0.33156416833357744</v>
      </c>
      <c r="N7" s="21">
        <f>VLOOKUP($C7,Raw!$B$2:$F$353, 3, FALSE)</f>
        <v>2462.7187521983428</v>
      </c>
      <c r="O7" s="21">
        <f>VLOOKUP($C7,Raw!$B$2:$F$353, 4, FALSE)</f>
        <v>4.4701190381920393</v>
      </c>
      <c r="P7" s="21">
        <f>VLOOKUP($C7,Raw!$B$2:$F$353, 5, FALSE)</f>
        <v>0.4452405631026809</v>
      </c>
      <c r="Q7" s="14">
        <v>60</v>
      </c>
      <c r="R7" s="25">
        <v>1140</v>
      </c>
      <c r="S7">
        <f>EXP(24.4543-(100/H7*(67.4509))-(4.8489*LN(H7/100))-(0.000544*G7))</f>
        <v>1.3288396669036837E-2</v>
      </c>
      <c r="T7" s="8">
        <f>EXP(-58.0931+90.5069*(100/H7)+22.294*LN(H7/100)+G7*(0.027766-0.025888*(H7/100)+0.0050578*(H7/100)^2))</f>
        <v>5.114893816729775E-2</v>
      </c>
      <c r="U7" s="9">
        <f>(EXP(-67.1962+99.1624*(100/H7)+27.9015*LN(H7/100)+G7*(-0.072909+0.041674*(H7/100)-0.0064603*(H7/100)^2)))</f>
        <v>4.1981247949888785E-2</v>
      </c>
      <c r="V7" s="9">
        <f>(EXP(-64.8539+100.252*(100/H7)+25.2049*LN(H7/100)+(-0.062544+0.035337*(H7/100)-0.0054699*(H7/100)^2)*G7))</f>
        <v>3.8189094217634965E-2</v>
      </c>
      <c r="W7" s="9">
        <f>(EXP(-68.8862+101.4956*(100/H7)+28.7314*LN(H7/100)+G7*(-0.076146+0.04397*(H7/100)-0.0068672*(H7/100)^2)))</f>
        <v>4.1889836325442603E-2</v>
      </c>
      <c r="X7">
        <f>N7*(AZ7-S7)</f>
        <v>2276.7213304046168</v>
      </c>
      <c r="Y7">
        <f>O7*(AZ7-S7)</f>
        <v>4.1325122304830417</v>
      </c>
      <c r="Z7">
        <f>((Y7/10^6)*AZ7)/(0.082056*H7)</f>
        <v>1.659733583204219E-7</v>
      </c>
      <c r="AA7">
        <f>(((L7/10^6)*AZ7)/(0.082056*H7))</f>
        <v>3.3807436971049841E-7</v>
      </c>
      <c r="AB7">
        <f>((Y7/10^6)*U7*1)/(0.082056*H7)</f>
        <v>7.4302009521976706E-9</v>
      </c>
      <c r="AC7">
        <f>(Z7*(Q7/1000))+(AB7*(R7/1000))</f>
        <v>1.8428830584730658E-8</v>
      </c>
      <c r="AD7" s="39">
        <f>((AC7-(AA7*(Q7/1000)))/(R7/1000))*1000000</f>
        <v>-1.6277470157010946E-3</v>
      </c>
      <c r="AE7" s="39">
        <f>(AD7/((U7*AZ7*1))*(0.0821*273.15))</f>
        <v>-0.92721993185455132</v>
      </c>
      <c r="AF7" s="39">
        <f>L7*U7*AZ7*1/(0.0821*273.15)</f>
        <v>1.4777200363574635E-2</v>
      </c>
      <c r="AG7" s="39">
        <f>AD7-AF7</f>
        <v>-1.6404947379275728E-2</v>
      </c>
      <c r="AH7" s="42">
        <f>P7*(AZ7-S7)</f>
        <v>0.41161366326234716</v>
      </c>
      <c r="AI7">
        <f>(((X7/10^6)*(Q7/1000))/(0.082056*H7))</f>
        <v>5.8504893668785399E-6</v>
      </c>
      <c r="AJ7">
        <f>(((K7/10^6)*AZ7)*(Q7/1000))/(0.082056*H7)</f>
        <v>1.1071883948421066E-6</v>
      </c>
      <c r="AK7">
        <f>(X7/10^6)*T7*(R7/1000)</f>
        <v>1.3275514155045831E-4</v>
      </c>
      <c r="AL7">
        <f>AI7+AK7</f>
        <v>1.3860563091733685E-4</v>
      </c>
      <c r="AM7" s="39">
        <f>((AL7-AJ7)/(R7/1000))*1000000</f>
        <v>120.61266887938137</v>
      </c>
      <c r="AN7" s="39">
        <f>AM7/(T7*AZ7)</f>
        <v>2514.5665764933806</v>
      </c>
      <c r="AO7" s="39">
        <f>(K7*AZ7)*T7</f>
        <v>22.038185253599138</v>
      </c>
      <c r="AP7" s="39">
        <f>AM7-AO7</f>
        <v>98.574483625782236</v>
      </c>
      <c r="AQ7">
        <f>(((AH7/10^6)*(Q7/1000))/(0.082056*H7))</f>
        <v>1.0577233708924376E-9</v>
      </c>
      <c r="AR7">
        <f>(((M7/10^6)*AZ7)*(Q7/1000))/(0.082056*H7)</f>
        <v>7.9899318546881689E-10</v>
      </c>
      <c r="AS7">
        <f>(AH7/10^6)*V7*(R7/1000)</f>
        <v>1.7919834383054478E-8</v>
      </c>
      <c r="AT7">
        <f>AQ7+AS7</f>
        <v>1.8977557753946916E-8</v>
      </c>
      <c r="AU7" s="39">
        <f>((AT7-AR7)/(R7/1000))*1000000000</f>
        <v>15.946109270594825</v>
      </c>
      <c r="AV7" s="39">
        <f>(AU7/1000)/(V7*AZ7)</f>
        <v>0.44526874498062835</v>
      </c>
      <c r="AW7" s="39">
        <f>(M7*AZ7)*V7*1000</f>
        <v>11.874083950561458</v>
      </c>
      <c r="AX7" s="39">
        <f>AU7-AW7</f>
        <v>4.0720253200333669</v>
      </c>
      <c r="AY7" s="26">
        <f>VLOOKUP($E7,Water!$C$2:$G$90, 5, FALSE)</f>
        <v>712.7</v>
      </c>
      <c r="AZ7">
        <f>AY7/760</f>
        <v>0.93776315789473685</v>
      </c>
      <c r="BA7" s="3">
        <f>Assumptions!$B$3</f>
        <v>406.07</v>
      </c>
      <c r="BB7" s="3">
        <f>BA7*AZ7*T7</f>
        <v>19.477387041447987</v>
      </c>
      <c r="BC7" s="3">
        <f>Assumptions!$B$4</f>
        <v>1.8474300000000001</v>
      </c>
      <c r="BD7" s="45">
        <f>BC7*AZ7*U7*1/(0.0821*273.15)</f>
        <v>3.2431881217242758E-3</v>
      </c>
      <c r="BE7" s="3">
        <f>Assumptions!$B$2</f>
        <v>0.33054499999999998</v>
      </c>
      <c r="BF7" s="44">
        <f>BE7*AZ7*V7*1000</f>
        <v>11.837585162367684</v>
      </c>
      <c r="BG7">
        <f>1923.6+(-125.06*F7)+(4.3773*(F7^2))+(-0.085681*(F7^3))+(0.00070284*(F7^4))</f>
        <v>951.72042412454391</v>
      </c>
      <c r="BH7">
        <f>1909.4+(-120.78*F7)+(4.1555*(F7^2))+(-0.080578*(F7^3))+(0.00065777*(F7^4))</f>
        <v>964.28640081243213</v>
      </c>
      <c r="BI7">
        <f>2141.2+(-152.56*F7)+(5.8963*(F7^2))+(-0.12411*(F7^3))+(0.0010655*(F7^4))</f>
        <v>1002.4205926648001</v>
      </c>
      <c r="BJ7" s="25">
        <f>VLOOKUP(E7,Wind!$C$2:$E$109,3, FALSE)</f>
        <v>1.8333333333333333</v>
      </c>
      <c r="BK7" s="44">
        <v>1.66</v>
      </c>
      <c r="BL7">
        <f>BK7/(1-(((1.3*10^-3)^0.5)/0.41)*LN(10/1.5))</f>
        <v>1.9923982880693825</v>
      </c>
      <c r="BM7">
        <f>BK7*1.22</f>
        <v>2.0251999999999999</v>
      </c>
      <c r="BN7">
        <f>2.07+0.215*(BM7^1.7)*(24/100)</f>
        <v>2.241255750541113</v>
      </c>
      <c r="BO7">
        <f>BN7*((600/BG7)^0.67)</f>
        <v>1.6453241173326298</v>
      </c>
      <c r="BP7">
        <f>BN7*((600/BH7)^0.67)</f>
        <v>1.6309276907801846</v>
      </c>
      <c r="BQ7">
        <f>BN7*((600/BI7)^0.67)</f>
        <v>1.5890928302451592</v>
      </c>
      <c r="BR7" s="39">
        <f>BO7*(AM7-BB7)</f>
        <v>166.4003183211845</v>
      </c>
      <c r="BS7" s="39">
        <f>BP7*(AD7-BD7)</f>
        <v>-7.9441429956212204E-3</v>
      </c>
      <c r="BT7" s="39">
        <f>BQ7*(AU7-BF7)</f>
        <v>6.5288262032731348</v>
      </c>
      <c r="BU7">
        <f>(2.51+1.48*BM7)+(0.39*BM7*LOG10(0.0015))</f>
        <v>3.2768938069574309</v>
      </c>
      <c r="BV7">
        <f>BU7*((600/$BG7)^0.67)</f>
        <v>2.4055944571356025</v>
      </c>
      <c r="BW7">
        <f>BU7*((600/$BH7)^0.67)</f>
        <v>2.3845457387996269</v>
      </c>
      <c r="BX7">
        <f>BU7*((600/$BI7)^0.67)</f>
        <v>2.3233798520555307</v>
      </c>
      <c r="BY7" s="39">
        <f>BV7*($AM7-$BB7)</f>
        <v>243.29047341017954</v>
      </c>
      <c r="BZ7" s="39">
        <f>BW7*($AD7-$BD7)</f>
        <v>-1.1614967625917043E-2</v>
      </c>
      <c r="CA7" s="39">
        <f>BX7*($AU7-$BF7)</f>
        <v>9.545662134739354</v>
      </c>
      <c r="CB7" s="42">
        <f>AVERAGE(0.72,0.69,0.4,0.22)</f>
        <v>0.50750000000000006</v>
      </c>
      <c r="CC7">
        <f>CB7*((600/$BG7)^0.67)</f>
        <v>0.37255988717249816</v>
      </c>
      <c r="CD7">
        <f>CB7*((600/$BH7)^0.67)</f>
        <v>0.36930002427037201</v>
      </c>
      <c r="CE7">
        <f>CB7*((600/$BI7)^0.67)</f>
        <v>0.35982712421583807</v>
      </c>
      <c r="CF7" s="39">
        <f>CC7*($AM7-$BB7)</f>
        <v>37.678949190699264</v>
      </c>
      <c r="CG7" s="39">
        <f>CD7*($AD7-$BD7)</f>
        <v>-1.798836464470597E-3</v>
      </c>
      <c r="CH7" s="39">
        <f>CE7*($AU7-$BF7)</f>
        <v>1.4783584146348125</v>
      </c>
      <c r="CI7">
        <v>0.86263901889527161</v>
      </c>
      <c r="CJ7">
        <f>((BG7/BH7)^0.67)*CI7</f>
        <v>0.85509101109184116</v>
      </c>
      <c r="CK7">
        <f>((BH7/BH7)^0.67)*CI7</f>
        <v>0.86263901889527161</v>
      </c>
      <c r="CL7">
        <f>((BI7/BH7)^0.67)*CI7</f>
        <v>0.88534907230479276</v>
      </c>
      <c r="CM7" s="39">
        <f>CJ7*($AM7-$BB7)</f>
        <v>86.479870403856779</v>
      </c>
      <c r="CN7" s="39">
        <f>CK7*($AD7-$BD7)</f>
        <v>-4.2018587080511266E-3</v>
      </c>
      <c r="CO7" s="39">
        <f>CL7*($AU7-$BF7)</f>
        <v>3.6374780077607745</v>
      </c>
      <c r="CP7" s="27">
        <f>VLOOKUP(A7,Water!$A$2:$E$109, 5, FALSE)/1000</f>
        <v>1.3000000000000002E-4</v>
      </c>
      <c r="CQ7">
        <f>0.64*CP7</f>
        <v>8.3200000000000017E-5</v>
      </c>
      <c r="CR7" s="19">
        <f>CQ7*1000*(2.5*10^-5)</f>
        <v>2.0800000000000004E-6</v>
      </c>
      <c r="CS7" s="18">
        <f>(-0.0000009*F7^3)+(0.0002*F7^2)-(0.0134*F7)+6.579</f>
        <v>6.4508986103999995</v>
      </c>
      <c r="CT7" s="18">
        <f>CS7-(SQRT(CP7))/(1+1.4*SQRT(CP7))</f>
        <v>6.4396759966270185</v>
      </c>
      <c r="CU7" s="18">
        <f>10^(-CT7)</f>
        <v>3.6334902852650811E-7</v>
      </c>
      <c r="CV7" s="18">
        <f>(0.000001*F7^3)+(0.00006*F7^2)-(0.014*F7)+10.625</f>
        <v>10.474679144</v>
      </c>
      <c r="CW7" s="18">
        <f>CV7-(2*SQRT(CR7))/(1+1.4*SQRT(CR7))</f>
        <v>10.471800515244034</v>
      </c>
      <c r="CX7" s="18">
        <f>10^(-CW7)</f>
        <v>3.3744227063594882E-11</v>
      </c>
      <c r="CY7">
        <f>EXP(1246.98+-61900/H7-183*LN(H7))</f>
        <v>9.3460139425233114E-3</v>
      </c>
      <c r="CZ7">
        <f>12.225*(F7^2)+15.258*F7+1125.7</f>
        <v>2888.4022</v>
      </c>
      <c r="DA7" s="15">
        <f>10^(-4470.99/H7+6.0875-0.01706*H7)</f>
        <v>3.3157638270578669E-15</v>
      </c>
      <c r="DB7">
        <f>(10^-I7)</f>
        <v>3.5481338923357426E-8</v>
      </c>
      <c r="DC7">
        <f>DB7^2</f>
        <v>1.2589254117941586E-15</v>
      </c>
      <c r="DD7" s="20">
        <f>((14.6836*10^-9)*((H7/217.2056)-1)^1.997)*100*100</f>
        <v>1.4165085284782597E-5</v>
      </c>
      <c r="DE7">
        <f>CY7+CZ7*DA7/DB7</f>
        <v>9.6159377904773587E-3</v>
      </c>
      <c r="DF7">
        <f>1+DC7*(CU7*CX7+CU7*DB7)^-1</f>
        <v>1.0975580611890292</v>
      </c>
      <c r="DG7">
        <f>(DE7*DF7/DD7)^0.5</f>
        <v>27.296060848114539</v>
      </c>
      <c r="DH7">
        <f>DD7/(BO7/60/60)</f>
        <v>3.0993472038742382E-2</v>
      </c>
      <c r="DI7" s="16">
        <f>DF7/((DF7-1)+TANH(DG7*DH7)/(DG7*DH7))</f>
        <v>1.2035311038815151</v>
      </c>
      <c r="DJ7">
        <f>$DI7*BR7</f>
        <v>200.26795879533069</v>
      </c>
      <c r="DK7">
        <f>$DI7*BY7</f>
        <v>292.80765202720977</v>
      </c>
      <c r="DL7">
        <f>$DI7*CF7</f>
        <v>45.3477873125778</v>
      </c>
      <c r="DM7">
        <f>$DI7*CM7</f>
        <v>104.08121389068411</v>
      </c>
    </row>
    <row r="8" spans="1:146" ht="15.75" x14ac:dyDescent="0.25">
      <c r="A8" s="51" t="s">
        <v>323</v>
      </c>
      <c r="B8" s="54" t="s">
        <v>341</v>
      </c>
      <c r="C8" s="48" t="s">
        <v>135</v>
      </c>
      <c r="D8" s="57">
        <v>43217</v>
      </c>
      <c r="E8" s="42" t="str">
        <f>A8&amp;D8</f>
        <v>66A43217</v>
      </c>
      <c r="F8" s="3">
        <f>VLOOKUP($E8,Water!$C$2:$E$90, 2, FALSE)</f>
        <v>11.4</v>
      </c>
      <c r="G8" s="3">
        <f>VLOOKUP($E8,Water!$C$2:$E$90, 3, FALSE)</f>
        <v>0.13</v>
      </c>
      <c r="H8" s="1">
        <f>F8+273.15</f>
        <v>284.54999999999995</v>
      </c>
      <c r="I8" s="3">
        <f>VLOOKUP($E8,Water!$C$2:$F$90, 4, FALSE)</f>
        <v>7.45</v>
      </c>
      <c r="J8">
        <f>10^(I8*-1)</f>
        <v>3.5481338923357426E-8</v>
      </c>
      <c r="K8" s="25">
        <f>VLOOKUP($E8,Atm!$D$2:$G$45, 2, FALSE)</f>
        <v>459.45823569072093</v>
      </c>
      <c r="L8" s="25">
        <f>VLOOKUP($E8,Atm!$D$2:$G$45, 3, FALSE)</f>
        <v>8.4175947379717329</v>
      </c>
      <c r="M8" s="25">
        <f>VLOOKUP($E8,Atm!$D$2:$G$45, 4, FALSE)</f>
        <v>0.33156416833357744</v>
      </c>
      <c r="N8" s="21">
        <f>VLOOKUP($C8,Raw!$B$2:$F$353, 3, FALSE)</f>
        <v>2392.7399999999998</v>
      </c>
      <c r="O8" s="21">
        <f>VLOOKUP($C8,Raw!$B$2:$F$353, 4, FALSE)</f>
        <v>4.1609999999999996</v>
      </c>
      <c r="P8" s="21">
        <f>VLOOKUP($C8,Raw!$B$2:$F$353, 5, FALSE)</f>
        <v>0.41299999999999998</v>
      </c>
      <c r="Q8" s="14">
        <v>60</v>
      </c>
      <c r="R8" s="25">
        <v>1140</v>
      </c>
      <c r="S8">
        <f>EXP(24.4543-(100/H8*(67.4509))-(4.8489*LN(H8/100))-(0.000544*G8))</f>
        <v>1.3288396669036837E-2</v>
      </c>
      <c r="T8" s="8">
        <f>EXP(-58.0931+90.5069*(100/H8)+22.294*LN(H8/100)+G8*(0.027766-0.025888*(H8/100)+0.0050578*(H8/100)^2))</f>
        <v>5.114893816729775E-2</v>
      </c>
      <c r="U8" s="9">
        <f>(EXP(-67.1962+99.1624*(100/H8)+27.9015*LN(H8/100)+G8*(-0.072909+0.041674*(H8/100)-0.0064603*(H8/100)^2)))</f>
        <v>4.1981247949888785E-2</v>
      </c>
      <c r="V8" s="9">
        <f>(EXP(-64.8539+100.252*(100/H8)+25.2049*LN(H8/100)+(-0.062544+0.035337*(H8/100)-0.0054699*(H8/100)^2)*G8))</f>
        <v>3.8189094217634965E-2</v>
      </c>
      <c r="W8" s="9">
        <f>(EXP(-68.8862+101.4956*(100/H8)+28.7314*LN(H8/100)+G8*(-0.076146+0.04397*(H8/100)-0.0068672*(H8/100)^2)))</f>
        <v>4.1889836325442603E-2</v>
      </c>
      <c r="X8">
        <f>N8*(AZ8-S8)</f>
        <v>2212.0277401751814</v>
      </c>
      <c r="Y8">
        <f>O8*(AZ8-S8)</f>
        <v>3.8467394814601374</v>
      </c>
      <c r="Z8">
        <f>((Y8/10^6)*AZ8)/(0.082056*H8)</f>
        <v>1.5449591790973824E-7</v>
      </c>
      <c r="AA8">
        <f>(((L8/10^6)*AZ8)/(0.082056*H8))</f>
        <v>3.3807436971049841E-7</v>
      </c>
      <c r="AB8">
        <f>((Y8/10^6)*U8*1)/(0.082056*H8)</f>
        <v>6.9163854246259743E-9</v>
      </c>
      <c r="AC8">
        <f>(Z8*(Q8/1000))+(AB8*(R8/1000))</f>
        <v>1.7154434458657904E-8</v>
      </c>
      <c r="AD8" s="39">
        <f>((AC8-(AA8*(Q8/1000)))/(R8/1000))*1000000</f>
        <v>-2.7456383543614047E-3</v>
      </c>
      <c r="AE8" s="39">
        <f>(AD8/((U8*AZ8*1))*(0.0821*273.15))</f>
        <v>-1.5640087699572316</v>
      </c>
      <c r="AF8" s="39">
        <f>L8*U8*AZ8*1/(0.0821*273.15)</f>
        <v>1.4777200363574635E-2</v>
      </c>
      <c r="AG8" s="39">
        <f>AD8-AF8</f>
        <v>-1.7522838717936039E-2</v>
      </c>
      <c r="AH8" s="42">
        <f>P8*(AZ8-S8)</f>
        <v>0.38180807638621411</v>
      </c>
      <c r="AI8">
        <f>(((X8/10^6)*(Q8/1000))/(0.082056*H8))</f>
        <v>5.6842462888663342E-6</v>
      </c>
      <c r="AJ8">
        <f>(((K8/10^6)*AZ8)*(Q8/1000))/(0.082056*H8)</f>
        <v>1.1071883948421066E-6</v>
      </c>
      <c r="AK8">
        <f>(X8/10^6)*T8*(R8/1000)</f>
        <v>1.2898287192148717E-4</v>
      </c>
      <c r="AL8">
        <f>AI8+AK8</f>
        <v>1.346671182103535E-4</v>
      </c>
      <c r="AM8" s="39">
        <f>((AL8-AJ8)/(R8/1000))*1000000</f>
        <v>117.15783317150124</v>
      </c>
      <c r="AN8" s="39">
        <f>AM8/(T8*AZ8)</f>
        <v>2442.5391976199467</v>
      </c>
      <c r="AO8" s="39">
        <f>(K8*AZ8)*T8</f>
        <v>22.038185253599138</v>
      </c>
      <c r="AP8" s="39">
        <f>AM8-AO8</f>
        <v>95.1196479179021</v>
      </c>
      <c r="AQ8">
        <f>(((AH8/10^6)*(Q8/1000))/(0.082056*H8))</f>
        <v>9.8113197309435879E-10</v>
      </c>
      <c r="AR8">
        <f>(((M8/10^6)*AZ8)*(Q8/1000))/(0.082056*H8)</f>
        <v>7.9899318546881689E-10</v>
      </c>
      <c r="AS8">
        <f>(AH8/10^6)*V8*(R8/1000)</f>
        <v>1.662223124647049E-8</v>
      </c>
      <c r="AT8">
        <f>AQ8+AS8</f>
        <v>1.7603363219564849E-8</v>
      </c>
      <c r="AU8" s="39">
        <f>((AT8-AR8)/(R8/1000))*1000000000</f>
        <v>14.740675468505293</v>
      </c>
      <c r="AV8" s="39">
        <f>(AU8/1000)/(V8*AZ8)</f>
        <v>0.41160899844901494</v>
      </c>
      <c r="AW8" s="39">
        <f>(M8*AZ8)*V8*1000</f>
        <v>11.874083950561458</v>
      </c>
      <c r="AX8" s="39">
        <f>AU8-AW8</f>
        <v>2.866591517943835</v>
      </c>
      <c r="AY8" s="26">
        <f>VLOOKUP($E8,Water!$C$2:$G$90, 5, FALSE)</f>
        <v>712.7</v>
      </c>
      <c r="AZ8">
        <f>AY8/760</f>
        <v>0.93776315789473685</v>
      </c>
      <c r="BA8" s="3">
        <f>Assumptions!$B$3</f>
        <v>406.07</v>
      </c>
      <c r="BB8" s="3">
        <f>BA8*AZ8*T8</f>
        <v>19.477387041447987</v>
      </c>
      <c r="BC8" s="3">
        <f>Assumptions!$B$4</f>
        <v>1.8474300000000001</v>
      </c>
      <c r="BD8" s="45">
        <f>BC8*AZ8*U8*1/(0.0821*273.15)</f>
        <v>3.2431881217242758E-3</v>
      </c>
      <c r="BE8" s="3">
        <f>Assumptions!$B$2</f>
        <v>0.33054499999999998</v>
      </c>
      <c r="BF8" s="44">
        <f>BE8*AZ8*V8*1000</f>
        <v>11.837585162367684</v>
      </c>
      <c r="BG8">
        <f>1923.6+(-125.06*F8)+(4.3773*(F8^2))+(-0.085681*(F8^3))+(0.00070284*(F8^4))</f>
        <v>951.72042412454391</v>
      </c>
      <c r="BH8">
        <f>1909.4+(-120.78*F8)+(4.1555*(F8^2))+(-0.080578*(F8^3))+(0.00065777*(F8^4))</f>
        <v>964.28640081243213</v>
      </c>
      <c r="BI8">
        <f>2141.2+(-152.56*F8)+(5.8963*(F8^2))+(-0.12411*(F8^3))+(0.0010655*(F8^4))</f>
        <v>1002.4205926648001</v>
      </c>
      <c r="BJ8" s="25">
        <f>VLOOKUP(E8,Wind!$C$2:$E$109,3, FALSE)</f>
        <v>1.8333333333333333</v>
      </c>
      <c r="BK8" s="44">
        <v>1.66</v>
      </c>
      <c r="BL8">
        <f>BK8/(1-(((1.3*10^-3)^0.5)/0.41)*LN(10/1.5))</f>
        <v>1.9923982880693825</v>
      </c>
      <c r="BM8">
        <f>BK8*1.22</f>
        <v>2.0251999999999999</v>
      </c>
      <c r="BN8">
        <f>2.07+0.215*(BM8^1.7)*(24/100)</f>
        <v>2.241255750541113</v>
      </c>
      <c r="BO8">
        <f>BN8*((600/BG8)^0.67)</f>
        <v>1.6453241173326298</v>
      </c>
      <c r="BP8">
        <f>BN8*((600/BH8)^0.67)</f>
        <v>1.6309276907801846</v>
      </c>
      <c r="BQ8">
        <f>BN8*((600/BI8)^0.67)</f>
        <v>1.5890928302451592</v>
      </c>
      <c r="BR8" s="39">
        <f>BO8*(AM8-BB8)</f>
        <v>160.71599380958736</v>
      </c>
      <c r="BS8" s="39">
        <f>BP8*(AD8-BD8)</f>
        <v>-9.7673429351256488E-3</v>
      </c>
      <c r="BT8" s="39">
        <f>BQ8*(AU8-BF8)</f>
        <v>4.6132799910374978</v>
      </c>
      <c r="BU8">
        <f>(2.51+1.48*BM8)+(0.39*BM8*LOG10(0.0015))</f>
        <v>3.2768938069574309</v>
      </c>
      <c r="BV8">
        <f>BU8*((600/$BG8)^0.67)</f>
        <v>2.4055944571356025</v>
      </c>
      <c r="BW8">
        <f>BU8*((600/$BH8)^0.67)</f>
        <v>2.3845457387996269</v>
      </c>
      <c r="BX8">
        <f>BU8*((600/$BI8)^0.67)</f>
        <v>2.3233798520555307</v>
      </c>
      <c r="BY8" s="39">
        <f>BV8*($AM8-$BB8)</f>
        <v>234.97953978098892</v>
      </c>
      <c r="BZ8" s="39">
        <f>BW8*($AD8-$BD8)</f>
        <v>-1.4280630653960496E-2</v>
      </c>
      <c r="CA8" s="39">
        <f>BX8*($AU8-$BF8)</f>
        <v>6.7449815259778418</v>
      </c>
      <c r="CB8" s="42">
        <f>AVERAGE(0.72,0.69,0.4,0.22)</f>
        <v>0.50750000000000006</v>
      </c>
      <c r="CC8">
        <f>CB8*((600/$BG8)^0.67)</f>
        <v>0.37255988717249816</v>
      </c>
      <c r="CD8">
        <f>CB8*((600/$BH8)^0.67)</f>
        <v>0.36930002427037201</v>
      </c>
      <c r="CE8">
        <f>CB8*((600/$BI8)^0.67)</f>
        <v>0.35982712421583807</v>
      </c>
      <c r="CF8" s="39">
        <f>CC8*($AM8-$BB8)</f>
        <v>36.391815989171924</v>
      </c>
      <c r="CG8" s="39">
        <f>CD8*($AD8-$BD8)</f>
        <v>-2.2116737629694883E-3</v>
      </c>
      <c r="CH8" s="39">
        <f>CE8*($AU8-$BF8)</f>
        <v>1.0446106361963725</v>
      </c>
      <c r="CI8">
        <v>0.86263901889527161</v>
      </c>
      <c r="CJ8">
        <f>((BG8/BH8)^0.67)*CI8</f>
        <v>0.85509101109184116</v>
      </c>
      <c r="CK8">
        <f>((BH8/BH8)^0.67)*CI8</f>
        <v>0.86263901889527161</v>
      </c>
      <c r="CL8">
        <f>((BI8/BH8)^0.67)*CI8</f>
        <v>0.88534907230479276</v>
      </c>
      <c r="CM8" s="39">
        <f>CJ8*($AM8-$BB8)</f>
        <v>83.525671445249358</v>
      </c>
      <c r="CN8" s="39">
        <f>CK8*($AD8-$BD8)</f>
        <v>-5.1661953956645785E-3</v>
      </c>
      <c r="CO8" s="39">
        <f>CL8*($AU8-$BF8)</f>
        <v>2.5702483093559683</v>
      </c>
      <c r="CP8" s="27">
        <f>VLOOKUP(A8,Water!$A$2:$E$109, 5, FALSE)/1000</f>
        <v>1.3000000000000002E-4</v>
      </c>
      <c r="CQ8">
        <f>0.64*CP8</f>
        <v>8.3200000000000017E-5</v>
      </c>
      <c r="CR8" s="19">
        <f>CQ8*1000*(2.5*10^-5)</f>
        <v>2.0800000000000004E-6</v>
      </c>
      <c r="CS8" s="18">
        <f>(-0.0000009*F8^3)+(0.0002*F8^2)-(0.0134*F8)+6.579</f>
        <v>6.4508986103999995</v>
      </c>
      <c r="CT8" s="18">
        <f>CS8-(SQRT(CP8))/(1+1.4*SQRT(CP8))</f>
        <v>6.4396759966270185</v>
      </c>
      <c r="CU8" s="18">
        <f>10^(-CT8)</f>
        <v>3.6334902852650811E-7</v>
      </c>
      <c r="CV8" s="18">
        <f>(0.000001*F8^3)+(0.00006*F8^2)-(0.014*F8)+10.625</f>
        <v>10.474679144</v>
      </c>
      <c r="CW8" s="18">
        <f>CV8-(2*SQRT(CR8))/(1+1.4*SQRT(CR8))</f>
        <v>10.471800515244034</v>
      </c>
      <c r="CX8" s="18">
        <f>10^(-CW8)</f>
        <v>3.3744227063594882E-11</v>
      </c>
      <c r="CY8">
        <f>EXP(1246.98+-61900/H8-183*LN(H8))</f>
        <v>9.3460139425233114E-3</v>
      </c>
      <c r="CZ8">
        <f>12.225*(F8^2)+15.258*F8+1125.7</f>
        <v>2888.4022</v>
      </c>
      <c r="DA8" s="15">
        <f>10^(-4470.99/H8+6.0875-0.01706*H8)</f>
        <v>3.3157638270578669E-15</v>
      </c>
      <c r="DB8">
        <f>(10^-I8)</f>
        <v>3.5481338923357426E-8</v>
      </c>
      <c r="DC8">
        <f>DB8^2</f>
        <v>1.2589254117941586E-15</v>
      </c>
      <c r="DD8" s="20">
        <f>((14.6836*10^-9)*((H8/217.2056)-1)^1.997)*100*100</f>
        <v>1.4165085284782597E-5</v>
      </c>
      <c r="DE8">
        <f>CY8+CZ8*DA8/DB8</f>
        <v>9.6159377904773587E-3</v>
      </c>
      <c r="DF8">
        <f>1+DC8*(CU8*CX8+CU8*DB8)^-1</f>
        <v>1.0975580611890292</v>
      </c>
      <c r="DG8">
        <f>(DE8*DF8/DD8)^0.5</f>
        <v>27.296060848114539</v>
      </c>
      <c r="DH8">
        <f>DD8/(BO8/60/60)</f>
        <v>3.0993472038742382E-2</v>
      </c>
      <c r="DI8" s="16">
        <f>DF8/((DF8-1)+TANH(DG8*DH8)/(DG8*DH8))</f>
        <v>1.2035311038815151</v>
      </c>
      <c r="DJ8">
        <f>$DI8*BR8</f>
        <v>193.42669744106743</v>
      </c>
      <c r="DK8">
        <f>$DI8*BY8</f>
        <v>282.80518490218395</v>
      </c>
      <c r="DL8">
        <f>$DI8*CF8</f>
        <v>43.798682469701056</v>
      </c>
      <c r="DM8">
        <f>$DI8*CM8</f>
        <v>100.5257435569457</v>
      </c>
    </row>
    <row r="9" spans="1:146" ht="15.75" x14ac:dyDescent="0.25">
      <c r="A9" s="52" t="s">
        <v>323</v>
      </c>
      <c r="B9" s="55" t="s">
        <v>342</v>
      </c>
      <c r="C9" t="s">
        <v>136</v>
      </c>
      <c r="D9" s="57">
        <v>43217</v>
      </c>
      <c r="E9" s="42" t="str">
        <f>A9&amp;D9</f>
        <v>66A43217</v>
      </c>
      <c r="F9" s="3">
        <f>VLOOKUP($E9,Water!$C$2:$E$90, 2, FALSE)</f>
        <v>11.4</v>
      </c>
      <c r="G9" s="3">
        <f>VLOOKUP($E9,Water!$C$2:$E$90, 3, FALSE)</f>
        <v>0.13</v>
      </c>
      <c r="H9" s="1">
        <f>F9+273.15</f>
        <v>284.54999999999995</v>
      </c>
      <c r="I9" s="3">
        <f>VLOOKUP($E9,Water!$C$2:$F$90, 4, FALSE)</f>
        <v>7.45</v>
      </c>
      <c r="J9">
        <f>10^(I9*-1)</f>
        <v>3.5481338923357426E-8</v>
      </c>
      <c r="K9" s="25">
        <f>VLOOKUP($E9,Atm!$D$2:$G$45, 2, FALSE)</f>
        <v>459.45823569072093</v>
      </c>
      <c r="L9" s="25">
        <f>VLOOKUP($E9,Atm!$D$2:$G$45, 3, FALSE)</f>
        <v>8.4175947379717329</v>
      </c>
      <c r="M9" s="25">
        <f>VLOOKUP($E9,Atm!$D$2:$G$45, 4, FALSE)</f>
        <v>0.33156416833357744</v>
      </c>
      <c r="N9" s="21">
        <f>VLOOKUP($C9,Raw!$B$2:$F$353, 3, FALSE)</f>
        <v>2490.4654500218321</v>
      </c>
      <c r="O9" s="21">
        <f>VLOOKUP($C9,Raw!$B$2:$F$353, 4, FALSE)</f>
        <v>4.5518959145020101</v>
      </c>
      <c r="P9" s="21">
        <f>VLOOKUP($C9,Raw!$B$2:$F$353, 5, FALSE)</f>
        <v>0.43586866489526405</v>
      </c>
      <c r="Q9" s="14">
        <v>60</v>
      </c>
      <c r="R9" s="25">
        <v>1140</v>
      </c>
      <c r="S9">
        <f>EXP(24.4543-(100/H9*(67.4509))-(4.8489*LN(H9/100))-(0.000544*G9))</f>
        <v>1.3288396669036837E-2</v>
      </c>
      <c r="T9" s="8">
        <f>EXP(-58.0931+90.5069*(100/H9)+22.294*LN(H9/100)+G9*(0.027766-0.025888*(H9/100)+0.0050578*(H9/100)^2))</f>
        <v>5.114893816729775E-2</v>
      </c>
      <c r="U9" s="9">
        <f>(EXP(-67.1962+99.1624*(100/H9)+27.9015*LN(H9/100)+G9*(-0.072909+0.041674*(H9/100)-0.0064603*(H9/100)^2)))</f>
        <v>4.1981247949888785E-2</v>
      </c>
      <c r="V9" s="9">
        <f>(EXP(-64.8539+100.252*(100/H9)+25.2049*LN(H9/100)+(-0.062544+0.035337*(H9/100)-0.0054699*(H9/100)^2)*G9))</f>
        <v>3.8189094217634965E-2</v>
      </c>
      <c r="W9" s="9">
        <f>(EXP(-68.8862+101.4956*(100/H9)+28.7314*LN(H9/100)+G9*(-0.076146+0.04397*(H9/100)-0.0068672*(H9/100)^2)))</f>
        <v>4.1889836325442603E-2</v>
      </c>
      <c r="X9">
        <f>N9*(AZ9-S9)</f>
        <v>2302.3724522497887</v>
      </c>
      <c r="Y9">
        <f>O9*(AZ9-S9)</f>
        <v>4.2081128886834858</v>
      </c>
      <c r="Z9">
        <f>((Y9/10^6)*AZ9)/(0.082056*H9)</f>
        <v>1.6900969419384177E-7</v>
      </c>
      <c r="AA9">
        <f>(((L9/10^6)*AZ9)/(0.082056*H9))</f>
        <v>3.3807436971049841E-7</v>
      </c>
      <c r="AB9">
        <f>((Y9/10^6)*U9*1)/(0.082056*H9)</f>
        <v>7.5661299104725381E-9</v>
      </c>
      <c r="AC9">
        <f>(Z9*(Q9/1000))+(AB9*(R9/1000))</f>
        <v>1.8765969749569198E-8</v>
      </c>
      <c r="AD9" s="39">
        <f>((AC9-(AA9*(Q9/1000)))/(R9/1000))*1000000</f>
        <v>-1.332010906193603E-3</v>
      </c>
      <c r="AE9" s="39">
        <f>(AD9/((U9*AZ9*1))*(0.0821*273.15))</f>
        <v>-0.75875860914319659</v>
      </c>
      <c r="AF9" s="39">
        <f>L9*U9*AZ9*1/(0.0821*273.15)</f>
        <v>1.4777200363574635E-2</v>
      </c>
      <c r="AG9" s="39">
        <f>AD9-AF9</f>
        <v>-1.6109211269768237E-2</v>
      </c>
      <c r="AH9" s="42">
        <f>P9*(AZ9-S9)</f>
        <v>0.40294957990481389</v>
      </c>
      <c r="AI9">
        <f>(((X9/10^6)*(Q9/1000))/(0.082056*H9))</f>
        <v>5.9164050385066592E-6</v>
      </c>
      <c r="AJ9">
        <f>(((K9/10^6)*AZ9)*(Q9/1000))/(0.082056*H9)</f>
        <v>1.1071883948421066E-6</v>
      </c>
      <c r="AK9">
        <f>(X9/10^6)*T9*(R9/1000)</f>
        <v>1.342508530659641E-4</v>
      </c>
      <c r="AL9">
        <f>AI9+AK9</f>
        <v>1.4016725810447075E-4</v>
      </c>
      <c r="AM9" s="39">
        <f>((AL9-AJ9)/(R9/1000))*1000000</f>
        <v>121.98251728914796</v>
      </c>
      <c r="AN9" s="39">
        <f>AM9/(T9*AZ9)</f>
        <v>2543.125558381978</v>
      </c>
      <c r="AO9" s="39">
        <f>(K9*AZ9)*T9</f>
        <v>22.038185253599138</v>
      </c>
      <c r="AP9" s="39">
        <f>AM9-AO9</f>
        <v>99.944332035548825</v>
      </c>
      <c r="AQ9">
        <f>(((AH9/10^6)*(Q9/1000))/(0.082056*H9))</f>
        <v>1.0354592813527707E-9</v>
      </c>
      <c r="AR9">
        <f>(((M9/10^6)*AZ9)*(Q9/1000))/(0.082056*H9)</f>
        <v>7.9899318546881689E-10</v>
      </c>
      <c r="AS9">
        <f>(AH9/10^6)*V9*(R9/1000)</f>
        <v>1.7542638598013156E-8</v>
      </c>
      <c r="AT9">
        <f>AQ9+AS9</f>
        <v>1.8578097879365926E-8</v>
      </c>
      <c r="AU9" s="39">
        <f>((AT9-AR9)/(R9/1000))*1000000000</f>
        <v>15.595705871839572</v>
      </c>
      <c r="AV9" s="39">
        <f>(AU9/1000)/(V9*AZ9)</f>
        <v>0.43548430923187731</v>
      </c>
      <c r="AW9" s="39">
        <f>(M9*AZ9)*V9*1000</f>
        <v>11.874083950561458</v>
      </c>
      <c r="AX9" s="39">
        <f>AU9-AW9</f>
        <v>3.7216219212781141</v>
      </c>
      <c r="AY9" s="26">
        <f>VLOOKUP($E9,Water!$C$2:$G$90, 5, FALSE)</f>
        <v>712.7</v>
      </c>
      <c r="AZ9">
        <f>AY9/760</f>
        <v>0.93776315789473685</v>
      </c>
      <c r="BA9" s="3">
        <f>Assumptions!$B$3</f>
        <v>406.07</v>
      </c>
      <c r="BB9" s="3">
        <f>BA9*AZ9*T9</f>
        <v>19.477387041447987</v>
      </c>
      <c r="BC9" s="3">
        <f>Assumptions!$B$4</f>
        <v>1.8474300000000001</v>
      </c>
      <c r="BD9" s="45">
        <f>BC9*AZ9*U9*1/(0.0821*273.15)</f>
        <v>3.2431881217242758E-3</v>
      </c>
      <c r="BE9" s="3">
        <f>Assumptions!$B$2</f>
        <v>0.33054499999999998</v>
      </c>
      <c r="BF9" s="44">
        <f>BE9*AZ9*V9*1000</f>
        <v>11.837585162367684</v>
      </c>
      <c r="BG9">
        <f>1923.6+(-125.06*F9)+(4.3773*(F9^2))+(-0.085681*(F9^3))+(0.00070284*(F9^4))</f>
        <v>951.72042412454391</v>
      </c>
      <c r="BH9">
        <f>1909.4+(-120.78*F9)+(4.1555*(F9^2))+(-0.080578*(F9^3))+(0.00065777*(F9^4))</f>
        <v>964.28640081243213</v>
      </c>
      <c r="BI9">
        <f>2141.2+(-152.56*F9)+(5.8963*(F9^2))+(-0.12411*(F9^3))+(0.0010655*(F9^4))</f>
        <v>1002.4205926648001</v>
      </c>
      <c r="BJ9" s="25">
        <f>VLOOKUP(E9,Wind!$C$2:$E$109,3, FALSE)</f>
        <v>1.8333333333333333</v>
      </c>
      <c r="BK9" s="44">
        <v>1.66</v>
      </c>
      <c r="BL9">
        <f>BK9/(1-(((1.3*10^-3)^0.5)/0.41)*LN(10/1.5))</f>
        <v>1.9923982880693825</v>
      </c>
      <c r="BM9">
        <f>BK9*1.22</f>
        <v>2.0251999999999999</v>
      </c>
      <c r="BN9">
        <f>2.07+0.215*(BM9^1.7)*(24/100)</f>
        <v>2.241255750541113</v>
      </c>
      <c r="BO9">
        <f>BN9*((600/BG9)^0.67)</f>
        <v>1.6453241173326298</v>
      </c>
      <c r="BP9">
        <f>BN9*((600/BH9)^0.67)</f>
        <v>1.6309276907801846</v>
      </c>
      <c r="BQ9">
        <f>BN9*((600/BI9)^0.67)</f>
        <v>1.5890928302451592</v>
      </c>
      <c r="BR9" s="39">
        <f>BO9*(AM9-BB9)</f>
        <v>168.65416294686324</v>
      </c>
      <c r="BS9" s="39">
        <f>BP9*(AD9-BD9)</f>
        <v>-7.4618187854618512E-3</v>
      </c>
      <c r="BT9" s="39">
        <f>BQ9*(AU9-BF9)</f>
        <v>5.9720026746176273</v>
      </c>
      <c r="BU9">
        <f>(2.51+1.48*BM9)+(0.39*BM9*LOG10(0.0015))</f>
        <v>3.2768938069574309</v>
      </c>
      <c r="BV9">
        <f>BU9*((600/$BG9)^0.67)</f>
        <v>2.4055944571356025</v>
      </c>
      <c r="BW9">
        <f>BU9*((600/$BH9)^0.67)</f>
        <v>2.3845457387996269</v>
      </c>
      <c r="BX9">
        <f>BU9*((600/$BI9)^0.67)</f>
        <v>2.3233798520555307</v>
      </c>
      <c r="BY9" s="39">
        <f>BV9*($AM9-$BB9)</f>
        <v>246.58577315183007</v>
      </c>
      <c r="BZ9" s="39">
        <f>BW9*($AD9-$BD9)</f>
        <v>-1.0909771346181773E-2</v>
      </c>
      <c r="CA9" s="39">
        <f>BX9*($AU9-$BF9)</f>
        <v>8.7315419379796193</v>
      </c>
      <c r="CB9" s="42">
        <f>AVERAGE(0.72,0.69,0.4,0.22)</f>
        <v>0.50750000000000006</v>
      </c>
      <c r="CC9">
        <f>CB9*((600/$BG9)^0.67)</f>
        <v>0.37255988717249816</v>
      </c>
      <c r="CD9">
        <f>CB9*((600/$BH9)^0.67)</f>
        <v>0.36930002427037201</v>
      </c>
      <c r="CE9">
        <f>CB9*((600/$BI9)^0.67)</f>
        <v>0.35982712421583807</v>
      </c>
      <c r="CF9" s="39">
        <f>CC9*($AM9-$BB9)</f>
        <v>38.189299759685333</v>
      </c>
      <c r="CG9" s="39">
        <f>CD9*($AD9-$BD9)</f>
        <v>-1.6896211120518549E-3</v>
      </c>
      <c r="CH9" s="39">
        <f>CE9*($AU9-$BF9)</f>
        <v>1.3522737673452543</v>
      </c>
      <c r="CI9">
        <v>0.86263901889527161</v>
      </c>
      <c r="CJ9">
        <f>((BG9/BH9)^0.67)*CI9</f>
        <v>0.85509101109184116</v>
      </c>
      <c r="CK9">
        <f>((BH9/BH9)^0.67)*CI9</f>
        <v>0.86263901889527161</v>
      </c>
      <c r="CL9">
        <f>((BI9/BH9)^0.67)*CI9</f>
        <v>0.88534907230479276</v>
      </c>
      <c r="CM9" s="39">
        <f>CJ9*($AM9-$BB9)</f>
        <v>87.65121546560664</v>
      </c>
      <c r="CN9" s="39">
        <f>CK9*($AD9-$BD9)</f>
        <v>-3.9467452006936793E-3</v>
      </c>
      <c r="CO9" s="39">
        <f>CL9*($AU9-$BF9)</f>
        <v>3.3272486837403652</v>
      </c>
      <c r="CP9" s="27">
        <f>VLOOKUP(A9,Water!$A$2:$E$109, 5, FALSE)/1000</f>
        <v>1.3000000000000002E-4</v>
      </c>
      <c r="CQ9">
        <f>0.64*CP9</f>
        <v>8.3200000000000017E-5</v>
      </c>
      <c r="CR9" s="19">
        <f>CQ9*1000*(2.5*10^-5)</f>
        <v>2.0800000000000004E-6</v>
      </c>
      <c r="CS9" s="18">
        <f>(-0.0000009*F9^3)+(0.0002*F9^2)-(0.0134*F9)+6.579</f>
        <v>6.4508986103999995</v>
      </c>
      <c r="CT9" s="18">
        <f>CS9-(SQRT(CP9))/(1+1.4*SQRT(CP9))</f>
        <v>6.4396759966270185</v>
      </c>
      <c r="CU9" s="18">
        <f>10^(-CT9)</f>
        <v>3.6334902852650811E-7</v>
      </c>
      <c r="CV9" s="18">
        <f>(0.000001*F9^3)+(0.00006*F9^2)-(0.014*F9)+10.625</f>
        <v>10.474679144</v>
      </c>
      <c r="CW9" s="18">
        <f>CV9-(2*SQRT(CR9))/(1+1.4*SQRT(CR9))</f>
        <v>10.471800515244034</v>
      </c>
      <c r="CX9" s="18">
        <f>10^(-CW9)</f>
        <v>3.3744227063594882E-11</v>
      </c>
      <c r="CY9">
        <f>EXP(1246.98+-61900/H9-183*LN(H9))</f>
        <v>9.3460139425233114E-3</v>
      </c>
      <c r="CZ9">
        <f>12.225*(F9^2)+15.258*F9+1125.7</f>
        <v>2888.4022</v>
      </c>
      <c r="DA9" s="15">
        <f>10^(-4470.99/H9+6.0875-0.01706*H9)</f>
        <v>3.3157638270578669E-15</v>
      </c>
      <c r="DB9">
        <f>(10^-I9)</f>
        <v>3.5481338923357426E-8</v>
      </c>
      <c r="DC9">
        <f>DB9^2</f>
        <v>1.2589254117941586E-15</v>
      </c>
      <c r="DD9" s="20">
        <f>((14.6836*10^-9)*((H9/217.2056)-1)^1.997)*100*100</f>
        <v>1.4165085284782597E-5</v>
      </c>
      <c r="DE9">
        <f>CY9+CZ9*DA9/DB9</f>
        <v>9.6159377904773587E-3</v>
      </c>
      <c r="DF9">
        <f>1+DC9*(CU9*CX9+CU9*DB9)^-1</f>
        <v>1.0975580611890292</v>
      </c>
      <c r="DG9">
        <f>(DE9*DF9/DD9)^0.5</f>
        <v>27.296060848114539</v>
      </c>
      <c r="DH9">
        <f>DD9/(BO9/60/60)</f>
        <v>3.0993472038742382E-2</v>
      </c>
      <c r="DI9" s="16">
        <f>DF9/((DF9-1)+TANH(DG9*DH9)/(DG9*DH9))</f>
        <v>1.2035311038815151</v>
      </c>
      <c r="DJ9">
        <f>$DI9*BR9</f>
        <v>202.98053090565122</v>
      </c>
      <c r="DK9">
        <f>$DI9*BY9</f>
        <v>296.77364776289892</v>
      </c>
      <c r="DL9">
        <f>$DI9*CF9</f>
        <v>45.96201009623617</v>
      </c>
      <c r="DM9">
        <f>$DI9*CM9</f>
        <v>105.49096410587809</v>
      </c>
    </row>
    <row r="10" spans="1:146" ht="15.75" x14ac:dyDescent="0.25">
      <c r="A10" s="52" t="s">
        <v>324</v>
      </c>
      <c r="B10" s="55" t="s">
        <v>339</v>
      </c>
      <c r="C10" t="s">
        <v>138</v>
      </c>
      <c r="D10" s="57">
        <v>43221</v>
      </c>
      <c r="E10" s="42" t="str">
        <f>A10&amp;D10</f>
        <v>32B43221</v>
      </c>
      <c r="F10" s="3">
        <f>VLOOKUP($E10,Water!$C$2:$E$90, 2, FALSE)</f>
        <v>7.5</v>
      </c>
      <c r="G10" s="3">
        <f>VLOOKUP($E10,Water!$C$2:$E$90, 3, FALSE)</f>
        <v>0.66</v>
      </c>
      <c r="H10" s="1">
        <f>F10+273.15</f>
        <v>280.64999999999998</v>
      </c>
      <c r="I10" s="3">
        <f>VLOOKUP($E10,Water!$C$2:$F$90, 4, FALSE)</f>
        <v>9.02</v>
      </c>
      <c r="J10">
        <f>10^(I10*-1)</f>
        <v>9.5499258602143329E-10</v>
      </c>
      <c r="K10" s="25">
        <f>VLOOKUP($E10,Atm!$D$2:$G$45, 2, FALSE)</f>
        <v>482.45129539414432</v>
      </c>
      <c r="L10" s="25">
        <f>VLOOKUP($E10,Atm!$D$2:$G$45, 3, FALSE)</f>
        <v>10.759986678442271</v>
      </c>
      <c r="M10" s="25">
        <f>VLOOKUP($E10,Atm!$D$2:$G$45, 4, FALSE)</f>
        <v>0.33484935853251896</v>
      </c>
      <c r="N10" s="21">
        <f>VLOOKUP($C10,Raw!$B$2:$F$353, 3, FALSE)</f>
        <v>198.206904517548</v>
      </c>
      <c r="O10" s="21">
        <f>VLOOKUP($C10,Raw!$B$2:$F$353, 4, FALSE)</f>
        <v>510.7575703023021</v>
      </c>
      <c r="P10" s="21">
        <f>VLOOKUP($C10,Raw!$B$2:$F$353, 5, FALSE)</f>
        <v>0.73441421756135838</v>
      </c>
      <c r="Q10" s="14">
        <v>60</v>
      </c>
      <c r="R10" s="25">
        <v>1140</v>
      </c>
      <c r="S10">
        <f>EXP(24.4543-(100/H10*(67.4509))-(4.8489*LN(H10/100))-(0.000544*G10))</f>
        <v>1.0217653481118706E-2</v>
      </c>
      <c r="T10" s="8">
        <f>EXP(-58.0931+90.5069*(100/H10)+22.294*LN(H10/100)+G10*(0.027766-0.025888*(H10/100)+0.0050578*(H10/100)^2))</f>
        <v>5.8345355693641583E-2</v>
      </c>
      <c r="U10" s="9">
        <f>(EXP(-67.1962+99.1624*(100/H10)+27.9015*LN(H10/100)+G10*(-0.072909+0.041674*(H10/100)-0.0064603*(H10/100)^2)))</f>
        <v>4.6191052040003684E-2</v>
      </c>
      <c r="V10" s="9">
        <f>(EXP(-64.8539+100.252*(100/H10)+25.2049*LN(H10/100)+(-0.062544+0.035337*(H10/100)-0.0054699*(H10/100)^2)*G10))</f>
        <v>4.3853508970479002E-2</v>
      </c>
      <c r="W10" s="9">
        <f>(EXP(-68.8862+101.4956*(100/H10)+28.7314*LN(H10/100)+G10*(-0.076146+0.04397*(H10/100)-0.0068672*(H10/100)^2)))</f>
        <v>4.6087812526765838E-2</v>
      </c>
      <c r="X10">
        <f>N10*(AZ10-S10)</f>
        <v>181.51960008649547</v>
      </c>
      <c r="Y10">
        <f>O10*(AZ10-S10)</f>
        <v>467.75620722241689</v>
      </c>
      <c r="Z10">
        <f>((Y10/10^6)*AZ10)/(0.082056*H10)</f>
        <v>1.8809077632244524E-5</v>
      </c>
      <c r="AA10">
        <f>(((L10/10^6)*AZ10)/(0.082056*H10))</f>
        <v>4.326728788026619E-7</v>
      </c>
      <c r="AB10">
        <f>((Y10/10^6)*U10*1)/(0.082056*H10)</f>
        <v>9.3821424825792417E-7</v>
      </c>
      <c r="AC10">
        <f>(Z10*(Q10/1000))+(AB10*(R10/1000))</f>
        <v>2.1981089009487047E-6</v>
      </c>
      <c r="AD10" s="39">
        <f>((AC10-(AA10*(Q10/1000)))/(R10/1000))*1000000</f>
        <v>1.9053934458074959</v>
      </c>
      <c r="AE10" s="39">
        <f>(AD10/((U10*AZ10*1))*(0.0821*273.15))</f>
        <v>998.95942000200637</v>
      </c>
      <c r="AF10" s="39">
        <f>L10*U10*AZ10*1/(0.0821*273.15)</f>
        <v>2.0523364296458301E-2</v>
      </c>
      <c r="AG10" s="39">
        <f>AD10-AF10</f>
        <v>1.8848700815110375</v>
      </c>
      <c r="AH10" s="42">
        <f>P10*(AZ10-S10)</f>
        <v>0.67258290216510486</v>
      </c>
      <c r="AI10">
        <f>(((X10/10^6)*(Q10/1000))/(0.082056*H10))</f>
        <v>4.729327478002807E-7</v>
      </c>
      <c r="AJ10">
        <f>(((K10/10^6)*AZ10)*(Q10/1000))/(0.082056*H10)</f>
        <v>1.1639991596558987E-6</v>
      </c>
      <c r="AK10">
        <f>(X10/10^6)*T10*(R10/1000)</f>
        <v>1.2073541220952132E-5</v>
      </c>
      <c r="AL10">
        <f>AI10+AK10</f>
        <v>1.2546473968752412E-5</v>
      </c>
      <c r="AM10" s="39">
        <f>((AL10-AJ10)/(R10/1000))*1000000</f>
        <v>9.9846270255232596</v>
      </c>
      <c r="AN10" s="39">
        <f>AM10/(T10*AZ10)</f>
        <v>184.80011028902805</v>
      </c>
      <c r="AO10" s="39">
        <f>(K10*AZ10)*T10</f>
        <v>26.06652255216256</v>
      </c>
      <c r="AP10" s="39">
        <f>AM10-AO10</f>
        <v>-16.0818955266393</v>
      </c>
      <c r="AQ10">
        <f>(((AH10/10^6)*(Q10/1000))/(0.082056*H10))</f>
        <v>1.7523533540888134E-9</v>
      </c>
      <c r="AR10">
        <f>(((M10/10^6)*AZ10)*(Q10/1000))/(0.082056*H10)</f>
        <v>8.0788335665001414E-10</v>
      </c>
      <c r="AS10">
        <f>(AH10/10^6)*V10*(R10/1000)</f>
        <v>3.3624437180176581E-8</v>
      </c>
      <c r="AT10">
        <f>AQ10+AS10</f>
        <v>3.5376790534265395E-8</v>
      </c>
      <c r="AU10" s="39">
        <f>((AT10-AR10)/(R10/1000))*1000000000</f>
        <v>30.323602787381915</v>
      </c>
      <c r="AV10" s="39">
        <f>(AU10/1000)/(V10*AZ10)</f>
        <v>0.7467119833685435</v>
      </c>
      <c r="AW10" s="39">
        <f>(M10*AZ10)*V10*1000</f>
        <v>13.598066145857281</v>
      </c>
      <c r="AX10" s="39">
        <f>AU10-AW10</f>
        <v>16.725536641524634</v>
      </c>
      <c r="AY10" s="26">
        <f>VLOOKUP($E10,Water!$C$2:$G$90, 5, FALSE)</f>
        <v>703.78</v>
      </c>
      <c r="AZ10">
        <f>AY10/760</f>
        <v>0.9260263157894737</v>
      </c>
      <c r="BA10" s="3">
        <f>Assumptions!$B$3</f>
        <v>406.07</v>
      </c>
      <c r="BB10" s="3">
        <f>BA10*AZ10*T10</f>
        <v>21.939691972656529</v>
      </c>
      <c r="BC10" s="3">
        <f>Assumptions!$B$4</f>
        <v>1.8474300000000001</v>
      </c>
      <c r="BD10" s="45">
        <f>BC10*AZ10*U10*1/(0.0821*273.15)</f>
        <v>3.5237477550199912E-3</v>
      </c>
      <c r="BE10" s="3">
        <f>Assumptions!$B$2</f>
        <v>0.33054499999999998</v>
      </c>
      <c r="BF10" s="44">
        <f>BE10*AZ10*V10*1000</f>
        <v>13.423268283626964</v>
      </c>
      <c r="BG10">
        <f>1923.6+(-125.06*F10)+(4.3773*(F10^2))+(-0.085681*(F10^3))+(0.00070284*(F10^4))</f>
        <v>1197.9502828124998</v>
      </c>
      <c r="BH10">
        <f>1909.4+(-120.78*F10)+(4.1555*(F10^2))+(-0.080578*(F10^3))+(0.00065777*(F10^4))</f>
        <v>1205.3842566406249</v>
      </c>
      <c r="BI10">
        <f>2141.2+(-152.56*F10)+(5.8963*(F10^2))+(-0.12411*(F10^3))+(0.0010655*(F10^4))</f>
        <v>1279.6792773437498</v>
      </c>
      <c r="BJ10" s="25">
        <f>VLOOKUP(E10,Wind!$C$2:$E$109,3, FALSE)</f>
        <v>0.58333333333333337</v>
      </c>
      <c r="BK10" s="44">
        <v>1.66</v>
      </c>
      <c r="BL10">
        <f>BK10/(1-(((1.3*10^-3)^0.5)/0.41)*LN(10/1.5))</f>
        <v>1.9923982880693825</v>
      </c>
      <c r="BM10">
        <f>BK10*1.22</f>
        <v>2.0251999999999999</v>
      </c>
      <c r="BN10">
        <f>2.07+0.215*(BM10^1.7)*(24/100)</f>
        <v>2.241255750541113</v>
      </c>
      <c r="BO10">
        <f>BN10*((600/BG10)^0.67)</f>
        <v>1.4102586181122656</v>
      </c>
      <c r="BP10">
        <f>BN10*((600/BH10)^0.67)</f>
        <v>1.4044253491001182</v>
      </c>
      <c r="BQ10">
        <f>BN10*((600/BI10)^0.67)</f>
        <v>1.3492579718716571</v>
      </c>
      <c r="BR10" s="39">
        <f>BO10*(AM10-BB10)</f>
        <v>-16.85973337178655</v>
      </c>
      <c r="BS10" s="39">
        <f>BP10*(AD10-BD10)</f>
        <v>2.6710340146302847</v>
      </c>
      <c r="BT10" s="39">
        <f>BQ10*(AU10-BF10)</f>
        <v>22.802911056488995</v>
      </c>
      <c r="BU10">
        <f>(2.51+1.48*BM10)+(0.39*BM10*LOG10(0.0015))</f>
        <v>3.2768938069574309</v>
      </c>
      <c r="BV10">
        <f>BU10*((600/$BG10)^0.67)</f>
        <v>2.0619100389523601</v>
      </c>
      <c r="BW10">
        <f>BU10*((600/$BH10)^0.67)</f>
        <v>2.0533813366408959</v>
      </c>
      <c r="BX10">
        <f>BU10*((600/$BI10)^0.67)</f>
        <v>1.9727222522225369</v>
      </c>
      <c r="BY10" s="39">
        <f>BV10*($AM10-$BB10)</f>
        <v>-24.650268430821555</v>
      </c>
      <c r="BZ10" s="39">
        <f>BW10*($AD10-$BD10)</f>
        <v>3.9052637427038102</v>
      </c>
      <c r="CA10" s="39">
        <f>BX10*($AU10-$BF10)</f>
        <v>33.33966594556172</v>
      </c>
      <c r="CB10" s="42">
        <f>AVERAGE(0.72,0.69,0.4,0.22)</f>
        <v>0.50750000000000006</v>
      </c>
      <c r="CC10">
        <f>CB10*((600/$BG10)^0.67)</f>
        <v>0.319332699322324</v>
      </c>
      <c r="CD10">
        <f>CB10*((600/$BH10)^0.67)</f>
        <v>0.31801183978947056</v>
      </c>
      <c r="CE10">
        <f>CB10*((600/$BI10)^0.67)</f>
        <v>0.30551998385706103</v>
      </c>
      <c r="CF10" s="39">
        <f>CC10*($AM10-$BB10)</f>
        <v>-3.8176431601417637</v>
      </c>
      <c r="CG10" s="39">
        <f>CD10*($AD10-$BD10)</f>
        <v>0.60481708171751269</v>
      </c>
      <c r="CH10" s="39">
        <f>CE10*($AU10-$BF10)</f>
        <v>5.1633899247661441</v>
      </c>
      <c r="CI10">
        <v>0.86263901889527161</v>
      </c>
      <c r="CJ10">
        <f>((BG10/BH10)^0.67)*CI10</f>
        <v>0.85907087515697866</v>
      </c>
      <c r="CK10">
        <f>((BH10/BH10)^0.67)*CI10</f>
        <v>0.86263901889527161</v>
      </c>
      <c r="CL10">
        <f>((BI10/BH10)^0.67)*CI10</f>
        <v>0.89790991086663408</v>
      </c>
      <c r="CM10" s="39">
        <f>CJ10*($AM10-$BB10)</f>
        <v>-10.270248106692296</v>
      </c>
      <c r="CN10" s="39">
        <f>CK10*($AD10-$BD10)</f>
        <v>1.6406270103946343</v>
      </c>
      <c r="CO10" s="39">
        <f>CL10*($AU10-$BF10)</f>
        <v>15.174977847882909</v>
      </c>
      <c r="CP10" s="27">
        <f>VLOOKUP(A10,Water!$A$2:$E$109, 5, FALSE)/1000</f>
        <v>6.6E-4</v>
      </c>
      <c r="CQ10">
        <f>0.64*CP10</f>
        <v>4.2240000000000002E-4</v>
      </c>
      <c r="CR10" s="19">
        <f>CQ10*1000*(2.5*10^-5)</f>
        <v>1.0560000000000001E-5</v>
      </c>
      <c r="CS10" s="18">
        <f>(-0.0000009*F10^3)+(0.0002*F10^2)-(0.0134*F10)+6.579</f>
        <v>6.4893703125000002</v>
      </c>
      <c r="CT10" s="18">
        <f>CS10-(SQRT(CP10))/(1+1.4*SQRT(CP10))</f>
        <v>6.4645717679454338</v>
      </c>
      <c r="CU10" s="18">
        <f>10^(-CT10)</f>
        <v>3.4310593623741093E-7</v>
      </c>
      <c r="CV10" s="18">
        <f>(0.000001*F10^3)+(0.00006*F10^2)-(0.014*F10)+10.625</f>
        <v>10.523796875</v>
      </c>
      <c r="CW10" s="18">
        <f>CV10-(2*SQRT(CR10))/(1+1.4*SQRT(CR10))</f>
        <v>10.517327078367028</v>
      </c>
      <c r="CX10" s="18">
        <f>10^(-CW10)</f>
        <v>3.0385957189694025E-11</v>
      </c>
      <c r="CY10">
        <f>EXP(1246.98+-61900/H10-183*LN(H10))</f>
        <v>5.6831926590458831E-3</v>
      </c>
      <c r="CZ10">
        <f>12.225*(F10^2)+15.258*F10+1125.7</f>
        <v>1927.79125</v>
      </c>
      <c r="DA10" s="15">
        <f>10^(-4470.99/H10+6.0875-0.01706*H10)</f>
        <v>2.3376090316023464E-15</v>
      </c>
      <c r="DB10">
        <f>(10^-I10)</f>
        <v>9.5499258602143329E-10</v>
      </c>
      <c r="DC10">
        <f>DB10^2</f>
        <v>9.1201083935590464E-19</v>
      </c>
      <c r="DD10" s="20">
        <f>((14.6836*10^-9)*((H10/217.2056)-1)^1.997)*100*100</f>
        <v>1.2574204855197366E-5</v>
      </c>
      <c r="DE10">
        <f>CY10+CZ10*DA10/DB10</f>
        <v>1.0401996033026042E-2</v>
      </c>
      <c r="DF10">
        <f>1+DC10*(CU10*CX10+CU10*DB10)^-1</f>
        <v>1.0026975448043256</v>
      </c>
      <c r="DG10">
        <f>(DE10*DF10/DD10)^0.5</f>
        <v>28.800700566323567</v>
      </c>
      <c r="DH10">
        <f>DD10/(BO10/60/60)</f>
        <v>3.2098465414310953E-2</v>
      </c>
      <c r="DI10" s="16">
        <f>DF10/((DF10-1)+TANH(DG10*DH10)/(DG10*DH10))</f>
        <v>1.2689395689669412</v>
      </c>
      <c r="DJ10">
        <f>$DI10*BR10</f>
        <v>-21.393982797692377</v>
      </c>
      <c r="DK10">
        <f>$DI10*BY10</f>
        <v>-31.279700997526099</v>
      </c>
      <c r="DL10">
        <f>$DI10*CF10</f>
        <v>-4.8443584660998811</v>
      </c>
      <c r="DM10">
        <f>$DI10*CM10</f>
        <v>-13.032324205689665</v>
      </c>
    </row>
    <row r="11" spans="1:146" ht="15.75" x14ac:dyDescent="0.25">
      <c r="A11" s="51" t="s">
        <v>324</v>
      </c>
      <c r="B11" s="54" t="s">
        <v>340</v>
      </c>
      <c r="C11" s="48" t="s">
        <v>139</v>
      </c>
      <c r="D11" s="57">
        <v>43221</v>
      </c>
      <c r="E11" s="42" t="str">
        <f>A11&amp;D11</f>
        <v>32B43221</v>
      </c>
      <c r="F11" s="3">
        <f>VLOOKUP($E11,Water!$C$2:$E$90, 2, FALSE)</f>
        <v>7.5</v>
      </c>
      <c r="G11" s="3">
        <f>VLOOKUP($E11,Water!$C$2:$E$90, 3, FALSE)</f>
        <v>0.66</v>
      </c>
      <c r="H11" s="1">
        <f>F11+273.15</f>
        <v>280.64999999999998</v>
      </c>
      <c r="I11" s="3">
        <f>VLOOKUP($E11,Water!$C$2:$F$90, 4, FALSE)</f>
        <v>9.02</v>
      </c>
      <c r="J11">
        <f>10^(I11*-1)</f>
        <v>9.5499258602143329E-10</v>
      </c>
      <c r="K11" s="25">
        <f>VLOOKUP($E11,Atm!$D$2:$G$45, 2, FALSE)</f>
        <v>482.45129539414432</v>
      </c>
      <c r="L11" s="25">
        <f>VLOOKUP($E11,Atm!$D$2:$G$45, 3, FALSE)</f>
        <v>10.759986678442271</v>
      </c>
      <c r="M11" s="25">
        <f>VLOOKUP($E11,Atm!$D$2:$G$45, 4, FALSE)</f>
        <v>0.33484935853251896</v>
      </c>
      <c r="N11" s="21">
        <f>VLOOKUP($C11,Raw!$B$2:$F$353, 3, FALSE)</f>
        <v>231.34700000000001</v>
      </c>
      <c r="O11" s="21">
        <f>VLOOKUP($C11,Raw!$B$2:$F$353, 4, FALSE)</f>
        <v>509.286</v>
      </c>
      <c r="P11" s="21">
        <f>VLOOKUP($C11,Raw!$B$2:$F$353, 5, FALSE)</f>
        <v>0.65400000000000003</v>
      </c>
      <c r="Q11" s="14">
        <v>60</v>
      </c>
      <c r="R11" s="25">
        <v>1140</v>
      </c>
      <c r="S11">
        <f>EXP(24.4543-(100/H11*(67.4509))-(4.8489*LN(H11/100))-(0.000544*G11))</f>
        <v>1.0217653481118706E-2</v>
      </c>
      <c r="T11" s="8">
        <f>EXP(-58.0931+90.5069*(100/H11)+22.294*LN(H11/100)+G11*(0.027766-0.025888*(H11/100)+0.0050578*(H11/100)^2))</f>
        <v>5.8345355693641583E-2</v>
      </c>
      <c r="U11" s="9">
        <f>(EXP(-67.1962+99.1624*(100/H11)+27.9015*LN(H11/100)+G11*(-0.072909+0.041674*(H11/100)-0.0064603*(H11/100)^2)))</f>
        <v>4.6191052040003684E-2</v>
      </c>
      <c r="V11" s="9">
        <f>(EXP(-64.8539+100.252*(100/H11)+25.2049*LN(H11/100)+(-0.062544+0.035337*(H11/100)-0.0054699*(H11/100)^2)*G11))</f>
        <v>4.3853508970479002E-2</v>
      </c>
      <c r="W11" s="9">
        <f>(EXP(-68.8862+101.4956*(100/H11)+28.7314*LN(H11/100)+G11*(-0.076146+0.04397*(H11/100)-0.0068672*(H11/100)^2)))</f>
        <v>4.6087812526765838E-2</v>
      </c>
      <c r="X11">
        <f>N11*(AZ11-S11)</f>
        <v>211.86958659905102</v>
      </c>
      <c r="Y11">
        <f>O11*(AZ11-S11)</f>
        <v>466.40853039237288</v>
      </c>
      <c r="Z11">
        <f>((Y11/10^6)*AZ11)/(0.082056*H11)</f>
        <v>1.8754885816661793E-5</v>
      </c>
      <c r="AA11">
        <f>(((L11/10^6)*AZ11)/(0.082056*H11))</f>
        <v>4.326728788026619E-7</v>
      </c>
      <c r="AB11">
        <f>((Y11/10^6)*U11*1)/(0.082056*H11)</f>
        <v>9.355111102033753E-7</v>
      </c>
      <c r="AC11">
        <f>(Z11*(Q11/1000))+(AB11*(R11/1000))</f>
        <v>2.191775814631555E-6</v>
      </c>
      <c r="AD11" s="39">
        <f>((AC11-(AA11*(Q11/1000)))/(R11/1000))*1000000</f>
        <v>1.8998381069328032</v>
      </c>
      <c r="AE11" s="39">
        <f>(AD11/((U11*AZ11*1))*(0.0821*273.15))</f>
        <v>996.04686768249007</v>
      </c>
      <c r="AF11" s="39">
        <f>L11*U11*AZ11*1/(0.0821*273.15)</f>
        <v>2.0523364296458301E-2</v>
      </c>
      <c r="AG11" s="39">
        <f>AD11-AF11</f>
        <v>1.8793147426363448</v>
      </c>
      <c r="AH11" s="42">
        <f>P11*(AZ11-S11)</f>
        <v>0.59893886514966421</v>
      </c>
      <c r="AI11">
        <f>(((X11/10^6)*(Q11/1000))/(0.082056*H11))</f>
        <v>5.5200686712538279E-7</v>
      </c>
      <c r="AJ11">
        <f>(((K11/10^6)*AZ11)*(Q11/1000))/(0.082056*H11)</f>
        <v>1.1639991596558987E-6</v>
      </c>
      <c r="AK11">
        <f>(X11/10^6)*T11*(R11/1000)</f>
        <v>1.4092231285496528E-5</v>
      </c>
      <c r="AL11">
        <f>AI11+AK11</f>
        <v>1.464423815262191E-5</v>
      </c>
      <c r="AM11" s="39">
        <f>((AL11-AJ11)/(R11/1000))*1000000</f>
        <v>11.824771046461416</v>
      </c>
      <c r="AN11" s="39">
        <f>AM11/(T11*AZ11)</f>
        <v>218.8583497353078</v>
      </c>
      <c r="AO11" s="39">
        <f>(K11*AZ11)*T11</f>
        <v>26.06652255216256</v>
      </c>
      <c r="AP11" s="39">
        <f>AM11-AO11</f>
        <v>-14.241751505701144</v>
      </c>
      <c r="AQ11">
        <f>(((AH11/10^6)*(Q11/1000))/(0.082056*H11))</f>
        <v>1.5604805383255471E-9</v>
      </c>
      <c r="AR11">
        <f>(((M11/10^6)*AZ11)*(Q11/1000))/(0.082056*H11)</f>
        <v>8.0788335665001414E-10</v>
      </c>
      <c r="AS11">
        <f>(AH11/10^6)*V11*(R11/1000)</f>
        <v>2.9942750820994617E-8</v>
      </c>
      <c r="AT11">
        <f>AQ11+AS11</f>
        <v>3.1503231359320163E-8</v>
      </c>
      <c r="AU11" s="39">
        <f>((AT11-AR11)/(R11/1000))*1000000000</f>
        <v>26.925743861991361</v>
      </c>
      <c r="AV11" s="39">
        <f>(AU11/1000)/(V11*AZ11)</f>
        <v>0.66304046203992817</v>
      </c>
      <c r="AW11" s="39">
        <f>(M11*AZ11)*V11*1000</f>
        <v>13.598066145857281</v>
      </c>
      <c r="AX11" s="39">
        <f>AU11-AW11</f>
        <v>13.32767771613408</v>
      </c>
      <c r="AY11" s="26">
        <f>VLOOKUP($E11,Water!$C$2:$G$90, 5, FALSE)</f>
        <v>703.78</v>
      </c>
      <c r="AZ11">
        <f>AY11/760</f>
        <v>0.9260263157894737</v>
      </c>
      <c r="BA11" s="3">
        <f>Assumptions!$B$3</f>
        <v>406.07</v>
      </c>
      <c r="BB11" s="3">
        <f>BA11*AZ11*T11</f>
        <v>21.939691972656529</v>
      </c>
      <c r="BC11" s="3">
        <f>Assumptions!$B$4</f>
        <v>1.8474300000000001</v>
      </c>
      <c r="BD11" s="45">
        <f>BC11*AZ11*U11*1/(0.0821*273.15)</f>
        <v>3.5237477550199912E-3</v>
      </c>
      <c r="BE11" s="3">
        <f>Assumptions!$B$2</f>
        <v>0.33054499999999998</v>
      </c>
      <c r="BF11" s="44">
        <f>BE11*AZ11*V11*1000</f>
        <v>13.423268283626964</v>
      </c>
      <c r="BG11">
        <f>1923.6+(-125.06*F11)+(4.3773*(F11^2))+(-0.085681*(F11^3))+(0.00070284*(F11^4))</f>
        <v>1197.9502828124998</v>
      </c>
      <c r="BH11">
        <f>1909.4+(-120.78*F11)+(4.1555*(F11^2))+(-0.080578*(F11^3))+(0.00065777*(F11^4))</f>
        <v>1205.3842566406249</v>
      </c>
      <c r="BI11">
        <f>2141.2+(-152.56*F11)+(5.8963*(F11^2))+(-0.12411*(F11^3))+(0.0010655*(F11^4))</f>
        <v>1279.6792773437498</v>
      </c>
      <c r="BJ11" s="25">
        <f>VLOOKUP(E11,Wind!$C$2:$E$109,3, FALSE)</f>
        <v>0.58333333333333337</v>
      </c>
      <c r="BK11" s="44">
        <v>1.66</v>
      </c>
      <c r="BL11">
        <f>BK11/(1-(((1.3*10^-3)^0.5)/0.41)*LN(10/1.5))</f>
        <v>1.9923982880693825</v>
      </c>
      <c r="BM11">
        <f>BK11*1.22</f>
        <v>2.0251999999999999</v>
      </c>
      <c r="BN11">
        <f>2.07+0.215*(BM11^1.7)*(24/100)</f>
        <v>2.241255750541113</v>
      </c>
      <c r="BO11">
        <f>BN11*((600/BG11)^0.67)</f>
        <v>1.4102586181122656</v>
      </c>
      <c r="BP11">
        <f>BN11*((600/BH11)^0.67)</f>
        <v>1.4044253491001182</v>
      </c>
      <c r="BQ11">
        <f>BN11*((600/BI11)^0.67)</f>
        <v>1.3492579718716571</v>
      </c>
      <c r="BR11" s="39">
        <f>BO11*(AM11-BB11)</f>
        <v>-14.264654407690758</v>
      </c>
      <c r="BS11" s="39">
        <f>BP11*(AD11-BD11)</f>
        <v>2.6632319558918249</v>
      </c>
      <c r="BT11" s="39">
        <f>BQ11*(AU11-BF11)</f>
        <v>18.218322814110525</v>
      </c>
      <c r="BU11">
        <f>(2.51+1.48*BM11)+(0.39*BM11*LOG10(0.0015))</f>
        <v>3.2768938069574309</v>
      </c>
      <c r="BV11">
        <f>BU11*((600/$BG11)^0.67)</f>
        <v>2.0619100389523601</v>
      </c>
      <c r="BW11">
        <f>BU11*((600/$BH11)^0.67)</f>
        <v>2.0533813366408959</v>
      </c>
      <c r="BX11">
        <f>BU11*((600/$BI11)^0.67)</f>
        <v>1.9727222522225369</v>
      </c>
      <c r="BY11" s="39">
        <f>BV11*($AM11-$BB11)</f>
        <v>-20.85605700093101</v>
      </c>
      <c r="BZ11" s="39">
        <f>BW11*($AD11-$BD11)</f>
        <v>3.8938565135398004</v>
      </c>
      <c r="CA11" s="39">
        <f>BX11*($AU11-$BF11)</f>
        <v>26.636634033530814</v>
      </c>
      <c r="CB11" s="42">
        <f>AVERAGE(0.72,0.69,0.4,0.22)</f>
        <v>0.50750000000000006</v>
      </c>
      <c r="CC11">
        <f>CB11*((600/$BG11)^0.67)</f>
        <v>0.319332699322324</v>
      </c>
      <c r="CD11">
        <f>CB11*((600/$BH11)^0.67)</f>
        <v>0.31801183978947056</v>
      </c>
      <c r="CE11">
        <f>CB11*((600/$BI11)^0.67)</f>
        <v>0.30551998385706103</v>
      </c>
      <c r="CF11" s="39">
        <f>CC11*($AM11-$BB11)</f>
        <v>-3.2300250027937469</v>
      </c>
      <c r="CG11" s="39">
        <f>CD11*($AD11-$BD11)</f>
        <v>0.60305041818131766</v>
      </c>
      <c r="CH11" s="39">
        <f>CE11*($AU11-$BF11)</f>
        <v>4.1252761207322513</v>
      </c>
      <c r="CI11">
        <v>0.86263901889527161</v>
      </c>
      <c r="CJ11">
        <f>((BG11/BH11)^0.67)*CI11</f>
        <v>0.85907087515697866</v>
      </c>
      <c r="CK11">
        <f>((BH11/BH11)^0.67)*CI11</f>
        <v>0.86263901889527161</v>
      </c>
      <c r="CL11">
        <f>((BI11/BH11)^0.67)*CI11</f>
        <v>0.89790991086663408</v>
      </c>
      <c r="CM11" s="39">
        <f>CJ11*($AM11-$BB11)</f>
        <v>-8.6894339722100735</v>
      </c>
      <c r="CN11" s="39">
        <f>CK11*($AD11-$BD11)</f>
        <v>1.6358347583181385</v>
      </c>
      <c r="CO11" s="39">
        <f>CL11*($AU11-$BF11)</f>
        <v>12.124006643048078</v>
      </c>
      <c r="CP11" s="27">
        <f>VLOOKUP(A11,Water!$A$2:$E$109, 5, FALSE)/1000</f>
        <v>6.6E-4</v>
      </c>
      <c r="CQ11">
        <f>0.64*CP11</f>
        <v>4.2240000000000002E-4</v>
      </c>
      <c r="CR11" s="19">
        <f>CQ11*1000*(2.5*10^-5)</f>
        <v>1.0560000000000001E-5</v>
      </c>
      <c r="CS11" s="18">
        <f>(-0.0000009*F11^3)+(0.0002*F11^2)-(0.0134*F11)+6.579</f>
        <v>6.4893703125000002</v>
      </c>
      <c r="CT11" s="18">
        <f>CS11-(SQRT(CP11))/(1+1.4*SQRT(CP11))</f>
        <v>6.4645717679454338</v>
      </c>
      <c r="CU11" s="18">
        <f>10^(-CT11)</f>
        <v>3.4310593623741093E-7</v>
      </c>
      <c r="CV11" s="18">
        <f>(0.000001*F11^3)+(0.00006*F11^2)-(0.014*F11)+10.625</f>
        <v>10.523796875</v>
      </c>
      <c r="CW11" s="18">
        <f>CV11-(2*SQRT(CR11))/(1+1.4*SQRT(CR11))</f>
        <v>10.517327078367028</v>
      </c>
      <c r="CX11" s="18">
        <f>10^(-CW11)</f>
        <v>3.0385957189694025E-11</v>
      </c>
      <c r="CY11">
        <f>EXP(1246.98+-61900/H11-183*LN(H11))</f>
        <v>5.6831926590458831E-3</v>
      </c>
      <c r="CZ11">
        <f>12.225*(F11^2)+15.258*F11+1125.7</f>
        <v>1927.79125</v>
      </c>
      <c r="DA11" s="15">
        <f>10^(-4470.99/H11+6.0875-0.01706*H11)</f>
        <v>2.3376090316023464E-15</v>
      </c>
      <c r="DB11">
        <f>(10^-I11)</f>
        <v>9.5499258602143329E-10</v>
      </c>
      <c r="DC11">
        <f>DB11^2</f>
        <v>9.1201083935590464E-19</v>
      </c>
      <c r="DD11" s="20">
        <f>((14.6836*10^-9)*((H11/217.2056)-1)^1.997)*100*100</f>
        <v>1.2574204855197366E-5</v>
      </c>
      <c r="DE11">
        <f>CY11+CZ11*DA11/DB11</f>
        <v>1.0401996033026042E-2</v>
      </c>
      <c r="DF11">
        <f>1+DC11*(CU11*CX11+CU11*DB11)^-1</f>
        <v>1.0026975448043256</v>
      </c>
      <c r="DG11">
        <f>(DE11*DF11/DD11)^0.5</f>
        <v>28.800700566323567</v>
      </c>
      <c r="DH11">
        <f>DD11/(BO11/60/60)</f>
        <v>3.2098465414310953E-2</v>
      </c>
      <c r="DI11" s="16">
        <f>DF11/((DF11-1)+TANH(DG11*DH11)/(DG11*DH11))</f>
        <v>1.2689395689669412</v>
      </c>
      <c r="DJ11">
        <f>$DI11*BR11</f>
        <v>-18.100984415557487</v>
      </c>
      <c r="DK11">
        <f>$DI11*BY11</f>
        <v>-26.465075981111351</v>
      </c>
      <c r="DL11">
        <f>$DI11*CF11</f>
        <v>-4.0987065347975404</v>
      </c>
      <c r="DM11">
        <f>$DI11*CM11</f>
        <v>-11.026366599262946</v>
      </c>
    </row>
    <row r="12" spans="1:146" ht="15.75" x14ac:dyDescent="0.25">
      <c r="A12" s="51" t="s">
        <v>324</v>
      </c>
      <c r="B12" s="54" t="s">
        <v>341</v>
      </c>
      <c r="C12" s="48" t="s">
        <v>140</v>
      </c>
      <c r="D12" s="57">
        <v>43221</v>
      </c>
      <c r="E12" s="42" t="str">
        <f>A12&amp;D12</f>
        <v>32B43221</v>
      </c>
      <c r="F12" s="3">
        <f>VLOOKUP($E12,Water!$C$2:$E$90, 2, FALSE)</f>
        <v>7.5</v>
      </c>
      <c r="G12" s="3">
        <f>VLOOKUP($E12,Water!$C$2:$E$90, 3, FALSE)</f>
        <v>0.66</v>
      </c>
      <c r="H12" s="1">
        <f>F12+273.15</f>
        <v>280.64999999999998</v>
      </c>
      <c r="I12" s="3">
        <f>VLOOKUP($E12,Water!$C$2:$F$90, 4, FALSE)</f>
        <v>9.02</v>
      </c>
      <c r="J12">
        <f>10^(I12*-1)</f>
        <v>9.5499258602143329E-10</v>
      </c>
      <c r="K12" s="25">
        <f>VLOOKUP($E12,Atm!$D$2:$G$45, 2, FALSE)</f>
        <v>482.45129539414432</v>
      </c>
      <c r="L12" s="25">
        <f>VLOOKUP($E12,Atm!$D$2:$G$45, 3, FALSE)</f>
        <v>10.759986678442271</v>
      </c>
      <c r="M12" s="25">
        <f>VLOOKUP($E12,Atm!$D$2:$G$45, 4, FALSE)</f>
        <v>0.33484935853251896</v>
      </c>
      <c r="N12" s="21">
        <f>VLOOKUP($C12,Raw!$B$2:$F$353, 3, FALSE)</f>
        <v>228.94499999999999</v>
      </c>
      <c r="O12" s="21">
        <f>VLOOKUP($C12,Raw!$B$2:$F$353, 4, FALSE)</f>
        <v>532.54999999999995</v>
      </c>
      <c r="P12" s="21">
        <f>VLOOKUP($C12,Raw!$B$2:$F$353, 5, FALSE)</f>
        <v>0.65100000000000002</v>
      </c>
      <c r="Q12" s="14">
        <v>60</v>
      </c>
      <c r="R12" s="25">
        <v>1140</v>
      </c>
      <c r="S12">
        <f>EXP(24.4543-(100/H12*(67.4509))-(4.8489*LN(H12/100))-(0.000544*G12))</f>
        <v>1.0217653481118706E-2</v>
      </c>
      <c r="T12" s="8">
        <f>EXP(-58.0931+90.5069*(100/H12)+22.294*LN(H12/100)+G12*(0.027766-0.025888*(H12/100)+0.0050578*(H12/100)^2))</f>
        <v>5.8345355693641583E-2</v>
      </c>
      <c r="U12" s="9">
        <f>(EXP(-67.1962+99.1624*(100/H12)+27.9015*LN(H12/100)+G12*(-0.072909+0.041674*(H12/100)-0.0064603*(H12/100)^2)))</f>
        <v>4.6191052040003684E-2</v>
      </c>
      <c r="V12" s="9">
        <f>(EXP(-64.8539+100.252*(100/H12)+25.2049*LN(H12/100)+(-0.062544+0.035337*(H12/100)-0.0054699*(H12/100)^2)*G12))</f>
        <v>4.3853508970479002E-2</v>
      </c>
      <c r="W12" s="9">
        <f>(EXP(-68.8862+101.4956*(100/H12)+28.7314*LN(H12/100)+G12*(-0.076146+0.04397*(H12/100)-0.0068672*(H12/100)^2)))</f>
        <v>4.6087812526765838E-2</v>
      </c>
      <c r="X12">
        <f>N12*(AZ12-S12)</f>
        <v>209.66981419218632</v>
      </c>
      <c r="Y12">
        <f>O12*(AZ12-S12)</f>
        <v>487.71390311231443</v>
      </c>
      <c r="Z12">
        <f>((Y12/10^6)*AZ12)/(0.082056*H12)</f>
        <v>1.9611602207135557E-5</v>
      </c>
      <c r="AA12">
        <f>(((L12/10^6)*AZ12)/(0.082056*H12))</f>
        <v>4.326728788026619E-7</v>
      </c>
      <c r="AB12">
        <f>((Y12/10^6)*U12*1)/(0.082056*H12)</f>
        <v>9.7824491884482886E-7</v>
      </c>
      <c r="AC12">
        <f>(Z12*(Q12/1000))+(AB12*(R12/1000))</f>
        <v>2.2918953399112382E-6</v>
      </c>
      <c r="AD12" s="39">
        <f>((AC12-(AA12*(Q12/1000)))/(R12/1000))*1000000</f>
        <v>1.9876622519149816</v>
      </c>
      <c r="AE12" s="39">
        <f>(AD12/((U12*AZ12*1))*(0.0821*273.15))</f>
        <v>1042.0912986248818</v>
      </c>
      <c r="AF12" s="39">
        <f>L12*U12*AZ12*1/(0.0821*273.15)</f>
        <v>2.0523364296458301E-2</v>
      </c>
      <c r="AG12" s="39">
        <f>AD12-AF12</f>
        <v>1.9671388876185232</v>
      </c>
      <c r="AH12" s="42">
        <f>P12*(AZ12-S12)</f>
        <v>0.59619143916273909</v>
      </c>
      <c r="AI12">
        <f>(((X12/10^6)*(Q12/1000))/(0.082056*H12))</f>
        <v>5.4627556092804639E-7</v>
      </c>
      <c r="AJ12">
        <f>(((K12/10^6)*AZ12)*(Q12/1000))/(0.082056*H12)</f>
        <v>1.1639991596558987E-6</v>
      </c>
      <c r="AK12">
        <f>(X12/10^6)*T12*(R12/1000)</f>
        <v>1.394591627147965E-5</v>
      </c>
      <c r="AL12">
        <f>AI12+AK12</f>
        <v>1.4492191832407697E-5</v>
      </c>
      <c r="AM12" s="39">
        <f>((AL12-AJ12)/(R12/1000))*1000000</f>
        <v>11.691397081361227</v>
      </c>
      <c r="AN12" s="39">
        <f>AM12/(T12*AZ12)</f>
        <v>216.3898024979203</v>
      </c>
      <c r="AO12" s="39">
        <f>(K12*AZ12)*T12</f>
        <v>26.06652255216256</v>
      </c>
      <c r="AP12" s="39">
        <f>AM12-AO12</f>
        <v>-14.375125470801333</v>
      </c>
      <c r="AQ12">
        <f>(((AH12/10^6)*(Q12/1000))/(0.082056*H12))</f>
        <v>1.5533223707185492E-9</v>
      </c>
      <c r="AR12">
        <f>(((M12/10^6)*AZ12)*(Q12/1000))/(0.082056*H12)</f>
        <v>8.0788335665001414E-10</v>
      </c>
      <c r="AS12">
        <f>(AH12/10^6)*V12*(R12/1000)</f>
        <v>2.9805398753008401E-8</v>
      </c>
      <c r="AT12">
        <f>AQ12+AS12</f>
        <v>3.1358721123726953E-8</v>
      </c>
      <c r="AU12" s="39">
        <f>((AT12-AR12)/(R12/1000))*1000000000</f>
        <v>26.798980497435913</v>
      </c>
      <c r="AV12" s="39">
        <f>(AU12/1000)/(V12*AZ12)</f>
        <v>0.65991894234355952</v>
      </c>
      <c r="AW12" s="39">
        <f>(M12*AZ12)*V12*1000</f>
        <v>13.598066145857281</v>
      </c>
      <c r="AX12" s="39">
        <f>AU12-AW12</f>
        <v>13.200914351578632</v>
      </c>
      <c r="AY12" s="26">
        <f>VLOOKUP($E12,Water!$C$2:$G$90, 5, FALSE)</f>
        <v>703.78</v>
      </c>
      <c r="AZ12">
        <f>AY12/760</f>
        <v>0.9260263157894737</v>
      </c>
      <c r="BA12" s="3">
        <f>Assumptions!$B$3</f>
        <v>406.07</v>
      </c>
      <c r="BB12" s="3">
        <f>BA12*AZ12*T12</f>
        <v>21.939691972656529</v>
      </c>
      <c r="BC12" s="3">
        <f>Assumptions!$B$4</f>
        <v>1.8474300000000001</v>
      </c>
      <c r="BD12" s="45">
        <f>BC12*AZ12*U12*1/(0.0821*273.15)</f>
        <v>3.5237477550199912E-3</v>
      </c>
      <c r="BE12" s="3">
        <f>Assumptions!$B$2</f>
        <v>0.33054499999999998</v>
      </c>
      <c r="BF12" s="44">
        <f>BE12*AZ12*V12*1000</f>
        <v>13.423268283626964</v>
      </c>
      <c r="BG12">
        <f>1923.6+(-125.06*F12)+(4.3773*(F12^2))+(-0.085681*(F12^3))+(0.00070284*(F12^4))</f>
        <v>1197.9502828124998</v>
      </c>
      <c r="BH12">
        <f>1909.4+(-120.78*F12)+(4.1555*(F12^2))+(-0.080578*(F12^3))+(0.00065777*(F12^4))</f>
        <v>1205.3842566406249</v>
      </c>
      <c r="BI12">
        <f>2141.2+(-152.56*F12)+(5.8963*(F12^2))+(-0.12411*(F12^3))+(0.0010655*(F12^4))</f>
        <v>1279.6792773437498</v>
      </c>
      <c r="BJ12" s="25">
        <f>VLOOKUP(E12,Wind!$C$2:$E$109,3, FALSE)</f>
        <v>0.58333333333333337</v>
      </c>
      <c r="BK12" s="44">
        <v>1.66</v>
      </c>
      <c r="BL12">
        <f>BK12/(1-(((1.3*10^-3)^0.5)/0.41)*LN(10/1.5))</f>
        <v>1.9923982880693825</v>
      </c>
      <c r="BM12">
        <f>BK12*1.22</f>
        <v>2.0251999999999999</v>
      </c>
      <c r="BN12">
        <f>2.07+0.215*(BM12^1.7)*(24/100)</f>
        <v>2.241255750541113</v>
      </c>
      <c r="BO12">
        <f>BN12*((600/BG12)^0.67)</f>
        <v>1.4102586181122656</v>
      </c>
      <c r="BP12">
        <f>BN12*((600/BH12)^0.67)</f>
        <v>1.4044253491001182</v>
      </c>
      <c r="BQ12">
        <f>BN12*((600/BI12)^0.67)</f>
        <v>1.3492579718716571</v>
      </c>
      <c r="BR12" s="39">
        <f>BO12*(AM12-BB12)</f>
        <v>-14.452746191405105</v>
      </c>
      <c r="BS12" s="39">
        <f>BP12*(AD12-BD12)</f>
        <v>2.7865744113678401</v>
      </c>
      <c r="BT12" s="39">
        <f>BQ12*(AU12-BF12)</f>
        <v>18.047286333942814</v>
      </c>
      <c r="BU12">
        <f>(2.51+1.48*BM12)+(0.39*BM12*LOG10(0.0015))</f>
        <v>3.2768938069574309</v>
      </c>
      <c r="BV12">
        <f>BU12*((600/$BG12)^0.67)</f>
        <v>2.0619100389523601</v>
      </c>
      <c r="BW12">
        <f>BU12*((600/$BH12)^0.67)</f>
        <v>2.0533813366408959</v>
      </c>
      <c r="BX12">
        <f>BU12*((600/$BI12)^0.67)</f>
        <v>1.9727222522225369</v>
      </c>
      <c r="BY12" s="39">
        <f>BV12*($AM12-$BB12)</f>
        <v>-21.131062118505969</v>
      </c>
      <c r="BZ12" s="39">
        <f>BW12*($AD12-$BD12)</f>
        <v>4.0741929737526492</v>
      </c>
      <c r="CA12" s="39">
        <f>BX12*($AU12-$BF12)</f>
        <v>26.386565123505687</v>
      </c>
      <c r="CB12" s="42">
        <f>AVERAGE(0.72,0.69,0.4,0.22)</f>
        <v>0.50750000000000006</v>
      </c>
      <c r="CC12">
        <f>CB12*((600/$BG12)^0.67)</f>
        <v>0.319332699322324</v>
      </c>
      <c r="CD12">
        <f>CB12*((600/$BH12)^0.67)</f>
        <v>0.31801183978947056</v>
      </c>
      <c r="CE12">
        <f>CB12*((600/$BI12)^0.67)</f>
        <v>0.30551998385706103</v>
      </c>
      <c r="CF12" s="39">
        <f>CC12*($AM12-$BB12)</f>
        <v>-3.2726156710885119</v>
      </c>
      <c r="CG12" s="39">
        <f>CD12*($AD12-$BD12)</f>
        <v>0.63097953610503743</v>
      </c>
      <c r="CH12" s="39">
        <f>CE12*($AU12-$BF12)</f>
        <v>4.0865473796396046</v>
      </c>
      <c r="CI12">
        <v>0.86263901889527161</v>
      </c>
      <c r="CJ12">
        <f>((BG12/BH12)^0.67)*CI12</f>
        <v>0.85907087515697866</v>
      </c>
      <c r="CK12">
        <f>((BH12/BH12)^0.67)*CI12</f>
        <v>0.86263901889527161</v>
      </c>
      <c r="CL12">
        <f>((BI12/BH12)^0.67)*CI12</f>
        <v>0.89790991086663408</v>
      </c>
      <c r="CM12" s="39">
        <f>CJ12*($AM12-$BB12)</f>
        <v>-8.8040116611318489</v>
      </c>
      <c r="CN12" s="39">
        <f>CK12*($AD12-$BD12)</f>
        <v>1.7115952925808811</v>
      </c>
      <c r="CO12" s="39">
        <f>CL12*($AU12-$BF12)</f>
        <v>12.010184561678942</v>
      </c>
      <c r="CP12" s="27">
        <f>VLOOKUP(A12,Water!$A$2:$E$109, 5, FALSE)/1000</f>
        <v>6.6E-4</v>
      </c>
      <c r="CQ12">
        <f>0.64*CP12</f>
        <v>4.2240000000000002E-4</v>
      </c>
      <c r="CR12" s="19">
        <f>CQ12*1000*(2.5*10^-5)</f>
        <v>1.0560000000000001E-5</v>
      </c>
      <c r="CS12" s="18">
        <f>(-0.0000009*F12^3)+(0.0002*F12^2)-(0.0134*F12)+6.579</f>
        <v>6.4893703125000002</v>
      </c>
      <c r="CT12" s="18">
        <f>CS12-(SQRT(CP12))/(1+1.4*SQRT(CP12))</f>
        <v>6.4645717679454338</v>
      </c>
      <c r="CU12" s="18">
        <f>10^(-CT12)</f>
        <v>3.4310593623741093E-7</v>
      </c>
      <c r="CV12" s="18">
        <f>(0.000001*F12^3)+(0.00006*F12^2)-(0.014*F12)+10.625</f>
        <v>10.523796875</v>
      </c>
      <c r="CW12" s="18">
        <f>CV12-(2*SQRT(CR12))/(1+1.4*SQRT(CR12))</f>
        <v>10.517327078367028</v>
      </c>
      <c r="CX12" s="18">
        <f>10^(-CW12)</f>
        <v>3.0385957189694025E-11</v>
      </c>
      <c r="CY12">
        <f>EXP(1246.98+-61900/H12-183*LN(H12))</f>
        <v>5.6831926590458831E-3</v>
      </c>
      <c r="CZ12">
        <f>12.225*(F12^2)+15.258*F12+1125.7</f>
        <v>1927.79125</v>
      </c>
      <c r="DA12" s="15">
        <f>10^(-4470.99/H12+6.0875-0.01706*H12)</f>
        <v>2.3376090316023464E-15</v>
      </c>
      <c r="DB12">
        <f>(10^-I12)</f>
        <v>9.5499258602143329E-10</v>
      </c>
      <c r="DC12">
        <f>DB12^2</f>
        <v>9.1201083935590464E-19</v>
      </c>
      <c r="DD12" s="20">
        <f>((14.6836*10^-9)*((H12/217.2056)-1)^1.997)*100*100</f>
        <v>1.2574204855197366E-5</v>
      </c>
      <c r="DE12">
        <f>CY12+CZ12*DA12/DB12</f>
        <v>1.0401996033026042E-2</v>
      </c>
      <c r="DF12">
        <f>1+DC12*(CU12*CX12+CU12*DB12)^-1</f>
        <v>1.0026975448043256</v>
      </c>
      <c r="DG12">
        <f>(DE12*DF12/DD12)^0.5</f>
        <v>28.800700566323567</v>
      </c>
      <c r="DH12">
        <f>DD12/(BO12/60/60)</f>
        <v>3.2098465414310953E-2</v>
      </c>
      <c r="DI12" s="16">
        <f>DF12/((DF12-1)+TANH(DG12*DH12)/(DG12*DH12))</f>
        <v>1.2689395689669412</v>
      </c>
      <c r="DJ12">
        <f>$DI12*BR12</f>
        <v>-18.339661522510195</v>
      </c>
      <c r="DK12">
        <f>$DI12*BY12</f>
        <v>-26.814040856470623</v>
      </c>
      <c r="DL12">
        <f>$DI12*CF12</f>
        <v>-4.1527515190655135</v>
      </c>
      <c r="DM12">
        <f>$DI12*CM12</f>
        <v>-11.171758762456571</v>
      </c>
    </row>
    <row r="13" spans="1:146" ht="15.75" x14ac:dyDescent="0.25">
      <c r="A13" s="51" t="s">
        <v>324</v>
      </c>
      <c r="B13" s="54" t="s">
        <v>342</v>
      </c>
      <c r="C13" s="48" t="s">
        <v>141</v>
      </c>
      <c r="D13" s="57">
        <v>43221</v>
      </c>
      <c r="E13" s="42" t="str">
        <f>A13&amp;D13</f>
        <v>32B43221</v>
      </c>
      <c r="F13" s="3">
        <f>VLOOKUP($E13,Water!$C$2:$E$90, 2, FALSE)</f>
        <v>7.5</v>
      </c>
      <c r="G13" s="3">
        <f>VLOOKUP($E13,Water!$C$2:$E$90, 3, FALSE)</f>
        <v>0.66</v>
      </c>
      <c r="H13" s="1">
        <f>F13+273.15</f>
        <v>280.64999999999998</v>
      </c>
      <c r="I13" s="3">
        <f>VLOOKUP($E13,Water!$C$2:$F$90, 4, FALSE)</f>
        <v>9.02</v>
      </c>
      <c r="J13">
        <f>10^(I13*-1)</f>
        <v>9.5499258602143329E-10</v>
      </c>
      <c r="K13" s="25">
        <f>VLOOKUP($E13,Atm!$D$2:$G$45, 2, FALSE)</f>
        <v>482.45129539414432</v>
      </c>
      <c r="L13" s="25">
        <f>VLOOKUP($E13,Atm!$D$2:$G$45, 3, FALSE)</f>
        <v>10.759986678442271</v>
      </c>
      <c r="M13" s="25">
        <f>VLOOKUP($E13,Atm!$D$2:$G$45, 4, FALSE)</f>
        <v>0.33484935853251896</v>
      </c>
      <c r="N13" s="21">
        <f>VLOOKUP($C13,Raw!$B$2:$F$353, 3, FALSE)</f>
        <v>242.535</v>
      </c>
      <c r="O13" s="21">
        <f>VLOOKUP($C13,Raw!$B$2:$F$353, 4, FALSE)</f>
        <v>537.41200000000003</v>
      </c>
      <c r="P13" s="21">
        <f>VLOOKUP($C13,Raw!$B$2:$F$353, 5, FALSE)</f>
        <v>0.69</v>
      </c>
      <c r="Q13" s="14">
        <v>60</v>
      </c>
      <c r="R13" s="25">
        <v>1140</v>
      </c>
      <c r="S13">
        <f>EXP(24.4543-(100/H13*(67.4509))-(4.8489*LN(H13/100))-(0.000544*G13))</f>
        <v>1.0217653481118706E-2</v>
      </c>
      <c r="T13" s="8">
        <f>EXP(-58.0931+90.5069*(100/H13)+22.294*LN(H13/100)+G13*(0.027766-0.025888*(H13/100)+0.0050578*(H13/100)^2))</f>
        <v>5.8345355693641583E-2</v>
      </c>
      <c r="U13" s="9">
        <f>(EXP(-67.1962+99.1624*(100/H13)+27.9015*LN(H13/100)+G13*(-0.072909+0.041674*(H13/100)-0.0064603*(H13/100)^2)))</f>
        <v>4.6191052040003684E-2</v>
      </c>
      <c r="V13" s="9">
        <f>(EXP(-64.8539+100.252*(100/H13)+25.2049*LN(H13/100)+(-0.062544+0.035337*(H13/100)-0.0054699*(H13/100)^2)*G13))</f>
        <v>4.3853508970479002E-2</v>
      </c>
      <c r="W13" s="9">
        <f>(EXP(-68.8862+101.4956*(100/H13)+28.7314*LN(H13/100)+G13*(-0.076146+0.04397*(H13/100)-0.0068672*(H13/100)^2)))</f>
        <v>4.6087812526765838E-2</v>
      </c>
      <c r="X13">
        <f>N13*(AZ13-S13)</f>
        <v>222.11565391295687</v>
      </c>
      <c r="Y13">
        <f>O13*(AZ13-S13)</f>
        <v>492.16656482845769</v>
      </c>
      <c r="Z13">
        <f>((Y13/10^6)*AZ13)/(0.082056*H13)</f>
        <v>1.9790649451396364E-5</v>
      </c>
      <c r="AA13">
        <f>(((L13/10^6)*AZ13)/(0.082056*H13))</f>
        <v>4.326728788026619E-7</v>
      </c>
      <c r="AB13">
        <f>((Y13/10^6)*U13*1)/(0.082056*H13)</f>
        <v>9.8717596155522903E-7</v>
      </c>
      <c r="AC13">
        <f>(Z13*(Q13/1000))+(AB13*(R13/1000))</f>
        <v>2.3128195632567425E-6</v>
      </c>
      <c r="AD13" s="39">
        <f>((AC13-(AA13*(Q13/1000)))/(R13/1000))*1000000</f>
        <v>2.0060168337970028</v>
      </c>
      <c r="AE13" s="39">
        <f>(AD13/((U13*AZ13*1))*(0.0821*273.15))</f>
        <v>1051.7142363502044</v>
      </c>
      <c r="AF13" s="39">
        <f>L13*U13*AZ13*1/(0.0821*273.15)</f>
        <v>2.0523364296458301E-2</v>
      </c>
      <c r="AG13" s="39">
        <f>AD13-AF13</f>
        <v>1.9854934695005444</v>
      </c>
      <c r="AH13" s="42">
        <f>P13*(AZ13-S13)</f>
        <v>0.63190797699276491</v>
      </c>
      <c r="AI13">
        <f>(((X13/10^6)*(Q13/1000))/(0.082056*H13))</f>
        <v>5.7870206018774699E-7</v>
      </c>
      <c r="AJ13">
        <f>(((K13/10^6)*AZ13)*(Q13/1000))/(0.082056*H13)</f>
        <v>1.1639991596558987E-6</v>
      </c>
      <c r="AK13">
        <f>(X13/10^6)*T13*(R13/1000)</f>
        <v>1.4773735189252078E-5</v>
      </c>
      <c r="AL13">
        <f>AI13+AK13</f>
        <v>1.5352437249439826E-5</v>
      </c>
      <c r="AM13" s="39">
        <f>((AL13-AJ13)/(R13/1000))*1000000</f>
        <v>12.445998324371867</v>
      </c>
      <c r="AN13" s="39">
        <f>AM13/(T13*AZ13)</f>
        <v>230.3563124713157</v>
      </c>
      <c r="AO13" s="39">
        <f>(K13*AZ13)*T13</f>
        <v>26.06652255216256</v>
      </c>
      <c r="AP13" s="39">
        <f>AM13-AO13</f>
        <v>-13.620524227790693</v>
      </c>
      <c r="AQ13">
        <f>(((AH13/10^6)*(Q13/1000))/(0.082056*H13))</f>
        <v>1.646378549609522E-9</v>
      </c>
      <c r="AR13">
        <f>(((M13/10^6)*AZ13)*(Q13/1000))/(0.082056*H13)</f>
        <v>8.0788335665001414E-10</v>
      </c>
      <c r="AS13">
        <f>(AH13/10^6)*V13*(R13/1000)</f>
        <v>3.1590975636829178E-8</v>
      </c>
      <c r="AT13">
        <f>AQ13+AS13</f>
        <v>3.3237354186438697E-8</v>
      </c>
      <c r="AU13" s="39">
        <f>((AT13-AR13)/(R13/1000))*1000000000</f>
        <v>28.446904236656742</v>
      </c>
      <c r="AV13" s="39">
        <f>(AU13/1000)/(V13*AZ13)</f>
        <v>0.70049869839635059</v>
      </c>
      <c r="AW13" s="39">
        <f>(M13*AZ13)*V13*1000</f>
        <v>13.598066145857281</v>
      </c>
      <c r="AX13" s="39">
        <f>AU13-AW13</f>
        <v>14.848838090799461</v>
      </c>
      <c r="AY13" s="26">
        <f>VLOOKUP($E13,Water!$C$2:$G$90, 5, FALSE)</f>
        <v>703.78</v>
      </c>
      <c r="AZ13">
        <f>AY13/760</f>
        <v>0.9260263157894737</v>
      </c>
      <c r="BA13" s="3">
        <f>Assumptions!$B$3</f>
        <v>406.07</v>
      </c>
      <c r="BB13" s="3">
        <f>BA13*AZ13*T13</f>
        <v>21.939691972656529</v>
      </c>
      <c r="BC13" s="3">
        <f>Assumptions!$B$4</f>
        <v>1.8474300000000001</v>
      </c>
      <c r="BD13" s="45">
        <f>BC13*AZ13*U13*1/(0.0821*273.15)</f>
        <v>3.5237477550199912E-3</v>
      </c>
      <c r="BE13" s="3">
        <f>Assumptions!$B$2</f>
        <v>0.33054499999999998</v>
      </c>
      <c r="BF13" s="44">
        <f>BE13*AZ13*V13*1000</f>
        <v>13.423268283626964</v>
      </c>
      <c r="BG13">
        <f>1923.6+(-125.06*F13)+(4.3773*(F13^2))+(-0.085681*(F13^3))+(0.00070284*(F13^4))</f>
        <v>1197.9502828124998</v>
      </c>
      <c r="BH13">
        <f>1909.4+(-120.78*F13)+(4.1555*(F13^2))+(-0.080578*(F13^3))+(0.00065777*(F13^4))</f>
        <v>1205.3842566406249</v>
      </c>
      <c r="BI13">
        <f>2141.2+(-152.56*F13)+(5.8963*(F13^2))+(-0.12411*(F13^3))+(0.0010655*(F13^4))</f>
        <v>1279.6792773437498</v>
      </c>
      <c r="BJ13" s="25">
        <f>VLOOKUP(E13,Wind!$C$2:$E$109,3, FALSE)</f>
        <v>0.58333333333333337</v>
      </c>
      <c r="BK13" s="44">
        <v>1.66</v>
      </c>
      <c r="BL13">
        <f>BK13/(1-(((1.3*10^-3)^0.5)/0.41)*LN(10/1.5))</f>
        <v>1.9923982880693825</v>
      </c>
      <c r="BM13">
        <f>BK13*1.22</f>
        <v>2.0251999999999999</v>
      </c>
      <c r="BN13">
        <f>2.07+0.215*(BM13^1.7)*(24/100)</f>
        <v>2.241255750541113</v>
      </c>
      <c r="BO13">
        <f>BN13*((600/BG13)^0.67)</f>
        <v>1.4102586181122656</v>
      </c>
      <c r="BP13">
        <f>BN13*((600/BH13)^0.67)</f>
        <v>1.4044253491001182</v>
      </c>
      <c r="BQ13">
        <f>BN13*((600/BI13)^0.67)</f>
        <v>1.3492579718716571</v>
      </c>
      <c r="BR13" s="39">
        <f>BO13*(AM13-BB13)</f>
        <v>-13.38856328521112</v>
      </c>
      <c r="BS13" s="39">
        <f>BP13*(AD13-BD13)</f>
        <v>2.8123520514350844</v>
      </c>
      <c r="BT13" s="39">
        <f>BQ13*(AU13-BF13)</f>
        <v>20.27076057612307</v>
      </c>
      <c r="BU13">
        <f>(2.51+1.48*BM13)+(0.39*BM13*LOG10(0.0015))</f>
        <v>3.2768938069574309</v>
      </c>
      <c r="BV13">
        <f>BU13*((600/$BG13)^0.67)</f>
        <v>2.0619100389523601</v>
      </c>
      <c r="BW13">
        <f>BU13*((600/$BH13)^0.67)</f>
        <v>2.0533813366408959</v>
      </c>
      <c r="BX13">
        <f>BU13*((600/$BI13)^0.67)</f>
        <v>1.9727222522225369</v>
      </c>
      <c r="BY13" s="39">
        <f>BV13*($AM13-$BB13)</f>
        <v>-19.575142240136401</v>
      </c>
      <c r="BZ13" s="39">
        <f>BW13*($AD13-$BD13)</f>
        <v>4.1118819296310392</v>
      </c>
      <c r="CA13" s="39">
        <f>BX13*($AU13-$BF13)</f>
        <v>29.637460953832385</v>
      </c>
      <c r="CB13" s="42">
        <f>AVERAGE(0.72,0.69,0.4,0.22)</f>
        <v>0.50750000000000006</v>
      </c>
      <c r="CC13">
        <f>CB13*((600/$BG13)^0.67)</f>
        <v>0.319332699322324</v>
      </c>
      <c r="CD13">
        <f>CB13*((600/$BH13)^0.67)</f>
        <v>0.31801183978947056</v>
      </c>
      <c r="CE13">
        <f>CB13*((600/$BI13)^0.67)</f>
        <v>0.30551998385706103</v>
      </c>
      <c r="CF13" s="39">
        <f>CC13*($AM13-$BB13)</f>
        <v>-3.0316468192459429</v>
      </c>
      <c r="CG13" s="39">
        <f>CD13*($AD13-$BD13)</f>
        <v>0.63681651045790555</v>
      </c>
      <c r="CH13" s="39">
        <f>CE13*($AU13-$BF13)</f>
        <v>4.5900210138440194</v>
      </c>
      <c r="CI13">
        <v>0.86263901889527161</v>
      </c>
      <c r="CJ13">
        <f>((BG13/BH13)^0.67)*CI13</f>
        <v>0.85907087515697866</v>
      </c>
      <c r="CK13">
        <f>((BH13/BH13)^0.67)*CI13</f>
        <v>0.86263901889527161</v>
      </c>
      <c r="CL13">
        <f>((BI13/BH13)^0.67)*CI13</f>
        <v>0.89790991086663408</v>
      </c>
      <c r="CM13" s="39">
        <f>CJ13*($AM13-$BB13)</f>
        <v>-8.1557557109041543</v>
      </c>
      <c r="CN13" s="39">
        <f>CK13*($AD13-$BD13)</f>
        <v>1.7274286710878206</v>
      </c>
      <c r="CO13" s="39">
        <f>CL13*($AU13-$BF13)</f>
        <v>13.489871619477727</v>
      </c>
      <c r="CP13" s="27">
        <f>VLOOKUP(A13,Water!$A$2:$E$109, 5, FALSE)/1000</f>
        <v>6.6E-4</v>
      </c>
      <c r="CQ13">
        <f>0.64*CP13</f>
        <v>4.2240000000000002E-4</v>
      </c>
      <c r="CR13" s="19">
        <f>CQ13*1000*(2.5*10^-5)</f>
        <v>1.0560000000000001E-5</v>
      </c>
      <c r="CS13" s="18">
        <f>(-0.0000009*F13^3)+(0.0002*F13^2)-(0.0134*F13)+6.579</f>
        <v>6.4893703125000002</v>
      </c>
      <c r="CT13" s="18">
        <f>CS13-(SQRT(CP13))/(1+1.4*SQRT(CP13))</f>
        <v>6.4645717679454338</v>
      </c>
      <c r="CU13" s="18">
        <f>10^(-CT13)</f>
        <v>3.4310593623741093E-7</v>
      </c>
      <c r="CV13" s="18">
        <f>(0.000001*F13^3)+(0.00006*F13^2)-(0.014*F13)+10.625</f>
        <v>10.523796875</v>
      </c>
      <c r="CW13" s="18">
        <f>CV13-(2*SQRT(CR13))/(1+1.4*SQRT(CR13))</f>
        <v>10.517327078367028</v>
      </c>
      <c r="CX13" s="18">
        <f>10^(-CW13)</f>
        <v>3.0385957189694025E-11</v>
      </c>
      <c r="CY13">
        <f>EXP(1246.98+-61900/H13-183*LN(H13))</f>
        <v>5.6831926590458831E-3</v>
      </c>
      <c r="CZ13">
        <f>12.225*(F13^2)+15.258*F13+1125.7</f>
        <v>1927.79125</v>
      </c>
      <c r="DA13" s="15">
        <f>10^(-4470.99/H13+6.0875-0.01706*H13)</f>
        <v>2.3376090316023464E-15</v>
      </c>
      <c r="DB13">
        <f>(10^-I13)</f>
        <v>9.5499258602143329E-10</v>
      </c>
      <c r="DC13">
        <f>DB13^2</f>
        <v>9.1201083935590464E-19</v>
      </c>
      <c r="DD13" s="20">
        <f>((14.6836*10^-9)*((H13/217.2056)-1)^1.997)*100*100</f>
        <v>1.2574204855197366E-5</v>
      </c>
      <c r="DE13">
        <f>CY13+CZ13*DA13/DB13</f>
        <v>1.0401996033026042E-2</v>
      </c>
      <c r="DF13">
        <f>1+DC13*(CU13*CX13+CU13*DB13)^-1</f>
        <v>1.0026975448043256</v>
      </c>
      <c r="DG13">
        <f>(DE13*DF13/DD13)^0.5</f>
        <v>28.800700566323567</v>
      </c>
      <c r="DH13">
        <f>DD13/(BO13/60/60)</f>
        <v>3.2098465414310953E-2</v>
      </c>
      <c r="DI13" s="16">
        <f>DF13/((DF13-1)+TANH(DG13*DH13)/(DG13*DH13))</f>
        <v>1.2689395689669412</v>
      </c>
      <c r="DJ13">
        <f>$DI13*BR13</f>
        <v>-16.989277724222411</v>
      </c>
      <c r="DK13">
        <f>$DI13*BY13</f>
        <v>-24.839672556665249</v>
      </c>
      <c r="DL13">
        <f>$DI13*CF13</f>
        <v>-3.8469766080739451</v>
      </c>
      <c r="DM13">
        <f>$DI13*CM13</f>
        <v>-10.349161136394386</v>
      </c>
    </row>
    <row r="14" spans="1:146" ht="15.75" x14ac:dyDescent="0.25">
      <c r="A14" s="52" t="s">
        <v>325</v>
      </c>
      <c r="B14" s="55" t="s">
        <v>339</v>
      </c>
      <c r="C14" t="s">
        <v>143</v>
      </c>
      <c r="D14" s="57">
        <v>43221</v>
      </c>
      <c r="E14" s="42" t="str">
        <f>A14&amp;D14</f>
        <v>32C43221</v>
      </c>
      <c r="F14" s="3">
        <f>VLOOKUP($E14,Water!$C$2:$E$90, 2, FALSE)</f>
        <v>7.3</v>
      </c>
      <c r="G14" s="3">
        <f>VLOOKUP($E14,Water!$C$2:$E$90, 3, FALSE)</f>
        <v>0.79</v>
      </c>
      <c r="H14" s="1">
        <f>F14+273.15</f>
        <v>280.45</v>
      </c>
      <c r="I14" s="3">
        <f>VLOOKUP($E14,Water!$C$2:$F$90, 4, FALSE)</f>
        <v>8.99</v>
      </c>
      <c r="J14">
        <f>10^(I14*-1)</f>
        <v>1.0232929922807512E-9</v>
      </c>
      <c r="K14" s="25">
        <f>VLOOKUP($E14,Atm!$D$2:$G$45, 2, FALSE)</f>
        <v>486.10114370663149</v>
      </c>
      <c r="L14" s="25">
        <f>VLOOKUP($E14,Atm!$D$2:$G$45, 3, FALSE)</f>
        <v>2.4878540448794908</v>
      </c>
      <c r="M14" s="25">
        <f>VLOOKUP($E14,Atm!$D$2:$G$45, 4, FALSE)</f>
        <v>0.33333961581584787</v>
      </c>
      <c r="N14" s="21">
        <f>VLOOKUP($C14,Raw!$B$2:$F$353, 3, FALSE)</f>
        <v>221.01807980485901</v>
      </c>
      <c r="O14" s="21">
        <f>VLOOKUP($C14,Raw!$B$2:$F$353, 4, FALSE)</f>
        <v>62.520804934973008</v>
      </c>
      <c r="P14" s="21">
        <f>VLOOKUP($C14,Raw!$B$2:$F$353, 5, FALSE)</f>
        <v>0.42510565906235898</v>
      </c>
      <c r="Q14" s="14">
        <v>60</v>
      </c>
      <c r="R14" s="25">
        <v>1140</v>
      </c>
      <c r="S14">
        <f>EXP(24.4543-(100/H14*(67.4509))-(4.8489*LN(H14/100))-(0.000544*G14))</f>
        <v>1.0078087205041867E-2</v>
      </c>
      <c r="T14" s="8">
        <f>EXP(-58.0931+90.5069*(100/H14)+22.294*LN(H14/100)+G14*(0.027766-0.025888*(H14/100)+0.0050578*(H14/100)^2))</f>
        <v>5.8722570608987161E-2</v>
      </c>
      <c r="U14" s="9">
        <f>(EXP(-67.1962+99.1624*(100/H14)+27.9015*LN(H14/100)+G14*(-0.072909+0.041674*(H14/100)-0.0064603*(H14/100)^2)))</f>
        <v>4.6395192292840622E-2</v>
      </c>
      <c r="V14" s="9">
        <f>(EXP(-64.8539+100.252*(100/H14)+25.2049*LN(H14/100)+(-0.062544+0.035337*(H14/100)-0.0054699*(H14/100)^2)*G14))</f>
        <v>4.4146536747752027E-2</v>
      </c>
      <c r="W14" s="9">
        <f>(EXP(-68.8862+101.4956*(100/H14)+28.7314*LN(H14/100)+G14*(-0.076146+0.04397*(H14/100)-0.0068672*(H14/100)^2)))</f>
        <v>4.6291564225783476E-2</v>
      </c>
      <c r="X14">
        <f>N14*(AZ14-S14)</f>
        <v>202.8540735157128</v>
      </c>
      <c r="Y14">
        <f>O14*(AZ14-S14)</f>
        <v>57.382635718029306</v>
      </c>
      <c r="Z14">
        <f>((Y14/10^6)*AZ14)/(0.082056*H14)</f>
        <v>2.313733938688836E-6</v>
      </c>
      <c r="AA14">
        <f>(((L14/10^6)*AZ14)/(0.082056*H14))</f>
        <v>1.0031313943868566E-7</v>
      </c>
      <c r="AB14">
        <f>((Y14/10^6)*U14*1)/(0.082056*H14)</f>
        <v>1.1568783261479645E-7</v>
      </c>
      <c r="AC14">
        <f>(Z14*(Q14/1000))+(AB14*(R14/1000))</f>
        <v>2.7070816550219809E-7</v>
      </c>
      <c r="AD14" s="39">
        <f>((AC14-(AA14*(Q14/1000)))/(R14/1000))*1000000</f>
        <v>0.23218366415427805</v>
      </c>
      <c r="AE14" s="39">
        <f>(AD14/((U14*AZ14*1))*(0.0821*273.15))</f>
        <v>120.94957097208305</v>
      </c>
      <c r="AF14" s="39">
        <f>L14*U14*AZ14*1/(0.0821*273.15)</f>
        <v>4.7758670277093379E-3</v>
      </c>
      <c r="AG14" s="39">
        <f>AD14-AF14</f>
        <v>0.22740779712656872</v>
      </c>
      <c r="AH14" s="42">
        <f>P14*(AZ14-S14)</f>
        <v>0.3901690517423701</v>
      </c>
      <c r="AI14">
        <f>(((X14/10^6)*(Q14/1000))/(0.082056*H14))</f>
        <v>5.288946777283073E-7</v>
      </c>
      <c r="AJ14">
        <f>(((K14/10^6)*AZ14)*(Q14/1000))/(0.082056*H14)</f>
        <v>1.1760094667203815E-6</v>
      </c>
      <c r="AK14">
        <f>(X14/10^6)*T14*(R14/1000)</f>
        <v>1.3579808427095713E-5</v>
      </c>
      <c r="AL14">
        <f>AI14+AK14</f>
        <v>1.4108703104824021E-5</v>
      </c>
      <c r="AM14" s="39">
        <f>((AL14-AJ14)/(R14/1000))*1000000</f>
        <v>11.344468103599686</v>
      </c>
      <c r="AN14" s="39">
        <f>AM14/(T14*AZ14)</f>
        <v>208.19982889485127</v>
      </c>
      <c r="AO14" s="39">
        <f>(K14*AZ14)*T14</f>
        <v>26.486856157255861</v>
      </c>
      <c r="AP14" s="39">
        <f>AM14-AO14</f>
        <v>-15.142388053656175</v>
      </c>
      <c r="AQ14">
        <f>(((AH14/10^6)*(Q14/1000))/(0.082056*H14))</f>
        <v>1.0172747892334331E-9</v>
      </c>
      <c r="AR14">
        <f>(((M14/10^6)*AZ14)*(Q14/1000))/(0.082056*H14)</f>
        <v>8.064382256811879E-10</v>
      </c>
      <c r="AS14">
        <f>(AH14/10^6)*V14*(R14/1000)</f>
        <v>1.9636058113861319E-8</v>
      </c>
      <c r="AT14">
        <f>AQ14+AS14</f>
        <v>2.0653332903094752E-8</v>
      </c>
      <c r="AU14" s="39">
        <f>((AT14-AR14)/(R14/1000))*1000000000</f>
        <v>17.409556734573304</v>
      </c>
      <c r="AV14" s="39">
        <f>(AU14/1000)/(V14*AZ14)</f>
        <v>0.42500335953823376</v>
      </c>
      <c r="AW14" s="39">
        <f>(M14*AZ14)*V14*1000</f>
        <v>13.654703717476854</v>
      </c>
      <c r="AX14" s="39">
        <f>AU14-AW14</f>
        <v>3.7548530170964494</v>
      </c>
      <c r="AY14" s="26">
        <f>VLOOKUP($E14,Water!$C$2:$G$90, 5, FALSE)</f>
        <v>705.2</v>
      </c>
      <c r="AZ14">
        <f>AY14/760</f>
        <v>0.92789473684210533</v>
      </c>
      <c r="BA14" s="3">
        <f>Assumptions!$B$3</f>
        <v>406.07</v>
      </c>
      <c r="BB14" s="3">
        <f>BA14*AZ14*T14</f>
        <v>22.126090051472875</v>
      </c>
      <c r="BC14" s="3">
        <f>Assumptions!$B$4</f>
        <v>1.8474300000000001</v>
      </c>
      <c r="BD14" s="45">
        <f>BC14*AZ14*U14*1/(0.0821*273.15)</f>
        <v>3.5464620768894195E-3</v>
      </c>
      <c r="BE14" s="3">
        <f>Assumptions!$B$2</f>
        <v>0.33054499999999998</v>
      </c>
      <c r="BF14" s="44">
        <f>BE14*AZ14*V14*1000</f>
        <v>13.540226922163516</v>
      </c>
      <c r="BG14">
        <f>1923.6+(-125.06*F14)+(4.3773*(F14^2))+(-0.085681*(F14^3))+(0.00070284*(F14^4))</f>
        <v>1212.5928933934438</v>
      </c>
      <c r="BH14">
        <f>1909.4+(-120.78*F14)+(4.1555*(F14^2))+(-0.080578*(F14^3))+(0.00065777*(F14^4))</f>
        <v>1219.6743342722571</v>
      </c>
      <c r="BI14">
        <f>2141.2+(-152.56*F14)+(5.8963*(F14^2))+(-0.12411*(F14^3))+(0.0010655*(F14^4))</f>
        <v>1296.4707597085498</v>
      </c>
      <c r="BJ14" s="25">
        <f>VLOOKUP(E14,Wind!$C$2:$E$109,3, FALSE)</f>
        <v>0</v>
      </c>
      <c r="BK14" s="44">
        <v>1.66</v>
      </c>
      <c r="BL14">
        <f>BK14/(1-(((1.3*10^-3)^0.5)/0.41)*LN(10/1.5))</f>
        <v>1.9923982880693825</v>
      </c>
      <c r="BM14">
        <f>BK14*1.22</f>
        <v>2.0251999999999999</v>
      </c>
      <c r="BN14">
        <f>2.07+0.215*(BM14^1.7)*(24/100)</f>
        <v>2.241255750541113</v>
      </c>
      <c r="BO14">
        <f>BN14*((600/BG14)^0.67)</f>
        <v>1.3988259877013927</v>
      </c>
      <c r="BP14">
        <f>BN14*((600/BH14)^0.67)</f>
        <v>1.3933792913008642</v>
      </c>
      <c r="BQ14">
        <f>BN14*((600/BI14)^0.67)</f>
        <v>1.337524444946349</v>
      </c>
      <c r="BR14" s="39">
        <f>BO14*(AM14-BB14)</f>
        <v>-15.081612970256726</v>
      </c>
      <c r="BS14" s="39">
        <f>BP14*(AD14-BD14)</f>
        <v>0.31857834259560425</v>
      </c>
      <c r="BT14" s="39">
        <f>BQ14*(AU14-BF14)</f>
        <v>5.1753232096577628</v>
      </c>
      <c r="BU14">
        <f>(2.51+1.48*BM14)+(0.39*BM14*LOG10(0.0015))</f>
        <v>3.2768938069574309</v>
      </c>
      <c r="BV14">
        <f>BU14*((600/$BG14)^0.67)</f>
        <v>2.0451946258266704</v>
      </c>
      <c r="BW14">
        <f>BU14*((600/$BH14)^0.67)</f>
        <v>2.0372311233575928</v>
      </c>
      <c r="BX14">
        <f>BU14*((600/$BI14)^0.67)</f>
        <v>1.9555669045090831</v>
      </c>
      <c r="BY14" s="39">
        <f>BV14*($AM14-$BB14)</f>
        <v>-22.050515265485124</v>
      </c>
      <c r="BZ14" s="39">
        <f>BW14*($AD14-$BD14)</f>
        <v>0.46578682402945543</v>
      </c>
      <c r="CA14" s="39">
        <f>BX14*($AU14-$BF14)</f>
        <v>7.5667333237789203</v>
      </c>
      <c r="CB14" s="42">
        <f>AVERAGE(0.72,0.69,0.4,0.22)</f>
        <v>0.50750000000000006</v>
      </c>
      <c r="CC14">
        <f>CB14*((600/$BG14)^0.67)</f>
        <v>0.31674394525794863</v>
      </c>
      <c r="CD14">
        <f>CB14*((600/$BH14)^0.67)</f>
        <v>0.31551061951071929</v>
      </c>
      <c r="CE14">
        <f>CB14*((600/$BI14)^0.67)</f>
        <v>0.30286309612206863</v>
      </c>
      <c r="CF14" s="39">
        <f>CC14*($AM14-$BB14)</f>
        <v>-3.415013472049043</v>
      </c>
      <c r="CG14" s="39">
        <f>CD14*($AD14-$BD14)</f>
        <v>7.2137465270634402E-2</v>
      </c>
      <c r="CH14" s="39">
        <f>CE14*($AU14-$BF14)</f>
        <v>1.1718772069038514</v>
      </c>
      <c r="CI14">
        <v>0.86263901889527161</v>
      </c>
      <c r="CJ14">
        <f>((BG14/BH14)^0.67)*CI14</f>
        <v>0.85928010729334103</v>
      </c>
      <c r="CK14">
        <f>((BH14/BH14)^0.67)*CI14</f>
        <v>0.86263901889527161</v>
      </c>
      <c r="CL14">
        <f>((BI14/BH14)^0.67)*CI14</f>
        <v>0.89866271180186208</v>
      </c>
      <c r="CM14" s="39">
        <f>CJ14*($AM14-$BB14)</f>
        <v>-9.2644332641647154</v>
      </c>
      <c r="CN14" s="39">
        <f>CK14*($AD14-$BD14)</f>
        <v>0.19723137168299848</v>
      </c>
      <c r="CO14" s="39">
        <f>CL14*($AU14-$BF14)</f>
        <v>3.4772224220759704</v>
      </c>
      <c r="CP14" s="27">
        <f>VLOOKUP(A14,Water!$A$2:$E$109, 5, FALSE)/1000</f>
        <v>7.9000000000000001E-4</v>
      </c>
      <c r="CQ14">
        <f>0.64*CP14</f>
        <v>5.0560000000000004E-4</v>
      </c>
      <c r="CR14" s="19">
        <f>CQ14*1000*(2.5*10^-5)</f>
        <v>1.2640000000000003E-5</v>
      </c>
      <c r="CS14" s="18">
        <f>(-0.0000009*F14^3)+(0.0002*F14^2)-(0.0134*F14)+6.579</f>
        <v>6.4914878846999997</v>
      </c>
      <c r="CT14" s="18">
        <f>CS14-(SQRT(CP14))/(1+1.4*SQRT(CP14))</f>
        <v>6.4644450729651988</v>
      </c>
      <c r="CU14" s="18">
        <f>10^(-CT14)</f>
        <v>3.4320604375171983E-7</v>
      </c>
      <c r="CV14" s="18">
        <f>(0.000001*F14^3)+(0.00006*F14^2)-(0.014*F14)+10.625</f>
        <v>10.526386416999999</v>
      </c>
      <c r="CW14" s="18">
        <f>CV14-(2*SQRT(CR14))/(1+1.4*SQRT(CR14))</f>
        <v>10.519311078178873</v>
      </c>
      <c r="CX14" s="18">
        <f>10^(-CW14)</f>
        <v>3.0247460748245655E-11</v>
      </c>
      <c r="CY14">
        <f>EXP(1246.98+-61900/H14-183*LN(H14))</f>
        <v>5.5327309940685016E-3</v>
      </c>
      <c r="CZ14">
        <f>12.225*(F14^2)+15.258*F14+1125.7</f>
        <v>1888.5536500000001</v>
      </c>
      <c r="DA14" s="15">
        <f>10^(-4470.99/H14+6.0875-0.01706*H14)</f>
        <v>2.2952128375970642E-15</v>
      </c>
      <c r="DB14">
        <f>(10^-I14)</f>
        <v>1.0232929922807512E-9</v>
      </c>
      <c r="DC14">
        <f>DB14^2</f>
        <v>1.0471285480508934E-18</v>
      </c>
      <c r="DD14" s="20">
        <f>((14.6836*10^-9)*((H14/217.2056)-1)^1.997)*100*100</f>
        <v>1.2495171160610277E-5</v>
      </c>
      <c r="DE14">
        <f>CY14+CZ14*DA14/DB14</f>
        <v>9.7686952923381615E-3</v>
      </c>
      <c r="DF14">
        <f>1+DC14*(CU14*CX14+CU14*DB14)^-1</f>
        <v>1.0028959686557106</v>
      </c>
      <c r="DG14">
        <f>(DE14*DF14/DD14)^0.5</f>
        <v>28.00110174364913</v>
      </c>
      <c r="DH14">
        <f>DD14/(BO14/60/60)</f>
        <v>3.215740669224644E-2</v>
      </c>
      <c r="DI14" s="16">
        <f>DF14/((DF14-1)+TANH(DG14*DH14)/(DG14*DH14))</f>
        <v>1.2557697265332015</v>
      </c>
      <c r="DJ14">
        <f>$DI14*BR14</f>
        <v>-18.939032995338874</v>
      </c>
      <c r="DK14">
        <f>$DI14*BY14</f>
        <v>-27.690369524854439</v>
      </c>
      <c r="DL14">
        <f>$DI14*CF14</f>
        <v>-4.2884705339022258</v>
      </c>
      <c r="DM14">
        <f>$DI14*CM14</f>
        <v>-11.633994826625219</v>
      </c>
    </row>
    <row r="15" spans="1:146" ht="15.75" x14ac:dyDescent="0.25">
      <c r="A15" s="52" t="s">
        <v>325</v>
      </c>
      <c r="B15" s="55" t="s">
        <v>340</v>
      </c>
      <c r="C15" t="s">
        <v>144</v>
      </c>
      <c r="D15" s="57">
        <v>43221</v>
      </c>
      <c r="E15" s="42" t="str">
        <f>A15&amp;D15</f>
        <v>32C43221</v>
      </c>
      <c r="F15" s="3">
        <f>VLOOKUP($E15,Water!$C$2:$E$90, 2, FALSE)</f>
        <v>7.3</v>
      </c>
      <c r="G15" s="3">
        <f>VLOOKUP($E15,Water!$C$2:$E$90, 3, FALSE)</f>
        <v>0.79</v>
      </c>
      <c r="H15" s="1">
        <f>F15+273.15</f>
        <v>280.45</v>
      </c>
      <c r="I15" s="3">
        <f>VLOOKUP($E15,Water!$C$2:$F$90, 4, FALSE)</f>
        <v>8.99</v>
      </c>
      <c r="J15">
        <f>10^(I15*-1)</f>
        <v>1.0232929922807512E-9</v>
      </c>
      <c r="K15" s="25">
        <f>VLOOKUP($E15,Atm!$D$2:$G$45, 2, FALSE)</f>
        <v>486.10114370663149</v>
      </c>
      <c r="L15" s="25">
        <f>VLOOKUP($E15,Atm!$D$2:$G$45, 3, FALSE)</f>
        <v>2.4878540448794908</v>
      </c>
      <c r="M15" s="25">
        <f>VLOOKUP($E15,Atm!$D$2:$G$45, 4, FALSE)</f>
        <v>0.33333961581584787</v>
      </c>
      <c r="N15" s="21">
        <f>VLOOKUP($C15,Raw!$B$2:$F$353, 3, FALSE)</f>
        <v>175.94905299462209</v>
      </c>
      <c r="O15" s="21">
        <f>VLOOKUP($C15,Raw!$B$2:$F$353, 4, FALSE)</f>
        <v>63.096041271660781</v>
      </c>
      <c r="P15" s="21">
        <f>VLOOKUP($C15,Raw!$B$2:$F$353, 5, FALSE)</f>
        <v>0.42147205587196968</v>
      </c>
      <c r="Q15" s="14">
        <v>60</v>
      </c>
      <c r="R15" s="25">
        <v>1140</v>
      </c>
      <c r="S15">
        <f>EXP(24.4543-(100/H15*(67.4509))-(4.8489*LN(H15/100))-(0.000544*G15))</f>
        <v>1.0078087205041867E-2</v>
      </c>
      <c r="T15" s="8">
        <f>EXP(-58.0931+90.5069*(100/H15)+22.294*LN(H15/100)+G15*(0.027766-0.025888*(H15/100)+0.0050578*(H15/100)^2))</f>
        <v>5.8722570608987161E-2</v>
      </c>
      <c r="U15" s="9">
        <f>(EXP(-67.1962+99.1624*(100/H15)+27.9015*LN(H15/100)+G15*(-0.072909+0.041674*(H15/100)-0.0064603*(H15/100)^2)))</f>
        <v>4.6395192292840622E-2</v>
      </c>
      <c r="V15" s="9">
        <f>(EXP(-64.8539+100.252*(100/H15)+25.2049*LN(H15/100)+(-0.062544+0.035337*(H15/100)-0.0054699*(H15/100)^2)*G15))</f>
        <v>4.4146536747752027E-2</v>
      </c>
      <c r="W15" s="9">
        <f>(EXP(-68.8862+101.4956*(100/H15)+28.7314*LN(H15/100)+G15*(-0.076146+0.04397*(H15/100)-0.0068672*(H15/100)^2)))</f>
        <v>4.6291564225783476E-2</v>
      </c>
      <c r="X15">
        <f>N15*(AZ15-S15)</f>
        <v>161.48897032633818</v>
      </c>
      <c r="Y15">
        <f>O15*(AZ15-S15)</f>
        <v>57.910597205317579</v>
      </c>
      <c r="Z15">
        <f>((Y15/10^6)*AZ15)/(0.082056*H15)</f>
        <v>2.3350219537159275E-6</v>
      </c>
      <c r="AA15">
        <f>(((L15/10^6)*AZ15)/(0.082056*H15))</f>
        <v>1.0031313943868566E-7</v>
      </c>
      <c r="AB15">
        <f>((Y15/10^6)*U15*1)/(0.082056*H15)</f>
        <v>1.1675224381522644E-7</v>
      </c>
      <c r="AC15">
        <f>(Z15*(Q15/1000))+(AB15*(R15/1000))</f>
        <v>2.7319887517231375E-7</v>
      </c>
      <c r="AD15" s="39">
        <f>((AC15-(AA15*(Q15/1000)))/(R15/1000))*1000000</f>
        <v>0.23436849719823913</v>
      </c>
      <c r="AE15" s="39">
        <f>(AD15/((U15*AZ15*1))*(0.0821*273.15))</f>
        <v>122.08769849830357</v>
      </c>
      <c r="AF15" s="39">
        <f>L15*U15*AZ15*1/(0.0821*273.15)</f>
        <v>4.7758670277093379E-3</v>
      </c>
      <c r="AG15" s="39">
        <f>AD15-AF15</f>
        <v>0.22959263017052978</v>
      </c>
      <c r="AH15" s="42">
        <f>P15*(AZ15-S15)</f>
        <v>0.38683407023605643</v>
      </c>
      <c r="AI15">
        <f>(((X15/10^6)*(Q15/1000))/(0.082056*H15))</f>
        <v>4.2104482023531568E-7</v>
      </c>
      <c r="AJ15">
        <f>(((K15/10^6)*AZ15)*(Q15/1000))/(0.082056*H15)</f>
        <v>1.1760094667203815E-6</v>
      </c>
      <c r="AK15">
        <f>(X15/10^6)*T15*(R15/1000)</f>
        <v>1.0810674107319568E-5</v>
      </c>
      <c r="AL15">
        <f>AI15+AK15</f>
        <v>1.1231718927554883E-5</v>
      </c>
      <c r="AM15" s="39">
        <f>((AL15-AJ15)/(R15/1000))*1000000</f>
        <v>8.8207977726618445</v>
      </c>
      <c r="AN15" s="39">
        <f>AM15/(T15*AZ15)</f>
        <v>161.88406280604283</v>
      </c>
      <c r="AO15" s="39">
        <f>(K15*AZ15)*T15</f>
        <v>26.486856157255861</v>
      </c>
      <c r="AP15" s="39">
        <f>AM15-AO15</f>
        <v>-17.666058384594017</v>
      </c>
      <c r="AQ15">
        <f>(((AH15/10^6)*(Q15/1000))/(0.082056*H15))</f>
        <v>1.0085796028936084E-9</v>
      </c>
      <c r="AR15">
        <f>(((M15/10^6)*AZ15)*(Q15/1000))/(0.082056*H15)</f>
        <v>8.064382256811879E-10</v>
      </c>
      <c r="AS15">
        <f>(AH15/10^6)*V15*(R15/1000)</f>
        <v>1.9468218326532749E-8</v>
      </c>
      <c r="AT15">
        <f>AQ15+AS15</f>
        <v>2.0476797929426357E-8</v>
      </c>
      <c r="AU15" s="39">
        <f>((AT15-AR15)/(R15/1000))*1000000000</f>
        <v>17.254701494513309</v>
      </c>
      <c r="AV15" s="39">
        <f>(AU15/1000)/(V15*AZ15)</f>
        <v>0.42122302220564112</v>
      </c>
      <c r="AW15" s="39">
        <f>(M15*AZ15)*V15*1000</f>
        <v>13.654703717476854</v>
      </c>
      <c r="AX15" s="39">
        <f>AU15-AW15</f>
        <v>3.5999977770364548</v>
      </c>
      <c r="AY15" s="26">
        <f>VLOOKUP($E15,Water!$C$2:$G$90, 5, FALSE)</f>
        <v>705.2</v>
      </c>
      <c r="AZ15">
        <f>AY15/760</f>
        <v>0.92789473684210533</v>
      </c>
      <c r="BA15" s="3">
        <f>Assumptions!$B$3</f>
        <v>406.07</v>
      </c>
      <c r="BB15" s="3">
        <f>BA15*AZ15*T15</f>
        <v>22.126090051472875</v>
      </c>
      <c r="BC15" s="3">
        <f>Assumptions!$B$4</f>
        <v>1.8474300000000001</v>
      </c>
      <c r="BD15" s="45">
        <f>BC15*AZ15*U15*1/(0.0821*273.15)</f>
        <v>3.5464620768894195E-3</v>
      </c>
      <c r="BE15" s="3">
        <f>Assumptions!$B$2</f>
        <v>0.33054499999999998</v>
      </c>
      <c r="BF15" s="44">
        <f>BE15*AZ15*V15*1000</f>
        <v>13.540226922163516</v>
      </c>
      <c r="BG15">
        <f>1923.6+(-125.06*F15)+(4.3773*(F15^2))+(-0.085681*(F15^3))+(0.00070284*(F15^4))</f>
        <v>1212.5928933934438</v>
      </c>
      <c r="BH15">
        <f>1909.4+(-120.78*F15)+(4.1555*(F15^2))+(-0.080578*(F15^3))+(0.00065777*(F15^4))</f>
        <v>1219.6743342722571</v>
      </c>
      <c r="BI15">
        <f>2141.2+(-152.56*F15)+(5.8963*(F15^2))+(-0.12411*(F15^3))+(0.0010655*(F15^4))</f>
        <v>1296.4707597085498</v>
      </c>
      <c r="BJ15" s="25">
        <f>VLOOKUP(E15,Wind!$C$2:$E$109,3, FALSE)</f>
        <v>0</v>
      </c>
      <c r="BK15" s="44">
        <v>1.66</v>
      </c>
      <c r="BL15">
        <f>BK15/(1-(((1.3*10^-3)^0.5)/0.41)*LN(10/1.5))</f>
        <v>1.9923982880693825</v>
      </c>
      <c r="BM15">
        <f>BK15*1.22</f>
        <v>2.0251999999999999</v>
      </c>
      <c r="BN15">
        <f>2.07+0.215*(BM15^1.7)*(24/100)</f>
        <v>2.241255750541113</v>
      </c>
      <c r="BO15">
        <f>BN15*((600/BG15)^0.67)</f>
        <v>1.3988259877013927</v>
      </c>
      <c r="BP15">
        <f>BN15*((600/BH15)^0.67)</f>
        <v>1.3933792913008642</v>
      </c>
      <c r="BQ15">
        <f>BN15*((600/BI15)^0.67)</f>
        <v>1.337524444946349</v>
      </c>
      <c r="BR15" s="39">
        <f>BO15*(AM15-BB15)</f>
        <v>-18.611788613563554</v>
      </c>
      <c r="BS15" s="39">
        <f>BP15*(AD15-BD15)</f>
        <v>0.32162264371400945</v>
      </c>
      <c r="BT15" s="39">
        <f>BQ15*(AU15-BF15)</f>
        <v>4.9682005406494847</v>
      </c>
      <c r="BU15">
        <f>(2.51+1.48*BM15)+(0.39*BM15*LOG10(0.0015))</f>
        <v>3.2768938069574309</v>
      </c>
      <c r="BV15">
        <f>BU15*((600/$BG15)^0.67)</f>
        <v>2.0451946258266704</v>
      </c>
      <c r="BW15">
        <f>BU15*((600/$BH15)^0.67)</f>
        <v>2.0372311233575928</v>
      </c>
      <c r="BX15">
        <f>BU15*((600/$BI15)^0.67)</f>
        <v>1.9555669045090831</v>
      </c>
      <c r="BY15" s="39">
        <f>BV15*($AM15-$BB15)</f>
        <v>-27.211912263677412</v>
      </c>
      <c r="BZ15" s="39">
        <f>BW15*($AD15-$BD15)</f>
        <v>0.47023783390595303</v>
      </c>
      <c r="CA15" s="39">
        <f>BX15*($AU15-$BF15)</f>
        <v>7.2639035413277862</v>
      </c>
      <c r="CB15" s="42">
        <f>AVERAGE(0.72,0.69,0.4,0.22)</f>
        <v>0.50750000000000006</v>
      </c>
      <c r="CC15">
        <f>CB15*((600/$BG15)^0.67)</f>
        <v>0.31674394525794863</v>
      </c>
      <c r="CD15">
        <f>CB15*((600/$BH15)^0.67)</f>
        <v>0.31551061951071929</v>
      </c>
      <c r="CE15">
        <f>CB15*((600/$BI15)^0.67)</f>
        <v>0.30286309612206863</v>
      </c>
      <c r="CF15" s="39">
        <f>CC15*($AM15-$BB15)</f>
        <v>-4.2143707692007277</v>
      </c>
      <c r="CG15" s="39">
        <f>CD15*($AD15-$BD15)</f>
        <v>7.282680329786205E-2</v>
      </c>
      <c r="CH15" s="39">
        <f>CE15*($AU15-$BF15)</f>
        <v>1.1249772694485551</v>
      </c>
      <c r="CI15">
        <v>0.86263901889527161</v>
      </c>
      <c r="CJ15">
        <f>((BG15/BH15)^0.67)*CI15</f>
        <v>0.85928010729334103</v>
      </c>
      <c r="CK15">
        <f>((BH15/BH15)^0.67)*CI15</f>
        <v>0.86263901889527161</v>
      </c>
      <c r="CL15">
        <f>((BI15/BH15)^0.67)*CI15</f>
        <v>0.89866271180186208</v>
      </c>
      <c r="CM15" s="39">
        <f>CJ15*($AM15-$BB15)</f>
        <v>-11.432972976906004</v>
      </c>
      <c r="CN15" s="39">
        <f>CK15*($AD15-$BD15)</f>
        <v>0.19911609391649104</v>
      </c>
      <c r="CO15" s="39">
        <f>CL15*($AU15-$BF15)</f>
        <v>3.3380597921069275</v>
      </c>
      <c r="CP15" s="27">
        <f>VLOOKUP(A15,Water!$A$2:$E$109, 5, FALSE)/1000</f>
        <v>7.9000000000000001E-4</v>
      </c>
      <c r="CQ15">
        <f>0.64*CP15</f>
        <v>5.0560000000000004E-4</v>
      </c>
      <c r="CR15" s="19">
        <f>CQ15*1000*(2.5*10^-5)</f>
        <v>1.2640000000000003E-5</v>
      </c>
      <c r="CS15" s="18">
        <f>(-0.0000009*F15^3)+(0.0002*F15^2)-(0.0134*F15)+6.579</f>
        <v>6.4914878846999997</v>
      </c>
      <c r="CT15" s="18">
        <f>CS15-(SQRT(CP15))/(1+1.4*SQRT(CP15))</f>
        <v>6.4644450729651988</v>
      </c>
      <c r="CU15" s="18">
        <f>10^(-CT15)</f>
        <v>3.4320604375171983E-7</v>
      </c>
      <c r="CV15" s="18">
        <f>(0.000001*F15^3)+(0.00006*F15^2)-(0.014*F15)+10.625</f>
        <v>10.526386416999999</v>
      </c>
      <c r="CW15" s="18">
        <f>CV15-(2*SQRT(CR15))/(1+1.4*SQRT(CR15))</f>
        <v>10.519311078178873</v>
      </c>
      <c r="CX15" s="18">
        <f>10^(-CW15)</f>
        <v>3.0247460748245655E-11</v>
      </c>
      <c r="CY15">
        <f>EXP(1246.98+-61900/H15-183*LN(H15))</f>
        <v>5.5327309940685016E-3</v>
      </c>
      <c r="CZ15">
        <f>12.225*(F15^2)+15.258*F15+1125.7</f>
        <v>1888.5536500000001</v>
      </c>
      <c r="DA15" s="15">
        <f>10^(-4470.99/H15+6.0875-0.01706*H15)</f>
        <v>2.2952128375970642E-15</v>
      </c>
      <c r="DB15">
        <f>(10^-I15)</f>
        <v>1.0232929922807512E-9</v>
      </c>
      <c r="DC15">
        <f>DB15^2</f>
        <v>1.0471285480508934E-18</v>
      </c>
      <c r="DD15" s="20">
        <f>((14.6836*10^-9)*((H15/217.2056)-1)^1.997)*100*100</f>
        <v>1.2495171160610277E-5</v>
      </c>
      <c r="DE15">
        <f>CY15+CZ15*DA15/DB15</f>
        <v>9.7686952923381615E-3</v>
      </c>
      <c r="DF15">
        <f>1+DC15*(CU15*CX15+CU15*DB15)^-1</f>
        <v>1.0028959686557106</v>
      </c>
      <c r="DG15">
        <f>(DE15*DF15/DD15)^0.5</f>
        <v>28.00110174364913</v>
      </c>
      <c r="DH15">
        <f>DD15/(BO15/60/60)</f>
        <v>3.215740669224644E-2</v>
      </c>
      <c r="DI15" s="16">
        <f>DF15/((DF15-1)+TANH(DG15*DH15)/(DG15*DH15))</f>
        <v>1.2557697265332015</v>
      </c>
      <c r="DJ15">
        <f>$DI15*BR15</f>
        <v>-23.372120697548457</v>
      </c>
      <c r="DK15">
        <f>$DI15*BY15</f>
        <v>-34.171895621803657</v>
      </c>
      <c r="DL15">
        <f>$DI15*CF15</f>
        <v>-5.2922792283487157</v>
      </c>
      <c r="DM15">
        <f>$DI15*CM15</f>
        <v>-14.357181348670736</v>
      </c>
    </row>
    <row r="16" spans="1:146" ht="15.75" x14ac:dyDescent="0.25">
      <c r="A16" s="51" t="s">
        <v>325</v>
      </c>
      <c r="B16" s="54" t="s">
        <v>341</v>
      </c>
      <c r="C16" s="48" t="s">
        <v>145</v>
      </c>
      <c r="D16" s="57">
        <v>43221</v>
      </c>
      <c r="E16" s="42" t="str">
        <f>A16&amp;D16</f>
        <v>32C43221</v>
      </c>
      <c r="F16" s="3">
        <f>VLOOKUP($E16,Water!$C$2:$E$90, 2, FALSE)</f>
        <v>7.3</v>
      </c>
      <c r="G16" s="3">
        <f>VLOOKUP($E16,Water!$C$2:$E$90, 3, FALSE)</f>
        <v>0.79</v>
      </c>
      <c r="H16" s="1">
        <f>F16+273.15</f>
        <v>280.45</v>
      </c>
      <c r="I16" s="3">
        <f>VLOOKUP($E16,Water!$C$2:$F$90, 4, FALSE)</f>
        <v>8.99</v>
      </c>
      <c r="J16">
        <f>10^(I16*-1)</f>
        <v>1.0232929922807512E-9</v>
      </c>
      <c r="K16" s="25">
        <f>VLOOKUP($E16,Atm!$D$2:$G$45, 2, FALSE)</f>
        <v>486.10114370663149</v>
      </c>
      <c r="L16" s="25">
        <f>VLOOKUP($E16,Atm!$D$2:$G$45, 3, FALSE)</f>
        <v>2.4878540448794908</v>
      </c>
      <c r="M16" s="25">
        <f>VLOOKUP($E16,Atm!$D$2:$G$45, 4, FALSE)</f>
        <v>0.33333961581584787</v>
      </c>
      <c r="N16" s="21">
        <f>VLOOKUP($C16,Raw!$B$2:$F$353, 3, FALSE)</f>
        <v>192.54</v>
      </c>
      <c r="O16" s="21">
        <f>VLOOKUP($C16,Raw!$B$2:$F$353, 4, FALSE)</f>
        <v>61.569000000000003</v>
      </c>
      <c r="P16" s="21">
        <f>VLOOKUP($C16,Raw!$B$2:$F$353, 5, FALSE)</f>
        <v>0.38100000000000001</v>
      </c>
      <c r="Q16" s="14">
        <v>60</v>
      </c>
      <c r="R16" s="25">
        <v>1140</v>
      </c>
      <c r="S16">
        <f>EXP(24.4543-(100/H16*(67.4509))-(4.8489*LN(H16/100))-(0.000544*G16))</f>
        <v>1.0078087205041867E-2</v>
      </c>
      <c r="T16" s="8">
        <f>EXP(-58.0931+90.5069*(100/H16)+22.294*LN(H16/100)+G16*(0.027766-0.025888*(H16/100)+0.0050578*(H16/100)^2))</f>
        <v>5.8722570608987161E-2</v>
      </c>
      <c r="U16" s="9">
        <f>(EXP(-67.1962+99.1624*(100/H16)+27.9015*LN(H16/100)+G16*(-0.072909+0.041674*(H16/100)-0.0064603*(H16/100)^2)))</f>
        <v>4.6395192292840622E-2</v>
      </c>
      <c r="V16" s="9">
        <f>(EXP(-64.8539+100.252*(100/H16)+25.2049*LN(H16/100)+(-0.062544+0.035337*(H16/100)-0.0054699*(H16/100)^2)*G16))</f>
        <v>4.4146536747752027E-2</v>
      </c>
      <c r="W16" s="9">
        <f>(EXP(-68.8862+101.4956*(100/H16)+28.7314*LN(H16/100)+G16*(-0.076146+0.04397*(H16/100)-0.0068672*(H16/100)^2)))</f>
        <v>4.6291564225783476E-2</v>
      </c>
      <c r="X16">
        <f>N16*(AZ16-S16)</f>
        <v>176.71641772112019</v>
      </c>
      <c r="Y16">
        <f>O16*(AZ16-S16)</f>
        <v>56.509053301504359</v>
      </c>
      <c r="Z16">
        <f>((Y16/10^6)*AZ16)/(0.082056*H16)</f>
        <v>2.2785100898700463E-6</v>
      </c>
      <c r="AA16">
        <f>(((L16/10^6)*AZ16)/(0.082056*H16))</f>
        <v>1.0031313943868566E-7</v>
      </c>
      <c r="AB16">
        <f>((Y16/10^6)*U16*1)/(0.082056*H16)</f>
        <v>1.1392662288447357E-7</v>
      </c>
      <c r="AC16">
        <f>(Z16*(Q16/1000))+(AB16*(R16/1000))</f>
        <v>2.6658695548050265E-7</v>
      </c>
      <c r="AD16" s="39">
        <f>((AC16-(AA16*(Q16/1000)))/(R16/1000))*1000000</f>
        <v>0.22856856764401887</v>
      </c>
      <c r="AE16" s="39">
        <f>(AD16/((U16*AZ16*1))*(0.0821*273.15))</f>
        <v>119.0663877880672</v>
      </c>
      <c r="AF16" s="39">
        <f>L16*U16*AZ16*1/(0.0821*273.15)</f>
        <v>4.7758670277093379E-3</v>
      </c>
      <c r="AG16" s="39">
        <f>AD16-AF16</f>
        <v>0.22379270061630951</v>
      </c>
      <c r="AH16" s="42">
        <f>P16*(AZ16-S16)</f>
        <v>0.34968814351172117</v>
      </c>
      <c r="AI16">
        <f>(((X16/10^6)*(Q16/1000))/(0.082056*H16))</f>
        <v>4.6074683727104531E-7</v>
      </c>
      <c r="AJ16">
        <f>(((K16/10^6)*AZ16)*(Q16/1000))/(0.082056*H16)</f>
        <v>1.1760094667203815E-6</v>
      </c>
      <c r="AK16">
        <f>(X16/10^6)*T16*(R16/1000)</f>
        <v>1.1830056241831154E-5</v>
      </c>
      <c r="AL16">
        <f>AI16+AK16</f>
        <v>1.2290803079102199E-5</v>
      </c>
      <c r="AM16" s="39">
        <f>((AL16-AJ16)/(R16/1000))*1000000</f>
        <v>9.7498189582296639</v>
      </c>
      <c r="AN16" s="39">
        <f>AM16/(T16*AZ16)</f>
        <v>178.93396326047997</v>
      </c>
      <c r="AO16" s="39">
        <f>(K16*AZ16)*T16</f>
        <v>26.486856157255861</v>
      </c>
      <c r="AP16" s="39">
        <f>AM16-AO16</f>
        <v>-16.737037199026197</v>
      </c>
      <c r="AQ16">
        <f>(((AH16/10^6)*(Q16/1000))/(0.082056*H16))</f>
        <v>9.1173026384267315E-10</v>
      </c>
      <c r="AR16">
        <f>(((M16/10^6)*AZ16)*(Q16/1000))/(0.082056*H16)</f>
        <v>8.064382256811879E-10</v>
      </c>
      <c r="AS16">
        <f>(AH16/10^6)*V16*(R16/1000)</f>
        <v>1.7598773344684455E-8</v>
      </c>
      <c r="AT16">
        <f>AQ16+AS16</f>
        <v>1.8510503608527127E-8</v>
      </c>
      <c r="AU16" s="39">
        <f>((AT16-AR16)/(R16/1000))*1000000000</f>
        <v>15.529881914777143</v>
      </c>
      <c r="AV16" s="39">
        <f>(AU16/1000)/(V16*AZ16)</f>
        <v>0.37911660174006789</v>
      </c>
      <c r="AW16" s="39">
        <f>(M16*AZ16)*V16*1000</f>
        <v>13.654703717476854</v>
      </c>
      <c r="AX16" s="39">
        <f>AU16-AW16</f>
        <v>1.8751781973002881</v>
      </c>
      <c r="AY16" s="26">
        <f>VLOOKUP($E16,Water!$C$2:$G$90, 5, FALSE)</f>
        <v>705.2</v>
      </c>
      <c r="AZ16">
        <f>AY16/760</f>
        <v>0.92789473684210533</v>
      </c>
      <c r="BA16" s="3">
        <f>Assumptions!$B$3</f>
        <v>406.07</v>
      </c>
      <c r="BB16" s="3">
        <f>BA16*AZ16*T16</f>
        <v>22.126090051472875</v>
      </c>
      <c r="BC16" s="3">
        <f>Assumptions!$B$4</f>
        <v>1.8474300000000001</v>
      </c>
      <c r="BD16" s="45">
        <f>BC16*AZ16*U16*1/(0.0821*273.15)</f>
        <v>3.5464620768894195E-3</v>
      </c>
      <c r="BE16" s="3">
        <f>Assumptions!$B$2</f>
        <v>0.33054499999999998</v>
      </c>
      <c r="BF16" s="44">
        <f>BE16*AZ16*V16*1000</f>
        <v>13.540226922163516</v>
      </c>
      <c r="BG16">
        <f>1923.6+(-125.06*F16)+(4.3773*(F16^2))+(-0.085681*(F16^3))+(0.00070284*(F16^4))</f>
        <v>1212.5928933934438</v>
      </c>
      <c r="BH16">
        <f>1909.4+(-120.78*F16)+(4.1555*(F16^2))+(-0.080578*(F16^3))+(0.00065777*(F16^4))</f>
        <v>1219.6743342722571</v>
      </c>
      <c r="BI16">
        <f>2141.2+(-152.56*F16)+(5.8963*(F16^2))+(-0.12411*(F16^3))+(0.0010655*(F16^4))</f>
        <v>1296.4707597085498</v>
      </c>
      <c r="BJ16" s="25">
        <f>VLOOKUP(E16,Wind!$C$2:$E$109,3, FALSE)</f>
        <v>0</v>
      </c>
      <c r="BK16" s="44">
        <v>1.66</v>
      </c>
      <c r="BL16">
        <f>BK16/(1-(((1.3*10^-3)^0.5)/0.41)*LN(10/1.5))</f>
        <v>1.9923982880693825</v>
      </c>
      <c r="BM16">
        <f>BK16*1.22</f>
        <v>2.0251999999999999</v>
      </c>
      <c r="BN16">
        <f>2.07+0.215*(BM16^1.7)*(24/100)</f>
        <v>2.241255750541113</v>
      </c>
      <c r="BO16">
        <f>BN16*((600/BG16)^0.67)</f>
        <v>1.3988259877013927</v>
      </c>
      <c r="BP16">
        <f>BN16*((600/BH16)^0.67)</f>
        <v>1.3933792913008642</v>
      </c>
      <c r="BQ16">
        <f>BN16*((600/BI16)^0.67)</f>
        <v>1.337524444946349</v>
      </c>
      <c r="BR16" s="39">
        <f>BO16*(AM16-BB16)</f>
        <v>-17.312249636066131</v>
      </c>
      <c r="BS16" s="39">
        <f>BP16*(AD16-BD16)</f>
        <v>0.3135411419821551</v>
      </c>
      <c r="BT16" s="39">
        <f>BQ16*(AU16-BF16)</f>
        <v>2.6612121896302732</v>
      </c>
      <c r="BU16">
        <f>(2.51+1.48*BM16)+(0.39*BM16*LOG10(0.0015))</f>
        <v>3.2768938069574309</v>
      </c>
      <c r="BV16">
        <f>BU16*((600/$BG16)^0.67)</f>
        <v>2.0451946258266704</v>
      </c>
      <c r="BW16">
        <f>BU16*((600/$BH16)^0.67)</f>
        <v>2.0372311233575928</v>
      </c>
      <c r="BX16">
        <f>BU16*((600/$BI16)^0.67)</f>
        <v>1.9555669045090831</v>
      </c>
      <c r="BY16" s="39">
        <f>BV16*($AM16-$BB16)</f>
        <v>-25.311883127674989</v>
      </c>
      <c r="BZ16" s="39">
        <f>BW16*($AD16-$BD16)</f>
        <v>0.45842203690481398</v>
      </c>
      <c r="CA16" s="39">
        <f>BX16*($AU16-$BF16)</f>
        <v>3.8909034549464727</v>
      </c>
      <c r="CB16" s="42">
        <f>AVERAGE(0.72,0.69,0.4,0.22)</f>
        <v>0.50750000000000006</v>
      </c>
      <c r="CC16">
        <f>CB16*((600/$BG16)^0.67)</f>
        <v>0.31674394525794863</v>
      </c>
      <c r="CD16">
        <f>CB16*((600/$BH16)^0.67)</f>
        <v>0.31551061951071929</v>
      </c>
      <c r="CE16">
        <f>CB16*((600/$BI16)^0.67)</f>
        <v>0.30286309612206863</v>
      </c>
      <c r="CF16" s="39">
        <f>CC16*($AM16-$BB16)</f>
        <v>-3.9201089336557597</v>
      </c>
      <c r="CG16" s="39">
        <f>CD16*($AD16-$BD16)</f>
        <v>7.0996863931091489E-2</v>
      </c>
      <c r="CH16" s="39">
        <f>CE16*($AU16-$BF16)</f>
        <v>0.60259307127769457</v>
      </c>
      <c r="CI16">
        <v>0.86263901889527161</v>
      </c>
      <c r="CJ16">
        <f>((BG16/BH16)^0.67)*CI16</f>
        <v>0.85928010729334103</v>
      </c>
      <c r="CK16">
        <f>((BH16/BH16)^0.67)*CI16</f>
        <v>0.86263901889527161</v>
      </c>
      <c r="CL16">
        <f>((BI16/BH16)^0.67)*CI16</f>
        <v>0.89866271180186208</v>
      </c>
      <c r="CM16" s="39">
        <f>CJ16*($AM16-$BB16)</f>
        <v>-10.634683552893502</v>
      </c>
      <c r="CN16" s="39">
        <f>CK16*($AD16-$BD16)</f>
        <v>0.19411284837617679</v>
      </c>
      <c r="CO16" s="39">
        <f>CL16*($AU16-$BF16)</f>
        <v>1.7880287512122757</v>
      </c>
      <c r="CP16" s="27">
        <f>VLOOKUP(A16,Water!$A$2:$E$109, 5, FALSE)/1000</f>
        <v>7.9000000000000001E-4</v>
      </c>
      <c r="CQ16">
        <f>0.64*CP16</f>
        <v>5.0560000000000004E-4</v>
      </c>
      <c r="CR16" s="19">
        <f>CQ16*1000*(2.5*10^-5)</f>
        <v>1.2640000000000003E-5</v>
      </c>
      <c r="CS16" s="18">
        <f>(-0.0000009*F16^3)+(0.0002*F16^2)-(0.0134*F16)+6.579</f>
        <v>6.4914878846999997</v>
      </c>
      <c r="CT16" s="18">
        <f>CS16-(SQRT(CP16))/(1+1.4*SQRT(CP16))</f>
        <v>6.4644450729651988</v>
      </c>
      <c r="CU16" s="18">
        <f>10^(-CT16)</f>
        <v>3.4320604375171983E-7</v>
      </c>
      <c r="CV16" s="18">
        <f>(0.000001*F16^3)+(0.00006*F16^2)-(0.014*F16)+10.625</f>
        <v>10.526386416999999</v>
      </c>
      <c r="CW16" s="18">
        <f>CV16-(2*SQRT(CR16))/(1+1.4*SQRT(CR16))</f>
        <v>10.519311078178873</v>
      </c>
      <c r="CX16" s="18">
        <f>10^(-CW16)</f>
        <v>3.0247460748245655E-11</v>
      </c>
      <c r="CY16">
        <f>EXP(1246.98+-61900/H16-183*LN(H16))</f>
        <v>5.5327309940685016E-3</v>
      </c>
      <c r="CZ16">
        <f>12.225*(F16^2)+15.258*F16+1125.7</f>
        <v>1888.5536500000001</v>
      </c>
      <c r="DA16" s="15">
        <f>10^(-4470.99/H16+6.0875-0.01706*H16)</f>
        <v>2.2952128375970642E-15</v>
      </c>
      <c r="DB16">
        <f>(10^-I16)</f>
        <v>1.0232929922807512E-9</v>
      </c>
      <c r="DC16">
        <f>DB16^2</f>
        <v>1.0471285480508934E-18</v>
      </c>
      <c r="DD16" s="20">
        <f>((14.6836*10^-9)*((H16/217.2056)-1)^1.997)*100*100</f>
        <v>1.2495171160610277E-5</v>
      </c>
      <c r="DE16">
        <f>CY16+CZ16*DA16/DB16</f>
        <v>9.7686952923381615E-3</v>
      </c>
      <c r="DF16">
        <f>1+DC16*(CU16*CX16+CU16*DB16)^-1</f>
        <v>1.0028959686557106</v>
      </c>
      <c r="DG16">
        <f>(DE16*DF16/DD16)^0.5</f>
        <v>28.00110174364913</v>
      </c>
      <c r="DH16">
        <f>DD16/(BO16/60/60)</f>
        <v>3.215740669224644E-2</v>
      </c>
      <c r="DI16" s="16">
        <f>DF16/((DF16-1)+TANH(DG16*DH16)/(DG16*DH16))</f>
        <v>1.2557697265332015</v>
      </c>
      <c r="DJ16">
        <f>$DI16*BR16</f>
        <v>-21.740198991157282</v>
      </c>
      <c r="DK16">
        <f>$DI16*BY16</f>
        <v>-31.785896553280779</v>
      </c>
      <c r="DL16">
        <f>$DI16*CF16</f>
        <v>-4.9227541235972536</v>
      </c>
      <c r="DM16">
        <f>$DI16*CM16</f>
        <v>-13.35471365698421</v>
      </c>
    </row>
    <row r="17" spans="1:117" ht="15.75" x14ac:dyDescent="0.25">
      <c r="A17" s="52" t="s">
        <v>325</v>
      </c>
      <c r="B17" s="55" t="s">
        <v>342</v>
      </c>
      <c r="C17" t="s">
        <v>146</v>
      </c>
      <c r="D17" s="57">
        <v>43221</v>
      </c>
      <c r="E17" s="42" t="str">
        <f>A17&amp;D17</f>
        <v>32C43221</v>
      </c>
      <c r="F17" s="3">
        <f>VLOOKUP($E17,Water!$C$2:$E$90, 2, FALSE)</f>
        <v>7.3</v>
      </c>
      <c r="G17" s="3">
        <f>VLOOKUP($E17,Water!$C$2:$E$90, 3, FALSE)</f>
        <v>0.79</v>
      </c>
      <c r="H17" s="1">
        <f>F17+273.15</f>
        <v>280.45</v>
      </c>
      <c r="I17" s="3">
        <f>VLOOKUP($E17,Water!$C$2:$F$90, 4, FALSE)</f>
        <v>8.99</v>
      </c>
      <c r="J17">
        <f>10^(I17*-1)</f>
        <v>1.0232929922807512E-9</v>
      </c>
      <c r="K17" s="25">
        <f>VLOOKUP($E17,Atm!$D$2:$G$45, 2, FALSE)</f>
        <v>486.10114370663149</v>
      </c>
      <c r="L17" s="25">
        <f>VLOOKUP($E17,Atm!$D$2:$G$45, 3, FALSE)</f>
        <v>2.4878540448794908</v>
      </c>
      <c r="M17" s="25">
        <f>VLOOKUP($E17,Atm!$D$2:$G$45, 4, FALSE)</f>
        <v>0.33333961581584787</v>
      </c>
      <c r="N17" s="21">
        <f>VLOOKUP($C17,Raw!$B$2:$F$353, 3, FALSE)</f>
        <v>181.1331910136858</v>
      </c>
      <c r="O17" s="21">
        <f>VLOOKUP($C17,Raw!$B$2:$F$353, 4, FALSE)</f>
        <v>57.24020600308269</v>
      </c>
      <c r="P17" s="21">
        <f>VLOOKUP($C17,Raw!$B$2:$F$353, 5, FALSE)</f>
        <v>0.42467854717545067</v>
      </c>
      <c r="Q17" s="14">
        <v>60</v>
      </c>
      <c r="R17" s="25">
        <v>1140</v>
      </c>
      <c r="S17">
        <f>EXP(24.4543-(100/H17*(67.4509))-(4.8489*LN(H17/100))-(0.000544*G17))</f>
        <v>1.0078087205041867E-2</v>
      </c>
      <c r="T17" s="8">
        <f>EXP(-58.0931+90.5069*(100/H17)+22.294*LN(H17/100)+G17*(0.027766-0.025888*(H17/100)+0.0050578*(H17/100)^2))</f>
        <v>5.8722570608987161E-2</v>
      </c>
      <c r="U17" s="9">
        <f>(EXP(-67.1962+99.1624*(100/H17)+27.9015*LN(H17/100)+G17*(-0.072909+0.041674*(H17/100)-0.0064603*(H17/100)^2)))</f>
        <v>4.6395192292840622E-2</v>
      </c>
      <c r="V17" s="9">
        <f>(EXP(-64.8539+100.252*(100/H17)+25.2049*LN(H17/100)+(-0.062544+0.035337*(H17/100)-0.0054699*(H17/100)^2)*G17))</f>
        <v>4.4146536747752027E-2</v>
      </c>
      <c r="W17" s="9">
        <f>(EXP(-68.8862+101.4956*(100/H17)+28.7314*LN(H17/100)+G17*(-0.076146+0.04397*(H17/100)-0.0068672*(H17/100)^2)))</f>
        <v>4.6291564225783476E-2</v>
      </c>
      <c r="X17">
        <f>N17*(AZ17-S17)</f>
        <v>166.24705851425136</v>
      </c>
      <c r="Y17">
        <f>O17*(AZ17-S17)</f>
        <v>52.536014098284681</v>
      </c>
      <c r="Z17">
        <f>((Y17/10^6)*AZ17)/(0.082056*H17)</f>
        <v>2.1183125749039923E-6</v>
      </c>
      <c r="AA17">
        <f>(((L17/10^6)*AZ17)/(0.082056*H17))</f>
        <v>1.0031313943868566E-7</v>
      </c>
      <c r="AB17">
        <f>((Y17/10^6)*U17*1)/(0.082056*H17)</f>
        <v>1.0591666850432492E-7</v>
      </c>
      <c r="AC17">
        <f>(Z17*(Q17/1000))+(AB17*(R17/1000))</f>
        <v>2.4784375658916996E-7</v>
      </c>
      <c r="AD17" s="39">
        <f>((AC17-(AA17*(Q17/1000)))/(R17/1000))*1000000</f>
        <v>0.21212716510776211</v>
      </c>
      <c r="AE17" s="39">
        <f>(AD17/((U17*AZ17*1))*(0.0821*273.15))</f>
        <v>110.50170004320401</v>
      </c>
      <c r="AF17" s="39">
        <f>L17*U17*AZ17*1/(0.0821*273.15)</f>
        <v>4.7758670277093379E-3</v>
      </c>
      <c r="AG17" s="39">
        <f>AD17-AF17</f>
        <v>0.20735129808005276</v>
      </c>
      <c r="AH17" s="42">
        <f>P17*(AZ17-S17)</f>
        <v>0.38977704134130775</v>
      </c>
      <c r="AI17">
        <f>(((X17/10^6)*(Q17/1000))/(0.082056*H17))</f>
        <v>4.3345042528496868E-7</v>
      </c>
      <c r="AJ17">
        <f>(((K17/10^6)*AZ17)*(Q17/1000))/(0.082056*H17)</f>
        <v>1.1760094667203815E-6</v>
      </c>
      <c r="AK17">
        <f>(X17/10^6)*T17*(R17/1000)</f>
        <v>1.1129198280639081E-5</v>
      </c>
      <c r="AL17">
        <f>AI17+AK17</f>
        <v>1.1562648705924049E-5</v>
      </c>
      <c r="AM17" s="39">
        <f>((AL17-AJ17)/(R17/1000))*1000000</f>
        <v>9.1110870519330422</v>
      </c>
      <c r="AN17" s="39">
        <f>AM17/(T17*AZ17)</f>
        <v>167.21160903582998</v>
      </c>
      <c r="AO17" s="39">
        <f>(K17*AZ17)*T17</f>
        <v>26.486856157255861</v>
      </c>
      <c r="AP17" s="39">
        <f>AM17-AO17</f>
        <v>-17.375769105322817</v>
      </c>
      <c r="AQ17">
        <f>(((AH17/10^6)*(Q17/1000))/(0.082056*H17))</f>
        <v>1.0162527135553722E-9</v>
      </c>
      <c r="AR17">
        <f>(((M17/10^6)*AZ17)*(Q17/1000))/(0.082056*H17)</f>
        <v>8.064382256811879E-10</v>
      </c>
      <c r="AS17">
        <f>(AH17/10^6)*V17*(R17/1000)</f>
        <v>1.9616329386064678E-8</v>
      </c>
      <c r="AT17">
        <f>AQ17+AS17</f>
        <v>2.063258209962005E-8</v>
      </c>
      <c r="AU17" s="39">
        <f>((AT17-AR17)/(R17/1000))*1000000000</f>
        <v>17.39135427538497</v>
      </c>
      <c r="AV17" s="39">
        <f>(AU17/1000)/(V17*AZ17)</f>
        <v>0.42455899978658446</v>
      </c>
      <c r="AW17" s="39">
        <f>(M17*AZ17)*V17*1000</f>
        <v>13.654703717476854</v>
      </c>
      <c r="AX17" s="39">
        <f>AU17-AW17</f>
        <v>3.7366505579081153</v>
      </c>
      <c r="AY17" s="26">
        <f>VLOOKUP($E17,Water!$C$2:$G$90, 5, FALSE)</f>
        <v>705.2</v>
      </c>
      <c r="AZ17">
        <f>AY17/760</f>
        <v>0.92789473684210533</v>
      </c>
      <c r="BA17" s="3">
        <f>Assumptions!$B$3</f>
        <v>406.07</v>
      </c>
      <c r="BB17" s="3">
        <f>BA17*AZ17*T17</f>
        <v>22.126090051472875</v>
      </c>
      <c r="BC17" s="3">
        <f>Assumptions!$B$4</f>
        <v>1.8474300000000001</v>
      </c>
      <c r="BD17" s="45">
        <f>BC17*AZ17*U17*1/(0.0821*273.15)</f>
        <v>3.5464620768894195E-3</v>
      </c>
      <c r="BE17" s="3">
        <f>Assumptions!$B$2</f>
        <v>0.33054499999999998</v>
      </c>
      <c r="BF17" s="44">
        <f>BE17*AZ17*V17*1000</f>
        <v>13.540226922163516</v>
      </c>
      <c r="BG17">
        <f>1923.6+(-125.06*F17)+(4.3773*(F17^2))+(-0.085681*(F17^3))+(0.00070284*(F17^4))</f>
        <v>1212.5928933934438</v>
      </c>
      <c r="BH17">
        <f>1909.4+(-120.78*F17)+(4.1555*(F17^2))+(-0.080578*(F17^3))+(0.00065777*(F17^4))</f>
        <v>1219.6743342722571</v>
      </c>
      <c r="BI17">
        <f>2141.2+(-152.56*F17)+(5.8963*(F17^2))+(-0.12411*(F17^3))+(0.0010655*(F17^4))</f>
        <v>1296.4707597085498</v>
      </c>
      <c r="BJ17" s="25">
        <f>VLOOKUP(E17,Wind!$C$2:$E$109,3, FALSE)</f>
        <v>0</v>
      </c>
      <c r="BK17" s="44">
        <v>1.66</v>
      </c>
      <c r="BL17">
        <f>BK17/(1-(((1.3*10^-3)^0.5)/0.41)*LN(10/1.5))</f>
        <v>1.9923982880693825</v>
      </c>
      <c r="BM17">
        <f>BK17*1.22</f>
        <v>2.0251999999999999</v>
      </c>
      <c r="BN17">
        <f>2.07+0.215*(BM17^1.7)*(24/100)</f>
        <v>2.241255750541113</v>
      </c>
      <c r="BO17">
        <f>BN17*((600/BG17)^0.67)</f>
        <v>1.3988259877013927</v>
      </c>
      <c r="BP17">
        <f>BN17*((600/BH17)^0.67)</f>
        <v>1.3933792913008642</v>
      </c>
      <c r="BQ17">
        <f>BN17*((600/BI17)^0.67)</f>
        <v>1.337524444946349</v>
      </c>
      <c r="BR17" s="39">
        <f>BO17*(AM17-BB17)</f>
        <v>-18.205724425767894</v>
      </c>
      <c r="BS17" s="39">
        <f>BP17*(AD17-BD17)</f>
        <v>0.29063203216819344</v>
      </c>
      <c r="BT17" s="39">
        <f>BQ17*(AU17-BF17)</f>
        <v>5.1509769755352277</v>
      </c>
      <c r="BU17">
        <f>(2.51+1.48*BM17)+(0.39*BM17*LOG10(0.0015))</f>
        <v>3.2768938069574309</v>
      </c>
      <c r="BV17">
        <f>BU17*((600/$BG17)^0.67)</f>
        <v>2.0451946258266704</v>
      </c>
      <c r="BW17">
        <f>BU17*((600/$BH17)^0.67)</f>
        <v>2.0372311233575928</v>
      </c>
      <c r="BX17">
        <f>BU17*((600/$BI17)^0.67)</f>
        <v>1.9555669045090831</v>
      </c>
      <c r="BY17" s="39">
        <f>BV17*($AM17-$BB17)</f>
        <v>-26.618214189776861</v>
      </c>
      <c r="BZ17" s="39">
        <f>BW17*($AD17-$BD17)</f>
        <v>0.42492709994630123</v>
      </c>
      <c r="CA17" s="39">
        <f>BX17*($AU17-$BF17)</f>
        <v>7.5311371970095369</v>
      </c>
      <c r="CB17" s="42">
        <f>AVERAGE(0.72,0.69,0.4,0.22)</f>
        <v>0.50750000000000006</v>
      </c>
      <c r="CC17">
        <f>CB17*((600/$BG17)^0.67)</f>
        <v>0.31674394525794863</v>
      </c>
      <c r="CD17">
        <f>CB17*((600/$BH17)^0.67)</f>
        <v>0.31551061951071929</v>
      </c>
      <c r="CE17">
        <f>CB17*((600/$BI17)^0.67)</f>
        <v>0.30286309612206863</v>
      </c>
      <c r="CF17" s="39">
        <f>CC17*($AM17-$BB17)</f>
        <v>-4.1224233976182818</v>
      </c>
      <c r="CG17" s="39">
        <f>CD17*($AD17-$BD17)</f>
        <v>6.5809426831252016E-2</v>
      </c>
      <c r="CH17" s="39">
        <f>CE17*($AU17-$BF17)</f>
        <v>1.166364353757037</v>
      </c>
      <c r="CI17">
        <v>0.86263901889527161</v>
      </c>
      <c r="CJ17">
        <f>((BG17/BH17)^0.67)*CI17</f>
        <v>0.85928010729334103</v>
      </c>
      <c r="CK17">
        <f>((BH17/BH17)^0.67)*CI17</f>
        <v>0.86263901889527161</v>
      </c>
      <c r="CL17">
        <f>((BI17/BH17)^0.67)*CI17</f>
        <v>0.89866271180186208</v>
      </c>
      <c r="CM17" s="39">
        <f>CJ17*($AM17-$BB17)</f>
        <v>-11.183533173867744</v>
      </c>
      <c r="CN17" s="39">
        <f>CK17*($AD17-$BD17)</f>
        <v>0.17992985302303804</v>
      </c>
      <c r="CO17" s="39">
        <f>CL17*($AU17-$BF17)</f>
        <v>3.4608645507403191</v>
      </c>
      <c r="CP17" s="27">
        <f>VLOOKUP(A17,Water!$A$2:$E$109, 5, FALSE)/1000</f>
        <v>7.9000000000000001E-4</v>
      </c>
      <c r="CQ17">
        <f>0.64*CP17</f>
        <v>5.0560000000000004E-4</v>
      </c>
      <c r="CR17" s="19">
        <f>CQ17*1000*(2.5*10^-5)</f>
        <v>1.2640000000000003E-5</v>
      </c>
      <c r="CS17" s="18">
        <f>(-0.0000009*F17^3)+(0.0002*F17^2)-(0.0134*F17)+6.579</f>
        <v>6.4914878846999997</v>
      </c>
      <c r="CT17" s="18">
        <f>CS17-(SQRT(CP17))/(1+1.4*SQRT(CP17))</f>
        <v>6.4644450729651988</v>
      </c>
      <c r="CU17" s="18">
        <f>10^(-CT17)</f>
        <v>3.4320604375171983E-7</v>
      </c>
      <c r="CV17" s="18">
        <f>(0.000001*F17^3)+(0.00006*F17^2)-(0.014*F17)+10.625</f>
        <v>10.526386416999999</v>
      </c>
      <c r="CW17" s="18">
        <f>CV17-(2*SQRT(CR17))/(1+1.4*SQRT(CR17))</f>
        <v>10.519311078178873</v>
      </c>
      <c r="CX17" s="18">
        <f>10^(-CW17)</f>
        <v>3.0247460748245655E-11</v>
      </c>
      <c r="CY17">
        <f>EXP(1246.98+-61900/H17-183*LN(H17))</f>
        <v>5.5327309940685016E-3</v>
      </c>
      <c r="CZ17">
        <f>12.225*(F17^2)+15.258*F17+1125.7</f>
        <v>1888.5536500000001</v>
      </c>
      <c r="DA17" s="15">
        <f>10^(-4470.99/H17+6.0875-0.01706*H17)</f>
        <v>2.2952128375970642E-15</v>
      </c>
      <c r="DB17">
        <f>(10^-I17)</f>
        <v>1.0232929922807512E-9</v>
      </c>
      <c r="DC17">
        <f>DB17^2</f>
        <v>1.0471285480508934E-18</v>
      </c>
      <c r="DD17" s="20">
        <f>((14.6836*10^-9)*((H17/217.2056)-1)^1.997)*100*100</f>
        <v>1.2495171160610277E-5</v>
      </c>
      <c r="DE17">
        <f>CY17+CZ17*DA17/DB17</f>
        <v>9.7686952923381615E-3</v>
      </c>
      <c r="DF17">
        <f>1+DC17*(CU17*CX17+CU17*DB17)^-1</f>
        <v>1.0028959686557106</v>
      </c>
      <c r="DG17">
        <f>(DE17*DF17/DD17)^0.5</f>
        <v>28.00110174364913</v>
      </c>
      <c r="DH17">
        <f>DD17/(BO17/60/60)</f>
        <v>3.215740669224644E-2</v>
      </c>
      <c r="DI17" s="16">
        <f>DF17/((DF17-1)+TANH(DG17*DH17)/(DG17*DH17))</f>
        <v>1.2557697265332015</v>
      </c>
      <c r="DJ17">
        <f>$DI17*BR17</f>
        <v>-22.862197583485376</v>
      </c>
      <c r="DK17">
        <f>$DI17*BY17</f>
        <v>-33.426347553898275</v>
      </c>
      <c r="DL17">
        <f>$DI17*CF17</f>
        <v>-5.1768145026811814</v>
      </c>
      <c r="DM17">
        <f>$DI17*CM17</f>
        <v>-14.043942395422883</v>
      </c>
    </row>
    <row r="18" spans="1:117" ht="15.75" x14ac:dyDescent="0.25">
      <c r="A18" s="52" t="s">
        <v>326</v>
      </c>
      <c r="B18" s="55" t="s">
        <v>339</v>
      </c>
      <c r="C18" t="s">
        <v>148</v>
      </c>
      <c r="D18" s="57">
        <v>43217</v>
      </c>
      <c r="E18" s="42" t="str">
        <f>A18&amp;D18</f>
        <v>66B43217</v>
      </c>
      <c r="F18" s="3">
        <f>VLOOKUP($E18,Water!$C$2:$E$90, 2, FALSE)</f>
        <v>6.7</v>
      </c>
      <c r="G18" s="3">
        <f>VLOOKUP($E18,Water!$C$2:$E$90, 3, FALSE)</f>
        <v>0.66</v>
      </c>
      <c r="H18" s="1">
        <f>F18+273.15</f>
        <v>279.84999999999997</v>
      </c>
      <c r="I18" s="3">
        <f>VLOOKUP($E18,Water!$C$2:$F$90, 4, FALSE)</f>
        <v>8.2100000000000009</v>
      </c>
      <c r="J18">
        <f>10^(I18*-1)</f>
        <v>6.1659500186148016E-9</v>
      </c>
      <c r="K18" s="25">
        <f>VLOOKUP($E18,Atm!$D$2:$G$45, 2, FALSE)</f>
        <v>449.52924045947111</v>
      </c>
      <c r="L18" s="25">
        <f>VLOOKUP($E18,Atm!$D$2:$G$45, 3, FALSE)</f>
        <v>5.2730022274000889</v>
      </c>
      <c r="M18" s="25">
        <f>VLOOKUP($E18,Atm!$D$2:$G$45, 4, FALSE)</f>
        <v>0.31804081523825678</v>
      </c>
      <c r="N18" s="21">
        <f>VLOOKUP($C18,Raw!$B$2:$F$353, 3, FALSE)</f>
        <v>1198.7577896904361</v>
      </c>
      <c r="O18" s="21">
        <f>VLOOKUP($C18,Raw!$B$2:$F$353, 4, FALSE)</f>
        <v>17.710832472207329</v>
      </c>
      <c r="P18" s="21">
        <f>VLOOKUP($C18,Raw!$B$2:$F$353, 5, FALSE)</f>
        <v>0.3089764451038628</v>
      </c>
      <c r="Q18" s="14">
        <v>60</v>
      </c>
      <c r="R18" s="25">
        <v>1140</v>
      </c>
      <c r="S18">
        <f>EXP(24.4543-(100/H18*(67.4509))-(4.8489*LN(H18/100))-(0.000544*G18))</f>
        <v>9.6721803653606192E-3</v>
      </c>
      <c r="T18" s="8">
        <f>EXP(-58.0931+90.5069*(100/H18)+22.294*LN(H18/100)+G18*(0.027766-0.025888*(H18/100)+0.0050578*(H18/100)^2))</f>
        <v>6.0034288472752842E-2</v>
      </c>
      <c r="U18" s="9">
        <f>(EXP(-67.1962+99.1624*(100/H18)+27.9015*LN(H18/100)+G18*(-0.072909+0.041674*(H18/100)-0.0064603*(H18/100)^2)))</f>
        <v>4.7186867324663838E-2</v>
      </c>
      <c r="V18" s="9">
        <f>(EXP(-64.8539+100.252*(100/H18)+25.2049*LN(H18/100)+(-0.062544+0.035337*(H18/100)-0.0054699*(H18/100)^2)*G18))</f>
        <v>4.5195429544004399E-2</v>
      </c>
      <c r="W18" s="9">
        <f>(EXP(-68.8862+101.4956*(100/H18)+28.7314*LN(H18/100)+G18*(-0.076146+0.04397*(H18/100)-0.0068672*(H18/100)^2)))</f>
        <v>4.7081753584269671E-2</v>
      </c>
      <c r="X18">
        <f>N18*(AZ18-S18)</f>
        <v>1113.5026765834541</v>
      </c>
      <c r="Y18">
        <f>O18*(AZ18-S18)</f>
        <v>16.451246058152186</v>
      </c>
      <c r="Z18">
        <f>((Y18/10^6)*AZ18)/(0.082056*H18)</f>
        <v>6.723908208945901E-7</v>
      </c>
      <c r="AA18">
        <f>(((L18/10^6)*AZ18)/(0.082056*H18))</f>
        <v>2.155167021226101E-7</v>
      </c>
      <c r="AB18">
        <f>((Y18/10^6)*U18*1)/(0.082056*H18)</f>
        <v>3.380526076891192E-8</v>
      </c>
      <c r="AC18">
        <f>(Z18*(Q18/1000))+(AB18*(R18/1000))</f>
        <v>7.8881446530234982E-8</v>
      </c>
      <c r="AD18" s="39">
        <f>((AC18-(AA18*(Q18/1000)))/(R18/1000))*1000000</f>
        <v>5.7851267020068757E-2</v>
      </c>
      <c r="AE18" s="39">
        <f>(AD18/((U18*AZ18*1))*(0.0821*273.15))</f>
        <v>29.293917842285744</v>
      </c>
      <c r="AF18" s="39">
        <f>L18*U18*AZ18*1/(0.0821*273.15)</f>
        <v>1.0413419655816767E-2</v>
      </c>
      <c r="AG18" s="39">
        <f>AD18-AF18</f>
        <v>4.7437847364251988E-2</v>
      </c>
      <c r="AH18" s="42">
        <f>P18*(AZ18-S18)</f>
        <v>0.28700217974244607</v>
      </c>
      <c r="AI18">
        <f>(((X18/10^6)*(Q18/1000))/(0.082056*H18))</f>
        <v>2.9094229609996491E-6</v>
      </c>
      <c r="AJ18">
        <f>(((K18/10^6)*AZ18)*(Q18/1000))/(0.082056*H18)</f>
        <v>1.1023821561244657E-6</v>
      </c>
      <c r="AK18">
        <f>(X18/10^6)*T18*(R18/1000)</f>
        <v>7.6207108627360576E-5</v>
      </c>
      <c r="AL18">
        <f>AI18+AK18</f>
        <v>7.9116531588360224E-5</v>
      </c>
      <c r="AM18" s="39">
        <f>((AL18-AJ18)/(R18/1000))*1000000</f>
        <v>68.433464414241897</v>
      </c>
      <c r="AN18" s="39">
        <f>AM18/(T18*AZ18)</f>
        <v>1214.536377014068</v>
      </c>
      <c r="AO18" s="39">
        <f>(K18*AZ18)*T18</f>
        <v>25.328877637880812</v>
      </c>
      <c r="AP18" s="39">
        <f>AM18-AO18</f>
        <v>43.104586776361089</v>
      </c>
      <c r="AQ18">
        <f>(((AH18/10^6)*(Q18/1000))/(0.082056*H18))</f>
        <v>7.4989557650788377E-10</v>
      </c>
      <c r="AR18">
        <f>(((M18/10^6)*AZ18)*(Q18/1000))/(0.082056*H18)</f>
        <v>7.7993262302486891E-10</v>
      </c>
      <c r="AS18">
        <f>(AH18/10^6)*V18*(R18/1000)</f>
        <v>1.4787152944618964E-8</v>
      </c>
      <c r="AT18">
        <f>AQ18+AS18</f>
        <v>1.5537048521126847E-8</v>
      </c>
      <c r="AU18" s="39">
        <f>((AT18-AR18)/(R18/1000))*1000000000</f>
        <v>12.944838507106999</v>
      </c>
      <c r="AV18" s="39">
        <f>(AU18/1000)/(V18*AZ18)</f>
        <v>0.30517115872402711</v>
      </c>
      <c r="AW18" s="39">
        <f>(M18*AZ18)*V18*1000</f>
        <v>13.490747320755068</v>
      </c>
      <c r="AX18" s="39">
        <f>AU18-AW18</f>
        <v>-0.54590881364806876</v>
      </c>
      <c r="AY18" s="26">
        <f>VLOOKUP($E18,Water!$C$2:$G$90, 5, FALSE)</f>
        <v>713.3</v>
      </c>
      <c r="AZ18">
        <f>AY18/760</f>
        <v>0.93855263157894731</v>
      </c>
      <c r="BA18" s="3">
        <f>Assumptions!$B$3</f>
        <v>406.07</v>
      </c>
      <c r="BB18" s="3">
        <f>BA18*AZ18*T18</f>
        <v>22.880151982775345</v>
      </c>
      <c r="BC18" s="3">
        <f>Assumptions!$B$4</f>
        <v>1.8474300000000001</v>
      </c>
      <c r="BD18" s="45">
        <f>BC18*AZ18*U18*1/(0.0821*273.15)</f>
        <v>3.6484080690842246E-3</v>
      </c>
      <c r="BE18" s="3">
        <f>Assumptions!$B$2</f>
        <v>0.33054499999999998</v>
      </c>
      <c r="BF18" s="44">
        <f>BE18*AZ18*V18*1000</f>
        <v>14.021153447862812</v>
      </c>
      <c r="BG18">
        <f>1923.6+(-125.06*F18)+(4.3773*(F18^2))+(-0.085681*(F18^3))+(0.00070284*(F18^4))</f>
        <v>1257.8416237853637</v>
      </c>
      <c r="BH18">
        <f>1909.4+(-120.78*F18)+(4.1555*(F18^2))+(-0.080578*(F18^3))+(0.00065777*(F18^4))</f>
        <v>1263.804994272017</v>
      </c>
      <c r="BI18">
        <f>2141.2+(-152.56*F18)+(5.8963*(F18^2))+(-0.12411*(F18^3))+(0.0010655*(F18^4))</f>
        <v>1348.55231301255</v>
      </c>
      <c r="BJ18" s="25">
        <f>VLOOKUP(E18,Wind!$C$2:$E$109,3, FALSE)</f>
        <v>1.2777777777777779</v>
      </c>
      <c r="BK18" s="44">
        <v>1.66</v>
      </c>
      <c r="BL18">
        <f>BK18/(1-(((1.3*10^-3)^0.5)/0.41)*LN(10/1.5))</f>
        <v>1.9923982880693825</v>
      </c>
      <c r="BM18">
        <f>BK18*1.22</f>
        <v>2.0251999999999999</v>
      </c>
      <c r="BN18">
        <f>2.07+0.215*(BM18^1.7)*(24/100)</f>
        <v>2.241255750541113</v>
      </c>
      <c r="BO18">
        <f>BN18*((600/BG18)^0.67)</f>
        <v>1.364907939619959</v>
      </c>
      <c r="BP18">
        <f>BN18*((600/BH18)^0.67)</f>
        <v>1.3605894827014708</v>
      </c>
      <c r="BQ18">
        <f>BN18*((600/BI18)^0.67)</f>
        <v>1.3026907512837669</v>
      </c>
      <c r="BR18" s="39">
        <f>BO18*(AM18-BB18)</f>
        <v>62.176077813697276</v>
      </c>
      <c r="BS18" s="39">
        <f>BP18*(AD18-BD18)</f>
        <v>7.374783982106084E-2</v>
      </c>
      <c r="BT18" s="39">
        <f>BQ18*(AU18-BF18)</f>
        <v>-1.4021055187911329</v>
      </c>
      <c r="BU18">
        <f>(2.51+1.48*BM18)+(0.39*BM18*LOG10(0.0015))</f>
        <v>3.2768938069574309</v>
      </c>
      <c r="BV18">
        <f>BU18*((600/$BG18)^0.67)</f>
        <v>1.9956037472866823</v>
      </c>
      <c r="BW18">
        <f>BU18*((600/$BH18)^0.67)</f>
        <v>1.9892898204943517</v>
      </c>
      <c r="BX18">
        <f>BU18*((600/$BI18)^0.67)</f>
        <v>1.9046372794500916</v>
      </c>
      <c r="BY18" s="39">
        <f>BV18*($AM18-$BB18)</f>
        <v>90.906360989555665</v>
      </c>
      <c r="BZ18" s="39">
        <f>BW18*($AD18-$BD18)</f>
        <v>0.10782519555288468</v>
      </c>
      <c r="CA18" s="39">
        <f>BX18*($AU18-$BF18)</f>
        <v>-2.0499895605926377</v>
      </c>
      <c r="CB18" s="42">
        <f>AVERAGE(0.72,0.69,0.4,0.22)</f>
        <v>0.50750000000000006</v>
      </c>
      <c r="CC18">
        <f>CB18*((600/$BG18)^0.67)</f>
        <v>0.30906369306130765</v>
      </c>
      <c r="CD18">
        <f>CB18*((600/$BH18)^0.67)</f>
        <v>0.30808584085251639</v>
      </c>
      <c r="CE18">
        <f>CB18*((600/$BI18)^0.67)</f>
        <v>0.29497550920589793</v>
      </c>
      <c r="CF18" s="39">
        <f>CC18*($AM18-$BB18)</f>
        <v>14.078874971244629</v>
      </c>
      <c r="CG18" s="39">
        <f>CD18*($AD18-$BD18)</f>
        <v>1.6699133376524414E-2</v>
      </c>
      <c r="CH18" s="39">
        <f>CE18*($AU18-$BF18)</f>
        <v>-0.31748654771536172</v>
      </c>
      <c r="CI18">
        <v>0.86263901889527161</v>
      </c>
      <c r="CJ18">
        <f>((BG18/BH18)^0.67)*CI18</f>
        <v>0.85990969970005648</v>
      </c>
      <c r="CK18">
        <f>((BH18/BH18)^0.67)*CI18</f>
        <v>0.86263901889527161</v>
      </c>
      <c r="CL18">
        <f>((BI18/BH18)^0.67)*CI18</f>
        <v>0.90097943454359686</v>
      </c>
      <c r="CM18" s="39">
        <f>CJ18*($AM18-$BB18)</f>
        <v>39.171735213285253</v>
      </c>
      <c r="CN18" s="39">
        <f>CK18*($AD18-$BD18)</f>
        <v>4.6757501066796089E-2</v>
      </c>
      <c r="CO18" s="39">
        <f>CL18*($AU18-$BF18)</f>
        <v>-0.96973762671299713</v>
      </c>
      <c r="CP18" s="27">
        <f>VLOOKUP(A18,Water!$A$2:$E$109, 5, FALSE)/1000</f>
        <v>6.6E-4</v>
      </c>
      <c r="CQ18">
        <f>0.64*CP18</f>
        <v>4.2240000000000002E-4</v>
      </c>
      <c r="CR18" s="19">
        <f>CQ18*1000*(2.5*10^-5)</f>
        <v>1.0560000000000001E-5</v>
      </c>
      <c r="CS18" s="18">
        <f>(-0.0000009*F18^3)+(0.0002*F18^2)-(0.0134*F18)+6.579</f>
        <v>6.4979273133</v>
      </c>
      <c r="CT18" s="18">
        <f>CS18-(SQRT(CP18))/(1+1.4*SQRT(CP18))</f>
        <v>6.4731287687454335</v>
      </c>
      <c r="CU18" s="18">
        <f>10^(-CT18)</f>
        <v>3.3641180815116809E-7</v>
      </c>
      <c r="CV18" s="18">
        <f>(0.000001*F18^3)+(0.00006*F18^2)-(0.014*F18)+10.625</f>
        <v>10.534194163</v>
      </c>
      <c r="CW18" s="18">
        <f>CV18-(2*SQRT(CR18))/(1+1.4*SQRT(CR18))</f>
        <v>10.527724366367028</v>
      </c>
      <c r="CX18" s="18">
        <f>10^(-CW18)</f>
        <v>2.9667136760013586E-11</v>
      </c>
      <c r="CY18">
        <f>EXP(1246.98+-61900/H18-183*LN(H18))</f>
        <v>5.100796526057016E-3</v>
      </c>
      <c r="CZ18">
        <f>12.225*(F18^2)+15.258*F18+1125.7</f>
        <v>1776.70885</v>
      </c>
      <c r="DA18" s="15">
        <f>10^(-4470.99/H18+6.0875-0.01706*H18)</f>
        <v>2.1720949021382075E-15</v>
      </c>
      <c r="DB18">
        <f>(10^-I18)</f>
        <v>6.1659500186148016E-9</v>
      </c>
      <c r="DC18">
        <f>DB18^2</f>
        <v>3.8018939632055872E-17</v>
      </c>
      <c r="DD18" s="20">
        <f>((14.6836*10^-9)*((H18/217.2056)-1)^1.997)*100*100</f>
        <v>1.2259562820646385E-5</v>
      </c>
      <c r="DE18">
        <f>CY18+CZ18*DA18/DB18</f>
        <v>5.7266822734305918E-3</v>
      </c>
      <c r="DF18">
        <f>1+DC18*(CU18*CX18+CU18*DB18)^-1</f>
        <v>1.0182408131685545</v>
      </c>
      <c r="DG18">
        <f>(DE18*DF18/DD18)^0.5</f>
        <v>21.809178282030047</v>
      </c>
      <c r="DH18">
        <f>DD18/(BO18/60/60)</f>
        <v>3.2335093725526752E-2</v>
      </c>
      <c r="DI18" s="16">
        <f>DF18/((DF18-1)+TANH(DG18*DH18)/(DG18*DH18))</f>
        <v>1.1571942929807462</v>
      </c>
      <c r="DJ18">
        <f>$DI18*BR18</f>
        <v>71.949802405937277</v>
      </c>
      <c r="DK18">
        <f>$DI18*BY18</f>
        <v>105.19632213276135</v>
      </c>
      <c r="DL18">
        <f>$DI18*CF18</f>
        <v>16.291993768313752</v>
      </c>
      <c r="DM18">
        <f>$DI18*CM18</f>
        <v>45.329308434966627</v>
      </c>
    </row>
    <row r="19" spans="1:117" ht="15.75" x14ac:dyDescent="0.25">
      <c r="A19" s="52" t="s">
        <v>326</v>
      </c>
      <c r="B19" s="55" t="s">
        <v>340</v>
      </c>
      <c r="C19" t="s">
        <v>149</v>
      </c>
      <c r="D19" s="57">
        <v>43217</v>
      </c>
      <c r="E19" s="42" t="str">
        <f>A19&amp;D19</f>
        <v>66B43217</v>
      </c>
      <c r="F19" s="3">
        <f>VLOOKUP($E19,Water!$C$2:$E$90, 2, FALSE)</f>
        <v>6.7</v>
      </c>
      <c r="G19" s="3">
        <f>VLOOKUP($E19,Water!$C$2:$E$90, 3, FALSE)</f>
        <v>0.66</v>
      </c>
      <c r="H19" s="1">
        <f>F19+273.15</f>
        <v>279.84999999999997</v>
      </c>
      <c r="I19" s="3">
        <f>VLOOKUP($E19,Water!$C$2:$F$90, 4, FALSE)</f>
        <v>8.2100000000000009</v>
      </c>
      <c r="J19">
        <f>10^(I19*-1)</f>
        <v>6.1659500186148016E-9</v>
      </c>
      <c r="K19" s="25">
        <f>VLOOKUP($E19,Atm!$D$2:$G$45, 2, FALSE)</f>
        <v>449.52924045947111</v>
      </c>
      <c r="L19" s="25">
        <f>VLOOKUP($E19,Atm!$D$2:$G$45, 3, FALSE)</f>
        <v>5.2730022274000889</v>
      </c>
      <c r="M19" s="25">
        <f>VLOOKUP($E19,Atm!$D$2:$G$45, 4, FALSE)</f>
        <v>0.31804081523825678</v>
      </c>
      <c r="N19" s="21">
        <f>VLOOKUP($C19,Raw!$B$2:$F$353, 3, FALSE)</f>
        <v>1220.991451252502</v>
      </c>
      <c r="O19" s="21">
        <f>VLOOKUP($C19,Raw!$B$2:$F$353, 4, FALSE)</f>
        <v>17.538692472631379</v>
      </c>
      <c r="P19" s="21">
        <f>VLOOKUP($C19,Raw!$B$2:$F$353, 5, FALSE)</f>
        <v>0.31332122111041993</v>
      </c>
      <c r="Q19" s="14">
        <v>60</v>
      </c>
      <c r="R19" s="25">
        <v>1140</v>
      </c>
      <c r="S19">
        <f>EXP(24.4543-(100/H19*(67.4509))-(4.8489*LN(H19/100))-(0.000544*G19))</f>
        <v>9.6721803653606192E-3</v>
      </c>
      <c r="T19" s="8">
        <f>EXP(-58.0931+90.5069*(100/H19)+22.294*LN(H19/100)+G19*(0.027766-0.025888*(H19/100)+0.0050578*(H19/100)^2))</f>
        <v>6.0034288472752842E-2</v>
      </c>
      <c r="U19" s="9">
        <f>(EXP(-67.1962+99.1624*(100/H19)+27.9015*LN(H19/100)+G19*(-0.072909+0.041674*(H19/100)-0.0064603*(H19/100)^2)))</f>
        <v>4.7186867324663838E-2</v>
      </c>
      <c r="V19" s="9">
        <f>(EXP(-64.8539+100.252*(100/H19)+25.2049*LN(H19/100)+(-0.062544+0.035337*(H19/100)-0.0054699*(H19/100)^2)*G19))</f>
        <v>4.5195429544004399E-2</v>
      </c>
      <c r="W19" s="9">
        <f>(EXP(-68.8862+101.4956*(100/H19)+28.7314*LN(H19/100)+G19*(-0.076146+0.04397*(H19/100)-0.0068672*(H19/100)^2)))</f>
        <v>4.7081753584269671E-2</v>
      </c>
      <c r="X19">
        <f>N19*(AZ19-S19)</f>
        <v>1134.1550901673561</v>
      </c>
      <c r="Y19">
        <f>O19*(AZ19-S19)</f>
        <v>16.291348577674171</v>
      </c>
      <c r="Z19">
        <f>((Y19/10^6)*AZ19)/(0.082056*H19)</f>
        <v>6.6585553488783136E-7</v>
      </c>
      <c r="AA19">
        <f>(((L19/10^6)*AZ19)/(0.082056*H19))</f>
        <v>2.155167021226101E-7</v>
      </c>
      <c r="AB19">
        <f>((Y19/10^6)*U19*1)/(0.082056*H19)</f>
        <v>3.3476691370293469E-8</v>
      </c>
      <c r="AC19">
        <f>(Z19*(Q19/1000))+(AB19*(R19/1000))</f>
        <v>7.8114760255404426E-8</v>
      </c>
      <c r="AD19" s="39">
        <f>((AC19-(AA19*(Q19/1000)))/(R19/1000))*1000000</f>
        <v>5.717873520004195E-2</v>
      </c>
      <c r="AE19" s="39">
        <f>(AD19/((U19*AZ19*1))*(0.0821*273.15))</f>
        <v>28.953370557896037</v>
      </c>
      <c r="AF19" s="39">
        <f>L19*U19*AZ19*1/(0.0821*273.15)</f>
        <v>1.0413419655816767E-2</v>
      </c>
      <c r="AG19" s="39">
        <f>AD19-AF19</f>
        <v>4.6765315544225181E-2</v>
      </c>
      <c r="AH19" s="42">
        <f>P19*(AZ19-S19)</f>
        <v>0.29103795723983883</v>
      </c>
      <c r="AI19">
        <f>(((X19/10^6)*(Q19/1000))/(0.082056*H19))</f>
        <v>2.9633847587974136E-6</v>
      </c>
      <c r="AJ19">
        <f>(((K19/10^6)*AZ19)*(Q19/1000))/(0.082056*H19)</f>
        <v>1.1023821561244657E-6</v>
      </c>
      <c r="AK19">
        <f>(X19/10^6)*T19*(R19/1000)</f>
        <v>7.7620540995780799E-5</v>
      </c>
      <c r="AL19">
        <f>AI19+AK19</f>
        <v>8.0583925754578218E-5</v>
      </c>
      <c r="AM19" s="39">
        <f>((AL19-AJ19)/(R19/1000))*1000000</f>
        <v>69.720652279345401</v>
      </c>
      <c r="AN19" s="39">
        <f>AM19/(T19*AZ19)</f>
        <v>1237.3809969613512</v>
      </c>
      <c r="AO19" s="39">
        <f>(K19*AZ19)*T19</f>
        <v>25.328877637880812</v>
      </c>
      <c r="AP19" s="39">
        <f>AM19-AO19</f>
        <v>44.391774641464593</v>
      </c>
      <c r="AQ19">
        <f>(((AH19/10^6)*(Q19/1000))/(0.082056*H19))</f>
        <v>7.6044048489771136E-10</v>
      </c>
      <c r="AR19">
        <f>(((M19/10^6)*AZ19)*(Q19/1000))/(0.082056*H19)</f>
        <v>7.7993262302486891E-10</v>
      </c>
      <c r="AS19">
        <f>(AH19/10^6)*V19*(R19/1000)</f>
        <v>1.4995087459813074E-8</v>
      </c>
      <c r="AT19">
        <f>AQ19+AS19</f>
        <v>1.5755527944710785E-8</v>
      </c>
      <c r="AU19" s="39">
        <f>((AT19-AR19)/(R19/1000))*1000000000</f>
        <v>13.136487124285892</v>
      </c>
      <c r="AV19" s="39">
        <f>(AU19/1000)/(V19*AZ19)</f>
        <v>0.30968922440250052</v>
      </c>
      <c r="AW19" s="39">
        <f>(M19*AZ19)*V19*1000</f>
        <v>13.490747320755068</v>
      </c>
      <c r="AX19" s="39">
        <f>AU19-AW19</f>
        <v>-0.35426019646917517</v>
      </c>
      <c r="AY19" s="26">
        <f>VLOOKUP($E19,Water!$C$2:$G$90, 5, FALSE)</f>
        <v>713.3</v>
      </c>
      <c r="AZ19">
        <f>AY19/760</f>
        <v>0.93855263157894731</v>
      </c>
      <c r="BA19" s="3">
        <f>Assumptions!$B$3</f>
        <v>406.07</v>
      </c>
      <c r="BB19" s="3">
        <f>BA19*AZ19*T19</f>
        <v>22.880151982775345</v>
      </c>
      <c r="BC19" s="3">
        <f>Assumptions!$B$4</f>
        <v>1.8474300000000001</v>
      </c>
      <c r="BD19" s="45">
        <f>BC19*AZ19*U19*1/(0.0821*273.15)</f>
        <v>3.6484080690842246E-3</v>
      </c>
      <c r="BE19" s="3">
        <f>Assumptions!$B$2</f>
        <v>0.33054499999999998</v>
      </c>
      <c r="BF19" s="44">
        <f>BE19*AZ19*V19*1000</f>
        <v>14.021153447862812</v>
      </c>
      <c r="BG19">
        <f>1923.6+(-125.06*F19)+(4.3773*(F19^2))+(-0.085681*(F19^3))+(0.00070284*(F19^4))</f>
        <v>1257.8416237853637</v>
      </c>
      <c r="BH19">
        <f>1909.4+(-120.78*F19)+(4.1555*(F19^2))+(-0.080578*(F19^3))+(0.00065777*(F19^4))</f>
        <v>1263.804994272017</v>
      </c>
      <c r="BI19">
        <f>2141.2+(-152.56*F19)+(5.8963*(F19^2))+(-0.12411*(F19^3))+(0.0010655*(F19^4))</f>
        <v>1348.55231301255</v>
      </c>
      <c r="BJ19" s="25">
        <f>VLOOKUP(E19,Wind!$C$2:$E$109,3, FALSE)</f>
        <v>1.2777777777777779</v>
      </c>
      <c r="BK19" s="44">
        <v>1.66</v>
      </c>
      <c r="BL19">
        <f>BK19/(1-(((1.3*10^-3)^0.5)/0.41)*LN(10/1.5))</f>
        <v>1.9923982880693825</v>
      </c>
      <c r="BM19">
        <f>BK19*1.22</f>
        <v>2.0251999999999999</v>
      </c>
      <c r="BN19">
        <f>2.07+0.215*(BM19^1.7)*(24/100)</f>
        <v>2.241255750541113</v>
      </c>
      <c r="BO19">
        <f>BN19*((600/BG19)^0.67)</f>
        <v>1.364907939619959</v>
      </c>
      <c r="BP19">
        <f>BN19*((600/BH19)^0.67)</f>
        <v>1.3605894827014708</v>
      </c>
      <c r="BQ19">
        <f>BN19*((600/BI19)^0.67)</f>
        <v>1.3026907512837669</v>
      </c>
      <c r="BR19" s="39">
        <f>BO19*(AM19-BB19)</f>
        <v>63.932970750559512</v>
      </c>
      <c r="BS19" s="39">
        <f>BP19*(AD19-BD19)</f>
        <v>7.2832800099950287E-2</v>
      </c>
      <c r="BT19" s="39">
        <f>BQ19*(AU19-BF19)</f>
        <v>-1.1524466376958649</v>
      </c>
      <c r="BU19">
        <f>(2.51+1.48*BM19)+(0.39*BM19*LOG10(0.0015))</f>
        <v>3.2768938069574309</v>
      </c>
      <c r="BV19">
        <f>BU19*((600/$BG19)^0.67)</f>
        <v>1.9956037472866823</v>
      </c>
      <c r="BW19">
        <f>BU19*((600/$BH19)^0.67)</f>
        <v>1.9892898204943517</v>
      </c>
      <c r="BX19">
        <f>BU19*((600/$BI19)^0.67)</f>
        <v>1.9046372794500916</v>
      </c>
      <c r="BY19" s="39">
        <f>BV19*($AM19-$BB19)</f>
        <v>93.475077916618162</v>
      </c>
      <c r="BZ19" s="39">
        <f>BW19*($AD19-$BD19)</f>
        <v>0.10648733484934682</v>
      </c>
      <c r="CA19" s="39">
        <f>BX19*($AU19-$BF19)</f>
        <v>-1.6849684597586578</v>
      </c>
      <c r="CB19" s="42">
        <f>AVERAGE(0.72,0.69,0.4,0.22)</f>
        <v>0.50750000000000006</v>
      </c>
      <c r="CC19">
        <f>CB19*((600/$BG19)^0.67)</f>
        <v>0.30906369306130765</v>
      </c>
      <c r="CD19">
        <f>CB19*((600/$BH19)^0.67)</f>
        <v>0.30808584085251639</v>
      </c>
      <c r="CE19">
        <f>CB19*((600/$BI19)^0.67)</f>
        <v>0.29497550920589793</v>
      </c>
      <c r="CF19" s="39">
        <f>CC19*($AM19-$BB19)</f>
        <v>14.476698006497218</v>
      </c>
      <c r="CG19" s="39">
        <f>CD19*($AD19-$BD19)</f>
        <v>1.6491935845251382E-2</v>
      </c>
      <c r="CH19" s="39">
        <f>CE19*($AU19-$BF19)</f>
        <v>-0.2609548992744114</v>
      </c>
      <c r="CI19">
        <v>0.86263901889527161</v>
      </c>
      <c r="CJ19">
        <f>((BG19/BH19)^0.67)*CI19</f>
        <v>0.85990969970005648</v>
      </c>
      <c r="CK19">
        <f>((BH19/BH19)^0.67)*CI19</f>
        <v>0.86263901889527161</v>
      </c>
      <c r="CL19">
        <f>((BI19/BH19)^0.67)*CI19</f>
        <v>0.90097943454359686</v>
      </c>
      <c r="CM19" s="39">
        <f>CJ19*($AM19-$BB19)</f>
        <v>40.278600543823963</v>
      </c>
      <c r="CN19" s="39">
        <f>CK19*($AD19-$BD19)</f>
        <v>4.6177348877392312E-2</v>
      </c>
      <c r="CO19" s="39">
        <f>CL19*($AU19-$BF19)</f>
        <v>-0.79706616397609531</v>
      </c>
      <c r="CP19" s="27">
        <f>VLOOKUP(A19,Water!$A$2:$E$109, 5, FALSE)/1000</f>
        <v>6.6E-4</v>
      </c>
      <c r="CQ19">
        <f>0.64*CP19</f>
        <v>4.2240000000000002E-4</v>
      </c>
      <c r="CR19" s="19">
        <f>CQ19*1000*(2.5*10^-5)</f>
        <v>1.0560000000000001E-5</v>
      </c>
      <c r="CS19" s="18">
        <f>(-0.0000009*F19^3)+(0.0002*F19^2)-(0.0134*F19)+6.579</f>
        <v>6.4979273133</v>
      </c>
      <c r="CT19" s="18">
        <f>CS19-(SQRT(CP19))/(1+1.4*SQRT(CP19))</f>
        <v>6.4731287687454335</v>
      </c>
      <c r="CU19" s="18">
        <f>10^(-CT19)</f>
        <v>3.3641180815116809E-7</v>
      </c>
      <c r="CV19" s="18">
        <f>(0.000001*F19^3)+(0.00006*F19^2)-(0.014*F19)+10.625</f>
        <v>10.534194163</v>
      </c>
      <c r="CW19" s="18">
        <f>CV19-(2*SQRT(CR19))/(1+1.4*SQRT(CR19))</f>
        <v>10.527724366367028</v>
      </c>
      <c r="CX19" s="18">
        <f>10^(-CW19)</f>
        <v>2.9667136760013586E-11</v>
      </c>
      <c r="CY19">
        <f>EXP(1246.98+-61900/H19-183*LN(H19))</f>
        <v>5.100796526057016E-3</v>
      </c>
      <c r="CZ19">
        <f>12.225*(F19^2)+15.258*F19+1125.7</f>
        <v>1776.70885</v>
      </c>
      <c r="DA19" s="15">
        <f>10^(-4470.99/H19+6.0875-0.01706*H19)</f>
        <v>2.1720949021382075E-15</v>
      </c>
      <c r="DB19">
        <f>(10^-I19)</f>
        <v>6.1659500186148016E-9</v>
      </c>
      <c r="DC19">
        <f>DB19^2</f>
        <v>3.8018939632055872E-17</v>
      </c>
      <c r="DD19" s="20">
        <f>((14.6836*10^-9)*((H19/217.2056)-1)^1.997)*100*100</f>
        <v>1.2259562820646385E-5</v>
      </c>
      <c r="DE19">
        <f>CY19+CZ19*DA19/DB19</f>
        <v>5.7266822734305918E-3</v>
      </c>
      <c r="DF19">
        <f>1+DC19*(CU19*CX19+CU19*DB19)^-1</f>
        <v>1.0182408131685545</v>
      </c>
      <c r="DG19">
        <f>(DE19*DF19/DD19)^0.5</f>
        <v>21.809178282030047</v>
      </c>
      <c r="DH19">
        <f>DD19/(BO19/60/60)</f>
        <v>3.2335093725526752E-2</v>
      </c>
      <c r="DI19" s="16">
        <f>DF19/((DF19-1)+TANH(DG19*DH19)/(DG19*DH19))</f>
        <v>1.1571942929807462</v>
      </c>
      <c r="DJ19">
        <f>$DI19*BR19</f>
        <v>73.98286888585244</v>
      </c>
      <c r="DK19">
        <f>$DI19*BY19</f>
        <v>108.16882670104111</v>
      </c>
      <c r="DL19">
        <f>$DI19*CF19</f>
        <v>16.752352314324327</v>
      </c>
      <c r="DM19">
        <f>$DI19*CM19</f>
        <v>46.610166678564269</v>
      </c>
    </row>
    <row r="20" spans="1:117" ht="15.75" x14ac:dyDescent="0.25">
      <c r="A20" s="52" t="s">
        <v>326</v>
      </c>
      <c r="B20" s="55" t="s">
        <v>341</v>
      </c>
      <c r="C20" t="s">
        <v>150</v>
      </c>
      <c r="D20" s="57">
        <v>43217</v>
      </c>
      <c r="E20" s="42" t="str">
        <f>A20&amp;D20</f>
        <v>66B43217</v>
      </c>
      <c r="F20" s="3">
        <f>VLOOKUP($E20,Water!$C$2:$E$90, 2, FALSE)</f>
        <v>6.7</v>
      </c>
      <c r="G20" s="3">
        <f>VLOOKUP($E20,Water!$C$2:$E$90, 3, FALSE)</f>
        <v>0.66</v>
      </c>
      <c r="H20" s="1">
        <f>F20+273.15</f>
        <v>279.84999999999997</v>
      </c>
      <c r="I20" s="3">
        <f>VLOOKUP($E20,Water!$C$2:$F$90, 4, FALSE)</f>
        <v>8.2100000000000009</v>
      </c>
      <c r="J20">
        <f>10^(I20*-1)</f>
        <v>6.1659500186148016E-9</v>
      </c>
      <c r="K20" s="25">
        <f>VLOOKUP($E20,Atm!$D$2:$G$45, 2, FALSE)</f>
        <v>449.52924045947111</v>
      </c>
      <c r="L20" s="25">
        <f>VLOOKUP($E20,Atm!$D$2:$G$45, 3, FALSE)</f>
        <v>5.2730022274000889</v>
      </c>
      <c r="M20" s="25">
        <f>VLOOKUP($E20,Atm!$D$2:$G$45, 4, FALSE)</f>
        <v>0.31804081523825678</v>
      </c>
      <c r="N20" s="21">
        <f>VLOOKUP($C20,Raw!$B$2:$F$353, 3, FALSE)</f>
        <v>1211.9633476939989</v>
      </c>
      <c r="O20" s="21">
        <f>VLOOKUP($C20,Raw!$B$2:$F$353, 4, FALSE)</f>
        <v>19.540993212716629</v>
      </c>
      <c r="P20" s="21">
        <f>VLOOKUP($C20,Raw!$B$2:$F$353, 5, FALSE)</f>
        <v>0.32165770018954126</v>
      </c>
      <c r="Q20" s="14">
        <v>60</v>
      </c>
      <c r="R20" s="25">
        <v>1140</v>
      </c>
      <c r="S20">
        <f>EXP(24.4543-(100/H20*(67.4509))-(4.8489*LN(H20/100))-(0.000544*G20))</f>
        <v>9.6721803653606192E-3</v>
      </c>
      <c r="T20" s="8">
        <f>EXP(-58.0931+90.5069*(100/H20)+22.294*LN(H20/100)+G20*(0.027766-0.025888*(H20/100)+0.0050578*(H20/100)^2))</f>
        <v>6.0034288472752842E-2</v>
      </c>
      <c r="U20" s="9">
        <f>(EXP(-67.1962+99.1624*(100/H20)+27.9015*LN(H20/100)+G20*(-0.072909+0.041674*(H20/100)-0.0064603*(H20/100)^2)))</f>
        <v>4.7186867324663838E-2</v>
      </c>
      <c r="V20" s="9">
        <f>(EXP(-64.8539+100.252*(100/H20)+25.2049*LN(H20/100)+(-0.062544+0.035337*(H20/100)-0.0054699*(H20/100)^2)*G20))</f>
        <v>4.5195429544004399E-2</v>
      </c>
      <c r="W20" s="9">
        <f>(EXP(-68.8862+101.4956*(100/H20)+28.7314*LN(H20/100)+G20*(-0.076146+0.04397*(H20/100)-0.0068672*(H20/100)^2)))</f>
        <v>4.7081753584269671E-2</v>
      </c>
      <c r="X20">
        <f>N20*(AZ20-S20)</f>
        <v>1125.7690612603308</v>
      </c>
      <c r="Y20">
        <f>O20*(AZ20-S20)</f>
        <v>18.151246592589857</v>
      </c>
      <c r="Z20">
        <f>((Y20/10^6)*AZ20)/(0.082056*H20)</f>
        <v>7.4187277690152488E-7</v>
      </c>
      <c r="AA20">
        <f>(((L20/10^6)*AZ20)/(0.082056*H20))</f>
        <v>2.155167021226101E-7</v>
      </c>
      <c r="AB20">
        <f>((Y20/10^6)*U20*1)/(0.082056*H20)</f>
        <v>3.7298550041396979E-8</v>
      </c>
      <c r="AC20">
        <f>(Z20*(Q20/1000))+(AB20*(R20/1000))</f>
        <v>8.7032713661284049E-8</v>
      </c>
      <c r="AD20" s="39">
        <f>((AC20-(AA20*(Q20/1000)))/(R20/1000))*1000000</f>
        <v>6.5001501345550397E-2</v>
      </c>
      <c r="AE20" s="39">
        <f>(AD20/((U20*AZ20*1))*(0.0821*273.15))</f>
        <v>32.914553788099845</v>
      </c>
      <c r="AF20" s="39">
        <f>L20*U20*AZ20*1/(0.0821*273.15)</f>
        <v>1.0413419655816767E-2</v>
      </c>
      <c r="AG20" s="39">
        <f>AD20-AF20</f>
        <v>5.4588081689733628E-2</v>
      </c>
      <c r="AH20" s="42">
        <f>P20*(AZ20-S20)</f>
        <v>0.29878154968838566</v>
      </c>
      <c r="AI20">
        <f>(((X20/10^6)*(Q20/1000))/(0.082056*H20))</f>
        <v>2.9414732667401441E-6</v>
      </c>
      <c r="AJ20">
        <f>(((K20/10^6)*AZ20)*(Q20/1000))/(0.082056*H20)</f>
        <v>1.1023821561244657E-6</v>
      </c>
      <c r="AK20">
        <f>(X20/10^6)*T20*(R20/1000)</f>
        <v>7.7046608818239252E-5</v>
      </c>
      <c r="AL20">
        <f>AI20+AK20</f>
        <v>7.9988082084979392E-5</v>
      </c>
      <c r="AM20" s="39">
        <f>((AL20-AJ20)/(R20/1000))*1000000</f>
        <v>69.197982393732403</v>
      </c>
      <c r="AN20" s="39">
        <f>AM20/(T20*AZ20)</f>
        <v>1228.1048103079299</v>
      </c>
      <c r="AO20" s="39">
        <f>(K20*AZ20)*T20</f>
        <v>25.328877637880812</v>
      </c>
      <c r="AP20" s="39">
        <f>AM20-AO20</f>
        <v>43.869104755851595</v>
      </c>
      <c r="AQ20">
        <f>(((AH20/10^6)*(Q20/1000))/(0.082056*H20))</f>
        <v>7.8067338253164615E-10</v>
      </c>
      <c r="AR20">
        <f>(((M20/10^6)*AZ20)*(Q20/1000))/(0.082056*H20)</f>
        <v>7.7993262302486891E-10</v>
      </c>
      <c r="AS20">
        <f>(AH20/10^6)*V20*(R20/1000)</f>
        <v>1.5394058944908465E-8</v>
      </c>
      <c r="AT20">
        <f>AQ20+AS20</f>
        <v>1.6174732327440112E-8</v>
      </c>
      <c r="AU20" s="39">
        <f>((AT20-AR20)/(R20/1000))*1000000000</f>
        <v>13.504210267030915</v>
      </c>
      <c r="AV20" s="39">
        <f>(AU20/1000)/(V20*AZ20)</f>
        <v>0.31835820065118287</v>
      </c>
      <c r="AW20" s="39">
        <f>(M20*AZ20)*V20*1000</f>
        <v>13.490747320755068</v>
      </c>
      <c r="AX20" s="39">
        <f>AU20-AW20</f>
        <v>1.3462946275847543E-2</v>
      </c>
      <c r="AY20" s="26">
        <f>VLOOKUP($E20,Water!$C$2:$G$90, 5, FALSE)</f>
        <v>713.3</v>
      </c>
      <c r="AZ20">
        <f>AY20/760</f>
        <v>0.93855263157894731</v>
      </c>
      <c r="BA20" s="3">
        <f>Assumptions!$B$3</f>
        <v>406.07</v>
      </c>
      <c r="BB20" s="3">
        <f>BA20*AZ20*T20</f>
        <v>22.880151982775345</v>
      </c>
      <c r="BC20" s="3">
        <f>Assumptions!$B$4</f>
        <v>1.8474300000000001</v>
      </c>
      <c r="BD20" s="45">
        <f>BC20*AZ20*U20*1/(0.0821*273.15)</f>
        <v>3.6484080690842246E-3</v>
      </c>
      <c r="BE20" s="3">
        <f>Assumptions!$B$2</f>
        <v>0.33054499999999998</v>
      </c>
      <c r="BF20" s="44">
        <f>BE20*AZ20*V20*1000</f>
        <v>14.021153447862812</v>
      </c>
      <c r="BG20">
        <f>1923.6+(-125.06*F20)+(4.3773*(F20^2))+(-0.085681*(F20^3))+(0.00070284*(F20^4))</f>
        <v>1257.8416237853637</v>
      </c>
      <c r="BH20">
        <f>1909.4+(-120.78*F20)+(4.1555*(F20^2))+(-0.080578*(F20^3))+(0.00065777*(F20^4))</f>
        <v>1263.804994272017</v>
      </c>
      <c r="BI20">
        <f>2141.2+(-152.56*F20)+(5.8963*(F20^2))+(-0.12411*(F20^3))+(0.0010655*(F20^4))</f>
        <v>1348.55231301255</v>
      </c>
      <c r="BJ20" s="25">
        <f>VLOOKUP(E20,Wind!$C$2:$E$109,3, FALSE)</f>
        <v>1.2777777777777779</v>
      </c>
      <c r="BK20" s="44">
        <v>1.66</v>
      </c>
      <c r="BL20">
        <f>BK20/(1-(((1.3*10^-3)^0.5)/0.41)*LN(10/1.5))</f>
        <v>1.9923982880693825</v>
      </c>
      <c r="BM20">
        <f>BK20*1.22</f>
        <v>2.0251999999999999</v>
      </c>
      <c r="BN20">
        <f>2.07+0.215*(BM20^1.7)*(24/100)</f>
        <v>2.241255750541113</v>
      </c>
      <c r="BO20">
        <f>BN20*((600/BG20)^0.67)</f>
        <v>1.364907939619959</v>
      </c>
      <c r="BP20">
        <f>BN20*((600/BH20)^0.67)</f>
        <v>1.3605894827014708</v>
      </c>
      <c r="BQ20">
        <f>BN20*((600/BI20)^0.67)</f>
        <v>1.3026907512837669</v>
      </c>
      <c r="BR20" s="39">
        <f>BO20*(AM20-BB20)</f>
        <v>63.219574473886077</v>
      </c>
      <c r="BS20" s="39">
        <f>BP20*(AD20-BD20)</f>
        <v>8.3476373443162194E-2</v>
      </c>
      <c r="BT20" s="39">
        <f>BQ20*(AU20-BF20)</f>
        <v>-0.67341710060892346</v>
      </c>
      <c r="BU20">
        <f>(2.51+1.48*BM20)+(0.39*BM20*LOG10(0.0015))</f>
        <v>3.2768938069574309</v>
      </c>
      <c r="BV20">
        <f>BU20*((600/$BG20)^0.67)</f>
        <v>1.9956037472866823</v>
      </c>
      <c r="BW20">
        <f>BU20*((600/$BH20)^0.67)</f>
        <v>1.9892898204943517</v>
      </c>
      <c r="BX20">
        <f>BU20*((600/$BI20)^0.67)</f>
        <v>1.9046372794500916</v>
      </c>
      <c r="BY20" s="39">
        <f>BV20*($AM20-$BB20)</f>
        <v>92.432035934294959</v>
      </c>
      <c r="BZ20" s="39">
        <f>BW20*($AD20-$BD20)</f>
        <v>0.1220490839107146</v>
      </c>
      <c r="CA20" s="39">
        <f>BX20*($AU20-$BF20)</f>
        <v>-0.98458925356994009</v>
      </c>
      <c r="CB20" s="42">
        <f>AVERAGE(0.72,0.69,0.4,0.22)</f>
        <v>0.50750000000000006</v>
      </c>
      <c r="CC20">
        <f>CB20*((600/$BG20)^0.67)</f>
        <v>0.30906369306130765</v>
      </c>
      <c r="CD20">
        <f>CB20*((600/$BH20)^0.67)</f>
        <v>0.30808584085251639</v>
      </c>
      <c r="CE20">
        <f>CB20*((600/$BI20)^0.67)</f>
        <v>0.29497550920589793</v>
      </c>
      <c r="CF20" s="39">
        <f>CC20*($AM20-$BB20)</f>
        <v>14.315159721397734</v>
      </c>
      <c r="CG20" s="39">
        <f>CD20*($AD20-$BD20)</f>
        <v>1.8902019330982952E-2</v>
      </c>
      <c r="CH20" s="39">
        <f>CE20*($AU20-$BF20)</f>
        <v>-0.15248557799640525</v>
      </c>
      <c r="CI20">
        <v>0.86263901889527161</v>
      </c>
      <c r="CJ20">
        <f>((BG20/BH20)^0.67)*CI20</f>
        <v>0.85990969970005648</v>
      </c>
      <c r="CK20">
        <f>((BH20/BH20)^0.67)*CI20</f>
        <v>0.86263901889527161</v>
      </c>
      <c r="CL20">
        <f>((BI20/BH20)^0.67)*CI20</f>
        <v>0.90097943454359686</v>
      </c>
      <c r="CM20" s="39">
        <f>CJ20*($AM20-$BB20)</f>
        <v>39.829151639444227</v>
      </c>
      <c r="CN20" s="39">
        <f>CK20*($AD20-$BD20)</f>
        <v>5.2925572190200866E-2</v>
      </c>
      <c r="CO20" s="39">
        <f>CL20*($AU20-$BF20)</f>
        <v>-0.46575517475709044</v>
      </c>
      <c r="CP20" s="27">
        <f>VLOOKUP(A20,Water!$A$2:$E$109, 5, FALSE)/1000</f>
        <v>6.6E-4</v>
      </c>
      <c r="CQ20">
        <f>0.64*CP20</f>
        <v>4.2240000000000002E-4</v>
      </c>
      <c r="CR20" s="19">
        <f>CQ20*1000*(2.5*10^-5)</f>
        <v>1.0560000000000001E-5</v>
      </c>
      <c r="CS20" s="18">
        <f>(-0.0000009*F20^3)+(0.0002*F20^2)-(0.0134*F20)+6.579</f>
        <v>6.4979273133</v>
      </c>
      <c r="CT20" s="18">
        <f>CS20-(SQRT(CP20))/(1+1.4*SQRT(CP20))</f>
        <v>6.4731287687454335</v>
      </c>
      <c r="CU20" s="18">
        <f>10^(-CT20)</f>
        <v>3.3641180815116809E-7</v>
      </c>
      <c r="CV20" s="18">
        <f>(0.000001*F20^3)+(0.00006*F20^2)-(0.014*F20)+10.625</f>
        <v>10.534194163</v>
      </c>
      <c r="CW20" s="18">
        <f>CV20-(2*SQRT(CR20))/(1+1.4*SQRT(CR20))</f>
        <v>10.527724366367028</v>
      </c>
      <c r="CX20" s="18">
        <f>10^(-CW20)</f>
        <v>2.9667136760013586E-11</v>
      </c>
      <c r="CY20">
        <f>EXP(1246.98+-61900/H20-183*LN(H20))</f>
        <v>5.100796526057016E-3</v>
      </c>
      <c r="CZ20">
        <f>12.225*(F20^2)+15.258*F20+1125.7</f>
        <v>1776.70885</v>
      </c>
      <c r="DA20" s="15">
        <f>10^(-4470.99/H20+6.0875-0.01706*H20)</f>
        <v>2.1720949021382075E-15</v>
      </c>
      <c r="DB20">
        <f>(10^-I20)</f>
        <v>6.1659500186148016E-9</v>
      </c>
      <c r="DC20">
        <f>DB20^2</f>
        <v>3.8018939632055872E-17</v>
      </c>
      <c r="DD20" s="20">
        <f>((14.6836*10^-9)*((H20/217.2056)-1)^1.997)*100*100</f>
        <v>1.2259562820646385E-5</v>
      </c>
      <c r="DE20">
        <f>CY20+CZ20*DA20/DB20</f>
        <v>5.7266822734305918E-3</v>
      </c>
      <c r="DF20">
        <f>1+DC20*(CU20*CX20+CU20*DB20)^-1</f>
        <v>1.0182408131685545</v>
      </c>
      <c r="DG20">
        <f>(DE20*DF20/DD20)^0.5</f>
        <v>21.809178282030047</v>
      </c>
      <c r="DH20">
        <f>DD20/(BO20/60/60)</f>
        <v>3.2335093725526752E-2</v>
      </c>
      <c r="DI20" s="16">
        <f>DF20/((DF20-1)+TANH(DG20*DH20)/(DG20*DH20))</f>
        <v>1.1571942929807462</v>
      </c>
      <c r="DJ20">
        <f>$DI20*BR20</f>
        <v>73.157330785852224</v>
      </c>
      <c r="DK20">
        <f>$DI20*BY20</f>
        <v>106.96182447175738</v>
      </c>
      <c r="DL20">
        <f>$DI20*CF20</f>
        <v>16.565421132709307</v>
      </c>
      <c r="DM20">
        <f>$DI20*CM20</f>
        <v>46.090066971429586</v>
      </c>
    </row>
    <row r="21" spans="1:117" ht="15.75" x14ac:dyDescent="0.25">
      <c r="A21" s="51" t="s">
        <v>326</v>
      </c>
      <c r="B21" s="54" t="s">
        <v>342</v>
      </c>
      <c r="C21" s="48" t="s">
        <v>151</v>
      </c>
      <c r="D21" s="57">
        <v>43217</v>
      </c>
      <c r="E21" s="42" t="str">
        <f>A21&amp;D21</f>
        <v>66B43217</v>
      </c>
      <c r="F21" s="3">
        <f>VLOOKUP($E21,Water!$C$2:$E$90, 2, FALSE)</f>
        <v>6.7</v>
      </c>
      <c r="G21" s="3">
        <f>VLOOKUP($E21,Water!$C$2:$E$90, 3, FALSE)</f>
        <v>0.66</v>
      </c>
      <c r="H21" s="1">
        <f>F21+273.15</f>
        <v>279.84999999999997</v>
      </c>
      <c r="I21" s="3">
        <f>VLOOKUP($E21,Water!$C$2:$F$90, 4, FALSE)</f>
        <v>8.2100000000000009</v>
      </c>
      <c r="J21">
        <f>10^(I21*-1)</f>
        <v>6.1659500186148016E-9</v>
      </c>
      <c r="K21" s="25">
        <f>VLOOKUP($E21,Atm!$D$2:$G$45, 2, FALSE)</f>
        <v>449.52924045947111</v>
      </c>
      <c r="L21" s="25">
        <f>VLOOKUP($E21,Atm!$D$2:$G$45, 3, FALSE)</f>
        <v>5.2730022274000889</v>
      </c>
      <c r="M21" s="25">
        <f>VLOOKUP($E21,Atm!$D$2:$G$45, 4, FALSE)</f>
        <v>0.31804081523825678</v>
      </c>
      <c r="N21" s="21">
        <f>VLOOKUP($C21,Raw!$B$2:$F$353, 3, FALSE)</f>
        <v>1167.306</v>
      </c>
      <c r="O21" s="21">
        <f>VLOOKUP($C21,Raw!$B$2:$F$353, 4, FALSE)</f>
        <v>18.457000000000001</v>
      </c>
      <c r="P21" s="21">
        <f>VLOOKUP($C21,Raw!$B$2:$F$353, 5, FALSE)</f>
        <v>0.29299999999999998</v>
      </c>
      <c r="Q21" s="14">
        <v>60</v>
      </c>
      <c r="R21" s="25">
        <v>1140</v>
      </c>
      <c r="S21">
        <f>EXP(24.4543-(100/H21*(67.4509))-(4.8489*LN(H21/100))-(0.000544*G21))</f>
        <v>9.6721803653606192E-3</v>
      </c>
      <c r="T21" s="8">
        <f>EXP(-58.0931+90.5069*(100/H21)+22.294*LN(H21/100)+G21*(0.027766-0.025888*(H21/100)+0.0050578*(H21/100)^2))</f>
        <v>6.0034288472752842E-2</v>
      </c>
      <c r="U21" s="9">
        <f>(EXP(-67.1962+99.1624*(100/H21)+27.9015*LN(H21/100)+G21*(-0.072909+0.041674*(H21/100)-0.0064603*(H21/100)^2)))</f>
        <v>4.7186867324663838E-2</v>
      </c>
      <c r="V21" s="9">
        <f>(EXP(-64.8539+100.252*(100/H21)+25.2049*LN(H21/100)+(-0.062544+0.035337*(H21/100)-0.0054699*(H21/100)^2)*G21))</f>
        <v>4.5195429544004399E-2</v>
      </c>
      <c r="W21" s="9">
        <f>(EXP(-68.8862+101.4956*(100/H21)+28.7314*LN(H21/100)+G21*(-0.076146+0.04397*(H21/100)-0.0068672*(H21/100)^2)))</f>
        <v>4.7081753584269671E-2</v>
      </c>
      <c r="X21">
        <f>N21*(AZ21-S21)</f>
        <v>1084.2877239843269</v>
      </c>
      <c r="Y21">
        <f>O21*(AZ21-S21)</f>
        <v>17.14434648804917</v>
      </c>
      <c r="Z21">
        <f>((Y21/10^6)*AZ21)/(0.082056*H21)</f>
        <v>7.0071903174095893E-7</v>
      </c>
      <c r="AA21">
        <f>(((L21/10^6)*AZ21)/(0.082056*H21))</f>
        <v>2.155167021226101E-7</v>
      </c>
      <c r="AB21">
        <f>((Y21/10^6)*U21*1)/(0.082056*H21)</f>
        <v>3.5229495789705492E-8</v>
      </c>
      <c r="AC21">
        <f>(Z21*(Q21/1000))+(AB21*(R21/1000))</f>
        <v>8.2204767104721796E-8</v>
      </c>
      <c r="AD21" s="39">
        <f>((AC21-(AA21*(Q21/1000)))/(R21/1000))*1000000</f>
        <v>6.0766460506460694E-2</v>
      </c>
      <c r="AE21" s="39">
        <f>(AD21/((U21*AZ21*1))*(0.0821*273.15))</f>
        <v>30.770072866774786</v>
      </c>
      <c r="AF21" s="39">
        <f>L21*U21*AZ21*1/(0.0821*273.15)</f>
        <v>1.0413419655816767E-2</v>
      </c>
      <c r="AG21" s="39">
        <f>AD21-AF21</f>
        <v>5.0353040850643925E-2</v>
      </c>
      <c r="AH21" s="42">
        <f>P21*(AZ21-S21)</f>
        <v>0.27216197220558086</v>
      </c>
      <c r="AI21">
        <f>(((X21/10^6)*(Q21/1000))/(0.082056*H21))</f>
        <v>2.8330884755207121E-6</v>
      </c>
      <c r="AJ21">
        <f>(((K21/10^6)*AZ21)*(Q21/1000))/(0.082056*H21)</f>
        <v>1.1023821561244657E-6</v>
      </c>
      <c r="AK21">
        <f>(X21/10^6)*T21*(R21/1000)</f>
        <v>7.4207663890419245E-5</v>
      </c>
      <c r="AL21">
        <f>AI21+AK21</f>
        <v>7.7040752365939956E-5</v>
      </c>
      <c r="AM21" s="39">
        <f>((AL21-AJ21)/(R21/1000))*1000000</f>
        <v>66.612605447206576</v>
      </c>
      <c r="AN21" s="39">
        <f>AM21/(T21*AZ21)</f>
        <v>1182.2203241617676</v>
      </c>
      <c r="AO21" s="39">
        <f>(K21*AZ21)*T21</f>
        <v>25.328877637880812</v>
      </c>
      <c r="AP21" s="39">
        <f>AM21-AO21</f>
        <v>41.283727809325768</v>
      </c>
      <c r="AQ21">
        <f>(((AH21/10^6)*(Q21/1000))/(0.082056*H21))</f>
        <v>7.1112024038903985E-10</v>
      </c>
      <c r="AR21">
        <f>(((M21/10^6)*AZ21)*(Q21/1000))/(0.082056*H21)</f>
        <v>7.7993262302486891E-10</v>
      </c>
      <c r="AS21">
        <f>(AH21/10^6)*V21*(R21/1000)</f>
        <v>1.4022544052887058E-8</v>
      </c>
      <c r="AT21">
        <f>AQ21+AS21</f>
        <v>1.4733664293276097E-8</v>
      </c>
      <c r="AU21" s="39">
        <f>((AT21-AR21)/(R21/1000))*1000000000</f>
        <v>12.240115500220377</v>
      </c>
      <c r="AV21" s="39">
        <f>(AU21/1000)/(V21*AZ21)</f>
        <v>0.28855749942862552</v>
      </c>
      <c r="AW21" s="39">
        <f>(M21*AZ21)*V21*1000</f>
        <v>13.490747320755068</v>
      </c>
      <c r="AX21" s="39">
        <f>AU21-AW21</f>
        <v>-1.2506318205346911</v>
      </c>
      <c r="AY21" s="26">
        <f>VLOOKUP($E21,Water!$C$2:$G$90, 5, FALSE)</f>
        <v>713.3</v>
      </c>
      <c r="AZ21">
        <f>AY21/760</f>
        <v>0.93855263157894731</v>
      </c>
      <c r="BA21" s="3">
        <f>Assumptions!$B$3</f>
        <v>406.07</v>
      </c>
      <c r="BB21" s="3">
        <f>BA21*AZ21*T21</f>
        <v>22.880151982775345</v>
      </c>
      <c r="BC21" s="3">
        <f>Assumptions!$B$4</f>
        <v>1.8474300000000001</v>
      </c>
      <c r="BD21" s="45">
        <f>BC21*AZ21*U21*1/(0.0821*273.15)</f>
        <v>3.6484080690842246E-3</v>
      </c>
      <c r="BE21" s="3">
        <f>Assumptions!$B$2</f>
        <v>0.33054499999999998</v>
      </c>
      <c r="BF21" s="44">
        <f>BE21*AZ21*V21*1000</f>
        <v>14.021153447862812</v>
      </c>
      <c r="BG21">
        <f>1923.6+(-125.06*F21)+(4.3773*(F21^2))+(-0.085681*(F21^3))+(0.00070284*(F21^4))</f>
        <v>1257.8416237853637</v>
      </c>
      <c r="BH21">
        <f>1909.4+(-120.78*F21)+(4.1555*(F21^2))+(-0.080578*(F21^3))+(0.00065777*(F21^4))</f>
        <v>1263.804994272017</v>
      </c>
      <c r="BI21">
        <f>2141.2+(-152.56*F21)+(5.8963*(F21^2))+(-0.12411*(F21^3))+(0.0010655*(F21^4))</f>
        <v>1348.55231301255</v>
      </c>
      <c r="BJ21" s="25">
        <f>VLOOKUP(E21,Wind!$C$2:$E$109,3, FALSE)</f>
        <v>1.2777777777777779</v>
      </c>
      <c r="BK21" s="44">
        <v>1.66</v>
      </c>
      <c r="BL21">
        <f>BK21/(1-(((1.3*10^-3)^0.5)/0.41)*LN(10/1.5))</f>
        <v>1.9923982880693825</v>
      </c>
      <c r="BM21">
        <f>BK21*1.22</f>
        <v>2.0251999999999999</v>
      </c>
      <c r="BN21">
        <f>2.07+0.215*(BM21^1.7)*(24/100)</f>
        <v>2.241255750541113</v>
      </c>
      <c r="BO21">
        <f>BN21*((600/BG21)^0.67)</f>
        <v>1.364907939619959</v>
      </c>
      <c r="BP21">
        <f>BN21*((600/BH21)^0.67)</f>
        <v>1.3605894827014708</v>
      </c>
      <c r="BQ21">
        <f>BN21*((600/BI21)^0.67)</f>
        <v>1.3026907512837669</v>
      </c>
      <c r="BR21" s="39">
        <f>BO21*(AM21-BB21)</f>
        <v>59.69077295266257</v>
      </c>
      <c r="BS21" s="39">
        <f>BP21*(AD21-BD21)</f>
        <v>7.7714221418685545E-2</v>
      </c>
      <c r="BT21" s="39">
        <f>BQ21*(AU21-BF21)</f>
        <v>-2.3201416620792221</v>
      </c>
      <c r="BU21">
        <f>(2.51+1.48*BM21)+(0.39*BM21*LOG10(0.0015))</f>
        <v>3.2768938069574309</v>
      </c>
      <c r="BV21">
        <f>BU21*((600/$BG21)^0.67)</f>
        <v>1.9956037472866823</v>
      </c>
      <c r="BW21">
        <f>BU21*((600/$BH21)^0.67)</f>
        <v>1.9892898204943517</v>
      </c>
      <c r="BX21">
        <f>BU21*((600/$BI21)^0.67)</f>
        <v>1.9046372794500916</v>
      </c>
      <c r="BY21" s="39">
        <f>BV21*($AM21-$BB21)</f>
        <v>87.272648011659413</v>
      </c>
      <c r="BZ21" s="39">
        <f>BW21*($AD21-$BD21)</f>
        <v>0.1136243602801356</v>
      </c>
      <c r="CA21" s="39">
        <f>BX21*($AU21-$BF21)</f>
        <v>-3.3922312711950626</v>
      </c>
      <c r="CB21" s="42">
        <f>AVERAGE(0.72,0.69,0.4,0.22)</f>
        <v>0.50750000000000006</v>
      </c>
      <c r="CC21">
        <f>CB21*((600/$BG21)^0.67)</f>
        <v>0.30906369306130765</v>
      </c>
      <c r="CD21">
        <f>CB21*((600/$BH21)^0.67)</f>
        <v>0.30808584085251639</v>
      </c>
      <c r="CE21">
        <f>CB21*((600/$BI21)^0.67)</f>
        <v>0.29497550920589793</v>
      </c>
      <c r="CF21" s="39">
        <f>CC21*($AM21-$BB21)</f>
        <v>13.516113574348894</v>
      </c>
      <c r="CG21" s="39">
        <f>CD21*($AD21-$BD21)</f>
        <v>1.7597263213027254E-2</v>
      </c>
      <c r="CH21" s="39">
        <f>CE21*($AU21-$BF21)</f>
        <v>-0.52536257552085475</v>
      </c>
      <c r="CI21">
        <v>0.86263901889527161</v>
      </c>
      <c r="CJ21">
        <f>((BG21/BH21)^0.67)*CI21</f>
        <v>0.85990969970005648</v>
      </c>
      <c r="CK21">
        <f>((BH21/BH21)^0.67)*CI21</f>
        <v>0.86263901889527161</v>
      </c>
      <c r="CL21">
        <f>((BI21/BH21)^0.67)*CI21</f>
        <v>0.90097943454359686</v>
      </c>
      <c r="CM21" s="39">
        <f>CJ21*($AM21-$BB21)</f>
        <v>37.605960925745755</v>
      </c>
      <c r="CN21" s="39">
        <f>CK21*($AD21-$BD21)</f>
        <v>4.9272260715787115E-2</v>
      </c>
      <c r="CO21" s="39">
        <f>CL21*($AU21-$BF21)</f>
        <v>-1.6046785629675695</v>
      </c>
      <c r="CP21" s="27">
        <f>VLOOKUP(A21,Water!$A$2:$E$109, 5, FALSE)/1000</f>
        <v>6.6E-4</v>
      </c>
      <c r="CQ21">
        <f>0.64*CP21</f>
        <v>4.2240000000000002E-4</v>
      </c>
      <c r="CR21" s="19">
        <f>CQ21*1000*(2.5*10^-5)</f>
        <v>1.0560000000000001E-5</v>
      </c>
      <c r="CS21" s="18">
        <f>(-0.0000009*F21^3)+(0.0002*F21^2)-(0.0134*F21)+6.579</f>
        <v>6.4979273133</v>
      </c>
      <c r="CT21" s="18">
        <f>CS21-(SQRT(CP21))/(1+1.4*SQRT(CP21))</f>
        <v>6.4731287687454335</v>
      </c>
      <c r="CU21" s="18">
        <f>10^(-CT21)</f>
        <v>3.3641180815116809E-7</v>
      </c>
      <c r="CV21" s="18">
        <f>(0.000001*F21^3)+(0.00006*F21^2)-(0.014*F21)+10.625</f>
        <v>10.534194163</v>
      </c>
      <c r="CW21" s="18">
        <f>CV21-(2*SQRT(CR21))/(1+1.4*SQRT(CR21))</f>
        <v>10.527724366367028</v>
      </c>
      <c r="CX21" s="18">
        <f>10^(-CW21)</f>
        <v>2.9667136760013586E-11</v>
      </c>
      <c r="CY21">
        <f>EXP(1246.98+-61900/H21-183*LN(H21))</f>
        <v>5.100796526057016E-3</v>
      </c>
      <c r="CZ21">
        <f>12.225*(F21^2)+15.258*F21+1125.7</f>
        <v>1776.70885</v>
      </c>
      <c r="DA21" s="15">
        <f>10^(-4470.99/H21+6.0875-0.01706*H21)</f>
        <v>2.1720949021382075E-15</v>
      </c>
      <c r="DB21">
        <f>(10^-I21)</f>
        <v>6.1659500186148016E-9</v>
      </c>
      <c r="DC21">
        <f>DB21^2</f>
        <v>3.8018939632055872E-17</v>
      </c>
      <c r="DD21" s="20">
        <f>((14.6836*10^-9)*((H21/217.2056)-1)^1.997)*100*100</f>
        <v>1.2259562820646385E-5</v>
      </c>
      <c r="DE21">
        <f>CY21+CZ21*DA21/DB21</f>
        <v>5.7266822734305918E-3</v>
      </c>
      <c r="DF21">
        <f>1+DC21*(CU21*CX21+CU21*DB21)^-1</f>
        <v>1.0182408131685545</v>
      </c>
      <c r="DG21">
        <f>(DE21*DF21/DD21)^0.5</f>
        <v>21.809178282030047</v>
      </c>
      <c r="DH21">
        <f>DD21/(BO21/60/60)</f>
        <v>3.2335093725526752E-2</v>
      </c>
      <c r="DI21" s="16">
        <f>DF21/((DF21-1)+TANH(DG21*DH21)/(DG21*DH21))</f>
        <v>1.1571942929807462</v>
      </c>
      <c r="DJ21">
        <f>$DI21*BR21</f>
        <v>69.073821804430608</v>
      </c>
      <c r="DK21">
        <f>$DI21*BY21</f>
        <v>100.99141021240973</v>
      </c>
      <c r="DL21">
        <f>$DI21*CF21</f>
        <v>15.640769491516135</v>
      </c>
      <c r="DM21">
        <f>$DI21*CM21</f>
        <v>43.517403365329926</v>
      </c>
    </row>
    <row r="22" spans="1:117" ht="15.75" x14ac:dyDescent="0.25">
      <c r="A22" s="52" t="s">
        <v>327</v>
      </c>
      <c r="B22" s="55" t="s">
        <v>339</v>
      </c>
      <c r="C22" t="s">
        <v>153</v>
      </c>
      <c r="D22" s="57">
        <v>43217</v>
      </c>
      <c r="E22" s="42" t="str">
        <f>A22&amp;D22</f>
        <v>66C43217</v>
      </c>
      <c r="F22" s="3">
        <f>VLOOKUP($E22,Water!$C$2:$E$90, 2, FALSE)</f>
        <v>7.6</v>
      </c>
      <c r="G22" s="3">
        <f>VLOOKUP($E22,Water!$C$2:$E$90, 3, FALSE)</f>
        <v>0.12</v>
      </c>
      <c r="H22" s="1">
        <f>F22+273.15</f>
        <v>280.75</v>
      </c>
      <c r="I22" s="3">
        <f>VLOOKUP($E22,Water!$C$2:$F$90, 4, FALSE)</f>
        <v>7.9</v>
      </c>
      <c r="J22">
        <f>10^(I22*-1)</f>
        <v>1.2589254117941638E-8</v>
      </c>
      <c r="K22" s="25">
        <f>VLOOKUP($E22,Atm!$D$2:$G$45, 2, FALSE)</f>
        <v>493.70412591952459</v>
      </c>
      <c r="L22" s="25">
        <f>VLOOKUP($E22,Atm!$D$2:$G$45, 3, FALSE)</f>
        <v>4.7040854357796924</v>
      </c>
      <c r="M22" s="25">
        <f>VLOOKUP($E22,Atm!$D$2:$G$45, 4, FALSE)</f>
        <v>0.33065402579279957</v>
      </c>
      <c r="N22" s="21">
        <f>VLOOKUP($C22,Raw!$B$2:$F$353, 3, FALSE)</f>
        <v>1265.624791912724</v>
      </c>
      <c r="O22" s="21">
        <f>VLOOKUP($C22,Raw!$B$2:$F$353, 4, FALSE)</f>
        <v>26.205977262971381</v>
      </c>
      <c r="P22" s="21">
        <f>VLOOKUP($C22,Raw!$B$2:$F$353, 5, FALSE)</f>
        <v>0.368151516244699</v>
      </c>
      <c r="Q22" s="14">
        <v>60</v>
      </c>
      <c r="R22" s="25">
        <v>1140</v>
      </c>
      <c r="S22">
        <f>EXP(24.4543-(100/H22*(67.4509))-(4.8489*LN(H22/100))-(0.000544*G22))</f>
        <v>1.0290733821201679E-2</v>
      </c>
      <c r="T22" s="8">
        <f>EXP(-58.0931+90.5069*(100/H22)+22.294*LN(H22/100)+G22*(0.027766-0.025888*(H22/100)+0.0050578*(H22/100)^2))</f>
        <v>5.8297735861381601E-2</v>
      </c>
      <c r="U22" s="9">
        <f>(EXP(-67.1962+99.1624*(100/H22)+27.9015*LN(H22/100)+G22*(-0.072909+0.041674*(H22/100)-0.0064603*(H22/100)^2)))</f>
        <v>4.6239407629183257E-2</v>
      </c>
      <c r="V22" s="9">
        <f>(EXP(-64.8539+100.252*(100/H22)+25.2049*LN(H22/100)+(-0.062544+0.035337*(H22/100)-0.0054699*(H22/100)^2)*G22))</f>
        <v>4.3842174399810585E-2</v>
      </c>
      <c r="W22" s="9">
        <f>(EXP(-68.8862+101.4956*(100/H22)+28.7314*LN(H22/100)+G22*(-0.076146+0.04397*(H22/100)-0.0068672*(H22/100)^2)))</f>
        <v>4.6135993774039034E-2</v>
      </c>
      <c r="X22">
        <f>N22*(AZ22-S22)</f>
        <v>1174.4982120343907</v>
      </c>
      <c r="Y22">
        <f>O22*(AZ22-S22)</f>
        <v>24.319113876916102</v>
      </c>
      <c r="Z22">
        <f>((Y22/10^6)*AZ22)/(0.082056*H22)</f>
        <v>9.9050000733760299E-7</v>
      </c>
      <c r="AA22">
        <f>(((L22/10^6)*AZ22)/(0.082056*H22))</f>
        <v>1.9159401457794205E-7</v>
      </c>
      <c r="AB22">
        <f>((Y22/10^6)*U22*1)/(0.082056*H22)</f>
        <v>4.8812370681467182E-8</v>
      </c>
      <c r="AC22">
        <f>(Z22*(Q22/1000))+(AB22*(R22/1000))</f>
        <v>1.1507610301712876E-7</v>
      </c>
      <c r="AD22" s="39">
        <f>((AC22-(AA22*(Q22/1000)))/(R22/1000))*1000000</f>
        <v>9.0860054510923022E-2</v>
      </c>
      <c r="AE22" s="39">
        <f>(AD22/((U22*AZ22*1))*(0.0821*273.15))</f>
        <v>46.964342771612742</v>
      </c>
      <c r="AF22" s="39">
        <f>L22*U22*AZ22*1/(0.0821*273.15)</f>
        <v>9.1008078447406462E-3</v>
      </c>
      <c r="AG22" s="39">
        <f>AD22-AF22</f>
        <v>8.1759246666182381E-2</v>
      </c>
      <c r="AH22" s="42">
        <f>P22*(AZ22-S22)</f>
        <v>0.3416441431537367</v>
      </c>
      <c r="AI22">
        <f>(((X22/10^6)*(Q22/1000))/(0.082056*H22))</f>
        <v>3.0589579213180926E-6</v>
      </c>
      <c r="AJ22">
        <f>(((K22/10^6)*AZ22)*(Q22/1000))/(0.082056*H22)</f>
        <v>1.2064928257358998E-6</v>
      </c>
      <c r="AK22">
        <f>(X22/10^6)*T22*(R22/1000)</f>
        <v>7.8056468649724279E-5</v>
      </c>
      <c r="AL22">
        <f>AI22+AK22</f>
        <v>8.1115426571042376E-5</v>
      </c>
      <c r="AM22" s="39">
        <f>((AL22-AJ22)/(R22/1000))*1000000</f>
        <v>70.095555916935524</v>
      </c>
      <c r="AN22" s="39">
        <f>AM22/(T22*AZ22)</f>
        <v>1281.4508458255509</v>
      </c>
      <c r="AO22" s="39">
        <f>(K22*AZ22)*T22</f>
        <v>27.0056906806435</v>
      </c>
      <c r="AP22" s="39">
        <f>AM22-AO22</f>
        <v>43.089865236292027</v>
      </c>
      <c r="AQ22">
        <f>(((AH22/10^6)*(Q22/1000))/(0.082056*H22))</f>
        <v>8.8980557591641054E-10</v>
      </c>
      <c r="AR22">
        <f>(((M22/10^6)*AZ22)*(Q22/1000))/(0.082056*H22)</f>
        <v>8.0803803123317021E-10</v>
      </c>
      <c r="AS22">
        <f>(AH22/10^6)*V22*(R22/1000)</f>
        <v>1.7075401201774773E-8</v>
      </c>
      <c r="AT22">
        <f>AQ22+AS22</f>
        <v>1.7965206777691183E-8</v>
      </c>
      <c r="AU22" s="39">
        <f>((AT22-AR22)/(R22/1000))*1000000000</f>
        <v>15.050148023208783</v>
      </c>
      <c r="AV22" s="39">
        <f>(AU22/1000)/(V22*AZ22)</f>
        <v>0.36585739848677551</v>
      </c>
      <c r="AW22" s="39">
        <f>(M22*AZ22)*V22*1000</f>
        <v>13.601999175729141</v>
      </c>
      <c r="AX22" s="39">
        <f>AU22-AW22</f>
        <v>1.4481488474796418</v>
      </c>
      <c r="AY22" s="26">
        <f>VLOOKUP($E22,Water!$C$2:$G$90, 5, FALSE)</f>
        <v>713.1</v>
      </c>
      <c r="AZ22">
        <f>AY22/760</f>
        <v>0.93828947368421056</v>
      </c>
      <c r="BA22" s="3">
        <f>Assumptions!$B$3</f>
        <v>406.07</v>
      </c>
      <c r="BB22" s="3">
        <f>BA22*AZ22*T22</f>
        <v>22.212090681365776</v>
      </c>
      <c r="BC22" s="3">
        <f>Assumptions!$B$4</f>
        <v>1.8474300000000001</v>
      </c>
      <c r="BD22" s="45">
        <f>BC22*AZ22*U22*1/(0.0821*273.15)</f>
        <v>3.5741496760937292E-3</v>
      </c>
      <c r="BE22" s="3">
        <f>Assumptions!$B$2</f>
        <v>0.33054499999999998</v>
      </c>
      <c r="BF22" s="44">
        <f>BE22*AZ22*V22*1000</f>
        <v>13.597514219768792</v>
      </c>
      <c r="BG22">
        <f>1923.6+(-125.06*F22)+(4.3773*(F22^2))+(-0.085681*(F22^3))+(0.00070284*(F22^4))</f>
        <v>1190.7097725219837</v>
      </c>
      <c r="BH22">
        <f>1909.4+(-120.78*F22)+(4.1555*(F22^2))+(-0.080578*(F22^3))+(0.00065777*(F22^4))</f>
        <v>1198.3163357227522</v>
      </c>
      <c r="BI22">
        <f>2141.2+(-152.56*F22)+(5.8963*(F22^2))+(-0.12411*(F22^3))+(0.0010655*(F22^4))</f>
        <v>1271.3877164927999</v>
      </c>
      <c r="BJ22" s="25">
        <f>VLOOKUP(E22,Wind!$C$2:$E$109,3, FALSE)</f>
        <v>2.25</v>
      </c>
      <c r="BK22" s="44">
        <v>1.66</v>
      </c>
      <c r="BL22">
        <f>BK22/(1-(((1.3*10^-3)^0.5)/0.41)*LN(10/1.5))</f>
        <v>1.9923982880693825</v>
      </c>
      <c r="BM22">
        <f>BK22*1.22</f>
        <v>2.0251999999999999</v>
      </c>
      <c r="BN22">
        <f>2.07+0.215*(BM22^1.7)*(24/100)</f>
        <v>2.241255750541113</v>
      </c>
      <c r="BO22">
        <f>BN22*((600/BG22)^0.67)</f>
        <v>1.4159984877779184</v>
      </c>
      <c r="BP22">
        <f>BN22*((600/BH22)^0.67)</f>
        <v>1.409969970584954</v>
      </c>
      <c r="BQ22">
        <f>BN22*((600/BI22)^0.67)</f>
        <v>1.3551472469416663</v>
      </c>
      <c r="BR22" s="39">
        <f>BO22*(AM22-BB22)</f>
        <v>67.802914363133283</v>
      </c>
      <c r="BS22" s="39">
        <f>BP22*(AD22-BD22)</f>
        <v>0.12307050467244535</v>
      </c>
      <c r="BT22" s="39">
        <f>BQ22*(AU22-BF22)</f>
        <v>1.968532699546105</v>
      </c>
      <c r="BU22">
        <f>(2.51+1.48*BM22)+(0.39*BM22*LOG10(0.0015))</f>
        <v>3.2768938069574309</v>
      </c>
      <c r="BV22">
        <f>BU22*((600/$BG22)^0.67)</f>
        <v>2.0703021840056763</v>
      </c>
      <c r="BW22">
        <f>BU22*((600/$BH22)^0.67)</f>
        <v>2.0614880133560343</v>
      </c>
      <c r="BX22">
        <f>BU22*((600/$BI22)^0.67)</f>
        <v>1.9813328398360757</v>
      </c>
      <c r="BY22" s="39">
        <f>BV22*($AM22-$BB22)</f>
        <v>99.133242654959915</v>
      </c>
      <c r="BZ22" s="39">
        <f>BW22*($AD22-$BD22)</f>
        <v>0.17993884655193609</v>
      </c>
      <c r="CA22" s="39">
        <f>BX22*($AU22-$BF22)</f>
        <v>2.8781510590116364</v>
      </c>
      <c r="CB22" s="42">
        <f>AVERAGE(0.72,0.69,0.4,0.22)</f>
        <v>0.50750000000000006</v>
      </c>
      <c r="CC22">
        <f>CB22*((600/$BG22)^0.67)</f>
        <v>0.32063240992189102</v>
      </c>
      <c r="CD22">
        <f>CB22*((600/$BH22)^0.67)</f>
        <v>0.31926733925796041</v>
      </c>
      <c r="CE22">
        <f>CB22*((600/$BI22)^0.67)</f>
        <v>0.30685352515296538</v>
      </c>
      <c r="CF22" s="39">
        <f>CC22*($AM22-$BB22)</f>
        <v>15.352990853891816</v>
      </c>
      <c r="CG22" s="39">
        <f>CD22*($AD22-$BD22)</f>
        <v>2.7867538591339489E-2</v>
      </c>
      <c r="CH22" s="39">
        <f>CE22*($AU22-$BF22)</f>
        <v>0.44574580334192093</v>
      </c>
      <c r="CI22">
        <v>0.86263901889527161</v>
      </c>
      <c r="CJ22">
        <f>((BG22/BH22)^0.67)*CI22</f>
        <v>0.85896639198103453</v>
      </c>
      <c r="CK22">
        <f>((BH22/BH22)^0.67)*CI22</f>
        <v>0.86263901889527161</v>
      </c>
      <c r="CL22">
        <f>((BI22/BH22)^0.67)*CI22</f>
        <v>0.89753723430584242</v>
      </c>
      <c r="CM22" s="39">
        <f>CJ22*($AM22-$BB22)</f>
        <v>41.13028736894664</v>
      </c>
      <c r="CN22" s="39">
        <f>CK22*($AD22-$BD22)</f>
        <v>7.5296227310103186E-2</v>
      </c>
      <c r="CO22" s="39">
        <f>CL22*($AU22-$BF22)</f>
        <v>1.3037929263987058</v>
      </c>
      <c r="CP22" s="27">
        <f>VLOOKUP(A22,Water!$A$2:$E$109, 5, FALSE)/1000</f>
        <v>1.1999999999999999E-4</v>
      </c>
      <c r="CQ22">
        <f>0.64*CP22</f>
        <v>7.6799999999999997E-5</v>
      </c>
      <c r="CR22" s="19">
        <f>CQ22*1000*(2.5*10^-5)</f>
        <v>1.9199999999999998E-6</v>
      </c>
      <c r="CS22" s="18">
        <f>(-0.0000009*F22^3)+(0.0002*F22^2)-(0.0134*F22)+6.579</f>
        <v>6.4883169216000001</v>
      </c>
      <c r="CT22" s="18">
        <f>CS22-(SQRT(CP22))/(1+1.4*SQRT(CP22))</f>
        <v>6.4775279328797497</v>
      </c>
      <c r="CU22" s="18">
        <f>10^(-CT22)</f>
        <v>3.3302134240898694E-7</v>
      </c>
      <c r="CV22" s="18">
        <f>(0.000001*F22^3)+(0.00006*F22^2)-(0.014*F22)+10.625</f>
        <v>10.522504575999999</v>
      </c>
      <c r="CW22" s="18">
        <f>CV22-(2*SQRT(CR22))/(1+1.4*SQRT(CR22))</f>
        <v>10.519738660299195</v>
      </c>
      <c r="CX22" s="18">
        <f>10^(-CW22)</f>
        <v>3.0217695440743738E-11</v>
      </c>
      <c r="CY22">
        <f>EXP(1246.98+-61900/H22-183*LN(H22))</f>
        <v>5.7596677670631695E-3</v>
      </c>
      <c r="CZ22">
        <f>12.225*(F22^2)+15.258*F22+1125.7</f>
        <v>1947.7768000000001</v>
      </c>
      <c r="DA22" s="15">
        <f>10^(-4470.99/H22+6.0875-0.01706*H22)</f>
        <v>2.3590669305006747E-15</v>
      </c>
      <c r="DB22">
        <f>(10^-I22)</f>
        <v>1.2589254117941638E-8</v>
      </c>
      <c r="DC22">
        <f>DB22^2</f>
        <v>1.5848931924611049E-16</v>
      </c>
      <c r="DD22" s="20">
        <f>((14.6836*10^-9)*((H22/217.2056)-1)^1.997)*100*100</f>
        <v>1.2613814997650085E-5</v>
      </c>
      <c r="DE22">
        <f>CY22+CZ22*DA22/DB22</f>
        <v>6.1246564942609091E-3</v>
      </c>
      <c r="DF22">
        <f>1+DC22*(CU22*CX22+CU22*DB22)^-1</f>
        <v>1.0377126243285486</v>
      </c>
      <c r="DG22">
        <f>(DE22*DF22/DD22)^0.5</f>
        <v>22.446890580854959</v>
      </c>
      <c r="DH22">
        <f>DD22/(BO22/60/60)</f>
        <v>3.2069055428724617E-2</v>
      </c>
      <c r="DI22" s="16">
        <f>DF22/((DF22-1)+TANH(DG22*DH22)/(DG22*DH22))</f>
        <v>1.1599993294569528</v>
      </c>
      <c r="DJ22">
        <f>$DI22*BR22</f>
        <v>78.651335196461801</v>
      </c>
      <c r="DK22">
        <f>$DI22*BY22</f>
        <v>114.9944950066469</v>
      </c>
      <c r="DL22">
        <f>$DI22*CF22</f>
        <v>17.809459095673237</v>
      </c>
      <c r="DM22">
        <f>$DI22*CM22</f>
        <v>47.711105768349881</v>
      </c>
    </row>
    <row r="23" spans="1:117" ht="15.75" x14ac:dyDescent="0.25">
      <c r="A23" s="52" t="s">
        <v>327</v>
      </c>
      <c r="B23" s="55" t="s">
        <v>340</v>
      </c>
      <c r="C23" t="s">
        <v>154</v>
      </c>
      <c r="D23" s="57">
        <v>43217</v>
      </c>
      <c r="E23" s="42" t="str">
        <f>A23&amp;D23</f>
        <v>66C43217</v>
      </c>
      <c r="F23" s="3">
        <f>VLOOKUP($E23,Water!$C$2:$E$90, 2, FALSE)</f>
        <v>7.6</v>
      </c>
      <c r="G23" s="3">
        <f>VLOOKUP($E23,Water!$C$2:$E$90, 3, FALSE)</f>
        <v>0.12</v>
      </c>
      <c r="H23" s="1">
        <f>F23+273.15</f>
        <v>280.75</v>
      </c>
      <c r="I23" s="3">
        <f>VLOOKUP($E23,Water!$C$2:$F$90, 4, FALSE)</f>
        <v>7.9</v>
      </c>
      <c r="J23">
        <f>10^(I23*-1)</f>
        <v>1.2589254117941638E-8</v>
      </c>
      <c r="K23" s="25">
        <f>VLOOKUP($E23,Atm!$D$2:$G$45, 2, FALSE)</f>
        <v>493.70412591952459</v>
      </c>
      <c r="L23" s="25">
        <f>VLOOKUP($E23,Atm!$D$2:$G$45, 3, FALSE)</f>
        <v>4.7040854357796924</v>
      </c>
      <c r="M23" s="25">
        <f>VLOOKUP($E23,Atm!$D$2:$G$45, 4, FALSE)</f>
        <v>0.33065402579279957</v>
      </c>
      <c r="N23" s="21">
        <f>VLOOKUP($C23,Raw!$B$2:$F$353, 3, FALSE)</f>
        <v>1310.0636169500631</v>
      </c>
      <c r="O23" s="21">
        <f>VLOOKUP($C23,Raw!$B$2:$F$353, 4, FALSE)</f>
        <v>25.31739447696107</v>
      </c>
      <c r="P23" s="21">
        <f>VLOOKUP($C23,Raw!$B$2:$F$353, 5, FALSE)</f>
        <v>0.35753956360252592</v>
      </c>
      <c r="Q23" s="14">
        <v>60</v>
      </c>
      <c r="R23" s="25">
        <v>1140</v>
      </c>
      <c r="S23">
        <f>EXP(24.4543-(100/H23*(67.4509))-(4.8489*LN(H23/100))-(0.000544*G23))</f>
        <v>1.0290733821201679E-2</v>
      </c>
      <c r="T23" s="8">
        <f>EXP(-58.0931+90.5069*(100/H23)+22.294*LN(H23/100)+G23*(0.027766-0.025888*(H23/100)+0.0050578*(H23/100)^2))</f>
        <v>5.8297735861381601E-2</v>
      </c>
      <c r="U23" s="9">
        <f>(EXP(-67.1962+99.1624*(100/H23)+27.9015*LN(H23/100)+G23*(-0.072909+0.041674*(H23/100)-0.0064603*(H23/100)^2)))</f>
        <v>4.6239407629183257E-2</v>
      </c>
      <c r="V23" s="9">
        <f>(EXP(-64.8539+100.252*(100/H23)+25.2049*LN(H23/100)+(-0.062544+0.035337*(H23/100)-0.0054699*(H23/100)^2)*G23))</f>
        <v>4.3842174399810585E-2</v>
      </c>
      <c r="W23" s="9">
        <f>(EXP(-68.8862+101.4956*(100/H23)+28.7314*LN(H23/100)+G23*(-0.076146+0.04397*(H23/100)-0.0068672*(H23/100)^2)))</f>
        <v>4.6135993774039034E-2</v>
      </c>
      <c r="X23">
        <f>N23*(AZ23-S23)</f>
        <v>1215.737385670034</v>
      </c>
      <c r="Y23">
        <f>O23*(AZ23-S23)</f>
        <v>23.494510171234573</v>
      </c>
      <c r="Z23">
        <f>((Y23/10^6)*AZ23)/(0.082056*H23)</f>
        <v>9.5691449181832853E-7</v>
      </c>
      <c r="AA23">
        <f>(((L23/10^6)*AZ23)/(0.082056*H23))</f>
        <v>1.9159401457794205E-7</v>
      </c>
      <c r="AB23">
        <f>((Y23/10^6)*U23*1)/(0.082056*H23)</f>
        <v>4.7157258494783251E-8</v>
      </c>
      <c r="AC23">
        <f>(Z23*(Q23/1000))+(AB23*(R23/1000))</f>
        <v>1.1117414419315261E-7</v>
      </c>
      <c r="AD23" s="39">
        <f>((AC23-(AA23*(Q23/1000)))/(R23/1000))*1000000</f>
        <v>8.7437283612698327E-2</v>
      </c>
      <c r="AE23" s="39">
        <f>(AD23/((U23*AZ23*1))*(0.0821*273.15))</f>
        <v>45.195158430284827</v>
      </c>
      <c r="AF23" s="39">
        <f>L23*U23*AZ23*1/(0.0821*273.15)</f>
        <v>9.1008078447406462E-3</v>
      </c>
      <c r="AG23" s="39">
        <f>AD23-AF23</f>
        <v>7.8336475767957686E-2</v>
      </c>
      <c r="AH23" s="42">
        <f>P23*(AZ23-S23)</f>
        <v>0.33179626447431415</v>
      </c>
      <c r="AI23">
        <f>(((X23/10^6)*(Q23/1000))/(0.082056*H23))</f>
        <v>3.1663645529917642E-6</v>
      </c>
      <c r="AJ23">
        <f>(((K23/10^6)*AZ23)*(Q23/1000))/(0.082056*H23)</f>
        <v>1.2064928257358998E-6</v>
      </c>
      <c r="AK23">
        <f>(X23/10^6)*T23*(R23/1000)</f>
        <v>8.0797200164722002E-5</v>
      </c>
      <c r="AL23">
        <f>AI23+AK23</f>
        <v>8.3963564717713763E-5</v>
      </c>
      <c r="AM23" s="39">
        <f>((AL23-AJ23)/(R23/1000))*1000000</f>
        <v>72.593922712261289</v>
      </c>
      <c r="AN23" s="39">
        <f>AM23/(T23*AZ23)</f>
        <v>1327.1247006252268</v>
      </c>
      <c r="AO23" s="39">
        <f>(K23*AZ23)*T23</f>
        <v>27.0056906806435</v>
      </c>
      <c r="AP23" s="39">
        <f>AM23-AO23</f>
        <v>45.588232031617792</v>
      </c>
      <c r="AQ23">
        <f>(((AH23/10^6)*(Q23/1000))/(0.082056*H23))</f>
        <v>8.6415696599437415E-10</v>
      </c>
      <c r="AR23">
        <f>(((M23/10^6)*AZ23)*(Q23/1000))/(0.082056*H23)</f>
        <v>8.0803803123317021E-10</v>
      </c>
      <c r="AS23">
        <f>(AH23/10^6)*V23*(R23/1000)</f>
        <v>1.6583203449208954E-8</v>
      </c>
      <c r="AT23">
        <f>AQ23+AS23</f>
        <v>1.7447360415203328E-8</v>
      </c>
      <c r="AU23" s="39">
        <f>((AT23-AR23)/(R23/1000))*1000000000</f>
        <v>14.595896828043999</v>
      </c>
      <c r="AV23" s="39">
        <f>(AU23/1000)/(V23*AZ23)</f>
        <v>0.35481490506636437</v>
      </c>
      <c r="AW23" s="39">
        <f>(M23*AZ23)*V23*1000</f>
        <v>13.601999175729141</v>
      </c>
      <c r="AX23" s="39">
        <f>AU23-AW23</f>
        <v>0.9938976523148586</v>
      </c>
      <c r="AY23" s="26">
        <f>VLOOKUP($E23,Water!$C$2:$G$90, 5, FALSE)</f>
        <v>713.1</v>
      </c>
      <c r="AZ23">
        <f>AY23/760</f>
        <v>0.93828947368421056</v>
      </c>
      <c r="BA23" s="3">
        <f>Assumptions!$B$3</f>
        <v>406.07</v>
      </c>
      <c r="BB23" s="3">
        <f>BA23*AZ23*T23</f>
        <v>22.212090681365776</v>
      </c>
      <c r="BC23" s="3">
        <f>Assumptions!$B$4</f>
        <v>1.8474300000000001</v>
      </c>
      <c r="BD23" s="45">
        <f>BC23*AZ23*U23*1/(0.0821*273.15)</f>
        <v>3.5741496760937292E-3</v>
      </c>
      <c r="BE23" s="3">
        <f>Assumptions!$B$2</f>
        <v>0.33054499999999998</v>
      </c>
      <c r="BF23" s="44">
        <f>BE23*AZ23*V23*1000</f>
        <v>13.597514219768792</v>
      </c>
      <c r="BG23">
        <f>1923.6+(-125.06*F23)+(4.3773*(F23^2))+(-0.085681*(F23^3))+(0.00070284*(F23^4))</f>
        <v>1190.7097725219837</v>
      </c>
      <c r="BH23">
        <f>1909.4+(-120.78*F23)+(4.1555*(F23^2))+(-0.080578*(F23^3))+(0.00065777*(F23^4))</f>
        <v>1198.3163357227522</v>
      </c>
      <c r="BI23">
        <f>2141.2+(-152.56*F23)+(5.8963*(F23^2))+(-0.12411*(F23^3))+(0.0010655*(F23^4))</f>
        <v>1271.3877164927999</v>
      </c>
      <c r="BJ23" s="25">
        <f>VLOOKUP(E23,Wind!$C$2:$E$109,3, FALSE)</f>
        <v>2.25</v>
      </c>
      <c r="BK23" s="44">
        <v>1.66</v>
      </c>
      <c r="BL23">
        <f>BK23/(1-(((1.3*10^-3)^0.5)/0.41)*LN(10/1.5))</f>
        <v>1.9923982880693825</v>
      </c>
      <c r="BM23">
        <f>BK23*1.22</f>
        <v>2.0251999999999999</v>
      </c>
      <c r="BN23">
        <f>2.07+0.215*(BM23^1.7)*(24/100)</f>
        <v>2.241255750541113</v>
      </c>
      <c r="BO23">
        <f>BN23*((600/BG23)^0.67)</f>
        <v>1.4159984877779184</v>
      </c>
      <c r="BP23">
        <f>BN23*((600/BH23)^0.67)</f>
        <v>1.409969970584954</v>
      </c>
      <c r="BQ23">
        <f>BN23*((600/BI23)^0.67)</f>
        <v>1.3551472469416663</v>
      </c>
      <c r="BR23" s="39">
        <f>BO23*(AM23-BB23)</f>
        <v>71.340597967229129</v>
      </c>
      <c r="BS23" s="39">
        <f>BP23*(AD23-BD23)</f>
        <v>0.11824450048975643</v>
      </c>
      <c r="BT23" s="39">
        <f>BQ23*(AU23-BF23)</f>
        <v>1.3529554429985875</v>
      </c>
      <c r="BU23">
        <f>(2.51+1.48*BM23)+(0.39*BM23*LOG10(0.0015))</f>
        <v>3.2768938069574309</v>
      </c>
      <c r="BV23">
        <f>BU23*((600/$BG23)^0.67)</f>
        <v>2.0703021840056763</v>
      </c>
      <c r="BW23">
        <f>BU23*((600/$BH23)^0.67)</f>
        <v>2.0614880133560343</v>
      </c>
      <c r="BX23">
        <f>BU23*((600/$BI23)^0.67)</f>
        <v>1.9813328398360757</v>
      </c>
      <c r="BY23" s="39">
        <f>BV23*($AM23-$BB23)</f>
        <v>104.30561688777011</v>
      </c>
      <c r="BZ23" s="39">
        <f>BW23*($AD23-$BD23)</f>
        <v>0.17288284537278201</v>
      </c>
      <c r="CA23" s="39">
        <f>BX23*($AU23-$BF23)</f>
        <v>1.978128248496865</v>
      </c>
      <c r="CB23" s="42">
        <f>AVERAGE(0.72,0.69,0.4,0.22)</f>
        <v>0.50750000000000006</v>
      </c>
      <c r="CC23">
        <f>CB23*((600/$BG23)^0.67)</f>
        <v>0.32063240992189102</v>
      </c>
      <c r="CD23">
        <f>CB23*((600/$BH23)^0.67)</f>
        <v>0.31926733925796041</v>
      </c>
      <c r="CE23">
        <f>CB23*((600/$BI23)^0.67)</f>
        <v>0.30685352515296538</v>
      </c>
      <c r="CF23" s="39">
        <f>CC23*($AM23-$BB23)</f>
        <v>16.154048220345949</v>
      </c>
      <c r="CG23" s="39">
        <f>CD23*($AD23-$BD23)</f>
        <v>2.6774759633773713E-2</v>
      </c>
      <c r="CH23" s="39">
        <f>CE23*($AU23-$BF23)</f>
        <v>0.30635722280065952</v>
      </c>
      <c r="CI23">
        <v>0.86263901889527161</v>
      </c>
      <c r="CJ23">
        <f>((BG23/BH23)^0.67)*CI23</f>
        <v>0.85896639198103453</v>
      </c>
      <c r="CK23">
        <f>((BH23/BH23)^0.67)*CI23</f>
        <v>0.86263901889527161</v>
      </c>
      <c r="CL23">
        <f>((BI23/BH23)^0.67)*CI23</f>
        <v>0.89753723430584242</v>
      </c>
      <c r="CM23" s="39">
        <f>CJ23*($AM23-$BB23)</f>
        <v>43.276300480972836</v>
      </c>
      <c r="CN23" s="39">
        <f>CK23*($AD23-$BD23)</f>
        <v>7.2343611580555342E-2</v>
      </c>
      <c r="CO23" s="39">
        <f>CL23*($AU23-$BF23)</f>
        <v>0.89608556501038295</v>
      </c>
      <c r="CP23" s="27">
        <f>VLOOKUP(A23,Water!$A$2:$E$109, 5, FALSE)/1000</f>
        <v>1.1999999999999999E-4</v>
      </c>
      <c r="CQ23">
        <f>0.64*CP23</f>
        <v>7.6799999999999997E-5</v>
      </c>
      <c r="CR23" s="19">
        <f>CQ23*1000*(2.5*10^-5)</f>
        <v>1.9199999999999998E-6</v>
      </c>
      <c r="CS23" s="18">
        <f>(-0.0000009*F23^3)+(0.0002*F23^2)-(0.0134*F23)+6.579</f>
        <v>6.4883169216000001</v>
      </c>
      <c r="CT23" s="18">
        <f>CS23-(SQRT(CP23))/(1+1.4*SQRT(CP23))</f>
        <v>6.4775279328797497</v>
      </c>
      <c r="CU23" s="18">
        <f>10^(-CT23)</f>
        <v>3.3302134240898694E-7</v>
      </c>
      <c r="CV23" s="18">
        <f>(0.000001*F23^3)+(0.00006*F23^2)-(0.014*F23)+10.625</f>
        <v>10.522504575999999</v>
      </c>
      <c r="CW23" s="18">
        <f>CV23-(2*SQRT(CR23))/(1+1.4*SQRT(CR23))</f>
        <v>10.519738660299195</v>
      </c>
      <c r="CX23" s="18">
        <f>10^(-CW23)</f>
        <v>3.0217695440743738E-11</v>
      </c>
      <c r="CY23">
        <f>EXP(1246.98+-61900/H23-183*LN(H23))</f>
        <v>5.7596677670631695E-3</v>
      </c>
      <c r="CZ23">
        <f>12.225*(F23^2)+15.258*F23+1125.7</f>
        <v>1947.7768000000001</v>
      </c>
      <c r="DA23" s="15">
        <f>10^(-4470.99/H23+6.0875-0.01706*H23)</f>
        <v>2.3590669305006747E-15</v>
      </c>
      <c r="DB23">
        <f>(10^-I23)</f>
        <v>1.2589254117941638E-8</v>
      </c>
      <c r="DC23">
        <f>DB23^2</f>
        <v>1.5848931924611049E-16</v>
      </c>
      <c r="DD23" s="20">
        <f>((14.6836*10^-9)*((H23/217.2056)-1)^1.997)*100*100</f>
        <v>1.2613814997650085E-5</v>
      </c>
      <c r="DE23">
        <f>CY23+CZ23*DA23/DB23</f>
        <v>6.1246564942609091E-3</v>
      </c>
      <c r="DF23">
        <f>1+DC23*(CU23*CX23+CU23*DB23)^-1</f>
        <v>1.0377126243285486</v>
      </c>
      <c r="DG23">
        <f>(DE23*DF23/DD23)^0.5</f>
        <v>22.446890580854959</v>
      </c>
      <c r="DH23">
        <f>DD23/(BO23/60/60)</f>
        <v>3.2069055428724617E-2</v>
      </c>
      <c r="DI23" s="16">
        <f>DF23/((DF23-1)+TANH(DG23*DH23)/(DG23*DH23))</f>
        <v>1.1599993294569528</v>
      </c>
      <c r="DJ23">
        <f>$DI23*BR23</f>
        <v>82.755045805043849</v>
      </c>
      <c r="DK23">
        <f>$DI23*BY23</f>
        <v>120.99444564840715</v>
      </c>
      <c r="DL23">
        <f>$DI23*CF23</f>
        <v>18.738685103616582</v>
      </c>
      <c r="DM23">
        <f>$DI23*CM23</f>
        <v>50.200479539306095</v>
      </c>
    </row>
    <row r="24" spans="1:117" ht="15.75" x14ac:dyDescent="0.25">
      <c r="A24" s="52" t="s">
        <v>327</v>
      </c>
      <c r="B24" s="55" t="s">
        <v>341</v>
      </c>
      <c r="C24" t="s">
        <v>155</v>
      </c>
      <c r="D24" s="57">
        <v>43217</v>
      </c>
      <c r="E24" s="42" t="str">
        <f>A24&amp;D24</f>
        <v>66C43217</v>
      </c>
      <c r="F24" s="3">
        <f>VLOOKUP($E24,Water!$C$2:$E$90, 2, FALSE)</f>
        <v>7.6</v>
      </c>
      <c r="G24" s="3">
        <f>VLOOKUP($E24,Water!$C$2:$E$90, 3, FALSE)</f>
        <v>0.12</v>
      </c>
      <c r="H24" s="1">
        <f>F24+273.15</f>
        <v>280.75</v>
      </c>
      <c r="I24" s="3">
        <f>VLOOKUP($E24,Water!$C$2:$F$90, 4, FALSE)</f>
        <v>7.9</v>
      </c>
      <c r="J24">
        <f>10^(I24*-1)</f>
        <v>1.2589254117941638E-8</v>
      </c>
      <c r="K24" s="25">
        <f>VLOOKUP($E24,Atm!$D$2:$G$45, 2, FALSE)</f>
        <v>493.70412591952459</v>
      </c>
      <c r="L24" s="25">
        <f>VLOOKUP($E24,Atm!$D$2:$G$45, 3, FALSE)</f>
        <v>4.7040854357796924</v>
      </c>
      <c r="M24" s="25">
        <f>VLOOKUP($E24,Atm!$D$2:$G$45, 4, FALSE)</f>
        <v>0.33065402579279957</v>
      </c>
      <c r="N24" s="21">
        <f>VLOOKUP($C24,Raw!$B$2:$F$353, 3, FALSE)</f>
        <v>1061.7524210569179</v>
      </c>
      <c r="O24" s="21">
        <f>VLOOKUP($C24,Raw!$B$2:$F$353, 4, FALSE)</f>
        <v>30.150147236660128</v>
      </c>
      <c r="P24" s="21">
        <f>VLOOKUP($C24,Raw!$B$2:$F$353, 5, FALSE)</f>
        <v>0.36799263665625137</v>
      </c>
      <c r="Q24" s="14">
        <v>60</v>
      </c>
      <c r="R24" s="25">
        <v>1140</v>
      </c>
      <c r="S24">
        <f>EXP(24.4543-(100/H24*(67.4509))-(4.8489*LN(H24/100))-(0.000544*G24))</f>
        <v>1.0290733821201679E-2</v>
      </c>
      <c r="T24" s="8">
        <f>EXP(-58.0931+90.5069*(100/H24)+22.294*LN(H24/100)+G24*(0.027766-0.025888*(H24/100)+0.0050578*(H24/100)^2))</f>
        <v>5.8297735861381601E-2</v>
      </c>
      <c r="U24" s="9">
        <f>(EXP(-67.1962+99.1624*(100/H24)+27.9015*LN(H24/100)+G24*(-0.072909+0.041674*(H24/100)-0.0064603*(H24/100)^2)))</f>
        <v>4.6239407629183257E-2</v>
      </c>
      <c r="V24" s="9">
        <f>(EXP(-64.8539+100.252*(100/H24)+25.2049*LN(H24/100)+(-0.062544+0.035337*(H24/100)-0.0054699*(H24/100)^2)*G24))</f>
        <v>4.3842174399810585E-2</v>
      </c>
      <c r="W24" s="9">
        <f>(EXP(-68.8862+101.4956*(100/H24)+28.7314*LN(H24/100)+G24*(-0.076146+0.04397*(H24/100)-0.0068672*(H24/100)^2)))</f>
        <v>4.6135993774039034E-2</v>
      </c>
      <c r="X24">
        <f>N24*(AZ24-S24)</f>
        <v>985.3049087873186</v>
      </c>
      <c r="Y24">
        <f>O24*(AZ24-S24)</f>
        <v>27.979298642304776</v>
      </c>
      <c r="Z24">
        <f>((Y24/10^6)*AZ24)/(0.082056*H24)</f>
        <v>1.1395766988372771E-6</v>
      </c>
      <c r="AA24">
        <f>(((L24/10^6)*AZ24)/(0.082056*H24))</f>
        <v>1.9159401457794205E-7</v>
      </c>
      <c r="AB24">
        <f>((Y24/10^6)*U24*1)/(0.082056*H24)</f>
        <v>5.6158949855159805E-8</v>
      </c>
      <c r="AC24">
        <f>(Z24*(Q24/1000))+(AB24*(R24/1000))</f>
        <v>1.3239580476511879E-7</v>
      </c>
      <c r="AD24" s="39">
        <f>((AC24-(AA24*(Q24/1000)))/(R24/1000))*1000000</f>
        <v>0.10605277534249322</v>
      </c>
      <c r="AE24" s="39">
        <f>(AD24/((U24*AZ24*1))*(0.0821*273.15))</f>
        <v>54.817256272578184</v>
      </c>
      <c r="AF24" s="39">
        <f>L24*U24*AZ24*1/(0.0821*273.15)</f>
        <v>9.1008078447406462E-3</v>
      </c>
      <c r="AG24" s="39">
        <f>AD24-AF24</f>
        <v>9.6951967497752575E-2</v>
      </c>
      <c r="AH24" s="42">
        <f>P24*(AZ24-S24)</f>
        <v>0.34149670309586733</v>
      </c>
      <c r="AI24">
        <f>(((X24/10^6)*(Q24/1000))/(0.082056*H24))</f>
        <v>2.5662076151039007E-6</v>
      </c>
      <c r="AJ24">
        <f>(((K24/10^6)*AZ24)*(Q24/1000))/(0.082056*H24)</f>
        <v>1.2064928257358998E-6</v>
      </c>
      <c r="AK24">
        <f>(X24/10^6)*T24*(R24/1000)</f>
        <v>6.5482791659562606E-5</v>
      </c>
      <c r="AL24">
        <f>AI24+AK24</f>
        <v>6.8048999274666509E-5</v>
      </c>
      <c r="AM24" s="39">
        <f>((AL24-AJ24)/(R24/1000))*1000000</f>
        <v>58.633777586781243</v>
      </c>
      <c r="AN24" s="39">
        <f>AM24/(T24*AZ24)</f>
        <v>1071.9125185563248</v>
      </c>
      <c r="AO24" s="39">
        <f>(K24*AZ24)*T24</f>
        <v>27.0056906806435</v>
      </c>
      <c r="AP24" s="39">
        <f>AM24-AO24</f>
        <v>31.628086906137742</v>
      </c>
      <c r="AQ24">
        <f>(((AH24/10^6)*(Q24/1000))/(0.082056*H24))</f>
        <v>8.8942157113179874E-10</v>
      </c>
      <c r="AR24">
        <f>(((M24/10^6)*AZ24)*(Q24/1000))/(0.082056*H24)</f>
        <v>8.0803803123317021E-10</v>
      </c>
      <c r="AS24">
        <f>(AH24/10^6)*V24*(R24/1000)</f>
        <v>1.7068032136061858E-8</v>
      </c>
      <c r="AT24">
        <f>AQ24+AS24</f>
        <v>1.7957453707193656E-8</v>
      </c>
      <c r="AU24" s="39">
        <f>((AT24-AR24)/(R24/1000))*1000000000</f>
        <v>15.043347084175867</v>
      </c>
      <c r="AV24" s="39">
        <f>(AU24/1000)/(V24*AZ24)</f>
        <v>0.36569207294592282</v>
      </c>
      <c r="AW24" s="39">
        <f>(M24*AZ24)*V24*1000</f>
        <v>13.601999175729141</v>
      </c>
      <c r="AX24" s="39">
        <f>AU24-AW24</f>
        <v>1.4413479084467262</v>
      </c>
      <c r="AY24" s="26">
        <f>VLOOKUP($E24,Water!$C$2:$G$90, 5, FALSE)</f>
        <v>713.1</v>
      </c>
      <c r="AZ24">
        <f>AY24/760</f>
        <v>0.93828947368421056</v>
      </c>
      <c r="BA24" s="3">
        <f>Assumptions!$B$3</f>
        <v>406.07</v>
      </c>
      <c r="BB24" s="3">
        <f>BA24*AZ24*T24</f>
        <v>22.212090681365776</v>
      </c>
      <c r="BC24" s="3">
        <f>Assumptions!$B$4</f>
        <v>1.8474300000000001</v>
      </c>
      <c r="BD24" s="45">
        <f>BC24*AZ24*U24*1/(0.0821*273.15)</f>
        <v>3.5741496760937292E-3</v>
      </c>
      <c r="BE24" s="3">
        <f>Assumptions!$B$2</f>
        <v>0.33054499999999998</v>
      </c>
      <c r="BF24" s="44">
        <f>BE24*AZ24*V24*1000</f>
        <v>13.597514219768792</v>
      </c>
      <c r="BG24">
        <f>1923.6+(-125.06*F24)+(4.3773*(F24^2))+(-0.085681*(F24^3))+(0.00070284*(F24^4))</f>
        <v>1190.7097725219837</v>
      </c>
      <c r="BH24">
        <f>1909.4+(-120.78*F24)+(4.1555*(F24^2))+(-0.080578*(F24^3))+(0.00065777*(F24^4))</f>
        <v>1198.3163357227522</v>
      </c>
      <c r="BI24">
        <f>2141.2+(-152.56*F24)+(5.8963*(F24^2))+(-0.12411*(F24^3))+(0.0010655*(F24^4))</f>
        <v>1271.3877164927999</v>
      </c>
      <c r="BJ24" s="25">
        <f>VLOOKUP(E24,Wind!$C$2:$E$109,3, FALSE)</f>
        <v>2.25</v>
      </c>
      <c r="BK24" s="44">
        <v>1.66</v>
      </c>
      <c r="BL24">
        <f>BK24/(1-(((1.3*10^-3)^0.5)/0.41)*LN(10/1.5))</f>
        <v>1.9923982880693825</v>
      </c>
      <c r="BM24">
        <f>BK24*1.22</f>
        <v>2.0251999999999999</v>
      </c>
      <c r="BN24">
        <f>2.07+0.215*(BM24^1.7)*(24/100)</f>
        <v>2.241255750541113</v>
      </c>
      <c r="BO24">
        <f>BN24*((600/BG24)^0.67)</f>
        <v>1.4159984877779184</v>
      </c>
      <c r="BP24">
        <f>BN24*((600/BH24)^0.67)</f>
        <v>1.409969970584954</v>
      </c>
      <c r="BQ24">
        <f>BN24*((600/BI24)^0.67)</f>
        <v>1.3551472469416663</v>
      </c>
      <c r="BR24" s="39">
        <f>BO24*(AM24-BB24)</f>
        <v>51.573053580389114</v>
      </c>
      <c r="BS24" s="39">
        <f>BP24*(AD24-BD24)</f>
        <v>0.14449178481643979</v>
      </c>
      <c r="BT24" s="39">
        <f>BQ24*(AU24-BF24)</f>
        <v>1.9593164257390312</v>
      </c>
      <c r="BU24">
        <f>(2.51+1.48*BM24)+(0.39*BM24*LOG10(0.0015))</f>
        <v>3.2768938069574309</v>
      </c>
      <c r="BV24">
        <f>BU24*((600/$BG24)^0.67)</f>
        <v>2.0703021840056763</v>
      </c>
      <c r="BW24">
        <f>BU24*((600/$BH24)^0.67)</f>
        <v>2.0614880133560343</v>
      </c>
      <c r="BX24">
        <f>BU24*((600/$BI24)^0.67)</f>
        <v>1.9813328398360757</v>
      </c>
      <c r="BY24" s="39">
        <f>BV24*($AM24-$BB24)</f>
        <v>75.403897945452584</v>
      </c>
      <c r="BZ24" s="39">
        <f>BW24*($AD24-$BD24)</f>
        <v>0.21125845843648258</v>
      </c>
      <c r="CA24" s="39">
        <f>BX24*($AU24-$BF24)</f>
        <v>2.8646761351639976</v>
      </c>
      <c r="CB24" s="42">
        <f>AVERAGE(0.72,0.69,0.4,0.22)</f>
        <v>0.50750000000000006</v>
      </c>
      <c r="CC24">
        <f>CB24*((600/$BG24)^0.67)</f>
        <v>0.32063240992189102</v>
      </c>
      <c r="CD24">
        <f>CB24*((600/$BH24)^0.67)</f>
        <v>0.31926733925796041</v>
      </c>
      <c r="CE24">
        <f>CB24*((600/$BI24)^0.67)</f>
        <v>0.30685352515296538</v>
      </c>
      <c r="CF24" s="39">
        <f>CC24*($AM24-$BB24)</f>
        <v>11.677973245903944</v>
      </c>
      <c r="CG24" s="39">
        <f>CD24*($AD24-$BD24)</f>
        <v>3.2718078147323894E-2</v>
      </c>
      <c r="CH24" s="39">
        <f>CE24*($AU24-$BF24)</f>
        <v>0.44365891122532036</v>
      </c>
      <c r="CI24">
        <v>0.86263901889527161</v>
      </c>
      <c r="CJ24">
        <f>((BG24/BH24)^0.67)*CI24</f>
        <v>0.85896639198103453</v>
      </c>
      <c r="CK24">
        <f>((BH24/BH24)^0.67)*CI24</f>
        <v>0.86263901889527161</v>
      </c>
      <c r="CL24">
        <f>((BI24/BH24)^0.67)*CI24</f>
        <v>0.89753723430584242</v>
      </c>
      <c r="CM24" s="39">
        <f>CJ24*($AM24-$BB24)</f>
        <v>31.285004991007618</v>
      </c>
      <c r="CN24" s="39">
        <f>CK24*($AD24-$BD24)</f>
        <v>8.8402061102598642E-2</v>
      </c>
      <c r="CO24" s="39">
        <f>CL24*($AU24-$BF24)</f>
        <v>1.2976888303884202</v>
      </c>
      <c r="CP24" s="27">
        <f>VLOOKUP(A24,Water!$A$2:$E$109, 5, FALSE)/1000</f>
        <v>1.1999999999999999E-4</v>
      </c>
      <c r="CQ24">
        <f>0.64*CP24</f>
        <v>7.6799999999999997E-5</v>
      </c>
      <c r="CR24" s="19">
        <f>CQ24*1000*(2.5*10^-5)</f>
        <v>1.9199999999999998E-6</v>
      </c>
      <c r="CS24" s="18">
        <f>(-0.0000009*F24^3)+(0.0002*F24^2)-(0.0134*F24)+6.579</f>
        <v>6.4883169216000001</v>
      </c>
      <c r="CT24" s="18">
        <f>CS24-(SQRT(CP24))/(1+1.4*SQRT(CP24))</f>
        <v>6.4775279328797497</v>
      </c>
      <c r="CU24" s="18">
        <f>10^(-CT24)</f>
        <v>3.3302134240898694E-7</v>
      </c>
      <c r="CV24" s="18">
        <f>(0.000001*F24^3)+(0.00006*F24^2)-(0.014*F24)+10.625</f>
        <v>10.522504575999999</v>
      </c>
      <c r="CW24" s="18">
        <f>CV24-(2*SQRT(CR24))/(1+1.4*SQRT(CR24))</f>
        <v>10.519738660299195</v>
      </c>
      <c r="CX24" s="18">
        <f>10^(-CW24)</f>
        <v>3.0217695440743738E-11</v>
      </c>
      <c r="CY24">
        <f>EXP(1246.98+-61900/H24-183*LN(H24))</f>
        <v>5.7596677670631695E-3</v>
      </c>
      <c r="CZ24">
        <f>12.225*(F24^2)+15.258*F24+1125.7</f>
        <v>1947.7768000000001</v>
      </c>
      <c r="DA24" s="15">
        <f>10^(-4470.99/H24+6.0875-0.01706*H24)</f>
        <v>2.3590669305006747E-15</v>
      </c>
      <c r="DB24">
        <f>(10^-I24)</f>
        <v>1.2589254117941638E-8</v>
      </c>
      <c r="DC24">
        <f>DB24^2</f>
        <v>1.5848931924611049E-16</v>
      </c>
      <c r="DD24" s="20">
        <f>((14.6836*10^-9)*((H24/217.2056)-1)^1.997)*100*100</f>
        <v>1.2613814997650085E-5</v>
      </c>
      <c r="DE24">
        <f>CY24+CZ24*DA24/DB24</f>
        <v>6.1246564942609091E-3</v>
      </c>
      <c r="DF24">
        <f>1+DC24*(CU24*CX24+CU24*DB24)^-1</f>
        <v>1.0377126243285486</v>
      </c>
      <c r="DG24">
        <f>(DE24*DF24/DD24)^0.5</f>
        <v>22.446890580854959</v>
      </c>
      <c r="DH24">
        <f>DD24/(BO24/60/60)</f>
        <v>3.2069055428724617E-2</v>
      </c>
      <c r="DI24" s="16">
        <f>DF24/((DF24-1)+TANH(DG24*DH24)/(DG24*DH24))</f>
        <v>1.1599993294569528</v>
      </c>
      <c r="DJ24">
        <f>$DI24*BR24</f>
        <v>59.824707571298873</v>
      </c>
      <c r="DK24">
        <f>$DI24*BY24</f>
        <v>87.468471055165494</v>
      </c>
      <c r="DL24">
        <f>$DI24*CF24</f>
        <v>13.546441134664811</v>
      </c>
      <c r="DM24">
        <f>$DI24*CM24</f>
        <v>36.29058481162626</v>
      </c>
    </row>
    <row r="25" spans="1:117" ht="15.75" x14ac:dyDescent="0.25">
      <c r="A25" s="52" t="s">
        <v>327</v>
      </c>
      <c r="B25" s="55" t="s">
        <v>342</v>
      </c>
      <c r="C25" t="s">
        <v>156</v>
      </c>
      <c r="D25" s="57">
        <v>43217</v>
      </c>
      <c r="E25" s="42" t="str">
        <f>A25&amp;D25</f>
        <v>66C43217</v>
      </c>
      <c r="F25" s="3">
        <f>VLOOKUP($E25,Water!$C$2:$E$90, 2, FALSE)</f>
        <v>7.6</v>
      </c>
      <c r="G25" s="3">
        <f>VLOOKUP($E25,Water!$C$2:$E$90, 3, FALSE)</f>
        <v>0.12</v>
      </c>
      <c r="H25" s="1">
        <f>F25+273.15</f>
        <v>280.75</v>
      </c>
      <c r="I25" s="3">
        <f>VLOOKUP($E25,Water!$C$2:$F$90, 4, FALSE)</f>
        <v>7.9</v>
      </c>
      <c r="J25">
        <f>10^(I25*-1)</f>
        <v>1.2589254117941638E-8</v>
      </c>
      <c r="K25" s="25">
        <f>VLOOKUP($E25,Atm!$D$2:$G$45, 2, FALSE)</f>
        <v>493.70412591952459</v>
      </c>
      <c r="L25" s="25">
        <f>VLOOKUP($E25,Atm!$D$2:$G$45, 3, FALSE)</f>
        <v>4.7040854357796924</v>
      </c>
      <c r="M25" s="25">
        <f>VLOOKUP($E25,Atm!$D$2:$G$45, 4, FALSE)</f>
        <v>0.33065402579279957</v>
      </c>
      <c r="N25" s="21">
        <f>VLOOKUP($C25,Raw!$B$2:$F$353, 3, FALSE)</f>
        <v>1079.359723753299</v>
      </c>
      <c r="O25" s="21">
        <f>VLOOKUP($C25,Raw!$B$2:$F$353, 4, FALSE)</f>
        <v>26.32833639863895</v>
      </c>
      <c r="P25" s="21">
        <f>VLOOKUP($C25,Raw!$B$2:$F$353, 5, FALSE)</f>
        <v>0.37780271390819836</v>
      </c>
      <c r="Q25" s="14">
        <v>60</v>
      </c>
      <c r="R25" s="25">
        <v>1140</v>
      </c>
      <c r="S25">
        <f>EXP(24.4543-(100/H25*(67.4509))-(4.8489*LN(H25/100))-(0.000544*G25))</f>
        <v>1.0290733821201679E-2</v>
      </c>
      <c r="T25" s="8">
        <f>EXP(-58.0931+90.5069*(100/H25)+22.294*LN(H25/100)+G25*(0.027766-0.025888*(H25/100)+0.0050578*(H25/100)^2))</f>
        <v>5.8297735861381601E-2</v>
      </c>
      <c r="U25" s="9">
        <f>(EXP(-67.1962+99.1624*(100/H25)+27.9015*LN(H25/100)+G25*(-0.072909+0.041674*(H25/100)-0.0064603*(H25/100)^2)))</f>
        <v>4.6239407629183257E-2</v>
      </c>
      <c r="V25" s="9">
        <f>(EXP(-64.8539+100.252*(100/H25)+25.2049*LN(H25/100)+(-0.062544+0.035337*(H25/100)-0.0054699*(H25/100)^2)*G25))</f>
        <v>4.3842174399810585E-2</v>
      </c>
      <c r="W25" s="9">
        <f>(EXP(-68.8862+101.4956*(100/H25)+28.7314*LN(H25/100)+G25*(-0.076146+0.04397*(H25/100)-0.0068672*(H25/100)^2)))</f>
        <v>4.6135993774039034E-2</v>
      </c>
      <c r="X25">
        <f>N25*(AZ25-S25)</f>
        <v>1001.6444635019468</v>
      </c>
      <c r="Y25">
        <f>O25*(AZ25-S25)</f>
        <v>24.432663000626334</v>
      </c>
      <c r="Z25">
        <f>((Y25/10^6)*AZ25)/(0.082056*H25)</f>
        <v>9.9512478143247344E-7</v>
      </c>
      <c r="AA25">
        <f>(((L25/10^6)*AZ25)/(0.082056*H25))</f>
        <v>1.9159401457794205E-7</v>
      </c>
      <c r="AB25">
        <f>((Y25/10^6)*U25*1)/(0.082056*H25)</f>
        <v>4.9040282024995233E-8</v>
      </c>
      <c r="AC25">
        <f>(Z25*(Q25/1000))+(AB25*(R25/1000))</f>
        <v>1.1561340839444296E-7</v>
      </c>
      <c r="AD25" s="39">
        <f>((AC25-(AA25*(Q25/1000)))/(R25/1000))*1000000</f>
        <v>9.1331375017338984E-2</v>
      </c>
      <c r="AE25" s="39">
        <f>(AD25/((U25*AZ25*1))*(0.0821*273.15))</f>
        <v>47.207962015930363</v>
      </c>
      <c r="AF25" s="39">
        <f>L25*U25*AZ25*1/(0.0821*273.15)</f>
        <v>9.1008078447406462E-3</v>
      </c>
      <c r="AG25" s="39">
        <f>AD25-AF25</f>
        <v>8.2230567172598343E-2</v>
      </c>
      <c r="AH25" s="42">
        <f>P25*(AZ25-S25)</f>
        <v>0.35060044242363292</v>
      </c>
      <c r="AI25">
        <f>(((X25/10^6)*(Q25/1000))/(0.082056*H25))</f>
        <v>2.6087636699475657E-6</v>
      </c>
      <c r="AJ25">
        <f>(((K25/10^6)*AZ25)*(Q25/1000))/(0.082056*H25)</f>
        <v>1.2064928257358998E-6</v>
      </c>
      <c r="AK25">
        <f>(X25/10^6)*T25*(R25/1000)</f>
        <v>6.6568708970687025E-5</v>
      </c>
      <c r="AL25">
        <f>AI25+AK25</f>
        <v>6.9177472640634589E-5</v>
      </c>
      <c r="AM25" s="39">
        <f>((AL25-AJ25)/(R25/1000))*1000000</f>
        <v>59.623666504297098</v>
      </c>
      <c r="AN25" s="39">
        <f>AM25/(T25*AZ25)</f>
        <v>1090.0091578372403</v>
      </c>
      <c r="AO25" s="39">
        <f>(K25*AZ25)*T25</f>
        <v>27.0056906806435</v>
      </c>
      <c r="AP25" s="39">
        <f>AM25-AO25</f>
        <v>32.617975823653595</v>
      </c>
      <c r="AQ25">
        <f>(((AH25/10^6)*(Q25/1000))/(0.082056*H25))</f>
        <v>9.1313208447693794E-10</v>
      </c>
      <c r="AR25">
        <f>(((M25/10^6)*AZ25)*(Q25/1000))/(0.082056*H25)</f>
        <v>8.0803803123317021E-10</v>
      </c>
      <c r="AS25">
        <f>(AH25/10^6)*V25*(R25/1000)</f>
        <v>1.7523037745181936E-8</v>
      </c>
      <c r="AT25">
        <f>AQ25+AS25</f>
        <v>1.8436169829658874E-8</v>
      </c>
      <c r="AU25" s="39">
        <f>((AT25-AR25)/(R25/1000))*1000000000</f>
        <v>15.463273507390968</v>
      </c>
      <c r="AV25" s="39">
        <f>(AU25/1000)/(V25*AZ25)</f>
        <v>0.37590015784425185</v>
      </c>
      <c r="AW25" s="39">
        <f>(M25*AZ25)*V25*1000</f>
        <v>13.601999175729141</v>
      </c>
      <c r="AX25" s="39">
        <f>AU25-AW25</f>
        <v>1.8612743316618268</v>
      </c>
      <c r="AY25" s="26">
        <f>VLOOKUP($E25,Water!$C$2:$G$90, 5, FALSE)</f>
        <v>713.1</v>
      </c>
      <c r="AZ25">
        <f>AY25/760</f>
        <v>0.93828947368421056</v>
      </c>
      <c r="BA25" s="3">
        <f>Assumptions!$B$3</f>
        <v>406.07</v>
      </c>
      <c r="BB25" s="3">
        <f>BA25*AZ25*T25</f>
        <v>22.212090681365776</v>
      </c>
      <c r="BC25" s="3">
        <f>Assumptions!$B$4</f>
        <v>1.8474300000000001</v>
      </c>
      <c r="BD25" s="45">
        <f>BC25*AZ25*U25*1/(0.0821*273.15)</f>
        <v>3.5741496760937292E-3</v>
      </c>
      <c r="BE25" s="3">
        <f>Assumptions!$B$2</f>
        <v>0.33054499999999998</v>
      </c>
      <c r="BF25" s="44">
        <f>BE25*AZ25*V25*1000</f>
        <v>13.597514219768792</v>
      </c>
      <c r="BG25">
        <f>1923.6+(-125.06*F25)+(4.3773*(F25^2))+(-0.085681*(F25^3))+(0.00070284*(F25^4))</f>
        <v>1190.7097725219837</v>
      </c>
      <c r="BH25">
        <f>1909.4+(-120.78*F25)+(4.1555*(F25^2))+(-0.080578*(F25^3))+(0.00065777*(F25^4))</f>
        <v>1198.3163357227522</v>
      </c>
      <c r="BI25">
        <f>2141.2+(-152.56*F25)+(5.8963*(F25^2))+(-0.12411*(F25^3))+(0.0010655*(F25^4))</f>
        <v>1271.3877164927999</v>
      </c>
      <c r="BJ25" s="25">
        <f>VLOOKUP(E25,Wind!$C$2:$E$109,3, FALSE)</f>
        <v>2.25</v>
      </c>
      <c r="BK25" s="44">
        <v>1.66</v>
      </c>
      <c r="BL25">
        <f>BK25/(1-(((1.3*10^-3)^0.5)/0.41)*LN(10/1.5))</f>
        <v>1.9923982880693825</v>
      </c>
      <c r="BM25">
        <f>BK25*1.22</f>
        <v>2.0251999999999999</v>
      </c>
      <c r="BN25">
        <f>2.07+0.215*(BM25^1.7)*(24/100)</f>
        <v>2.241255750541113</v>
      </c>
      <c r="BO25">
        <f>BN25*((600/BG25)^0.67)</f>
        <v>1.4159984877779184</v>
      </c>
      <c r="BP25">
        <f>BN25*((600/BH25)^0.67)</f>
        <v>1.409969970584954</v>
      </c>
      <c r="BQ25">
        <f>BN25*((600/BI25)^0.67)</f>
        <v>1.3551472469416663</v>
      </c>
      <c r="BR25" s="39">
        <f>BO25*(AM25-BB25)</f>
        <v>52.974734790659689</v>
      </c>
      <c r="BS25" s="39">
        <f>BP25*(AD25-BD25)</f>
        <v>0.12373505243301275</v>
      </c>
      <c r="BT25" s="39">
        <f>BQ25*(AU25-BF25)</f>
        <v>2.528378562077036</v>
      </c>
      <c r="BU25">
        <f>(2.51+1.48*BM25)+(0.39*BM25*LOG10(0.0015))</f>
        <v>3.2768938069574309</v>
      </c>
      <c r="BV25">
        <f>BU25*((600/$BG25)^0.67)</f>
        <v>2.0703021840056763</v>
      </c>
      <c r="BW25">
        <f>BU25*((600/$BH25)^0.67)</f>
        <v>2.0614880133560343</v>
      </c>
      <c r="BX25">
        <f>BU25*((600/$BI25)^0.67)</f>
        <v>1.9813328398360757</v>
      </c>
      <c r="BY25" s="39">
        <f>BV25*($AM25-$BB25)</f>
        <v>77.453267133308685</v>
      </c>
      <c r="BZ25" s="39">
        <f>BW25*($AD25-$BD25)</f>
        <v>0.1809104681263615</v>
      </c>
      <c r="CA25" s="39">
        <f>BX25*($AU25-$BF25)</f>
        <v>3.6966901477949787</v>
      </c>
      <c r="CB25" s="42">
        <f>AVERAGE(0.72,0.69,0.4,0.22)</f>
        <v>0.50750000000000006</v>
      </c>
      <c r="CC25">
        <f>CB25*((600/$BG25)^0.67)</f>
        <v>0.32063240992189102</v>
      </c>
      <c r="CD25">
        <f>CB25*((600/$BH25)^0.67)</f>
        <v>0.31926733925796041</v>
      </c>
      <c r="CE25">
        <f>CB25*((600/$BI25)^0.67)</f>
        <v>0.30685352515296538</v>
      </c>
      <c r="CF25" s="39">
        <f>CC25*($AM25-$BB25)</f>
        <v>11.995363715082023</v>
      </c>
      <c r="CG25" s="39">
        <f>CD25*($AD25-$BD25)</f>
        <v>2.8018015835360628E-2</v>
      </c>
      <c r="CH25" s="39">
        <f>CE25*($AU25-$BF25)</f>
        <v>0.57251481449374997</v>
      </c>
      <c r="CI25">
        <v>0.86263901889527161</v>
      </c>
      <c r="CJ25">
        <f>((BG25/BH25)^0.67)*CI25</f>
        <v>0.85896639198103453</v>
      </c>
      <c r="CK25">
        <f>((BH25/BH25)^0.67)*CI25</f>
        <v>0.86263901889527161</v>
      </c>
      <c r="CL25">
        <f>((BI25/BH25)^0.67)*CI25</f>
        <v>0.89753723430584242</v>
      </c>
      <c r="CM25" s="39">
        <f>CJ25*($AM25-$BB25)</f>
        <v>32.135286302948224</v>
      </c>
      <c r="CN25" s="39">
        <f>CK25*($AD25-$BD25)</f>
        <v>7.5702806769343073E-2</v>
      </c>
      <c r="CO25" s="39">
        <f>CL25*($AU25-$BF25)</f>
        <v>1.6745884308928463</v>
      </c>
      <c r="CP25" s="27">
        <f>VLOOKUP(A25,Water!$A$2:$E$109, 5, FALSE)/1000</f>
        <v>1.1999999999999999E-4</v>
      </c>
      <c r="CQ25">
        <f>0.64*CP25</f>
        <v>7.6799999999999997E-5</v>
      </c>
      <c r="CR25" s="19">
        <f>CQ25*1000*(2.5*10^-5)</f>
        <v>1.9199999999999998E-6</v>
      </c>
      <c r="CS25" s="18">
        <f>(-0.0000009*F25^3)+(0.0002*F25^2)-(0.0134*F25)+6.579</f>
        <v>6.4883169216000001</v>
      </c>
      <c r="CT25" s="18">
        <f>CS25-(SQRT(CP25))/(1+1.4*SQRT(CP25))</f>
        <v>6.4775279328797497</v>
      </c>
      <c r="CU25" s="18">
        <f>10^(-CT25)</f>
        <v>3.3302134240898694E-7</v>
      </c>
      <c r="CV25" s="18">
        <f>(0.000001*F25^3)+(0.00006*F25^2)-(0.014*F25)+10.625</f>
        <v>10.522504575999999</v>
      </c>
      <c r="CW25" s="18">
        <f>CV25-(2*SQRT(CR25))/(1+1.4*SQRT(CR25))</f>
        <v>10.519738660299195</v>
      </c>
      <c r="CX25" s="18">
        <f>10^(-CW25)</f>
        <v>3.0217695440743738E-11</v>
      </c>
      <c r="CY25">
        <f>EXP(1246.98+-61900/H25-183*LN(H25))</f>
        <v>5.7596677670631695E-3</v>
      </c>
      <c r="CZ25">
        <f>12.225*(F25^2)+15.258*F25+1125.7</f>
        <v>1947.7768000000001</v>
      </c>
      <c r="DA25" s="15">
        <f>10^(-4470.99/H25+6.0875-0.01706*H25)</f>
        <v>2.3590669305006747E-15</v>
      </c>
      <c r="DB25">
        <f>(10^-I25)</f>
        <v>1.2589254117941638E-8</v>
      </c>
      <c r="DC25">
        <f>DB25^2</f>
        <v>1.5848931924611049E-16</v>
      </c>
      <c r="DD25" s="20">
        <f>((14.6836*10^-9)*((H25/217.2056)-1)^1.997)*100*100</f>
        <v>1.2613814997650085E-5</v>
      </c>
      <c r="DE25">
        <f>CY25+CZ25*DA25/DB25</f>
        <v>6.1246564942609091E-3</v>
      </c>
      <c r="DF25">
        <f>1+DC25*(CU25*CX25+CU25*DB25)^-1</f>
        <v>1.0377126243285486</v>
      </c>
      <c r="DG25">
        <f>(DE25*DF25/DD25)^0.5</f>
        <v>22.446890580854959</v>
      </c>
      <c r="DH25">
        <f>DD25/(BO25/60/60)</f>
        <v>3.2069055428724617E-2</v>
      </c>
      <c r="DI25" s="16">
        <f>DF25/((DF25-1)+TANH(DG25*DH25)/(DG25*DH25))</f>
        <v>1.1599993294569528</v>
      </c>
      <c r="DJ25">
        <f>$DI25*BR25</f>
        <v>61.450656835325148</v>
      </c>
      <c r="DK25">
        <f>$DI25*BY25</f>
        <v>89.84573793888832</v>
      </c>
      <c r="DL25">
        <f>$DI25*CF25</f>
        <v>13.914613866087409</v>
      </c>
      <c r="DM25">
        <f>$DI25*CM25</f>
        <v>37.276910563327142</v>
      </c>
    </row>
    <row r="26" spans="1:117" ht="15.75" x14ac:dyDescent="0.25">
      <c r="A26" s="52" t="s">
        <v>328</v>
      </c>
      <c r="B26" s="55" t="s">
        <v>339</v>
      </c>
      <c r="C26" t="s">
        <v>158</v>
      </c>
      <c r="D26" s="57">
        <v>43215</v>
      </c>
      <c r="E26" s="42" t="str">
        <f>A26&amp;D26</f>
        <v>56B43215</v>
      </c>
      <c r="F26" s="3">
        <f>VLOOKUP($E26,Water!$C$2:$E$90, 2, FALSE)</f>
        <v>8.5</v>
      </c>
      <c r="G26" s="3">
        <f>VLOOKUP($E26,Water!$C$2:$E$90, 3, FALSE)</f>
        <v>0.71</v>
      </c>
      <c r="H26" s="1">
        <f>F26+273.15</f>
        <v>281.64999999999998</v>
      </c>
      <c r="I26" s="3">
        <f>VLOOKUP($E26,Water!$C$2:$F$90, 4, FALSE)</f>
        <v>8.27</v>
      </c>
      <c r="J26">
        <f>10^(I26*-1)</f>
        <v>5.3703179637025321E-9</v>
      </c>
      <c r="K26" s="25">
        <f>VLOOKUP($E26,Atm!$D$2:$G$45, 2, FALSE)</f>
        <v>419.12906080135991</v>
      </c>
      <c r="L26" s="25">
        <f>VLOOKUP($E26,Atm!$D$2:$G$45, 3, FALSE)</f>
        <v>2.2639426473174771</v>
      </c>
      <c r="M26" s="25">
        <f>VLOOKUP($E26,Atm!$D$2:$G$45, 4, FALSE)</f>
        <v>0.32862600656294394</v>
      </c>
      <c r="N26" s="21">
        <f>VLOOKUP($C26,Raw!$B$2:$F$353, 3, FALSE)</f>
        <v>851.62311275029595</v>
      </c>
      <c r="O26" s="21">
        <f>VLOOKUP($C26,Raw!$B$2:$F$353, 4, FALSE)</f>
        <v>13.696200204015801</v>
      </c>
      <c r="P26" s="21">
        <f>VLOOKUP($C26,Raw!$B$2:$F$353, 5, FALSE)</f>
        <v>0.43730637103995895</v>
      </c>
      <c r="Q26" s="14">
        <v>60</v>
      </c>
      <c r="R26" s="25">
        <v>1140</v>
      </c>
      <c r="S26">
        <f>EXP(24.4543-(100/H26*(67.4509))-(4.8489*LN(H26/100))-(0.000544*G26))</f>
        <v>1.0937259631476733E-2</v>
      </c>
      <c r="T26" s="8">
        <f>EXP(-58.0931+90.5069*(100/H26)+22.294*LN(H26/100)+G26*(0.027766-0.025888*(H26/100)+0.0050578*(H26/100)^2))</f>
        <v>5.6313865550080305E-2</v>
      </c>
      <c r="U26" s="9">
        <f>(EXP(-67.1962+99.1624*(100/H26)+27.9015*LN(H26/100)+G26*(-0.072909+0.041674*(H26/100)-0.0064603*(H26/100)^2)))</f>
        <v>4.498245779292806E-2</v>
      </c>
      <c r="V26" s="9">
        <f>(EXP(-64.8539+100.252*(100/H26)+25.2049*LN(H26/100)+(-0.062544+0.035337*(H26/100)-0.0054699*(H26/100)^2)*G26))</f>
        <v>4.2240734917687789E-2</v>
      </c>
      <c r="W26" s="9">
        <f>(EXP(-68.8862+101.4956*(100/H26)+28.7314*LN(H26/100)+G26*(-0.076146+0.04397*(H26/100)-0.0068672*(H26/100)^2)))</f>
        <v>4.4881929487922759E-2</v>
      </c>
      <c r="X26">
        <f>N26*(AZ26-S26)</f>
        <v>774.51500765614685</v>
      </c>
      <c r="Y26">
        <f>O26*(AZ26-S26)</f>
        <v>12.456111684915905</v>
      </c>
      <c r="Z26">
        <f>((Y26/10^6)*AZ26)/(0.082056*H26)</f>
        <v>4.9606264209159106E-7</v>
      </c>
      <c r="AA26">
        <f>(((L26/10^6)*AZ26)/(0.082056*H26))</f>
        <v>9.0161151375363631E-8</v>
      </c>
      <c r="AB26">
        <f>((Y26/10^6)*U26*1)/(0.082056*H26)</f>
        <v>2.4244072643324324E-8</v>
      </c>
      <c r="AC26">
        <f>(Z26*(Q26/1000))+(AB26*(R26/1000))</f>
        <v>5.7402001338885194E-8</v>
      </c>
      <c r="AD26" s="39">
        <f>((AC26-(AA26*(Q26/1000)))/(R26/1000))*1000000</f>
        <v>4.5607308996809981E-2</v>
      </c>
      <c r="AE26" s="39">
        <f>(AD26/((U26*AZ26*1))*(0.0821*273.15))</f>
        <v>24.703671424162962</v>
      </c>
      <c r="AF26" s="39">
        <f>L26*U26*AZ26*1/(0.0821*273.15)</f>
        <v>4.1796350872069891E-3</v>
      </c>
      <c r="AG26" s="39">
        <f>AD26-AF26</f>
        <v>4.1427673909602988E-2</v>
      </c>
      <c r="AH26" s="42">
        <f>P26*(AZ26-S26)</f>
        <v>0.39771154897413613</v>
      </c>
      <c r="AI26">
        <f>(((X26/10^6)*(Q26/1000))/(0.082056*H26))</f>
        <v>2.0107634840592169E-6</v>
      </c>
      <c r="AJ26">
        <f>(((K26/10^6)*AZ26)*(Q26/1000))/(0.082056*H26)</f>
        <v>1.0015048413395471E-6</v>
      </c>
      <c r="AK26">
        <f>(X26/10^6)*T26*(R26/1000)</f>
        <v>4.9722164768741141E-5</v>
      </c>
      <c r="AL26">
        <f>AI26+AK26</f>
        <v>5.1732928252800355E-5</v>
      </c>
      <c r="AM26" s="39">
        <f>((AL26-AJ26)/(R26/1000))*1000000</f>
        <v>44.501248606544571</v>
      </c>
      <c r="AN26" s="39">
        <f>AM26/(T26*AZ26)</f>
        <v>858.58388005875292</v>
      </c>
      <c r="AO26" s="39">
        <f>(K26*AZ26)*T26</f>
        <v>21.723872257737369</v>
      </c>
      <c r="AP26" s="39">
        <f>AM26-AO26</f>
        <v>22.777376348807202</v>
      </c>
      <c r="AQ26">
        <f>(((AH26/10^6)*(Q26/1000))/(0.082056*H26))</f>
        <v>1.0325220970035199E-9</v>
      </c>
      <c r="AR26">
        <f>(((M26/10^6)*AZ26)*(Q26/1000))/(0.082056*H26)</f>
        <v>7.8524866763856305E-10</v>
      </c>
      <c r="AS26">
        <f>(AH26/10^6)*V26*(R26/1000)</f>
        <v>1.915157604986822E-8</v>
      </c>
      <c r="AT26">
        <f>AQ26+AS26</f>
        <v>2.018409814687174E-8</v>
      </c>
      <c r="AU26" s="39">
        <f>((AT26-AR26)/(R26/1000))*1000000000</f>
        <v>17.016534630906296</v>
      </c>
      <c r="AV26" s="39">
        <f>(AU26/1000)/(V26*AZ26)</f>
        <v>0.43768889691916624</v>
      </c>
      <c r="AW26" s="39">
        <f>(M26*AZ26)*V26*1000</f>
        <v>12.776371209451852</v>
      </c>
      <c r="AX26" s="39">
        <f>AU26-AW26</f>
        <v>4.2401634214544437</v>
      </c>
      <c r="AY26" s="26">
        <f>VLOOKUP($E26,Water!$C$2:$G$90, 5, FALSE)</f>
        <v>699.5</v>
      </c>
      <c r="AZ26">
        <f>AY26/760</f>
        <v>0.92039473684210527</v>
      </c>
      <c r="BA26" s="3">
        <f>Assumptions!$B$3</f>
        <v>406.07</v>
      </c>
      <c r="BB26" s="3">
        <f>BA26*AZ26*T26</f>
        <v>21.047008267174757</v>
      </c>
      <c r="BC26" s="3">
        <f>Assumptions!$B$4</f>
        <v>1.8474300000000001</v>
      </c>
      <c r="BD26" s="45">
        <f>BC26*AZ26*U26*1/(0.0821*273.15)</f>
        <v>3.4106797088292121E-3</v>
      </c>
      <c r="BE26" s="3">
        <f>Assumptions!$B$2</f>
        <v>0.33054499999999998</v>
      </c>
      <c r="BF26" s="44">
        <f>BE26*AZ26*V26*1000</f>
        <v>12.850978124335912</v>
      </c>
      <c r="BG26">
        <f>1923.6+(-125.06*F26)+(4.3773*(F26^2))+(-0.085681*(F26^3))+(0.00070284*(F26^4))</f>
        <v>1127.8999496025001</v>
      </c>
      <c r="BH26">
        <f>1909.4+(-120.78*F26)+(4.1555*(F26^2))+(-0.080578*(F26^3))+(0.00065777*(F26^4))</f>
        <v>1136.953511260625</v>
      </c>
      <c r="BI26">
        <f>2141.2+(-152.56*F26)+(5.8963*(F26^2))+(-0.12411*(F26^3))+(0.0010655*(F26^4))</f>
        <v>1199.7905978437498</v>
      </c>
      <c r="BJ26" s="25">
        <f>VLOOKUP(E26,Wind!$C$2:$E$109,3, FALSE)</f>
        <v>3.0277777777777777</v>
      </c>
      <c r="BK26" s="44">
        <v>1.66</v>
      </c>
      <c r="BL26">
        <f>BK26/(1-(((1.3*10^-3)^0.5)/0.41)*LN(10/1.5))</f>
        <v>1.9923982880693825</v>
      </c>
      <c r="BM26">
        <f>BK26*1.22</f>
        <v>2.0251999999999999</v>
      </c>
      <c r="BN26">
        <f>2.07+0.215*(BM26^1.7)*(24/100)</f>
        <v>2.241255750541113</v>
      </c>
      <c r="BO26">
        <f>BN26*((600/BG26)^0.67)</f>
        <v>1.4683563573290421</v>
      </c>
      <c r="BP26">
        <f>BN26*((600/BH26)^0.67)</f>
        <v>1.4605120375259375</v>
      </c>
      <c r="BQ26">
        <f>BN26*((600/BI26)^0.67)</f>
        <v>1.4088089444137823</v>
      </c>
      <c r="BR26" s="39">
        <f>BO26*(AM26-BB26)</f>
        <v>34.439182908636937</v>
      </c>
      <c r="BS26" s="39">
        <f>BP26*(AD26-BD26)</f>
        <v>6.1628685018115442E-2</v>
      </c>
      <c r="BT26" s="39">
        <f>BQ26*(AU26-BF26)</f>
        <v>5.8684732649173856</v>
      </c>
      <c r="BU26">
        <f>(2.51+1.48*BM26)+(0.39*BM26*LOG10(0.0015))</f>
        <v>3.2768938069574309</v>
      </c>
      <c r="BV26">
        <f>BU26*((600/$BG26)^0.67)</f>
        <v>2.1468535451951078</v>
      </c>
      <c r="BW26">
        <f>BU26*((600/$BH26)^0.67)</f>
        <v>2.1353845270001157</v>
      </c>
      <c r="BX26">
        <f>BU26*((600/$BI26)^0.67)</f>
        <v>2.0597905009373334</v>
      </c>
      <c r="BY26" s="39">
        <f>BV26*($AM26-$BB26)</f>
        <v>50.352819022434197</v>
      </c>
      <c r="BZ26" s="39">
        <f>BW26*($AD26-$BD26)</f>
        <v>9.0106029273114049E-2</v>
      </c>
      <c r="CA26" s="39">
        <f>BX26*($AU26-$BF26)</f>
        <v>8.5801737233513808</v>
      </c>
      <c r="CB26" s="42">
        <f>AVERAGE(0.72,0.69,0.4,0.22)</f>
        <v>0.50750000000000006</v>
      </c>
      <c r="CC26">
        <f>CB26*((600/$BG26)^0.67)</f>
        <v>0.3324880934112831</v>
      </c>
      <c r="CD26">
        <f>CB26*((600/$BH26)^0.67)</f>
        <v>0.33071186046726747</v>
      </c>
      <c r="CE26">
        <f>CB26*((600/$BI26)^0.67)</f>
        <v>0.31900444164722258</v>
      </c>
      <c r="CF26" s="39">
        <f>CC26*($AM26-$BB26)</f>
        <v>7.7982556528470752</v>
      </c>
      <c r="CG26" s="39">
        <f>CD26*($AD26-$BD26)</f>
        <v>1.3954925777275709E-2</v>
      </c>
      <c r="CH26" s="39">
        <f>CE26*($AU26-$BF26)</f>
        <v>1.3288310275284405</v>
      </c>
      <c r="CI26">
        <v>0.86263901889527161</v>
      </c>
      <c r="CJ26">
        <f>((BG26/BH26)^0.67)*CI26</f>
        <v>0.85803058967774848</v>
      </c>
      <c r="CK26">
        <f>((BH26/BH26)^0.67)*CI26</f>
        <v>0.86263901889527161</v>
      </c>
      <c r="CL26">
        <f>((BI26/BH26)^0.67)*CI26</f>
        <v>0.8942977513962066</v>
      </c>
      <c r="CM26" s="39">
        <f>CJ26*($AM26-$BB26)</f>
        <v>20.124455668833118</v>
      </c>
      <c r="CN26" s="39">
        <f>CK26*($AD26-$BD26)</f>
        <v>3.6400458889671215E-2</v>
      </c>
      <c r="CO26" s="39">
        <f>CL26*($AU26-$BF26)</f>
        <v>3.7252478171397323</v>
      </c>
      <c r="CP26" s="27">
        <f>VLOOKUP(A26,Water!$A$2:$E$109, 5, FALSE)/1000</f>
        <v>7.0999999999999991E-4</v>
      </c>
      <c r="CQ26">
        <f>0.64*CP26</f>
        <v>4.5439999999999993E-4</v>
      </c>
      <c r="CR26" s="19">
        <f>CQ26*1000*(2.5*10^-5)</f>
        <v>1.1359999999999998E-5</v>
      </c>
      <c r="CS26" s="18">
        <f>(-0.0000009*F26^3)+(0.0002*F26^2)-(0.0134*F26)+6.579</f>
        <v>6.4789972874999995</v>
      </c>
      <c r="CT26" s="18">
        <f>CS26-(SQRT(CP26))/(1+1.4*SQRT(CP26))</f>
        <v>6.4533097154858359</v>
      </c>
      <c r="CU26" s="18">
        <f>10^(-CT26)</f>
        <v>3.5211966865607129E-7</v>
      </c>
      <c r="CV26" s="18">
        <f>(0.000001*F26^3)+(0.00006*F26^2)-(0.014*F26)+10.625</f>
        <v>10.510949125</v>
      </c>
      <c r="CW26" s="18">
        <f>CV26-(2*SQRT(CR26))/(1+1.4*SQRT(CR26))</f>
        <v>10.504239863795732</v>
      </c>
      <c r="CX26" s="18">
        <f>10^(-CW26)</f>
        <v>3.1315556671076E-11</v>
      </c>
      <c r="CY26">
        <f>EXP(1246.98+-61900/H26-183*LN(H26))</f>
        <v>6.4864273663184455E-3</v>
      </c>
      <c r="CZ26">
        <f>12.225*(F26^2)+15.258*F26+1125.7</f>
        <v>2138.6492499999999</v>
      </c>
      <c r="DA26" s="15">
        <f>10^(-4470.99/H26+6.0875-0.01706*H26)</f>
        <v>2.5602030792592702E-15</v>
      </c>
      <c r="DB26">
        <f>(10^-I26)</f>
        <v>5.3703179637025321E-9</v>
      </c>
      <c r="DC26">
        <f>DB26^2</f>
        <v>2.884031503126611E-17</v>
      </c>
      <c r="DD26" s="20">
        <f>((14.6836*10^-9)*((H26/217.2056)-1)^1.997)*100*100</f>
        <v>1.2973105081747995E-5</v>
      </c>
      <c r="DE26">
        <f>CY26+CZ26*DA26/DB26</f>
        <v>7.5059901617270369E-3</v>
      </c>
      <c r="DF26">
        <f>1+DC26*(CU26*CX26+CU26*DB26)^-1</f>
        <v>1.0151629813152756</v>
      </c>
      <c r="DG26">
        <f>(DE26*DF26/DD26)^0.5</f>
        <v>24.235384468488139</v>
      </c>
      <c r="DH26">
        <f>DD26/(BO26/60/60)</f>
        <v>3.1806433132653453E-2</v>
      </c>
      <c r="DI26" s="16">
        <f>DF26/((DF26-1)+TANH(DG26*DH26)/(DG26*DH26))</f>
        <v>1.1872578079715692</v>
      </c>
      <c r="DJ26">
        <f>$DI26*BR26</f>
        <v>40.888188808440219</v>
      </c>
      <c r="DK26">
        <f>$DI26*BY26</f>
        <v>59.781777537764356</v>
      </c>
      <c r="DL26">
        <f>$DI26*CF26</f>
        <v>9.2585399124011172</v>
      </c>
      <c r="DM26">
        <f>$DI26*CM26</f>
        <v>23.892917123999826</v>
      </c>
    </row>
    <row r="27" spans="1:117" ht="15.75" x14ac:dyDescent="0.25">
      <c r="A27" s="52" t="s">
        <v>328</v>
      </c>
      <c r="B27" s="55" t="s">
        <v>340</v>
      </c>
      <c r="C27" t="s">
        <v>159</v>
      </c>
      <c r="D27" s="57">
        <v>43215</v>
      </c>
      <c r="E27" s="42" t="str">
        <f>A27&amp;D27</f>
        <v>56B43215</v>
      </c>
      <c r="F27" s="3">
        <f>VLOOKUP($E27,Water!$C$2:$E$90, 2, FALSE)</f>
        <v>8.5</v>
      </c>
      <c r="G27" s="3">
        <f>VLOOKUP($E27,Water!$C$2:$E$90, 3, FALSE)</f>
        <v>0.71</v>
      </c>
      <c r="H27" s="1">
        <f>F27+273.15</f>
        <v>281.64999999999998</v>
      </c>
      <c r="I27" s="3">
        <f>VLOOKUP($E27,Water!$C$2:$F$90, 4, FALSE)</f>
        <v>8.27</v>
      </c>
      <c r="J27">
        <f>10^(I27*-1)</f>
        <v>5.3703179637025321E-9</v>
      </c>
      <c r="K27" s="25">
        <f>VLOOKUP($E27,Atm!$D$2:$G$45, 2, FALSE)</f>
        <v>419.12906080135991</v>
      </c>
      <c r="L27" s="25">
        <f>VLOOKUP($E27,Atm!$D$2:$G$45, 3, FALSE)</f>
        <v>2.2639426473174771</v>
      </c>
      <c r="M27" s="25">
        <f>VLOOKUP($E27,Atm!$D$2:$G$45, 4, FALSE)</f>
        <v>0.32862600656294394</v>
      </c>
      <c r="N27" s="21">
        <f>VLOOKUP($C27,Raw!$B$2:$F$353, 3, FALSE)</f>
        <v>807.22045178975475</v>
      </c>
      <c r="O27" s="21">
        <f>VLOOKUP($C27,Raw!$B$2:$F$353, 4, FALSE)</f>
        <v>13.8795631483168</v>
      </c>
      <c r="P27" s="21">
        <f>VLOOKUP($C27,Raw!$B$2:$F$353, 5, FALSE)</f>
        <v>0.42321401444325185</v>
      </c>
      <c r="Q27" s="14">
        <v>60</v>
      </c>
      <c r="R27" s="25">
        <v>1140</v>
      </c>
      <c r="S27">
        <f>EXP(24.4543-(100/H27*(67.4509))-(4.8489*LN(H27/100))-(0.000544*G27))</f>
        <v>1.0937259631476733E-2</v>
      </c>
      <c r="T27" s="8">
        <f>EXP(-58.0931+90.5069*(100/H27)+22.294*LN(H27/100)+G27*(0.027766-0.025888*(H27/100)+0.0050578*(H27/100)^2))</f>
        <v>5.6313865550080305E-2</v>
      </c>
      <c r="U27" s="9">
        <f>(EXP(-67.1962+99.1624*(100/H27)+27.9015*LN(H27/100)+G27*(-0.072909+0.041674*(H27/100)-0.0064603*(H27/100)^2)))</f>
        <v>4.498245779292806E-2</v>
      </c>
      <c r="V27" s="9">
        <f>(EXP(-64.8539+100.252*(100/H27)+25.2049*LN(H27/100)+(-0.062544+0.035337*(H27/100)-0.0054699*(H27/100)^2)*G27))</f>
        <v>4.2240734917687789E-2</v>
      </c>
      <c r="W27" s="9">
        <f>(EXP(-68.8862+101.4956*(100/H27)+28.7314*LN(H27/100)+G27*(-0.076146+0.04397*(H27/100)-0.0068672*(H27/100)^2)))</f>
        <v>4.4881929487922759E-2</v>
      </c>
      <c r="X27">
        <f>N27*(AZ27-S27)</f>
        <v>734.13267563753413</v>
      </c>
      <c r="Y27">
        <f>O27*(AZ27-S27)</f>
        <v>12.622872485653806</v>
      </c>
      <c r="Z27">
        <f>((Y27/10^6)*AZ27)/(0.082056*H27)</f>
        <v>5.027038641281219E-7</v>
      </c>
      <c r="AA27">
        <f>(((L27/10^6)*AZ27)/(0.082056*H27))</f>
        <v>9.0161151375363631E-8</v>
      </c>
      <c r="AB27">
        <f>((Y27/10^6)*U27*1)/(0.082056*H27)</f>
        <v>2.4568649129905165E-8</v>
      </c>
      <c r="AC27">
        <f>(Z27*(Q27/1000))+(AB27*(R27/1000))</f>
        <v>5.8170491855779203E-8</v>
      </c>
      <c r="AD27" s="39">
        <f>((AC27-(AA27*(Q27/1000)))/(R27/1000))*1000000</f>
        <v>4.62814234853135E-2</v>
      </c>
      <c r="AE27" s="39">
        <f>(AD27/((U27*AZ27*1))*(0.0821*273.15))</f>
        <v>25.068812520898653</v>
      </c>
      <c r="AF27" s="39">
        <f>L27*U27*AZ27*1/(0.0821*273.15)</f>
        <v>4.1796350872069891E-3</v>
      </c>
      <c r="AG27" s="39">
        <f>AD27-AF27</f>
        <v>4.2101788398106507E-2</v>
      </c>
      <c r="AH27" s="42">
        <f>P27*(AZ27-S27)</f>
        <v>0.38489514989574236</v>
      </c>
      <c r="AI27">
        <f>(((X27/10^6)*(Q27/1000))/(0.082056*H27))</f>
        <v>1.9059245618672394E-6</v>
      </c>
      <c r="AJ27">
        <f>(((K27/10^6)*AZ27)*(Q27/1000))/(0.082056*H27)</f>
        <v>1.0015048413395471E-6</v>
      </c>
      <c r="AK27">
        <f>(X27/10^6)*T27*(R27/1000)</f>
        <v>4.7129707622621003E-5</v>
      </c>
      <c r="AL27">
        <f>AI27+AK27</f>
        <v>4.9035632184488244E-5</v>
      </c>
      <c r="AM27" s="39">
        <f>((AL27-AJ27)/(R27/1000))*1000000</f>
        <v>42.135199423814647</v>
      </c>
      <c r="AN27" s="39">
        <f>AM27/(T27*AZ27)</f>
        <v>812.93456118954384</v>
      </c>
      <c r="AO27" s="39">
        <f>(K27*AZ27)*T27</f>
        <v>21.723872257737369</v>
      </c>
      <c r="AP27" s="39">
        <f>AM27-AO27</f>
        <v>20.411327166077278</v>
      </c>
      <c r="AQ27">
        <f>(((AH27/10^6)*(Q27/1000))/(0.082056*H27))</f>
        <v>9.9924869750936107E-10</v>
      </c>
      <c r="AR27">
        <f>(((M27/10^6)*AZ27)*(Q27/1000))/(0.082056*H27)</f>
        <v>7.8524866763856305E-10</v>
      </c>
      <c r="AS27">
        <f>(AH27/10^6)*V27*(R27/1000)</f>
        <v>1.8534409557548728E-8</v>
      </c>
      <c r="AT27">
        <f>AQ27+AS27</f>
        <v>1.953365825505809E-8</v>
      </c>
      <c r="AU27" s="39">
        <f>((AT27-AR27)/(R27/1000))*1000000000</f>
        <v>16.445973322297831</v>
      </c>
      <c r="AV27" s="39">
        <f>(AU27/1000)/(V27*AZ27)</f>
        <v>0.42301326787916027</v>
      </c>
      <c r="AW27" s="39">
        <f>(M27*AZ27)*V27*1000</f>
        <v>12.776371209451852</v>
      </c>
      <c r="AX27" s="39">
        <f>AU27-AW27</f>
        <v>3.669602112845979</v>
      </c>
      <c r="AY27" s="26">
        <f>VLOOKUP($E27,Water!$C$2:$G$90, 5, FALSE)</f>
        <v>699.5</v>
      </c>
      <c r="AZ27">
        <f>AY27/760</f>
        <v>0.92039473684210527</v>
      </c>
      <c r="BA27" s="3">
        <f>Assumptions!$B$3</f>
        <v>406.07</v>
      </c>
      <c r="BB27" s="3">
        <f>BA27*AZ27*T27</f>
        <v>21.047008267174757</v>
      </c>
      <c r="BC27" s="3">
        <f>Assumptions!$B$4</f>
        <v>1.8474300000000001</v>
      </c>
      <c r="BD27" s="45">
        <f>BC27*AZ27*U27*1/(0.0821*273.15)</f>
        <v>3.4106797088292121E-3</v>
      </c>
      <c r="BE27" s="3">
        <f>Assumptions!$B$2</f>
        <v>0.33054499999999998</v>
      </c>
      <c r="BF27" s="44">
        <f>BE27*AZ27*V27*1000</f>
        <v>12.850978124335912</v>
      </c>
      <c r="BG27">
        <f>1923.6+(-125.06*F27)+(4.3773*(F27^2))+(-0.085681*(F27^3))+(0.00070284*(F27^4))</f>
        <v>1127.8999496025001</v>
      </c>
      <c r="BH27">
        <f>1909.4+(-120.78*F27)+(4.1555*(F27^2))+(-0.080578*(F27^3))+(0.00065777*(F27^4))</f>
        <v>1136.953511260625</v>
      </c>
      <c r="BI27">
        <f>2141.2+(-152.56*F27)+(5.8963*(F27^2))+(-0.12411*(F27^3))+(0.0010655*(F27^4))</f>
        <v>1199.7905978437498</v>
      </c>
      <c r="BJ27" s="25">
        <f>VLOOKUP(E27,Wind!$C$2:$E$109,3, FALSE)</f>
        <v>3.0277777777777777</v>
      </c>
      <c r="BK27" s="44">
        <v>1.66</v>
      </c>
      <c r="BL27">
        <f>BK27/(1-(((1.3*10^-3)^0.5)/0.41)*LN(10/1.5))</f>
        <v>1.9923982880693825</v>
      </c>
      <c r="BM27">
        <f>BK27*1.22</f>
        <v>2.0251999999999999</v>
      </c>
      <c r="BN27">
        <f>2.07+0.215*(BM27^1.7)*(24/100)</f>
        <v>2.241255750541113</v>
      </c>
      <c r="BO27">
        <f>BN27*((600/BG27)^0.67)</f>
        <v>1.4683563573290421</v>
      </c>
      <c r="BP27">
        <f>BN27*((600/BH27)^0.67)</f>
        <v>1.4605120375259375</v>
      </c>
      <c r="BQ27">
        <f>BN27*((600/BI27)^0.67)</f>
        <v>1.4088089444137823</v>
      </c>
      <c r="BR27" s="39">
        <f>BO27*(AM27-BB27)</f>
        <v>30.964979549422271</v>
      </c>
      <c r="BS27" s="39">
        <f>BP27*(AD27-BD27)</f>
        <v>6.2613237343245476E-2</v>
      </c>
      <c r="BT27" s="39">
        <f>BQ27*(AU27-BF27)</f>
        <v>5.0646613900133488</v>
      </c>
      <c r="BU27">
        <f>(2.51+1.48*BM27)+(0.39*BM27*LOG10(0.0015))</f>
        <v>3.2768938069574309</v>
      </c>
      <c r="BV27">
        <f>BU27*((600/$BG27)^0.67)</f>
        <v>2.1468535451951078</v>
      </c>
      <c r="BW27">
        <f>BU27*((600/$BH27)^0.67)</f>
        <v>2.1353845270001157</v>
      </c>
      <c r="BX27">
        <f>BU27*((600/$BI27)^0.67)</f>
        <v>2.0597905009373334</v>
      </c>
      <c r="BY27" s="39">
        <f>BV27*($AM27-$BB27)</f>
        <v>45.273257946384469</v>
      </c>
      <c r="BZ27" s="39">
        <f>BW27*($AD27-$BD27)</f>
        <v>9.1545522921291062E-2</v>
      </c>
      <c r="CA27" s="39">
        <f>BX27*($AU27-$BF27)</f>
        <v>7.4049369596772907</v>
      </c>
      <c r="CB27" s="42">
        <f>AVERAGE(0.72,0.69,0.4,0.22)</f>
        <v>0.50750000000000006</v>
      </c>
      <c r="CC27">
        <f>CB27*((600/$BG27)^0.67)</f>
        <v>0.3324880934112831</v>
      </c>
      <c r="CD27">
        <f>CB27*((600/$BH27)^0.67)</f>
        <v>0.33071186046726747</v>
      </c>
      <c r="CE27">
        <f>CB27*((600/$BI27)^0.67)</f>
        <v>0.31900444164722258</v>
      </c>
      <c r="CF27" s="39">
        <f>CC27*($AM27-$BB27)</f>
        <v>7.0115724711638778</v>
      </c>
      <c r="CG27" s="39">
        <f>CD27*($AD27-$BD27)</f>
        <v>1.4177863433936648E-2</v>
      </c>
      <c r="CH27" s="39">
        <f>CE27*($AU27-$BF27)</f>
        <v>1.1468194358502886</v>
      </c>
      <c r="CI27">
        <v>0.86263901889527161</v>
      </c>
      <c r="CJ27">
        <f>((BG27/BH27)^0.67)*CI27</f>
        <v>0.85803058967774848</v>
      </c>
      <c r="CK27">
        <f>((BH27/BH27)^0.67)*CI27</f>
        <v>0.86263901889527161</v>
      </c>
      <c r="CL27">
        <f>((BI27/BH27)^0.67)*CI27</f>
        <v>0.8942977513962066</v>
      </c>
      <c r="CM27" s="39">
        <f>CJ27*($AM27-$BB27)</f>
        <v>18.094313093368807</v>
      </c>
      <c r="CN27" s="39">
        <f>CK27*($AD27-$BD27)</f>
        <v>3.6981976350656982E-2</v>
      </c>
      <c r="CO27" s="39">
        <f>CL27*($AU27-$BF27)</f>
        <v>3.2149961218175052</v>
      </c>
      <c r="CP27" s="27">
        <f>VLOOKUP(A27,Water!$A$2:$E$109, 5, FALSE)/1000</f>
        <v>7.0999999999999991E-4</v>
      </c>
      <c r="CQ27">
        <f>0.64*CP27</f>
        <v>4.5439999999999993E-4</v>
      </c>
      <c r="CR27" s="19">
        <f>CQ27*1000*(2.5*10^-5)</f>
        <v>1.1359999999999998E-5</v>
      </c>
      <c r="CS27" s="18">
        <f>(-0.0000009*F27^3)+(0.0002*F27^2)-(0.0134*F27)+6.579</f>
        <v>6.4789972874999995</v>
      </c>
      <c r="CT27" s="18">
        <f>CS27-(SQRT(CP27))/(1+1.4*SQRT(CP27))</f>
        <v>6.4533097154858359</v>
      </c>
      <c r="CU27" s="18">
        <f>10^(-CT27)</f>
        <v>3.5211966865607129E-7</v>
      </c>
      <c r="CV27" s="18">
        <f>(0.000001*F27^3)+(0.00006*F27^2)-(0.014*F27)+10.625</f>
        <v>10.510949125</v>
      </c>
      <c r="CW27" s="18">
        <f>CV27-(2*SQRT(CR27))/(1+1.4*SQRT(CR27))</f>
        <v>10.504239863795732</v>
      </c>
      <c r="CX27" s="18">
        <f>10^(-CW27)</f>
        <v>3.1315556671076E-11</v>
      </c>
      <c r="CY27">
        <f>EXP(1246.98+-61900/H27-183*LN(H27))</f>
        <v>6.4864273663184455E-3</v>
      </c>
      <c r="CZ27">
        <f>12.225*(F27^2)+15.258*F27+1125.7</f>
        <v>2138.6492499999999</v>
      </c>
      <c r="DA27" s="15">
        <f>10^(-4470.99/H27+6.0875-0.01706*H27)</f>
        <v>2.5602030792592702E-15</v>
      </c>
      <c r="DB27">
        <f>(10^-I27)</f>
        <v>5.3703179637025321E-9</v>
      </c>
      <c r="DC27">
        <f>DB27^2</f>
        <v>2.884031503126611E-17</v>
      </c>
      <c r="DD27" s="20">
        <f>((14.6836*10^-9)*((H27/217.2056)-1)^1.997)*100*100</f>
        <v>1.2973105081747995E-5</v>
      </c>
      <c r="DE27">
        <f>CY27+CZ27*DA27/DB27</f>
        <v>7.5059901617270369E-3</v>
      </c>
      <c r="DF27">
        <f>1+DC27*(CU27*CX27+CU27*DB27)^-1</f>
        <v>1.0151629813152756</v>
      </c>
      <c r="DG27">
        <f>(DE27*DF27/DD27)^0.5</f>
        <v>24.235384468488139</v>
      </c>
      <c r="DH27">
        <f>DD27/(BO27/60/60)</f>
        <v>3.1806433132653453E-2</v>
      </c>
      <c r="DI27" s="16">
        <f>DF27/((DF27-1)+TANH(DG27*DH27)/(DG27*DH27))</f>
        <v>1.1872578079715692</v>
      </c>
      <c r="DJ27">
        <f>$DI27*BR27</f>
        <v>36.763413743731554</v>
      </c>
      <c r="DK27">
        <f>$DI27*BY27</f>
        <v>53.751028989155849</v>
      </c>
      <c r="DL27">
        <f>$DI27*CF27</f>
        <v>8.3245441625478236</v>
      </c>
      <c r="DM27">
        <f>$DI27*CM27</f>
        <v>21.482614499984315</v>
      </c>
    </row>
    <row r="28" spans="1:117" ht="15.75" x14ac:dyDescent="0.25">
      <c r="A28" s="52" t="s">
        <v>328</v>
      </c>
      <c r="B28" s="55" t="s">
        <v>341</v>
      </c>
      <c r="C28" t="s">
        <v>160</v>
      </c>
      <c r="D28" s="57">
        <v>43215</v>
      </c>
      <c r="E28" s="42" t="str">
        <f>A28&amp;D28</f>
        <v>56B43215</v>
      </c>
      <c r="F28" s="3">
        <f>VLOOKUP($E28,Water!$C$2:$E$90, 2, FALSE)</f>
        <v>8.5</v>
      </c>
      <c r="G28" s="3">
        <f>VLOOKUP($E28,Water!$C$2:$E$90, 3, FALSE)</f>
        <v>0.71</v>
      </c>
      <c r="H28" s="1">
        <f>F28+273.15</f>
        <v>281.64999999999998</v>
      </c>
      <c r="I28" s="3">
        <f>VLOOKUP($E28,Water!$C$2:$F$90, 4, FALSE)</f>
        <v>8.27</v>
      </c>
      <c r="J28">
        <f>10^(I28*-1)</f>
        <v>5.3703179637025321E-9</v>
      </c>
      <c r="K28" s="25">
        <f>VLOOKUP($E28,Atm!$D$2:$G$45, 2, FALSE)</f>
        <v>419.12906080135991</v>
      </c>
      <c r="L28" s="25">
        <f>VLOOKUP($E28,Atm!$D$2:$G$45, 3, FALSE)</f>
        <v>2.2639426473174771</v>
      </c>
      <c r="M28" s="25">
        <f>VLOOKUP($E28,Atm!$D$2:$G$45, 4, FALSE)</f>
        <v>0.32862600656294394</v>
      </c>
      <c r="N28" s="21">
        <f>VLOOKUP($C28,Raw!$B$2:$F$353, 3, FALSE)</f>
        <v>725.08725365778901</v>
      </c>
      <c r="O28" s="21">
        <f>VLOOKUP($C28,Raw!$B$2:$F$353, 4, FALSE)</f>
        <v>10.716767353201289</v>
      </c>
      <c r="P28" s="21">
        <f>VLOOKUP($C28,Raw!$B$2:$F$353, 5, FALSE)</f>
        <v>0.39955324986118484</v>
      </c>
      <c r="Q28" s="14">
        <v>60</v>
      </c>
      <c r="R28" s="25">
        <v>1140</v>
      </c>
      <c r="S28">
        <f>EXP(24.4543-(100/H28*(67.4509))-(4.8489*LN(H28/100))-(0.000544*G28))</f>
        <v>1.0937259631476733E-2</v>
      </c>
      <c r="T28" s="8">
        <f>EXP(-58.0931+90.5069*(100/H28)+22.294*LN(H28/100)+G28*(0.027766-0.025888*(H28/100)+0.0050578*(H28/100)^2))</f>
        <v>5.6313865550080305E-2</v>
      </c>
      <c r="U28" s="9">
        <f>(EXP(-67.1962+99.1624*(100/H28)+27.9015*LN(H28/100)+G28*(-0.072909+0.041674*(H28/100)-0.0064603*(H28/100)^2)))</f>
        <v>4.498245779292806E-2</v>
      </c>
      <c r="V28" s="9">
        <f>(EXP(-64.8539+100.252*(100/H28)+25.2049*LN(H28/100)+(-0.062544+0.035337*(H28/100)-0.0054699*(H28/100)^2)*G28))</f>
        <v>4.2240734917687789E-2</v>
      </c>
      <c r="W28" s="9">
        <f>(EXP(-68.8862+101.4956*(100/H28)+28.7314*LN(H28/100)+G28*(-0.076146+0.04397*(H28/100)-0.0068672*(H28/100)^2)))</f>
        <v>4.4881929487922759E-2</v>
      </c>
      <c r="X28">
        <f>N28*(AZ28-S28)</f>
        <v>659.4360244691959</v>
      </c>
      <c r="Y28">
        <f>O28*(AZ28-S28)</f>
        <v>9.7464442008956702</v>
      </c>
      <c r="Z28">
        <f>((Y28/10^6)*AZ28)/(0.082056*H28)</f>
        <v>3.8815057086791156E-7</v>
      </c>
      <c r="AA28">
        <f>(((L28/10^6)*AZ28)/(0.082056*H28))</f>
        <v>9.0161151375363631E-8</v>
      </c>
      <c r="AB28">
        <f>((Y28/10^6)*U28*1)/(0.082056*H28)</f>
        <v>1.8970085304129719E-8</v>
      </c>
      <c r="AC28">
        <f>(Z28*(Q28/1000))+(AB28*(R28/1000))</f>
        <v>4.4914931498782567E-8</v>
      </c>
      <c r="AD28" s="39">
        <f>((AC28-(AA28*(Q28/1000)))/(R28/1000))*1000000</f>
        <v>3.4653738961632242E-2</v>
      </c>
      <c r="AE28" s="39">
        <f>(AD28/((U28*AZ28*1))*(0.0821*273.15))</f>
        <v>18.770556732184211</v>
      </c>
      <c r="AF28" s="39">
        <f>L28*U28*AZ28*1/(0.0821*273.15)</f>
        <v>4.1796350872069891E-3</v>
      </c>
      <c r="AG28" s="39">
        <f>AD28-AF28</f>
        <v>3.0474103874425253E-2</v>
      </c>
      <c r="AH28" s="42">
        <f>P28*(AZ28-S28)</f>
        <v>0.36337669063006106</v>
      </c>
      <c r="AI28">
        <f>(((X28/10^6)*(Q28/1000))/(0.082056*H28))</f>
        <v>1.7120002388185048E-6</v>
      </c>
      <c r="AJ28">
        <f>(((K28/10^6)*AZ28)*(Q28/1000))/(0.082056*H28)</f>
        <v>1.0015048413395471E-6</v>
      </c>
      <c r="AK28">
        <f>(X28/10^6)*T28*(R28/1000)</f>
        <v>4.2334346447755051E-5</v>
      </c>
      <c r="AL28">
        <f>AI28+AK28</f>
        <v>4.4046346686573558E-5</v>
      </c>
      <c r="AM28" s="39">
        <f>((AL28-AJ28)/(R28/1000))*1000000</f>
        <v>37.758633197573694</v>
      </c>
      <c r="AN28" s="39">
        <f>AM28/(T28*AZ28)</f>
        <v>728.49537511000017</v>
      </c>
      <c r="AO28" s="39">
        <f>(K28*AZ28)*T28</f>
        <v>21.723872257737369</v>
      </c>
      <c r="AP28" s="39">
        <f>AM28-AO28</f>
        <v>16.034760939836325</v>
      </c>
      <c r="AQ28">
        <f>(((AH28/10^6)*(Q28/1000))/(0.082056*H28))</f>
        <v>9.4338337314903939E-10</v>
      </c>
      <c r="AR28">
        <f>(((M28/10^6)*AZ28)*(Q28/1000))/(0.082056*H28)</f>
        <v>7.8524866763856305E-10</v>
      </c>
      <c r="AS28">
        <f>(AH28/10^6)*V28*(R28/1000)</f>
        <v>1.7498200249154999E-8</v>
      </c>
      <c r="AT28">
        <f>AQ28+AS28</f>
        <v>1.8441583622304039E-8</v>
      </c>
      <c r="AU28" s="39">
        <f>((AT28-AR28)/(R28/1000))*1000000000</f>
        <v>15.488013118127611</v>
      </c>
      <c r="AV28" s="39">
        <f>(AU28/1000)/(V28*AZ28)</f>
        <v>0.39837320137030785</v>
      </c>
      <c r="AW28" s="39">
        <f>(M28*AZ28)*V28*1000</f>
        <v>12.776371209451852</v>
      </c>
      <c r="AX28" s="39">
        <f>AU28-AW28</f>
        <v>2.7116419086757588</v>
      </c>
      <c r="AY28" s="26">
        <f>VLOOKUP($E28,Water!$C$2:$G$90, 5, FALSE)</f>
        <v>699.5</v>
      </c>
      <c r="AZ28">
        <f>AY28/760</f>
        <v>0.92039473684210527</v>
      </c>
      <c r="BA28" s="3">
        <f>Assumptions!$B$3</f>
        <v>406.07</v>
      </c>
      <c r="BB28" s="3">
        <f>BA28*AZ28*T28</f>
        <v>21.047008267174757</v>
      </c>
      <c r="BC28" s="3">
        <f>Assumptions!$B$4</f>
        <v>1.8474300000000001</v>
      </c>
      <c r="BD28" s="45">
        <f>BC28*AZ28*U28*1/(0.0821*273.15)</f>
        <v>3.4106797088292121E-3</v>
      </c>
      <c r="BE28" s="3">
        <f>Assumptions!$B$2</f>
        <v>0.33054499999999998</v>
      </c>
      <c r="BF28" s="44">
        <f>BE28*AZ28*V28*1000</f>
        <v>12.850978124335912</v>
      </c>
      <c r="BG28">
        <f>1923.6+(-125.06*F28)+(4.3773*(F28^2))+(-0.085681*(F28^3))+(0.00070284*(F28^4))</f>
        <v>1127.8999496025001</v>
      </c>
      <c r="BH28">
        <f>1909.4+(-120.78*F28)+(4.1555*(F28^2))+(-0.080578*(F28^3))+(0.00065777*(F28^4))</f>
        <v>1136.953511260625</v>
      </c>
      <c r="BI28">
        <f>2141.2+(-152.56*F28)+(5.8963*(F28^2))+(-0.12411*(F28^3))+(0.0010655*(F28^4))</f>
        <v>1199.7905978437498</v>
      </c>
      <c r="BJ28" s="25">
        <f>VLOOKUP(E28,Wind!$C$2:$E$109,3, FALSE)</f>
        <v>3.0277777777777777</v>
      </c>
      <c r="BK28" s="44">
        <v>1.66</v>
      </c>
      <c r="BL28">
        <f>BK28/(1-(((1.3*10^-3)^0.5)/0.41)*LN(10/1.5))</f>
        <v>1.9923982880693825</v>
      </c>
      <c r="BM28">
        <f>BK28*1.22</f>
        <v>2.0251999999999999</v>
      </c>
      <c r="BN28">
        <f>2.07+0.215*(BM28^1.7)*(24/100)</f>
        <v>2.241255750541113</v>
      </c>
      <c r="BO28">
        <f>BN28*((600/BG28)^0.67)</f>
        <v>1.4683563573290421</v>
      </c>
      <c r="BP28">
        <f>BN28*((600/BH28)^0.67)</f>
        <v>1.4605120375259375</v>
      </c>
      <c r="BQ28">
        <f>BN28*((600/BI28)^0.67)</f>
        <v>1.4088089444137823</v>
      </c>
      <c r="BR28" s="39">
        <f>BO28*(AM28-BB28)</f>
        <v>24.538620707849791</v>
      </c>
      <c r="BS28" s="39">
        <f>BP28*(AD28-BD28)</f>
        <v>4.5630864127854949E-2</v>
      </c>
      <c r="BT28" s="39">
        <f>BQ28*(AU28-BF28)</f>
        <v>3.7150784859858894</v>
      </c>
      <c r="BU28">
        <f>(2.51+1.48*BM28)+(0.39*BM28*LOG10(0.0015))</f>
        <v>3.2768938069574309</v>
      </c>
      <c r="BV28">
        <f>BU28*((600/$BG28)^0.67)</f>
        <v>2.1468535451951078</v>
      </c>
      <c r="BW28">
        <f>BU28*((600/$BH28)^0.67)</f>
        <v>2.1353845270001157</v>
      </c>
      <c r="BX28">
        <f>BU28*((600/$BI28)^0.67)</f>
        <v>2.0597905009373334</v>
      </c>
      <c r="BY28" s="39">
        <f>BV28*($AM28-$BB28)</f>
        <v>35.877411227797907</v>
      </c>
      <c r="BZ28" s="39">
        <f>BW28*($AD28-$BD28)</f>
        <v>6.6715945304583385E-2</v>
      </c>
      <c r="CA28" s="39">
        <f>BX28*($AU28-$BF28)</f>
        <v>5.4317396308514825</v>
      </c>
      <c r="CB28" s="42">
        <f>AVERAGE(0.72,0.69,0.4,0.22)</f>
        <v>0.50750000000000006</v>
      </c>
      <c r="CC28">
        <f>CB28*((600/$BG28)^0.67)</f>
        <v>0.3324880934112831</v>
      </c>
      <c r="CD28">
        <f>CB28*((600/$BH28)^0.67)</f>
        <v>0.33071186046726747</v>
      </c>
      <c r="CE28">
        <f>CB28*((600/$BI28)^0.67)</f>
        <v>0.31900444164722258</v>
      </c>
      <c r="CF28" s="39">
        <f>CC28*($AM28-$BB28)</f>
        <v>5.5564163109128089</v>
      </c>
      <c r="CG28" s="39">
        <f>CD28*($AD28-$BD28)</f>
        <v>1.0332450252183566E-2</v>
      </c>
      <c r="CH28" s="39">
        <f>CE28*($AU28-$BF28)</f>
        <v>0.84122587579870811</v>
      </c>
      <c r="CI28">
        <v>0.86263901889527161</v>
      </c>
      <c r="CJ28">
        <f>((BG28/BH28)^0.67)*CI28</f>
        <v>0.85803058967774848</v>
      </c>
      <c r="CK28">
        <f>((BH28/BH28)^0.67)*CI28</f>
        <v>0.86263901889527161</v>
      </c>
      <c r="CL28">
        <f>((BI28/BH28)^0.67)*CI28</f>
        <v>0.8942977513962066</v>
      </c>
      <c r="CM28" s="39">
        <f>CJ28*($AM28-$BB28)</f>
        <v>14.339085393503563</v>
      </c>
      <c r="CN28" s="39">
        <f>CK28*($AD28-$BD28)</f>
        <v>2.6951481981124844E-2</v>
      </c>
      <c r="CO28" s="39">
        <f>CL28*($AU28-$BF28)</f>
        <v>2.3582944653010265</v>
      </c>
      <c r="CP28" s="27">
        <f>VLOOKUP(A28,Water!$A$2:$E$109, 5, FALSE)/1000</f>
        <v>7.0999999999999991E-4</v>
      </c>
      <c r="CQ28">
        <f>0.64*CP28</f>
        <v>4.5439999999999993E-4</v>
      </c>
      <c r="CR28" s="19">
        <f>CQ28*1000*(2.5*10^-5)</f>
        <v>1.1359999999999998E-5</v>
      </c>
      <c r="CS28" s="18">
        <f>(-0.0000009*F28^3)+(0.0002*F28^2)-(0.0134*F28)+6.579</f>
        <v>6.4789972874999995</v>
      </c>
      <c r="CT28" s="18">
        <f>CS28-(SQRT(CP28))/(1+1.4*SQRT(CP28))</f>
        <v>6.4533097154858359</v>
      </c>
      <c r="CU28" s="18">
        <f>10^(-CT28)</f>
        <v>3.5211966865607129E-7</v>
      </c>
      <c r="CV28" s="18">
        <f>(0.000001*F28^3)+(0.00006*F28^2)-(0.014*F28)+10.625</f>
        <v>10.510949125</v>
      </c>
      <c r="CW28" s="18">
        <f>CV28-(2*SQRT(CR28))/(1+1.4*SQRT(CR28))</f>
        <v>10.504239863795732</v>
      </c>
      <c r="CX28" s="18">
        <f>10^(-CW28)</f>
        <v>3.1315556671076E-11</v>
      </c>
      <c r="CY28">
        <f>EXP(1246.98+-61900/H28-183*LN(H28))</f>
        <v>6.4864273663184455E-3</v>
      </c>
      <c r="CZ28">
        <f>12.225*(F28^2)+15.258*F28+1125.7</f>
        <v>2138.6492499999999</v>
      </c>
      <c r="DA28" s="15">
        <f>10^(-4470.99/H28+6.0875-0.01706*H28)</f>
        <v>2.5602030792592702E-15</v>
      </c>
      <c r="DB28">
        <f>(10^-I28)</f>
        <v>5.3703179637025321E-9</v>
      </c>
      <c r="DC28">
        <f>DB28^2</f>
        <v>2.884031503126611E-17</v>
      </c>
      <c r="DD28" s="20">
        <f>((14.6836*10^-9)*((H28/217.2056)-1)^1.997)*100*100</f>
        <v>1.2973105081747995E-5</v>
      </c>
      <c r="DE28">
        <f>CY28+CZ28*DA28/DB28</f>
        <v>7.5059901617270369E-3</v>
      </c>
      <c r="DF28">
        <f>1+DC28*(CU28*CX28+CU28*DB28)^-1</f>
        <v>1.0151629813152756</v>
      </c>
      <c r="DG28">
        <f>(DE28*DF28/DD28)^0.5</f>
        <v>24.235384468488139</v>
      </c>
      <c r="DH28">
        <f>DD28/(BO28/60/60)</f>
        <v>3.1806433132653453E-2</v>
      </c>
      <c r="DI28" s="16">
        <f>DF28/((DF28-1)+TANH(DG28*DH28)/(DG28*DH28))</f>
        <v>1.1872578079715692</v>
      </c>
      <c r="DJ28">
        <f>$DI28*BR28</f>
        <v>29.1336690322475</v>
      </c>
      <c r="DK28">
        <f>$DI28*BY28</f>
        <v>42.595736610009908</v>
      </c>
      <c r="DL28">
        <f>$DI28*CF28</f>
        <v>6.5968986494718145</v>
      </c>
      <c r="DM28">
        <f>$DI28*CM28</f>
        <v>17.024191092608184</v>
      </c>
    </row>
    <row r="29" spans="1:117" ht="15.75" x14ac:dyDescent="0.25">
      <c r="A29" s="51" t="s">
        <v>328</v>
      </c>
      <c r="B29" s="54" t="s">
        <v>342</v>
      </c>
      <c r="C29" s="48" t="s">
        <v>161</v>
      </c>
      <c r="D29" s="57">
        <v>43215</v>
      </c>
      <c r="E29" s="42" t="str">
        <f>A29&amp;D29</f>
        <v>56B43215</v>
      </c>
      <c r="F29" s="3">
        <f>VLOOKUP($E29,Water!$C$2:$E$90, 2, FALSE)</f>
        <v>8.5</v>
      </c>
      <c r="G29" s="3">
        <f>VLOOKUP($E29,Water!$C$2:$E$90, 3, FALSE)</f>
        <v>0.71</v>
      </c>
      <c r="H29" s="1">
        <f>F29+273.15</f>
        <v>281.64999999999998</v>
      </c>
      <c r="I29" s="3">
        <f>VLOOKUP($E29,Water!$C$2:$F$90, 4, FALSE)</f>
        <v>8.27</v>
      </c>
      <c r="J29">
        <f>10^(I29*-1)</f>
        <v>5.3703179637025321E-9</v>
      </c>
      <c r="K29" s="25">
        <f>VLOOKUP($E29,Atm!$D$2:$G$45, 2, FALSE)</f>
        <v>419.12906080135991</v>
      </c>
      <c r="L29" s="25">
        <f>VLOOKUP($E29,Atm!$D$2:$G$45, 3, FALSE)</f>
        <v>2.2639426473174771</v>
      </c>
      <c r="M29" s="25">
        <f>VLOOKUP($E29,Atm!$D$2:$G$45, 4, FALSE)</f>
        <v>0.32862600656294394</v>
      </c>
      <c r="N29" s="21">
        <f>VLOOKUP($C29,Raw!$B$2:$F$353, 3, FALSE)</f>
        <v>699.01599999999996</v>
      </c>
      <c r="O29" s="21">
        <f>VLOOKUP($C29,Raw!$B$2:$F$353, 4, FALSE)</f>
        <v>9.5980000000000008</v>
      </c>
      <c r="P29" s="21">
        <f>VLOOKUP($C29,Raw!$B$2:$F$353, 5, FALSE)</f>
        <v>0.36</v>
      </c>
      <c r="Q29" s="14">
        <v>60</v>
      </c>
      <c r="R29" s="25">
        <v>1140</v>
      </c>
      <c r="S29">
        <f>EXP(24.4543-(100/H29*(67.4509))-(4.8489*LN(H29/100))-(0.000544*G29))</f>
        <v>1.0937259631476733E-2</v>
      </c>
      <c r="T29" s="8">
        <f>EXP(-58.0931+90.5069*(100/H29)+22.294*LN(H29/100)+G29*(0.027766-0.025888*(H29/100)+0.0050578*(H29/100)^2))</f>
        <v>5.6313865550080305E-2</v>
      </c>
      <c r="U29" s="9">
        <f>(EXP(-67.1962+99.1624*(100/H29)+27.9015*LN(H29/100)+G29*(-0.072909+0.041674*(H29/100)-0.0064603*(H29/100)^2)))</f>
        <v>4.498245779292806E-2</v>
      </c>
      <c r="V29" s="9">
        <f>(EXP(-64.8539+100.252*(100/H29)+25.2049*LN(H29/100)+(-0.062544+0.035337*(H29/100)-0.0054699*(H29/100)^2)*G29))</f>
        <v>4.2240734917687789E-2</v>
      </c>
      <c r="W29" s="9">
        <f>(EXP(-68.8862+101.4956*(100/H29)+28.7314*LN(H29/100)+G29*(-0.076146+0.04397*(H29/100)-0.0068672*(H29/100)^2)))</f>
        <v>4.4881929487922759E-2</v>
      </c>
      <c r="X29">
        <f>N29*(AZ29-S29)</f>
        <v>635.72532788986473</v>
      </c>
      <c r="Y29">
        <f>O29*(AZ29-S29)</f>
        <v>8.7289728662676129</v>
      </c>
      <c r="Z29">
        <f>((Y29/10^6)*AZ29)/(0.082056*H29)</f>
        <v>3.4762993880587978E-7</v>
      </c>
      <c r="AA29">
        <f>(((L29/10^6)*AZ29)/(0.082056*H29))</f>
        <v>9.0161151375363631E-8</v>
      </c>
      <c r="AB29">
        <f>((Y29/10^6)*U29*1)/(0.082056*H29)</f>
        <v>1.6989720197168229E-8</v>
      </c>
      <c r="AC29">
        <f>(Z29*(Q29/1000))+(AB29*(R29/1000))</f>
        <v>4.0226077353124562E-8</v>
      </c>
      <c r="AD29" s="39">
        <f>((AC29-(AA29*(Q29/1000)))/(R29/1000))*1000000</f>
        <v>3.0540709009300653E-2</v>
      </c>
      <c r="AE29" s="39">
        <f>(AD29/((U29*AZ29*1))*(0.0821*273.15))</f>
        <v>16.542691446222104</v>
      </c>
      <c r="AF29" s="39">
        <f>L29*U29*AZ29*1/(0.0821*273.15)</f>
        <v>4.1796350872069891E-3</v>
      </c>
      <c r="AG29" s="39">
        <f>AD29-AF29</f>
        <v>2.6361073922093664E-2</v>
      </c>
      <c r="AH29" s="42">
        <f>P29*(AZ29-S29)</f>
        <v>0.32740469179582626</v>
      </c>
      <c r="AI29">
        <f>(((X29/10^6)*(Q29/1000))/(0.082056*H29))</f>
        <v>1.6504435195915827E-6</v>
      </c>
      <c r="AJ29">
        <f>(((K29/10^6)*AZ29)*(Q29/1000))/(0.082056*H29)</f>
        <v>1.0015048413395471E-6</v>
      </c>
      <c r="AK29">
        <f>(X29/10^6)*T29*(R29/1000)</f>
        <v>4.0812171731390442E-5</v>
      </c>
      <c r="AL29">
        <f>AI29+AK29</f>
        <v>4.2462615250982025E-5</v>
      </c>
      <c r="AM29" s="39">
        <f>((AL29-AJ29)/(R29/1000))*1000000</f>
        <v>36.369395096177612</v>
      </c>
      <c r="AN29" s="39">
        <f>AM29/(T29*AZ29)</f>
        <v>701.69213976781953</v>
      </c>
      <c r="AO29" s="39">
        <f>(K29*AZ29)*T29</f>
        <v>21.723872257737369</v>
      </c>
      <c r="AP29" s="39">
        <f>AM29-AO29</f>
        <v>14.645522838440243</v>
      </c>
      <c r="AQ29">
        <f>(((AH29/10^6)*(Q29/1000))/(0.082056*H29))</f>
        <v>8.4999437359512485E-10</v>
      </c>
      <c r="AR29">
        <f>(((M29/10^6)*AZ29)*(Q29/1000))/(0.082056*H29)</f>
        <v>7.8524866763856305E-10</v>
      </c>
      <c r="AS29">
        <f>(AH29/10^6)*V29*(R29/1000)</f>
        <v>1.5765988868528433E-8</v>
      </c>
      <c r="AT29">
        <f>AQ29+AS29</f>
        <v>1.6615983242123557E-8</v>
      </c>
      <c r="AU29" s="39">
        <f>((AT29-AR29)/(R29/1000))*1000000000</f>
        <v>13.886609275864032</v>
      </c>
      <c r="AV29" s="39">
        <f>(AU29/1000)/(V29*AZ29)</f>
        <v>0.35718287111532043</v>
      </c>
      <c r="AW29" s="39">
        <f>(M29*AZ29)*V29*1000</f>
        <v>12.776371209451852</v>
      </c>
      <c r="AX29" s="39">
        <f>AU29-AW29</f>
        <v>1.1102380664121796</v>
      </c>
      <c r="AY29" s="26">
        <f>VLOOKUP($E29,Water!$C$2:$G$90, 5, FALSE)</f>
        <v>699.5</v>
      </c>
      <c r="AZ29">
        <f>AY29/760</f>
        <v>0.92039473684210527</v>
      </c>
      <c r="BA29" s="3">
        <f>Assumptions!$B$3</f>
        <v>406.07</v>
      </c>
      <c r="BB29" s="3">
        <f>BA29*AZ29*T29</f>
        <v>21.047008267174757</v>
      </c>
      <c r="BC29" s="3">
        <f>Assumptions!$B$4</f>
        <v>1.8474300000000001</v>
      </c>
      <c r="BD29" s="45">
        <f>BC29*AZ29*U29*1/(0.0821*273.15)</f>
        <v>3.4106797088292121E-3</v>
      </c>
      <c r="BE29" s="3">
        <f>Assumptions!$B$2</f>
        <v>0.33054499999999998</v>
      </c>
      <c r="BF29" s="44">
        <f>BE29*AZ29*V29*1000</f>
        <v>12.850978124335912</v>
      </c>
      <c r="BG29">
        <f>1923.6+(-125.06*F29)+(4.3773*(F29^2))+(-0.085681*(F29^3))+(0.00070284*(F29^4))</f>
        <v>1127.8999496025001</v>
      </c>
      <c r="BH29">
        <f>1909.4+(-120.78*F29)+(4.1555*(F29^2))+(-0.080578*(F29^3))+(0.00065777*(F29^4))</f>
        <v>1136.953511260625</v>
      </c>
      <c r="BI29">
        <f>2141.2+(-152.56*F29)+(5.8963*(F29^2))+(-0.12411*(F29^3))+(0.0010655*(F29^4))</f>
        <v>1199.7905978437498</v>
      </c>
      <c r="BJ29" s="25">
        <f>VLOOKUP(E29,Wind!$C$2:$E$109,3, FALSE)</f>
        <v>3.0277777777777777</v>
      </c>
      <c r="BK29" s="44">
        <v>1.66</v>
      </c>
      <c r="BL29">
        <f>BK29/(1-(((1.3*10^-3)^0.5)/0.41)*LN(10/1.5))</f>
        <v>1.9923982880693825</v>
      </c>
      <c r="BM29">
        <f>BK29*1.22</f>
        <v>2.0251999999999999</v>
      </c>
      <c r="BN29">
        <f>2.07+0.215*(BM29^1.7)*(24/100)</f>
        <v>2.241255750541113</v>
      </c>
      <c r="BO29">
        <f>BN29*((600/BG29)^0.67)</f>
        <v>1.4683563573290421</v>
      </c>
      <c r="BP29">
        <f>BN29*((600/BH29)^0.67)</f>
        <v>1.4605120375259375</v>
      </c>
      <c r="BQ29">
        <f>BN29*((600/BI29)^0.67)</f>
        <v>1.4088089444137823</v>
      </c>
      <c r="BR29" s="39">
        <f>BO29*(AM29-BB29)</f>
        <v>22.498724109821126</v>
      </c>
      <c r="BS29" s="39">
        <f>BP29*(AD29-BD29)</f>
        <v>3.9623734371769928E-2</v>
      </c>
      <c r="BT29" s="39">
        <f>BQ29*(AU29-BF29)</f>
        <v>1.4590064293863609</v>
      </c>
      <c r="BU29">
        <f>(2.51+1.48*BM29)+(0.39*BM29*LOG10(0.0015))</f>
        <v>3.2768938069574309</v>
      </c>
      <c r="BV29">
        <f>BU29*((600/$BG29)^0.67)</f>
        <v>2.1468535451951078</v>
      </c>
      <c r="BW29">
        <f>BU29*((600/$BH29)^0.67)</f>
        <v>2.1353845270001157</v>
      </c>
      <c r="BX29">
        <f>BU29*((600/$BI29)^0.67)</f>
        <v>2.0597905009373334</v>
      </c>
      <c r="BY29" s="39">
        <f>BV29*($AM29-$BB29)</f>
        <v>32.894920484695611</v>
      </c>
      <c r="BZ29" s="39">
        <f>BW29*($AD29-$BD29)</f>
        <v>5.7933044785286485E-2</v>
      </c>
      <c r="CA29" s="39">
        <f>BX29*($AU29-$BF29)</f>
        <v>2.1331832083924143</v>
      </c>
      <c r="CB29" s="42">
        <f>AVERAGE(0.72,0.69,0.4,0.22)</f>
        <v>0.50750000000000006</v>
      </c>
      <c r="CC29">
        <f>CB29*((600/$BG29)^0.67)</f>
        <v>0.3324880934112831</v>
      </c>
      <c r="CD29">
        <f>CB29*((600/$BH29)^0.67)</f>
        <v>0.33071186046726747</v>
      </c>
      <c r="CE29">
        <f>CB29*((600/$BI29)^0.67)</f>
        <v>0.31900444164722258</v>
      </c>
      <c r="CF29" s="39">
        <f>CC29*($AM29-$BB29)</f>
        <v>5.0945111832853156</v>
      </c>
      <c r="CG29" s="39">
        <f>CD29*($AD29-$BD29)</f>
        <v>8.972222464490389E-3</v>
      </c>
      <c r="CH29" s="39">
        <f>CE29*($AU29-$BF29)</f>
        <v>0.33037093724569816</v>
      </c>
      <c r="CI29">
        <v>0.86263901889527161</v>
      </c>
      <c r="CJ29">
        <f>((BG29/BH29)^0.67)*CI29</f>
        <v>0.85803058967774848</v>
      </c>
      <c r="CK29">
        <f>((BH29/BH29)^0.67)*CI29</f>
        <v>0.86263901889527161</v>
      </c>
      <c r="CL29">
        <f>((BI29/BH29)^0.67)*CI29</f>
        <v>0.8942977513962066</v>
      </c>
      <c r="CM29" s="39">
        <f>CJ29*($AM29-$BB29)</f>
        <v>13.147076606159887</v>
      </c>
      <c r="CN29" s="39">
        <f>CK29*($AD29-$BD29)</f>
        <v>2.3403421858358656E-2</v>
      </c>
      <c r="CO29" s="39">
        <f>CL29*($AU29-$BF29)</f>
        <v>0.92616261008746203</v>
      </c>
      <c r="CP29" s="27">
        <f>VLOOKUP(A29,Water!$A$2:$E$109, 5, FALSE)/1000</f>
        <v>7.0999999999999991E-4</v>
      </c>
      <c r="CQ29">
        <f>0.64*CP29</f>
        <v>4.5439999999999993E-4</v>
      </c>
      <c r="CR29" s="19">
        <f>CQ29*1000*(2.5*10^-5)</f>
        <v>1.1359999999999998E-5</v>
      </c>
      <c r="CS29" s="18">
        <f>(-0.0000009*F29^3)+(0.0002*F29^2)-(0.0134*F29)+6.579</f>
        <v>6.4789972874999995</v>
      </c>
      <c r="CT29" s="18">
        <f>CS29-(SQRT(CP29))/(1+1.4*SQRT(CP29))</f>
        <v>6.4533097154858359</v>
      </c>
      <c r="CU29" s="18">
        <f>10^(-CT29)</f>
        <v>3.5211966865607129E-7</v>
      </c>
      <c r="CV29" s="18">
        <f>(0.000001*F29^3)+(0.00006*F29^2)-(0.014*F29)+10.625</f>
        <v>10.510949125</v>
      </c>
      <c r="CW29" s="18">
        <f>CV29-(2*SQRT(CR29))/(1+1.4*SQRT(CR29))</f>
        <v>10.504239863795732</v>
      </c>
      <c r="CX29" s="18">
        <f>10^(-CW29)</f>
        <v>3.1315556671076E-11</v>
      </c>
      <c r="CY29">
        <f>EXP(1246.98+-61900/H29-183*LN(H29))</f>
        <v>6.4864273663184455E-3</v>
      </c>
      <c r="CZ29">
        <f>12.225*(F29^2)+15.258*F29+1125.7</f>
        <v>2138.6492499999999</v>
      </c>
      <c r="DA29" s="15">
        <f>10^(-4470.99/H29+6.0875-0.01706*H29)</f>
        <v>2.5602030792592702E-15</v>
      </c>
      <c r="DB29">
        <f>(10^-I29)</f>
        <v>5.3703179637025321E-9</v>
      </c>
      <c r="DC29">
        <f>DB29^2</f>
        <v>2.884031503126611E-17</v>
      </c>
      <c r="DD29" s="20">
        <f>((14.6836*10^-9)*((H29/217.2056)-1)^1.997)*100*100</f>
        <v>1.2973105081747995E-5</v>
      </c>
      <c r="DE29">
        <f>CY29+CZ29*DA29/DB29</f>
        <v>7.5059901617270369E-3</v>
      </c>
      <c r="DF29">
        <f>1+DC29*(CU29*CX29+CU29*DB29)^-1</f>
        <v>1.0151629813152756</v>
      </c>
      <c r="DG29">
        <f>(DE29*DF29/DD29)^0.5</f>
        <v>24.235384468488139</v>
      </c>
      <c r="DH29">
        <f>DD29/(BO29/60/60)</f>
        <v>3.1806433132653453E-2</v>
      </c>
      <c r="DI29" s="16">
        <f>DF29/((DF29-1)+TANH(DG29*DH29)/(DG29*DH29))</f>
        <v>1.1872578079715692</v>
      </c>
      <c r="DJ29">
        <f>$DI29*BR29</f>
        <v>26.711785868783323</v>
      </c>
      <c r="DK29">
        <f>$DI29*BY29</f>
        <v>39.054751188058781</v>
      </c>
      <c r="DL29">
        <f>$DI29*CF29</f>
        <v>6.0484981801539695</v>
      </c>
      <c r="DM29">
        <f>$DI29*CM29</f>
        <v>15.608969352663685</v>
      </c>
    </row>
    <row r="30" spans="1:117" ht="15.75" x14ac:dyDescent="0.25">
      <c r="A30" s="52" t="s">
        <v>329</v>
      </c>
      <c r="B30" s="55" t="s">
        <v>339</v>
      </c>
      <c r="C30" t="s">
        <v>163</v>
      </c>
      <c r="D30" s="57">
        <v>43215</v>
      </c>
      <c r="E30" s="42" t="str">
        <f>A30&amp;D30</f>
        <v>56A43215</v>
      </c>
      <c r="F30" s="3">
        <f>VLOOKUP($E30,Water!$C$2:$E$90, 2, FALSE)</f>
        <v>2.9</v>
      </c>
      <c r="G30" s="3">
        <f>VLOOKUP($E30,Water!$C$2:$E$90, 3, FALSE)</f>
        <v>0.8</v>
      </c>
      <c r="H30" s="1">
        <f>F30+273.15</f>
        <v>276.04999999999995</v>
      </c>
      <c r="I30" s="3">
        <f>VLOOKUP($E30,Water!$C$2:$F$90, 4, FALSE)</f>
        <v>9.1199999999999992</v>
      </c>
      <c r="J30">
        <f>10^(I30*-1)</f>
        <v>7.5857757502918245E-10</v>
      </c>
      <c r="K30" s="25">
        <f>VLOOKUP($E30,Atm!$D$2:$G$45, 2, FALSE)</f>
        <v>435.17637940607648</v>
      </c>
      <c r="L30" s="25">
        <f>VLOOKUP($E30,Atm!$D$2:$G$45, 3, FALSE)</f>
        <v>1.8837922509577909</v>
      </c>
      <c r="M30" s="25">
        <f>VLOOKUP($E30,Atm!$D$2:$G$45, 4, FALSE)</f>
        <v>0.32881774846468698</v>
      </c>
      <c r="N30" s="21">
        <f>VLOOKUP($C30,Raw!$B$2:$F$353, 3, FALSE)</f>
        <v>125.7072050599032</v>
      </c>
      <c r="O30" s="21">
        <f>VLOOKUP($C30,Raw!$B$2:$F$353, 4, FALSE)</f>
        <v>3.308461580921533</v>
      </c>
      <c r="P30" s="21">
        <f>VLOOKUP($C30,Raw!$B$2:$F$353, 5, FALSE)</f>
        <v>0.52024668028959753</v>
      </c>
      <c r="Q30" s="14">
        <v>60</v>
      </c>
      <c r="R30" s="25">
        <v>1140</v>
      </c>
      <c r="S30">
        <f>EXP(24.4543-(100/H30*(67.4509))-(4.8489*LN(H30/100))-(0.000544*G30))</f>
        <v>7.4163299004207945E-3</v>
      </c>
      <c r="T30" s="8">
        <f>EXP(-58.0931+90.5069*(100/H30)+22.294*LN(H30/100)+G30*(0.027766-0.025888*(H30/100)+0.0050578*(H30/100)^2))</f>
        <v>6.9029745567736153E-2</v>
      </c>
      <c r="U30" s="9">
        <f>(EXP(-67.1962+99.1624*(100/H30)+27.9015*LN(H30/100)+G30*(-0.072909+0.041674*(H30/100)-0.0064603*(H30/100)^2)))</f>
        <v>5.2420003727579101E-2</v>
      </c>
      <c r="V30" s="9">
        <f>(EXP(-64.8539+100.252*(100/H30)+25.2049*LN(H30/100)+(-0.062544+0.035337*(H30/100)-0.0054699*(H30/100)^2)*G30))</f>
        <v>5.2377388650447491E-2</v>
      </c>
      <c r="W30" s="9">
        <f>(EXP(-68.8862+101.4956*(100/H30)+28.7314*LN(H30/100)+G30*(-0.076146+0.04397*(H30/100)-0.0068672*(H30/100)^2)))</f>
        <v>5.23100256988231E-2</v>
      </c>
      <c r="X30">
        <f>N30*(AZ30-S30)</f>
        <v>114.50331706918755</v>
      </c>
      <c r="Y30">
        <f>O30*(AZ30-S30)</f>
        <v>3.0135888013018839</v>
      </c>
      <c r="Z30">
        <f>((Y30/10^6)*AZ30)/(0.082056*H30)</f>
        <v>1.2217026204166305E-7</v>
      </c>
      <c r="AA30">
        <f>(((L30/10^6)*AZ30)/(0.082056*H30))</f>
        <v>7.6368545314524858E-8</v>
      </c>
      <c r="AB30">
        <f>((Y30/10^6)*U30*1)/(0.082056*H30)</f>
        <v>6.974016119263078E-9</v>
      </c>
      <c r="AC30">
        <f>(Z30*(Q30/1000))+(AB30*(R30/1000))</f>
        <v>1.5280594098459691E-8</v>
      </c>
      <c r="AD30" s="39">
        <f>((AC30-(AA30*(Q30/1000)))/(R30/1000))*1000000</f>
        <v>9.3846327891124563E-3</v>
      </c>
      <c r="AE30" s="39">
        <f>(AD30/((U30*AZ30*1))*(0.0821*273.15))</f>
        <v>4.372048713547386</v>
      </c>
      <c r="AF30" s="39">
        <f>L30*U30*AZ30*1/(0.0821*273.15)</f>
        <v>4.0435730899874471E-3</v>
      </c>
      <c r="AG30" s="39">
        <f>AD30-AF30</f>
        <v>5.3410596991250092E-3</v>
      </c>
      <c r="AH30" s="42">
        <f>P30*(AZ30-S30)</f>
        <v>0.47387872921846586</v>
      </c>
      <c r="AI30">
        <f>(((X30/10^6)*(Q30/1000))/(0.082056*H30))</f>
        <v>3.0329917180583849E-7</v>
      </c>
      <c r="AJ30">
        <f>(((K30/10^6)*AZ30)*(Q30/1000))/(0.082056*H30)</f>
        <v>1.0585175844179156E-6</v>
      </c>
      <c r="AK30">
        <f>(X30/10^6)*T30*(R30/1000)</f>
        <v>9.0107137221005314E-6</v>
      </c>
      <c r="AL30">
        <f>AI30+AK30</f>
        <v>9.3140128939063703E-6</v>
      </c>
      <c r="AM30" s="39">
        <f>((AL30-AJ30)/(R30/1000))*1000000</f>
        <v>7.2416625521828557</v>
      </c>
      <c r="AN30" s="39">
        <f>AM30/(T30*AZ30)</f>
        <v>114.24110757087797</v>
      </c>
      <c r="AO30" s="39">
        <f>(K30*AZ30)*T30</f>
        <v>27.58552116088595</v>
      </c>
      <c r="AP30" s="39">
        <f>AM30-AO30</f>
        <v>-20.343858608703094</v>
      </c>
      <c r="AQ30">
        <f>(((AH30/10^6)*(Q30/1000))/(0.082056*H30))</f>
        <v>1.2552215061291037E-9</v>
      </c>
      <c r="AR30">
        <f>(((M30/10^6)*AZ30)*(Q30/1000))/(0.082056*H30)</f>
        <v>7.9981218027873096E-10</v>
      </c>
      <c r="AS30">
        <f>(AH30/10^6)*V30*(R30/1000)</f>
        <v>2.8295404625739554E-8</v>
      </c>
      <c r="AT30">
        <f>AQ30+AS30</f>
        <v>2.9550626131868658E-8</v>
      </c>
      <c r="AU30" s="39">
        <f>((AT30-AR30)/(R30/1000))*1000000000</f>
        <v>25.22001223823678</v>
      </c>
      <c r="AV30" s="39">
        <f>(AU30/1000)/(V30*AZ30)</f>
        <v>0.52435069102106469</v>
      </c>
      <c r="AW30" s="39">
        <f>(M30*AZ30)*V30*1000</f>
        <v>15.815346069784665</v>
      </c>
      <c r="AX30" s="39">
        <f>AU30-AW30</f>
        <v>9.4046661684521151</v>
      </c>
      <c r="AY30" s="26">
        <f>VLOOKUP($E30,Water!$C$2:$G$90, 5, FALSE)</f>
        <v>697.9</v>
      </c>
      <c r="AZ30">
        <f>AY30/760</f>
        <v>0.91828947368421054</v>
      </c>
      <c r="BA30" s="3">
        <f>Assumptions!$B$3</f>
        <v>406.07</v>
      </c>
      <c r="BB30" s="3">
        <f>BA30*AZ30*T30</f>
        <v>25.740488472947082</v>
      </c>
      <c r="BC30" s="3">
        <f>Assumptions!$B$4</f>
        <v>1.8474300000000001</v>
      </c>
      <c r="BD30" s="45">
        <f>BC30*AZ30*U30*1/(0.0821*273.15)</f>
        <v>3.9655212669217474E-3</v>
      </c>
      <c r="BE30" s="3">
        <f>Assumptions!$B$2</f>
        <v>0.33054499999999998</v>
      </c>
      <c r="BF30" s="44">
        <f>BE30*AZ30*V30*1000</f>
        <v>15.898422731272955</v>
      </c>
      <c r="BG30">
        <f>1923.6+(-125.06*F30)+(4.3773*(F30^2))+(-0.085681*(F30^3))+(0.00070284*(F30^4))</f>
        <v>1595.6991296288038</v>
      </c>
      <c r="BH30">
        <f>1909.4+(-120.78*F30)+(4.1555*(F30^2))+(-0.080578*(F30^3))+(0.00065777*(F30^4))</f>
        <v>1592.1670609803371</v>
      </c>
      <c r="BI30">
        <f>2141.2+(-152.56*F30)+(5.8963*(F30^2))+(-0.12411*(F30^3))+(0.0010655*(F30^4))</f>
        <v>1745.4123250005496</v>
      </c>
      <c r="BJ30" s="25">
        <f>VLOOKUP(E30,Wind!$C$2:$E$109,3, FALSE)</f>
        <v>2.9166666666666665</v>
      </c>
      <c r="BK30" s="44">
        <v>1.66</v>
      </c>
      <c r="BL30">
        <f>BK30/(1-(((1.3*10^-3)^0.5)/0.41)*LN(10/1.5))</f>
        <v>1.9923982880693825</v>
      </c>
      <c r="BM30">
        <f>BK30*1.22</f>
        <v>2.0251999999999999</v>
      </c>
      <c r="BN30">
        <f>2.07+0.215*(BM30^1.7)*(24/100)</f>
        <v>2.241255750541113</v>
      </c>
      <c r="BO30">
        <f>BN30*((600/BG30)^0.67)</f>
        <v>1.1637925672213434</v>
      </c>
      <c r="BP30">
        <f>BN30*((600/BH30)^0.67)</f>
        <v>1.1655217147258006</v>
      </c>
      <c r="BQ30">
        <f>BN30*((600/BI30)^0.67)</f>
        <v>1.0959255926466531</v>
      </c>
      <c r="BR30" s="39">
        <f>BO30*(AM30-BB30)</f>
        <v>-21.528796108906931</v>
      </c>
      <c r="BS30" s="39">
        <f>BP30*(AD30-BD30)</f>
        <v>6.3160921536340583E-3</v>
      </c>
      <c r="BT30" s="39">
        <f>BQ30*(AU30-BF30)</f>
        <v>10.215768504828153</v>
      </c>
      <c r="BU30">
        <f>(2.51+1.48*BM30)+(0.39*BM30*LOG10(0.0015))</f>
        <v>3.2768938069574309</v>
      </c>
      <c r="BV30">
        <f>BU30*((600/$BG30)^0.67)</f>
        <v>1.7015571093080186</v>
      </c>
      <c r="BW30">
        <f>BU30*((600/$BH30)^0.67)</f>
        <v>1.7040852602106111</v>
      </c>
      <c r="BX30">
        <f>BU30*((600/$BI30)^0.67)</f>
        <v>1.6023302055389834</v>
      </c>
      <c r="BY30" s="39">
        <f>BV30*($AM30-$BB30)</f>
        <v>-31.47680875932782</v>
      </c>
      <c r="BZ30" s="39">
        <f>BW30*($AD30-$BD30)</f>
        <v>9.2346280684026758E-3</v>
      </c>
      <c r="CA30" s="39">
        <f>BX30*($AU30-$BF30)</f>
        <v>14.936264430643376</v>
      </c>
      <c r="CB30" s="42">
        <f>AVERAGE(0.72,0.69,0.4,0.22)</f>
        <v>0.50750000000000006</v>
      </c>
      <c r="CC30">
        <f>CB30*((600/$BG30)^0.67)</f>
        <v>0.26352402117528784</v>
      </c>
      <c r="CD30">
        <f>CB30*((600/$BH30)^0.67)</f>
        <v>0.26391556165802837</v>
      </c>
      <c r="CE30">
        <f>CB30*((600/$BI30)^0.67)</f>
        <v>0.24815652481154629</v>
      </c>
      <c r="CF30" s="39">
        <f>CC30*($AM30-$BB30)</f>
        <v>-4.8748849936614356</v>
      </c>
      <c r="CG30" s="39">
        <f>CD30*($AD30-$BD30)</f>
        <v>1.4301878610664541E-3</v>
      </c>
      <c r="CH30" s="39">
        <f>CE30*($AU30-$BF30)</f>
        <v>2.3132132577679179</v>
      </c>
      <c r="CI30">
        <v>0.86263901889527161</v>
      </c>
      <c r="CJ30">
        <f>((BG30/BH30)^0.67)*CI30</f>
        <v>0.86392071646645596</v>
      </c>
      <c r="CK30">
        <f>((BH30/BH30)^0.67)*CI30</f>
        <v>0.86263901889527161</v>
      </c>
      <c r="CL30">
        <f>((BI30/BH30)^0.67)*CI30</f>
        <v>0.91742041178553524</v>
      </c>
      <c r="CM30" s="39">
        <f>CJ30*($AM30-$BB30)</f>
        <v>-15.981518943254876</v>
      </c>
      <c r="CN30" s="39">
        <f>CK30*($AD30-$BD30)</f>
        <v>4.6747370467866553E-3</v>
      </c>
      <c r="CO30" s="39">
        <f>CL30*($AU30-$BF30)</f>
        <v>8.551816483974477</v>
      </c>
      <c r="CP30" s="27">
        <f>VLOOKUP(A30,Water!$A$2:$E$109, 5, FALSE)/1000</f>
        <v>8.0000000000000004E-4</v>
      </c>
      <c r="CQ30">
        <f>0.64*CP30</f>
        <v>5.1200000000000009E-4</v>
      </c>
      <c r="CR30" s="19">
        <f>CQ30*1000*(2.5*10^-5)</f>
        <v>1.2800000000000003E-5</v>
      </c>
      <c r="CS30" s="18">
        <f>(-0.0000009*F30^3)+(0.0002*F30^2)-(0.0134*F30)+6.579</f>
        <v>6.5418000499</v>
      </c>
      <c r="CT30" s="18">
        <f>CS30-(SQRT(CP30))/(1+1.4*SQRT(CP30))</f>
        <v>6.5145931181836065</v>
      </c>
      <c r="CU30" s="18">
        <f>10^(-CT30)</f>
        <v>3.0577845488618051E-7</v>
      </c>
      <c r="CV30" s="18">
        <f>(0.000001*F30^3)+(0.00006*F30^2)-(0.014*F30)+10.625</f>
        <v>10.584928989</v>
      </c>
      <c r="CW30" s="18">
        <f>CV30-(2*SQRT(CR30))/(1+1.4*SQRT(CR30))</f>
        <v>10.577809232851559</v>
      </c>
      <c r="CX30" s="18">
        <f>10^(-CW30)</f>
        <v>2.6435697103904417E-11</v>
      </c>
      <c r="CY30">
        <f>EXP(1246.98+-61900/H30-183*LN(H30))</f>
        <v>2.9639048293559137E-3</v>
      </c>
      <c r="CZ30">
        <f>12.225*(F30^2)+15.258*F30+1125.7</f>
        <v>1272.76045</v>
      </c>
      <c r="DA30" s="15">
        <f>10^(-4470.99/H30+6.0875-0.01706*H30)</f>
        <v>1.5197844016134166E-15</v>
      </c>
      <c r="DB30">
        <f>(10^-I30)</f>
        <v>7.5857757502918245E-10</v>
      </c>
      <c r="DC30">
        <f>DB30^2</f>
        <v>5.7543993733715491E-19</v>
      </c>
      <c r="DD30" s="20">
        <f>((14.6836*10^-9)*((H30/217.2056)-1)^1.997)*100*100</f>
        <v>1.0819377765825273E-5</v>
      </c>
      <c r="DE30">
        <f>CY30+CZ30*DA30/DB30</f>
        <v>5.5138371534508611E-3</v>
      </c>
      <c r="DF30">
        <f>1+DC30*(CU30*CX30+CU30*DB30)^-1</f>
        <v>1.0023972654088136</v>
      </c>
      <c r="DG30">
        <f>(DE30*DF30/DD30)^0.5</f>
        <v>22.601942303392672</v>
      </c>
      <c r="DH30">
        <f>DD30/(BO30/60/60)</f>
        <v>3.3467957309580472E-2</v>
      </c>
      <c r="DI30" s="16">
        <f>DF30/((DF30-1)+TANH(DG30*DH30)/(DG30*DH30))</f>
        <v>1.1833131574076834</v>
      </c>
      <c r="DJ30">
        <f>$DI30*BR30</f>
        <v>-25.475307698816909</v>
      </c>
      <c r="DK30">
        <f>$DI30*BY30</f>
        <v>-37.24692195811803</v>
      </c>
      <c r="DL30">
        <f>$DI30*CF30</f>
        <v>-5.7685155538488484</v>
      </c>
      <c r="DM30">
        <f>$DI30*CM30</f>
        <v>-18.91114164091363</v>
      </c>
    </row>
    <row r="31" spans="1:117" ht="15.75" x14ac:dyDescent="0.25">
      <c r="A31" s="52" t="s">
        <v>329</v>
      </c>
      <c r="B31" s="55" t="s">
        <v>340</v>
      </c>
      <c r="C31" t="s">
        <v>164</v>
      </c>
      <c r="D31" s="57">
        <v>43215</v>
      </c>
      <c r="E31" s="42" t="str">
        <f>A31&amp;D31</f>
        <v>56A43215</v>
      </c>
      <c r="F31" s="3">
        <f>VLOOKUP($E31,Water!$C$2:$E$90, 2, FALSE)</f>
        <v>2.9</v>
      </c>
      <c r="G31" s="3">
        <f>VLOOKUP($E31,Water!$C$2:$E$90, 3, FALSE)</f>
        <v>0.8</v>
      </c>
      <c r="H31" s="1">
        <f>F31+273.15</f>
        <v>276.04999999999995</v>
      </c>
      <c r="I31" s="3">
        <f>VLOOKUP($E31,Water!$C$2:$F$90, 4, FALSE)</f>
        <v>9.1199999999999992</v>
      </c>
      <c r="J31">
        <f>10^(I31*-1)</f>
        <v>7.5857757502918245E-10</v>
      </c>
      <c r="K31" s="25">
        <f>VLOOKUP($E31,Atm!$D$2:$G$45, 2, FALSE)</f>
        <v>435.17637940607648</v>
      </c>
      <c r="L31" s="25">
        <f>VLOOKUP($E31,Atm!$D$2:$G$45, 3, FALSE)</f>
        <v>1.8837922509577909</v>
      </c>
      <c r="M31" s="25">
        <f>VLOOKUP($E31,Atm!$D$2:$G$45, 4, FALSE)</f>
        <v>0.32881774846468698</v>
      </c>
      <c r="N31" s="21">
        <f>VLOOKUP($C31,Raw!$B$2:$F$353, 3, FALSE)</f>
        <v>122.6262615169201</v>
      </c>
      <c r="O31" s="21">
        <f>VLOOKUP($C31,Raw!$B$2:$F$353, 4, FALSE)</f>
        <v>3.8306906364163789</v>
      </c>
      <c r="P31" s="21">
        <f>VLOOKUP($C31,Raw!$B$2:$F$353, 5, FALSE)</f>
        <v>0.50791834099633948</v>
      </c>
      <c r="Q31" s="14">
        <v>60</v>
      </c>
      <c r="R31" s="25">
        <v>1140</v>
      </c>
      <c r="S31">
        <f>EXP(24.4543-(100/H31*(67.4509))-(4.8489*LN(H31/100))-(0.000544*G31))</f>
        <v>7.4163299004207945E-3</v>
      </c>
      <c r="T31" s="8">
        <f>EXP(-58.0931+90.5069*(100/H31)+22.294*LN(H31/100)+G31*(0.027766-0.025888*(H31/100)+0.0050578*(H31/100)^2))</f>
        <v>6.9029745567736153E-2</v>
      </c>
      <c r="U31" s="9">
        <f>(EXP(-67.1962+99.1624*(100/H31)+27.9015*LN(H31/100)+G31*(-0.072909+0.041674*(H31/100)-0.0064603*(H31/100)^2)))</f>
        <v>5.2420003727579101E-2</v>
      </c>
      <c r="V31" s="9">
        <f>(EXP(-64.8539+100.252*(100/H31)+25.2049*LN(H31/100)+(-0.062544+0.035337*(H31/100)-0.0054699*(H31/100)^2)*G31))</f>
        <v>5.2377388650447491E-2</v>
      </c>
      <c r="W31" s="9">
        <f>(EXP(-68.8862+101.4956*(100/H31)+28.7314*LN(H31/100)+G31*(-0.076146+0.04397*(H31/100)-0.0068672*(H31/100)^2)))</f>
        <v>5.23100256988231E-2</v>
      </c>
      <c r="X31">
        <f>N31*(AZ31-S31)</f>
        <v>111.69696833837016</v>
      </c>
      <c r="Y31">
        <f>O31*(AZ31-S31)</f>
        <v>3.4892732228557133</v>
      </c>
      <c r="Z31">
        <f>((Y31/10^6)*AZ31)/(0.082056*H31)</f>
        <v>1.4145440936968022E-7</v>
      </c>
      <c r="AA31">
        <f>(((L31/10^6)*AZ31)/(0.082056*H31))</f>
        <v>7.6368545314524858E-8</v>
      </c>
      <c r="AB31">
        <f>((Y31/10^6)*U31*1)/(0.082056*H31)</f>
        <v>8.0748401010105515E-9</v>
      </c>
      <c r="AC31">
        <f>(Z31*(Q31/1000))+(AB31*(R31/1000))</f>
        <v>1.7692582277332838E-8</v>
      </c>
      <c r="AD31" s="39">
        <f>((AC31-(AA31*(Q31/1000)))/(R31/1000))*1000000</f>
        <v>1.1500411893387148E-2</v>
      </c>
      <c r="AE31" s="39">
        <f>(AD31/((U31*AZ31*1))*(0.0821*273.15))</f>
        <v>5.3577334514442478</v>
      </c>
      <c r="AF31" s="39">
        <f>L31*U31*AZ31*1/(0.0821*273.15)</f>
        <v>4.0435730899874471E-3</v>
      </c>
      <c r="AG31" s="39">
        <f>AD31-AF31</f>
        <v>7.4568388033997004E-3</v>
      </c>
      <c r="AH31" s="42">
        <f>P31*(AZ31-S31)</f>
        <v>0.46264917604878264</v>
      </c>
      <c r="AI31">
        <f>(((X31/10^6)*(Q31/1000))/(0.082056*H31))</f>
        <v>2.9586564701684944E-7</v>
      </c>
      <c r="AJ31">
        <f>(((K31/10^6)*AZ31)*(Q31/1000))/(0.082056*H31)</f>
        <v>1.0585175844179156E-6</v>
      </c>
      <c r="AK31">
        <f>(X31/10^6)*T31*(R31/1000)</f>
        <v>8.7898711677970957E-6</v>
      </c>
      <c r="AL31">
        <f>AI31+AK31</f>
        <v>9.0857368148139453E-6</v>
      </c>
      <c r="AM31" s="39">
        <f>((AL31-AJ31)/(R31/1000))*1000000</f>
        <v>7.0414203775403781</v>
      </c>
      <c r="AN31" s="39">
        <f>AM31/(T31*AZ31)</f>
        <v>111.08217995602213</v>
      </c>
      <c r="AO31" s="39">
        <f>(K31*AZ31)*T31</f>
        <v>27.58552116088595</v>
      </c>
      <c r="AP31" s="39">
        <f>AM31-AO31</f>
        <v>-20.54410078334557</v>
      </c>
      <c r="AQ31">
        <f>(((AH31/10^6)*(Q31/1000))/(0.082056*H31))</f>
        <v>1.2254763925088883E-9</v>
      </c>
      <c r="AR31">
        <f>(((M31/10^6)*AZ31)*(Q31/1000))/(0.082056*H31)</f>
        <v>7.9981218027873096E-10</v>
      </c>
      <c r="AS31">
        <f>(AH31/10^6)*V31*(R31/1000)</f>
        <v>2.7624885501096685E-8</v>
      </c>
      <c r="AT31">
        <f>AQ31+AS31</f>
        <v>2.8850361893605574E-8</v>
      </c>
      <c r="AU31" s="39">
        <f>((AT31-AR31)/(R31/1000))*1000000000</f>
        <v>24.605745362567408</v>
      </c>
      <c r="AV31" s="39">
        <f>(AU31/1000)/(V31*AZ31)</f>
        <v>0.51157943390643668</v>
      </c>
      <c r="AW31" s="39">
        <f>(M31*AZ31)*V31*1000</f>
        <v>15.815346069784665</v>
      </c>
      <c r="AX31" s="39">
        <f>AU31-AW31</f>
        <v>8.7903992927827428</v>
      </c>
      <c r="AY31" s="26">
        <f>VLOOKUP($E31,Water!$C$2:$G$90, 5, FALSE)</f>
        <v>697.9</v>
      </c>
      <c r="AZ31">
        <f>AY31/760</f>
        <v>0.91828947368421054</v>
      </c>
      <c r="BA31" s="3">
        <f>Assumptions!$B$3</f>
        <v>406.07</v>
      </c>
      <c r="BB31" s="3">
        <f>BA31*AZ31*T31</f>
        <v>25.740488472947082</v>
      </c>
      <c r="BC31" s="3">
        <f>Assumptions!$B$4</f>
        <v>1.8474300000000001</v>
      </c>
      <c r="BD31" s="45">
        <f>BC31*AZ31*U31*1/(0.0821*273.15)</f>
        <v>3.9655212669217474E-3</v>
      </c>
      <c r="BE31" s="3">
        <f>Assumptions!$B$2</f>
        <v>0.33054499999999998</v>
      </c>
      <c r="BF31" s="44">
        <f>BE31*AZ31*V31*1000</f>
        <v>15.898422731272955</v>
      </c>
      <c r="BG31">
        <f>1923.6+(-125.06*F31)+(4.3773*(F31^2))+(-0.085681*(F31^3))+(0.00070284*(F31^4))</f>
        <v>1595.6991296288038</v>
      </c>
      <c r="BH31">
        <f>1909.4+(-120.78*F31)+(4.1555*(F31^2))+(-0.080578*(F31^3))+(0.00065777*(F31^4))</f>
        <v>1592.1670609803371</v>
      </c>
      <c r="BI31">
        <f>2141.2+(-152.56*F31)+(5.8963*(F31^2))+(-0.12411*(F31^3))+(0.0010655*(F31^4))</f>
        <v>1745.4123250005496</v>
      </c>
      <c r="BJ31" s="25">
        <f>VLOOKUP(E31,Wind!$C$2:$E$109,3, FALSE)</f>
        <v>2.9166666666666665</v>
      </c>
      <c r="BK31" s="44">
        <v>1.66</v>
      </c>
      <c r="BL31">
        <f>BK31/(1-(((1.3*10^-3)^0.5)/0.41)*LN(10/1.5))</f>
        <v>1.9923982880693825</v>
      </c>
      <c r="BM31">
        <f>BK31*1.22</f>
        <v>2.0251999999999999</v>
      </c>
      <c r="BN31">
        <f>2.07+0.215*(BM31^1.7)*(24/100)</f>
        <v>2.241255750541113</v>
      </c>
      <c r="BO31">
        <f>BN31*((600/BG31)^0.67)</f>
        <v>1.1637925672213434</v>
      </c>
      <c r="BP31">
        <f>BN31*((600/BH31)^0.67)</f>
        <v>1.1655217147258006</v>
      </c>
      <c r="BQ31">
        <f>BN31*((600/BI31)^0.67)</f>
        <v>1.0959255926466531</v>
      </c>
      <c r="BR31" s="39">
        <f>BO31*(AM31-BB31)</f>
        <v>-21.76183646340008</v>
      </c>
      <c r="BS31" s="39">
        <f>BP31*(AD31-BD31)</f>
        <v>8.7820786432293158E-3</v>
      </c>
      <c r="BT31" s="39">
        <f>BQ31*(AU31-BF31)</f>
        <v>9.5425777150669884</v>
      </c>
      <c r="BU31">
        <f>(2.51+1.48*BM31)+(0.39*BM31*LOG10(0.0015))</f>
        <v>3.2768938069574309</v>
      </c>
      <c r="BV31">
        <f>BU31*((600/$BG31)^0.67)</f>
        <v>1.7015571093080186</v>
      </c>
      <c r="BW31">
        <f>BU31*((600/$BH31)^0.67)</f>
        <v>1.7040852602106111</v>
      </c>
      <c r="BX31">
        <f>BU31*((600/$BI31)^0.67)</f>
        <v>1.6023302055389834</v>
      </c>
      <c r="BY31" s="39">
        <f>BV31*($AM31-$BB31)</f>
        <v>-31.817532255174026</v>
      </c>
      <c r="BZ31" s="39">
        <f>BW31*($AD31-$BD31)</f>
        <v>1.2840096053858786E-2</v>
      </c>
      <c r="CA31" s="39">
        <f>BX31*($AU31-$BF31)</f>
        <v>13.952006061496283</v>
      </c>
      <c r="CB31" s="42">
        <f>AVERAGE(0.72,0.69,0.4,0.22)</f>
        <v>0.50750000000000006</v>
      </c>
      <c r="CC31">
        <f>CB31*((600/$BG31)^0.67)</f>
        <v>0.26352402117528784</v>
      </c>
      <c r="CD31">
        <f>CB31*((600/$BH31)^0.67)</f>
        <v>0.26391556165802837</v>
      </c>
      <c r="CE31">
        <f>CB31*((600/$BI31)^0.67)</f>
        <v>0.24815652481154629</v>
      </c>
      <c r="CF31" s="39">
        <f>CC31*($AM31-$BB31)</f>
        <v>-4.9276536167321048</v>
      </c>
      <c r="CG31" s="39">
        <f>CD31*($AD31-$BD31)</f>
        <v>1.9885748917154293E-3</v>
      </c>
      <c r="CH31" s="39">
        <f>CE31*($AU31-$BF31)</f>
        <v>2.1607789245949602</v>
      </c>
      <c r="CI31">
        <v>0.86263901889527161</v>
      </c>
      <c r="CJ31">
        <f>((BG31/BH31)^0.67)*CI31</f>
        <v>0.86392071646645596</v>
      </c>
      <c r="CK31">
        <f>((BH31/BH31)^0.67)*CI31</f>
        <v>0.86263901889527161</v>
      </c>
      <c r="CL31">
        <f>((BI31/BH31)^0.67)*CI31</f>
        <v>0.91742041178553524</v>
      </c>
      <c r="CM31" s="39">
        <f>CJ31*($AM31-$BB31)</f>
        <v>-16.154512306238807</v>
      </c>
      <c r="CN31" s="39">
        <f>CK31*($AD31-$BD31)</f>
        <v>6.4998906574972913E-3</v>
      </c>
      <c r="CO31" s="39">
        <f>CL31*($AU31-$BF31)</f>
        <v>7.9882755139516668</v>
      </c>
      <c r="CP31" s="27">
        <f>VLOOKUP(A31,Water!$A$2:$E$109, 5, FALSE)/1000</f>
        <v>8.0000000000000004E-4</v>
      </c>
      <c r="CQ31">
        <f>0.64*CP31</f>
        <v>5.1200000000000009E-4</v>
      </c>
      <c r="CR31" s="19">
        <f>CQ31*1000*(2.5*10^-5)</f>
        <v>1.2800000000000003E-5</v>
      </c>
      <c r="CS31" s="18">
        <f>(-0.0000009*F31^3)+(0.0002*F31^2)-(0.0134*F31)+6.579</f>
        <v>6.5418000499</v>
      </c>
      <c r="CT31" s="18">
        <f>CS31-(SQRT(CP31))/(1+1.4*SQRT(CP31))</f>
        <v>6.5145931181836065</v>
      </c>
      <c r="CU31" s="18">
        <f>10^(-CT31)</f>
        <v>3.0577845488618051E-7</v>
      </c>
      <c r="CV31" s="18">
        <f>(0.000001*F31^3)+(0.00006*F31^2)-(0.014*F31)+10.625</f>
        <v>10.584928989</v>
      </c>
      <c r="CW31" s="18">
        <f>CV31-(2*SQRT(CR31))/(1+1.4*SQRT(CR31))</f>
        <v>10.577809232851559</v>
      </c>
      <c r="CX31" s="18">
        <f>10^(-CW31)</f>
        <v>2.6435697103904417E-11</v>
      </c>
      <c r="CY31">
        <f>EXP(1246.98+-61900/H31-183*LN(H31))</f>
        <v>2.9639048293559137E-3</v>
      </c>
      <c r="CZ31">
        <f>12.225*(F31^2)+15.258*F31+1125.7</f>
        <v>1272.76045</v>
      </c>
      <c r="DA31" s="15">
        <f>10^(-4470.99/H31+6.0875-0.01706*H31)</f>
        <v>1.5197844016134166E-15</v>
      </c>
      <c r="DB31">
        <f>(10^-I31)</f>
        <v>7.5857757502918245E-10</v>
      </c>
      <c r="DC31">
        <f>DB31^2</f>
        <v>5.7543993733715491E-19</v>
      </c>
      <c r="DD31" s="20">
        <f>((14.6836*10^-9)*((H31/217.2056)-1)^1.997)*100*100</f>
        <v>1.0819377765825273E-5</v>
      </c>
      <c r="DE31">
        <f>CY31+CZ31*DA31/DB31</f>
        <v>5.5138371534508611E-3</v>
      </c>
      <c r="DF31">
        <f>1+DC31*(CU31*CX31+CU31*DB31)^-1</f>
        <v>1.0023972654088136</v>
      </c>
      <c r="DG31">
        <f>(DE31*DF31/DD31)^0.5</f>
        <v>22.601942303392672</v>
      </c>
      <c r="DH31">
        <f>DD31/(BO31/60/60)</f>
        <v>3.3467957309580472E-2</v>
      </c>
      <c r="DI31" s="16">
        <f>DF31/((DF31-1)+TANH(DG31*DH31)/(DG31*DH31))</f>
        <v>1.1833131574076834</v>
      </c>
      <c r="DJ31">
        <f>$DI31*BR31</f>
        <v>-25.751067416495601</v>
      </c>
      <c r="DK31">
        <f>$DI31*BY31</f>
        <v>-37.650104553790783</v>
      </c>
      <c r="DL31">
        <f>$DI31*CF31</f>
        <v>-5.8309573598266571</v>
      </c>
      <c r="DM31">
        <f>$DI31*CM31</f>
        <v>-19.11584696347672</v>
      </c>
    </row>
    <row r="32" spans="1:117" ht="15.75" x14ac:dyDescent="0.25">
      <c r="A32" s="52" t="s">
        <v>329</v>
      </c>
      <c r="B32" s="55" t="s">
        <v>341</v>
      </c>
      <c r="C32" t="s">
        <v>165</v>
      </c>
      <c r="D32" s="57">
        <v>43215</v>
      </c>
      <c r="E32" s="42" t="str">
        <f>A32&amp;D32</f>
        <v>56A43215</v>
      </c>
      <c r="F32" s="3">
        <f>VLOOKUP($E32,Water!$C$2:$E$90, 2, FALSE)</f>
        <v>2.9</v>
      </c>
      <c r="G32" s="3">
        <f>VLOOKUP($E32,Water!$C$2:$E$90, 3, FALSE)</f>
        <v>0.8</v>
      </c>
      <c r="H32" s="1">
        <f>F32+273.15</f>
        <v>276.04999999999995</v>
      </c>
      <c r="I32" s="3">
        <f>VLOOKUP($E32,Water!$C$2:$F$90, 4, FALSE)</f>
        <v>9.1199999999999992</v>
      </c>
      <c r="J32">
        <f>10^(I32*-1)</f>
        <v>7.5857757502918245E-10</v>
      </c>
      <c r="K32" s="25">
        <f>VLOOKUP($E32,Atm!$D$2:$G$45, 2, FALSE)</f>
        <v>435.17637940607648</v>
      </c>
      <c r="L32" s="25">
        <f>VLOOKUP($E32,Atm!$D$2:$G$45, 3, FALSE)</f>
        <v>1.8837922509577909</v>
      </c>
      <c r="M32" s="25">
        <f>VLOOKUP($E32,Atm!$D$2:$G$45, 4, FALSE)</f>
        <v>0.32881774846468698</v>
      </c>
      <c r="N32" s="21">
        <f>VLOOKUP($C32,Raw!$B$2:$F$353, 3, FALSE)</f>
        <v>176.18260892467649</v>
      </c>
      <c r="O32" s="21">
        <f>VLOOKUP($C32,Raw!$B$2:$F$353, 4, FALSE)</f>
        <v>3.132147647270298</v>
      </c>
      <c r="P32" s="21">
        <f>VLOOKUP($C32,Raw!$B$2:$F$353, 5, FALSE)</f>
        <v>0.50259825810657377</v>
      </c>
      <c r="Q32" s="14">
        <v>60</v>
      </c>
      <c r="R32" s="25">
        <v>1140</v>
      </c>
      <c r="S32">
        <f>EXP(24.4543-(100/H32*(67.4509))-(4.8489*LN(H32/100))-(0.000544*G32))</f>
        <v>7.4163299004207945E-3</v>
      </c>
      <c r="T32" s="8">
        <f>EXP(-58.0931+90.5069*(100/H32)+22.294*LN(H32/100)+G32*(0.027766-0.025888*(H32/100)+0.0050578*(H32/100)^2))</f>
        <v>6.9029745567736153E-2</v>
      </c>
      <c r="U32" s="9">
        <f>(EXP(-67.1962+99.1624*(100/H32)+27.9015*LN(H32/100)+G32*(-0.072909+0.041674*(H32/100)-0.0064603*(H32/100)^2)))</f>
        <v>5.2420003727579101E-2</v>
      </c>
      <c r="V32" s="9">
        <f>(EXP(-64.8539+100.252*(100/H32)+25.2049*LN(H32/100)+(-0.062544+0.035337*(H32/100)-0.0054699*(H32/100)^2)*G32))</f>
        <v>5.2377388650447491E-2</v>
      </c>
      <c r="W32" s="9">
        <f>(EXP(-68.8862+101.4956*(100/H32)+28.7314*LN(H32/100)+G32*(-0.076146+0.04397*(H32/100)-0.0068672*(H32/100)^2)))</f>
        <v>5.23100256988231E-2</v>
      </c>
      <c r="X32">
        <f>N32*(AZ32-S32)</f>
        <v>160.48000687125003</v>
      </c>
      <c r="Y32">
        <f>O32*(AZ32-S32)</f>
        <v>2.8529891742640969</v>
      </c>
      <c r="Z32">
        <f>((Y32/10^6)*AZ32)/(0.082056*H32)</f>
        <v>1.1565958662684745E-7</v>
      </c>
      <c r="AA32">
        <f>(((L32/10^6)*AZ32)/(0.082056*H32))</f>
        <v>7.6368545314524858E-8</v>
      </c>
      <c r="AB32">
        <f>((Y32/10^6)*U32*1)/(0.082056*H32)</f>
        <v>6.602358118932936E-9</v>
      </c>
      <c r="AC32">
        <f>(Z32*(Q32/1000))+(AB32*(R32/1000))</f>
        <v>1.4466263453194394E-8</v>
      </c>
      <c r="AD32" s="39">
        <f>((AC32-(AA32*(Q32/1000)))/(R32/1000))*1000000</f>
        <v>8.6703076616867561E-3</v>
      </c>
      <c r="AE32" s="39">
        <f>(AD32/((U32*AZ32*1))*(0.0821*273.15))</f>
        <v>4.0392637954161916</v>
      </c>
      <c r="AF32" s="39">
        <f>L32*U32*AZ32*1/(0.0821*273.15)</f>
        <v>4.0435730899874471E-3</v>
      </c>
      <c r="AG32" s="39">
        <f>AD32-AF32</f>
        <v>4.626734571699309E-3</v>
      </c>
      <c r="AH32" s="42">
        <f>P32*(AZ32-S32)</f>
        <v>0.4578032554217914</v>
      </c>
      <c r="AI32">
        <f>(((X32/10^6)*(Q32/1000))/(0.082056*H32))</f>
        <v>4.2508334624083366E-7</v>
      </c>
      <c r="AJ32">
        <f>(((K32/10^6)*AZ32)*(Q32/1000))/(0.082056*H32)</f>
        <v>1.0585175844179156E-6</v>
      </c>
      <c r="AK32">
        <f>(X32/10^6)*T32*(R32/1000)</f>
        <v>1.2628799209055269E-5</v>
      </c>
      <c r="AL32">
        <f>AI32+AK32</f>
        <v>1.3053882555296102E-5</v>
      </c>
      <c r="AM32" s="39">
        <f>((AL32-AJ32)/(R32/1000))*1000000</f>
        <v>10.522249974454551</v>
      </c>
      <c r="AN32" s="39">
        <f>AM32/(T32*AZ32)</f>
        <v>165.99413222547759</v>
      </c>
      <c r="AO32" s="39">
        <f>(K32*AZ32)*T32</f>
        <v>27.58552116088595</v>
      </c>
      <c r="AP32" s="39">
        <f>AM32-AO32</f>
        <v>-17.0632711864314</v>
      </c>
      <c r="AQ32">
        <f>(((AH32/10^6)*(Q32/1000))/(0.082056*H32))</f>
        <v>1.2126404000641001E-9</v>
      </c>
      <c r="AR32">
        <f>(((M32/10^6)*AZ32)*(Q32/1000))/(0.082056*H32)</f>
        <v>7.9981218027873096E-10</v>
      </c>
      <c r="AS32">
        <f>(AH32/10^6)*V32*(R32/1000)</f>
        <v>2.7335534499520665E-8</v>
      </c>
      <c r="AT32">
        <f>AQ32+AS32</f>
        <v>2.8548174899584765E-8</v>
      </c>
      <c r="AU32" s="39">
        <f>((AT32-AR32)/(R32/1000))*1000000000</f>
        <v>24.340669052022836</v>
      </c>
      <c r="AV32" s="39">
        <f>(AU32/1000)/(V32*AZ32)</f>
        <v>0.5060682174449066</v>
      </c>
      <c r="AW32" s="39">
        <f>(M32*AZ32)*V32*1000</f>
        <v>15.815346069784665</v>
      </c>
      <c r="AX32" s="39">
        <f>AU32-AW32</f>
        <v>8.5253229822381709</v>
      </c>
      <c r="AY32" s="26">
        <f>VLOOKUP($E32,Water!$C$2:$G$90, 5, FALSE)</f>
        <v>697.9</v>
      </c>
      <c r="AZ32">
        <f>AY32/760</f>
        <v>0.91828947368421054</v>
      </c>
      <c r="BA32" s="3">
        <f>Assumptions!$B$3</f>
        <v>406.07</v>
      </c>
      <c r="BB32" s="3">
        <f>BA32*AZ32*T32</f>
        <v>25.740488472947082</v>
      </c>
      <c r="BC32" s="3">
        <f>Assumptions!$B$4</f>
        <v>1.8474300000000001</v>
      </c>
      <c r="BD32" s="45">
        <f>BC32*AZ32*U32*1/(0.0821*273.15)</f>
        <v>3.9655212669217474E-3</v>
      </c>
      <c r="BE32" s="3">
        <f>Assumptions!$B$2</f>
        <v>0.33054499999999998</v>
      </c>
      <c r="BF32" s="44">
        <f>BE32*AZ32*V32*1000</f>
        <v>15.898422731272955</v>
      </c>
      <c r="BG32">
        <f>1923.6+(-125.06*F32)+(4.3773*(F32^2))+(-0.085681*(F32^3))+(0.00070284*(F32^4))</f>
        <v>1595.6991296288038</v>
      </c>
      <c r="BH32">
        <f>1909.4+(-120.78*F32)+(4.1555*(F32^2))+(-0.080578*(F32^3))+(0.00065777*(F32^4))</f>
        <v>1592.1670609803371</v>
      </c>
      <c r="BI32">
        <f>2141.2+(-152.56*F32)+(5.8963*(F32^2))+(-0.12411*(F32^3))+(0.0010655*(F32^4))</f>
        <v>1745.4123250005496</v>
      </c>
      <c r="BJ32" s="25">
        <f>VLOOKUP(E32,Wind!$C$2:$E$109,3, FALSE)</f>
        <v>2.9166666666666665</v>
      </c>
      <c r="BK32" s="44">
        <v>1.66</v>
      </c>
      <c r="BL32">
        <f>BK32/(1-(((1.3*10^-3)^0.5)/0.41)*LN(10/1.5))</f>
        <v>1.9923982880693825</v>
      </c>
      <c r="BM32">
        <f>BK32*1.22</f>
        <v>2.0251999999999999</v>
      </c>
      <c r="BN32">
        <f>2.07+0.215*(BM32^1.7)*(24/100)</f>
        <v>2.241255750541113</v>
      </c>
      <c r="BO32">
        <f>BN32*((600/BG32)^0.67)</f>
        <v>1.1637925672213434</v>
      </c>
      <c r="BP32">
        <f>BN32*((600/BH32)^0.67)</f>
        <v>1.1655217147258006</v>
      </c>
      <c r="BQ32">
        <f>BN32*((600/BI32)^0.67)</f>
        <v>1.0959255926466531</v>
      </c>
      <c r="BR32" s="39">
        <f>BO32*(AM32-BB32)</f>
        <v>-17.710872850747304</v>
      </c>
      <c r="BS32" s="39">
        <f>BP32*(AD32-BD32)</f>
        <v>5.4835307062451304E-3</v>
      </c>
      <c r="BT32" s="39">
        <f>BQ32*(AU32-BF32)</f>
        <v>9.2520738023368398</v>
      </c>
      <c r="BU32">
        <f>(2.51+1.48*BM32)+(0.39*BM32*LOG10(0.0015))</f>
        <v>3.2768938069574309</v>
      </c>
      <c r="BV32">
        <f>BU32*((600/$BG32)^0.67)</f>
        <v>1.7015571093080186</v>
      </c>
      <c r="BW32">
        <f>BU32*((600/$BH32)^0.67)</f>
        <v>1.7040852602106111</v>
      </c>
      <c r="BX32">
        <f>BU32*((600/$BI32)^0.67)</f>
        <v>1.6023302055389834</v>
      </c>
      <c r="BY32" s="39">
        <f>BV32*($AM32-$BB32)</f>
        <v>-25.894701908254952</v>
      </c>
      <c r="BZ32" s="39">
        <f>BW32*($AD32-$BD32)</f>
        <v>8.0173571477584731E-3</v>
      </c>
      <c r="CA32" s="39">
        <f>BX32*($AU32-$BF32)</f>
        <v>13.527266282337884</v>
      </c>
      <c r="CB32" s="42">
        <f>AVERAGE(0.72,0.69,0.4,0.22)</f>
        <v>0.50750000000000006</v>
      </c>
      <c r="CC32">
        <f>CB32*((600/$BG32)^0.67)</f>
        <v>0.26352402117528784</v>
      </c>
      <c r="CD32">
        <f>CB32*((600/$BH32)^0.67)</f>
        <v>0.26391556165802837</v>
      </c>
      <c r="CE32">
        <f>CB32*((600/$BI32)^0.67)</f>
        <v>0.24815652481154629</v>
      </c>
      <c r="CF32" s="39">
        <f>CC32*($AM32-$BB32)</f>
        <v>-4.0103714043273264</v>
      </c>
      <c r="CG32" s="39">
        <f>CD32*($AD32-$BD32)</f>
        <v>1.2416663438554578E-3</v>
      </c>
      <c r="CH32" s="39">
        <f>CE32*($AU32-$BF32)</f>
        <v>2.0949985085603533</v>
      </c>
      <c r="CI32">
        <v>0.86263901889527161</v>
      </c>
      <c r="CJ32">
        <f>((BG32/BH32)^0.67)*CI32</f>
        <v>0.86392071646645596</v>
      </c>
      <c r="CK32">
        <f>((BH32/BH32)^0.67)*CI32</f>
        <v>0.86263901889527161</v>
      </c>
      <c r="CL32">
        <f>((BI32/BH32)^0.67)*CI32</f>
        <v>0.91742041178553524</v>
      </c>
      <c r="CM32" s="39">
        <f>CJ32*($AM32-$BB32)</f>
        <v>-13.14735150697507</v>
      </c>
      <c r="CN32" s="39">
        <f>CK32*($AD32-$BD32)</f>
        <v>4.0585323196919093E-3</v>
      </c>
      <c r="CO32" s="39">
        <f>CL32*($AU32-$BF32)</f>
        <v>7.7450890959772751</v>
      </c>
      <c r="CP32" s="27">
        <f>VLOOKUP(A32,Water!$A$2:$E$109, 5, FALSE)/1000</f>
        <v>8.0000000000000004E-4</v>
      </c>
      <c r="CQ32">
        <f>0.64*CP32</f>
        <v>5.1200000000000009E-4</v>
      </c>
      <c r="CR32" s="19">
        <f>CQ32*1000*(2.5*10^-5)</f>
        <v>1.2800000000000003E-5</v>
      </c>
      <c r="CS32" s="18">
        <f>(-0.0000009*F32^3)+(0.0002*F32^2)-(0.0134*F32)+6.579</f>
        <v>6.5418000499</v>
      </c>
      <c r="CT32" s="18">
        <f>CS32-(SQRT(CP32))/(1+1.4*SQRT(CP32))</f>
        <v>6.5145931181836065</v>
      </c>
      <c r="CU32" s="18">
        <f>10^(-CT32)</f>
        <v>3.0577845488618051E-7</v>
      </c>
      <c r="CV32" s="18">
        <f>(0.000001*F32^3)+(0.00006*F32^2)-(0.014*F32)+10.625</f>
        <v>10.584928989</v>
      </c>
      <c r="CW32" s="18">
        <f>CV32-(2*SQRT(CR32))/(1+1.4*SQRT(CR32))</f>
        <v>10.577809232851559</v>
      </c>
      <c r="CX32" s="18">
        <f>10^(-CW32)</f>
        <v>2.6435697103904417E-11</v>
      </c>
      <c r="CY32">
        <f>EXP(1246.98+-61900/H32-183*LN(H32))</f>
        <v>2.9639048293559137E-3</v>
      </c>
      <c r="CZ32">
        <f>12.225*(F32^2)+15.258*F32+1125.7</f>
        <v>1272.76045</v>
      </c>
      <c r="DA32" s="15">
        <f>10^(-4470.99/H32+6.0875-0.01706*H32)</f>
        <v>1.5197844016134166E-15</v>
      </c>
      <c r="DB32">
        <f>(10^-I32)</f>
        <v>7.5857757502918245E-10</v>
      </c>
      <c r="DC32">
        <f>DB32^2</f>
        <v>5.7543993733715491E-19</v>
      </c>
      <c r="DD32" s="20">
        <f>((14.6836*10^-9)*((H32/217.2056)-1)^1.997)*100*100</f>
        <v>1.0819377765825273E-5</v>
      </c>
      <c r="DE32">
        <f>CY32+CZ32*DA32/DB32</f>
        <v>5.5138371534508611E-3</v>
      </c>
      <c r="DF32">
        <f>1+DC32*(CU32*CX32+CU32*DB32)^-1</f>
        <v>1.0023972654088136</v>
      </c>
      <c r="DG32">
        <f>(DE32*DF32/DD32)^0.5</f>
        <v>22.601942303392672</v>
      </c>
      <c r="DH32">
        <f>DD32/(BO32/60/60)</f>
        <v>3.3467957309580472E-2</v>
      </c>
      <c r="DI32" s="16">
        <f>DF32/((DF32-1)+TANH(DG32*DH32)/(DG32*DH32))</f>
        <v>1.1833131574076834</v>
      </c>
      <c r="DJ32">
        <f>$DI32*BR32</f>
        <v>-20.957508873463812</v>
      </c>
      <c r="DK32">
        <f>$DI32*BY32</f>
        <v>-30.641541475187932</v>
      </c>
      <c r="DL32">
        <f>$DI32*CF32</f>
        <v>-4.7455252488320543</v>
      </c>
      <c r="DM32">
        <f>$DI32*CM32</f>
        <v>-15.557434023267335</v>
      </c>
    </row>
    <row r="33" spans="1:117" ht="15.75" x14ac:dyDescent="0.25">
      <c r="A33" s="52" t="s">
        <v>329</v>
      </c>
      <c r="B33" s="55" t="s">
        <v>342</v>
      </c>
      <c r="C33" t="s">
        <v>166</v>
      </c>
      <c r="D33" s="57">
        <v>43215</v>
      </c>
      <c r="E33" s="42" t="str">
        <f>A33&amp;D33</f>
        <v>56A43215</v>
      </c>
      <c r="F33" s="3">
        <f>VLOOKUP($E33,Water!$C$2:$E$90, 2, FALSE)</f>
        <v>2.9</v>
      </c>
      <c r="G33" s="3">
        <f>VLOOKUP($E33,Water!$C$2:$E$90, 3, FALSE)</f>
        <v>0.8</v>
      </c>
      <c r="H33" s="1">
        <f>F33+273.15</f>
        <v>276.04999999999995</v>
      </c>
      <c r="I33" s="3">
        <f>VLOOKUP($E33,Water!$C$2:$F$90, 4, FALSE)</f>
        <v>9.1199999999999992</v>
      </c>
      <c r="J33">
        <f>10^(I33*-1)</f>
        <v>7.5857757502918245E-10</v>
      </c>
      <c r="K33" s="25">
        <f>VLOOKUP($E33,Atm!$D$2:$G$45, 2, FALSE)</f>
        <v>435.17637940607648</v>
      </c>
      <c r="L33" s="25">
        <f>VLOOKUP($E33,Atm!$D$2:$G$45, 3, FALSE)</f>
        <v>1.8837922509577909</v>
      </c>
      <c r="M33" s="25">
        <f>VLOOKUP($E33,Atm!$D$2:$G$45, 4, FALSE)</f>
        <v>0.32881774846468698</v>
      </c>
      <c r="N33" s="21">
        <f>VLOOKUP($C33,Raw!$B$2:$F$353, 3, FALSE)</f>
        <v>120.67823813763771</v>
      </c>
      <c r="O33" s="21">
        <f>VLOOKUP($C33,Raw!$B$2:$F$353, 4, FALSE)</f>
        <v>3.1605523502046888</v>
      </c>
      <c r="P33" s="21">
        <f>VLOOKUP($C33,Raw!$B$2:$F$353, 5, FALSE)</f>
        <v>0.4911131775239776</v>
      </c>
      <c r="Q33" s="14">
        <v>60</v>
      </c>
      <c r="R33" s="25">
        <v>1140</v>
      </c>
      <c r="S33">
        <f>EXP(24.4543-(100/H33*(67.4509))-(4.8489*LN(H33/100))-(0.000544*G33))</f>
        <v>7.4163299004207945E-3</v>
      </c>
      <c r="T33" s="8">
        <f>EXP(-58.0931+90.5069*(100/H33)+22.294*LN(H33/100)+G33*(0.027766-0.025888*(H33/100)+0.0050578*(H33/100)^2))</f>
        <v>6.9029745567736153E-2</v>
      </c>
      <c r="U33" s="9">
        <f>(EXP(-67.1962+99.1624*(100/H33)+27.9015*LN(H33/100)+G33*(-0.072909+0.041674*(H33/100)-0.0064603*(H33/100)^2)))</f>
        <v>5.2420003727579101E-2</v>
      </c>
      <c r="V33" s="9">
        <f>(EXP(-64.8539+100.252*(100/H33)+25.2049*LN(H33/100)+(-0.062544+0.035337*(H33/100)-0.0054699*(H33/100)^2)*G33))</f>
        <v>5.2377388650447491E-2</v>
      </c>
      <c r="W33" s="9">
        <f>(EXP(-68.8862+101.4956*(100/H33)+28.7314*LN(H33/100)+G33*(-0.076146+0.04397*(H33/100)-0.0068672*(H33/100)^2)))</f>
        <v>5.23100256988231E-2</v>
      </c>
      <c r="X33">
        <f>N33*(AZ33-S33)</f>
        <v>109.92256615871888</v>
      </c>
      <c r="Y33">
        <f>O33*(AZ33-S33)</f>
        <v>2.87886225532419</v>
      </c>
      <c r="Z33">
        <f>((Y33/10^6)*AZ33)/(0.082056*H33)</f>
        <v>1.1670847594166413E-7</v>
      </c>
      <c r="AA33">
        <f>(((L33/10^6)*AZ33)/(0.082056*H33))</f>
        <v>7.6368545314524858E-8</v>
      </c>
      <c r="AB33">
        <f>((Y33/10^6)*U33*1)/(0.082056*H33)</f>
        <v>6.6622333362453119E-9</v>
      </c>
      <c r="AC33">
        <f>(Z33*(Q33/1000))+(AB33*(R33/1000))</f>
        <v>1.4597454559819502E-8</v>
      </c>
      <c r="AD33" s="39">
        <f>((AC33-(AA33*(Q33/1000)))/(R33/1000))*1000000</f>
        <v>8.7853875797789579E-3</v>
      </c>
      <c r="AE33" s="39">
        <f>(AD33/((U33*AZ33*1))*(0.0821*273.15))</f>
        <v>4.09287644272551</v>
      </c>
      <c r="AF33" s="39">
        <f>L33*U33*AZ33*1/(0.0821*273.15)</f>
        <v>4.0435730899874471E-3</v>
      </c>
      <c r="AG33" s="39">
        <f>AD33-AF33</f>
        <v>4.7418144897915107E-3</v>
      </c>
      <c r="AH33" s="42">
        <f>P33*(AZ33-S33)</f>
        <v>0.44734180396491185</v>
      </c>
      <c r="AI33">
        <f>(((X33/10^6)*(Q33/1000))/(0.082056*H33))</f>
        <v>2.9116556735703036E-7</v>
      </c>
      <c r="AJ33">
        <f>(((K33/10^6)*AZ33)*(Q33/1000))/(0.082056*H33)</f>
        <v>1.0585175844179156E-6</v>
      </c>
      <c r="AK33">
        <f>(X33/10^6)*T33*(R33/1000)</f>
        <v>8.6502365224614694E-6</v>
      </c>
      <c r="AL33">
        <f>AI33+AK33</f>
        <v>8.9414020898185006E-6</v>
      </c>
      <c r="AM33" s="39">
        <f>((AL33-AJ33)/(R33/1000))*1000000</f>
        <v>6.9148109696496372</v>
      </c>
      <c r="AN33" s="39">
        <f>AM33/(T33*AZ33)</f>
        <v>109.08484869650751</v>
      </c>
      <c r="AO33" s="39">
        <f>(K33*AZ33)*T33</f>
        <v>27.58552116088595</v>
      </c>
      <c r="AP33" s="39">
        <f>AM33-AO33</f>
        <v>-20.670710191236314</v>
      </c>
      <c r="AQ33">
        <f>(((AH33/10^6)*(Q33/1000))/(0.082056*H33))</f>
        <v>1.1849298529465757E-9</v>
      </c>
      <c r="AR33">
        <f>(((M33/10^6)*AZ33)*(Q33/1000))/(0.082056*H33)</f>
        <v>7.9981218027873096E-10</v>
      </c>
      <c r="AS33">
        <f>(AH33/10^6)*V33*(R33/1000)</f>
        <v>2.6710878899483223E-8</v>
      </c>
      <c r="AT33">
        <f>AQ33+AS33</f>
        <v>2.7895808752429798E-8</v>
      </c>
      <c r="AU33" s="39">
        <f>((AT33-AR33)/(R33/1000))*1000000000</f>
        <v>23.76841804574655</v>
      </c>
      <c r="AV33" s="39">
        <f>(AU33/1000)/(V33*AZ33)</f>
        <v>0.49417051463080808</v>
      </c>
      <c r="AW33" s="39">
        <f>(M33*AZ33)*V33*1000</f>
        <v>15.815346069784665</v>
      </c>
      <c r="AX33" s="39">
        <f>AU33-AW33</f>
        <v>7.9530719759618851</v>
      </c>
      <c r="AY33" s="26">
        <f>VLOOKUP($E33,Water!$C$2:$G$90, 5, FALSE)</f>
        <v>697.9</v>
      </c>
      <c r="AZ33">
        <f>AY33/760</f>
        <v>0.91828947368421054</v>
      </c>
      <c r="BA33" s="3">
        <f>Assumptions!$B$3</f>
        <v>406.07</v>
      </c>
      <c r="BB33" s="3">
        <f>BA33*AZ33*T33</f>
        <v>25.740488472947082</v>
      </c>
      <c r="BC33" s="3">
        <f>Assumptions!$B$4</f>
        <v>1.8474300000000001</v>
      </c>
      <c r="BD33" s="45">
        <f>BC33*AZ33*U33*1/(0.0821*273.15)</f>
        <v>3.9655212669217474E-3</v>
      </c>
      <c r="BE33" s="3">
        <f>Assumptions!$B$2</f>
        <v>0.33054499999999998</v>
      </c>
      <c r="BF33" s="44">
        <f>BE33*AZ33*V33*1000</f>
        <v>15.898422731272955</v>
      </c>
      <c r="BG33">
        <f>1923.6+(-125.06*F33)+(4.3773*(F33^2))+(-0.085681*(F33^3))+(0.00070284*(F33^4))</f>
        <v>1595.6991296288038</v>
      </c>
      <c r="BH33">
        <f>1909.4+(-120.78*F33)+(4.1555*(F33^2))+(-0.080578*(F33^3))+(0.00065777*(F33^4))</f>
        <v>1592.1670609803371</v>
      </c>
      <c r="BI33">
        <f>2141.2+(-152.56*F33)+(5.8963*(F33^2))+(-0.12411*(F33^3))+(0.0010655*(F33^4))</f>
        <v>1745.4123250005496</v>
      </c>
      <c r="BJ33" s="25">
        <f>VLOOKUP(E33,Wind!$C$2:$E$109,3, FALSE)</f>
        <v>2.9166666666666665</v>
      </c>
      <c r="BK33" s="44">
        <v>1.66</v>
      </c>
      <c r="BL33">
        <f>BK33/(1-(((1.3*10^-3)^0.5)/0.41)*LN(10/1.5))</f>
        <v>1.9923982880693825</v>
      </c>
      <c r="BM33">
        <f>BK33*1.22</f>
        <v>2.0251999999999999</v>
      </c>
      <c r="BN33">
        <f>2.07+0.215*(BM33^1.7)*(24/100)</f>
        <v>2.241255750541113</v>
      </c>
      <c r="BO33">
        <f>BN33*((600/BG33)^0.67)</f>
        <v>1.1637925672213434</v>
      </c>
      <c r="BP33">
        <f>BN33*((600/BH33)^0.67)</f>
        <v>1.1655217147258006</v>
      </c>
      <c r="BQ33">
        <f>BN33*((600/BI33)^0.67)</f>
        <v>1.0959255926466531</v>
      </c>
      <c r="BR33" s="39">
        <f>BO33*(AM33-BB33)</f>
        <v>-21.909183551243625</v>
      </c>
      <c r="BS33" s="39">
        <f>BP33*(AD33-BD33)</f>
        <v>5.6176588497104576E-3</v>
      </c>
      <c r="BT33" s="39">
        <f>BQ33*(AU33-BF33)</f>
        <v>8.6249292791408578</v>
      </c>
      <c r="BU33">
        <f>(2.51+1.48*BM33)+(0.39*BM33*LOG10(0.0015))</f>
        <v>3.2768938069574309</v>
      </c>
      <c r="BV33">
        <f>BU33*((600/$BG33)^0.67)</f>
        <v>1.7015571093080186</v>
      </c>
      <c r="BW33">
        <f>BU33*((600/$BH33)^0.67)</f>
        <v>1.7040852602106111</v>
      </c>
      <c r="BX33">
        <f>BU33*((600/$BI33)^0.67)</f>
        <v>1.6023302055389834</v>
      </c>
      <c r="BY33" s="39">
        <f>BV33*($AM33-$BB33)</f>
        <v>-32.032965393275795</v>
      </c>
      <c r="BZ33" s="39">
        <f>BW33*($AD33-$BD33)</f>
        <v>8.2134631399256378E-3</v>
      </c>
      <c r="CA33" s="39">
        <f>BX33*($AU33-$BF33)</f>
        <v>12.610331209831312</v>
      </c>
      <c r="CB33" s="42">
        <f>AVERAGE(0.72,0.69,0.4,0.22)</f>
        <v>0.50750000000000006</v>
      </c>
      <c r="CC33">
        <f>CB33*((600/$BG33)^0.67)</f>
        <v>0.26352402117528784</v>
      </c>
      <c r="CD33">
        <f>CB33*((600/$BH33)^0.67)</f>
        <v>0.26391556165802837</v>
      </c>
      <c r="CE33">
        <f>CB33*((600/$BI33)^0.67)</f>
        <v>0.24815652481154629</v>
      </c>
      <c r="CF33" s="39">
        <f>CC33*($AM33-$BB33)</f>
        <v>-4.961018237018096</v>
      </c>
      <c r="CG33" s="39">
        <f>CD33*($AD33-$BD33)</f>
        <v>1.2720377250743211E-3</v>
      </c>
      <c r="CH33" s="39">
        <f>CE33*($AU33-$BF33)</f>
        <v>1.9529906875229197</v>
      </c>
      <c r="CI33">
        <v>0.86263901889527161</v>
      </c>
      <c r="CJ33">
        <f>((BG33/BH33)^0.67)*CI33</f>
        <v>0.86392071646645596</v>
      </c>
      <c r="CK33">
        <f>((BH33/BH33)^0.67)*CI33</f>
        <v>0.86263901889527161</v>
      </c>
      <c r="CL33">
        <f>((BI33/BH33)^0.67)*CI33</f>
        <v>0.91742041178553524</v>
      </c>
      <c r="CM33" s="39">
        <f>CJ33*($AM33-$BB33)</f>
        <v>-16.263892796615171</v>
      </c>
      <c r="CN33" s="39">
        <f>CK33*($AD33-$BD33)</f>
        <v>4.1578047473295144E-3</v>
      </c>
      <c r="CO33" s="39">
        <f>CL33*($AU33-$BF33)</f>
        <v>7.2200943421545984</v>
      </c>
      <c r="CP33" s="27">
        <f>VLOOKUP(A33,Water!$A$2:$E$109, 5, FALSE)/1000</f>
        <v>8.0000000000000004E-4</v>
      </c>
      <c r="CQ33">
        <f>0.64*CP33</f>
        <v>5.1200000000000009E-4</v>
      </c>
      <c r="CR33" s="19">
        <f>CQ33*1000*(2.5*10^-5)</f>
        <v>1.2800000000000003E-5</v>
      </c>
      <c r="CS33" s="18">
        <f>(-0.0000009*F33^3)+(0.0002*F33^2)-(0.0134*F33)+6.579</f>
        <v>6.5418000499</v>
      </c>
      <c r="CT33" s="18">
        <f>CS33-(SQRT(CP33))/(1+1.4*SQRT(CP33))</f>
        <v>6.5145931181836065</v>
      </c>
      <c r="CU33" s="18">
        <f>10^(-CT33)</f>
        <v>3.0577845488618051E-7</v>
      </c>
      <c r="CV33" s="18">
        <f>(0.000001*F33^3)+(0.00006*F33^2)-(0.014*F33)+10.625</f>
        <v>10.584928989</v>
      </c>
      <c r="CW33" s="18">
        <f>CV33-(2*SQRT(CR33))/(1+1.4*SQRT(CR33))</f>
        <v>10.577809232851559</v>
      </c>
      <c r="CX33" s="18">
        <f>10^(-CW33)</f>
        <v>2.6435697103904417E-11</v>
      </c>
      <c r="CY33">
        <f>EXP(1246.98+-61900/H33-183*LN(H33))</f>
        <v>2.9639048293559137E-3</v>
      </c>
      <c r="CZ33">
        <f>12.225*(F33^2)+15.258*F33+1125.7</f>
        <v>1272.76045</v>
      </c>
      <c r="DA33" s="15">
        <f>10^(-4470.99/H33+6.0875-0.01706*H33)</f>
        <v>1.5197844016134166E-15</v>
      </c>
      <c r="DB33">
        <f>(10^-I33)</f>
        <v>7.5857757502918245E-10</v>
      </c>
      <c r="DC33">
        <f>DB33^2</f>
        <v>5.7543993733715491E-19</v>
      </c>
      <c r="DD33" s="20">
        <f>((14.6836*10^-9)*((H33/217.2056)-1)^1.997)*100*100</f>
        <v>1.0819377765825273E-5</v>
      </c>
      <c r="DE33">
        <f>CY33+CZ33*DA33/DB33</f>
        <v>5.5138371534508611E-3</v>
      </c>
      <c r="DF33">
        <f>1+DC33*(CU33*CX33+CU33*DB33)^-1</f>
        <v>1.0023972654088136</v>
      </c>
      <c r="DG33">
        <f>(DE33*DF33/DD33)^0.5</f>
        <v>22.601942303392672</v>
      </c>
      <c r="DH33">
        <f>DD33/(BO33/60/60)</f>
        <v>3.3467957309580472E-2</v>
      </c>
      <c r="DI33" s="16">
        <f>DF33/((DF33-1)+TANH(DG33*DH33)/(DG33*DH33))</f>
        <v>1.1833131574076834</v>
      </c>
      <c r="DJ33">
        <f>$DI33*BR33</f>
        <v>-25.925425164246576</v>
      </c>
      <c r="DK33">
        <f>$DI33*BY33</f>
        <v>-37.905029420648233</v>
      </c>
      <c r="DL33">
        <f>$DI33*CF33</f>
        <v>-5.870438154002982</v>
      </c>
      <c r="DM33">
        <f>$DI33*CM33</f>
        <v>-19.245278336902775</v>
      </c>
    </row>
    <row r="34" spans="1:117" ht="15.75" x14ac:dyDescent="0.25">
      <c r="A34" s="52" t="s">
        <v>330</v>
      </c>
      <c r="B34" s="55" t="s">
        <v>339</v>
      </c>
      <c r="C34" t="s">
        <v>168</v>
      </c>
      <c r="D34" s="57">
        <v>43223</v>
      </c>
      <c r="E34" s="42" t="str">
        <f>A34&amp;D34</f>
        <v>62B43223</v>
      </c>
      <c r="F34" s="3">
        <f>VLOOKUP($E34,Water!$C$2:$E$90, 2, FALSE)</f>
        <v>12.5</v>
      </c>
      <c r="G34" s="3">
        <f>VLOOKUP($E34,Water!$C$2:$E$90, 3, FALSE)</f>
        <v>1.43</v>
      </c>
      <c r="H34" s="1">
        <f>F34+273.15</f>
        <v>285.64999999999998</v>
      </c>
      <c r="I34" s="3">
        <f>VLOOKUP($E34,Water!$C$2:$F$90, 4, FALSE)</f>
        <v>9.41</v>
      </c>
      <c r="J34">
        <f>10^(I34*-1)</f>
        <v>3.8904514499427963E-10</v>
      </c>
      <c r="K34" s="25">
        <f>VLOOKUP($E34,Atm!$D$2:$G$45, 2, FALSE)</f>
        <v>453.94096696817888</v>
      </c>
      <c r="L34" s="25">
        <f>VLOOKUP($E34,Atm!$D$2:$G$45, 3, FALSE)</f>
        <v>2.4732134464892819</v>
      </c>
      <c r="M34" s="25">
        <f>VLOOKUP($E34,Atm!$D$2:$G$45, 4, FALSE)</f>
        <v>0.33395690097660158</v>
      </c>
      <c r="N34" s="21">
        <f>VLOOKUP($C34,Raw!$B$2:$F$353, 3, FALSE)</f>
        <v>176.13671603894159</v>
      </c>
      <c r="O34" s="21">
        <f>VLOOKUP($C34,Raw!$B$2:$F$353, 4, FALSE)</f>
        <v>111.6766802887926</v>
      </c>
      <c r="P34" s="21">
        <f>VLOOKUP($C34,Raw!$B$2:$F$353, 5, FALSE)</f>
        <v>0.32498481621808434</v>
      </c>
      <c r="Q34" s="14">
        <v>60</v>
      </c>
      <c r="R34" s="25">
        <v>1140</v>
      </c>
      <c r="S34">
        <f>EXP(24.4543-(100/H34*(67.4509))-(4.8489*LN(H34/100))-(0.000544*G34))</f>
        <v>1.4278544571688871E-2</v>
      </c>
      <c r="T34" s="8">
        <f>EXP(-58.0931+90.5069*(100/H34)+22.294*LN(H34/100)+G34*(0.027766-0.025888*(H34/100)+0.0050578*(H34/100)^2))</f>
        <v>4.9003452025270462E-2</v>
      </c>
      <c r="U34" s="9">
        <f>(EXP(-67.1962+99.1624*(100/H34)+27.9015*LN(H34/100)+G34*(-0.072909+0.041674*(H34/100)-0.0064603*(H34/100)^2)))</f>
        <v>4.0533517860230406E-2</v>
      </c>
      <c r="V34" s="9">
        <f>(EXP(-64.8539+100.252*(100/H34)+25.2049*LN(H34/100)+(-0.062544+0.035337*(H34/100)-0.0054699*(H34/100)^2)*G34))</f>
        <v>3.6453020687352601E-2</v>
      </c>
      <c r="W34" s="9">
        <f>(EXP(-68.8862+101.4956*(100/H34)+28.7314*LN(H34/100)+G34*(-0.076146+0.04397*(H34/100)-0.0068672*(H34/100)^2)))</f>
        <v>4.044712755091958E-2</v>
      </c>
      <c r="X34">
        <f>N34*(AZ34-S34)</f>
        <v>159.7023043444544</v>
      </c>
      <c r="Y34">
        <f>O34*(AZ34-S34)</f>
        <v>101.25670322884862</v>
      </c>
      <c r="Z34">
        <f>((Y34/10^6)*AZ34)/(0.082056*H34)</f>
        <v>3.9785647756766549E-6</v>
      </c>
      <c r="AA34">
        <f>(((L34/10^6)*AZ34)/(0.082056*H34))</f>
        <v>9.7177170371558062E-8</v>
      </c>
      <c r="AB34">
        <f>((Y34/10^6)*U34*1)/(0.082056*H34)</f>
        <v>1.7510296890970607E-7</v>
      </c>
      <c r="AC34">
        <f>(Z34*(Q34/1000))+(AB34*(R34/1000))</f>
        <v>4.3833127109766421E-7</v>
      </c>
      <c r="AD34" s="39">
        <f>((AC34-(AA34*(Q34/1000)))/(R34/1000))*1000000</f>
        <v>0.37938652708365855</v>
      </c>
      <c r="AE34" s="39">
        <f>(AD34/((U34*AZ34*1))*(0.0821*273.15))</f>
        <v>227.91071717963544</v>
      </c>
      <c r="AF34" s="39">
        <f>L34*U34*AZ34*1/(0.0821*273.15)</f>
        <v>4.1169799815101238E-3</v>
      </c>
      <c r="AG34" s="39">
        <f>AD34-AF34</f>
        <v>0.37526954710214844</v>
      </c>
      <c r="AH34" s="42">
        <f>P34*(AZ34-S34)</f>
        <v>0.29466215332135792</v>
      </c>
      <c r="AI34">
        <f>(((X34/10^6)*(Q34/1000))/(0.082056*H34))</f>
        <v>4.0880656557025593E-7</v>
      </c>
      <c r="AJ34">
        <f>(((K34/10^6)*AZ34)*(Q34/1000))/(0.082056*H34)</f>
        <v>1.0701712482191383E-6</v>
      </c>
      <c r="AK34">
        <f>(X34/10^6)*T34*(R34/1000)</f>
        <v>8.9215991985662205E-6</v>
      </c>
      <c r="AL34">
        <f>AI34+AK34</f>
        <v>9.3304057641364771E-6</v>
      </c>
      <c r="AM34" s="39">
        <f>((AL34-AJ34)/(R34/1000))*1000000</f>
        <v>7.2458197508046842</v>
      </c>
      <c r="AN34" s="39">
        <f>AM34/(T34*AZ34)</f>
        <v>160.55122756990923</v>
      </c>
      <c r="AO34" s="39">
        <f>(K34*AZ34)*T34</f>
        <v>20.486759733588421</v>
      </c>
      <c r="AP34" s="39">
        <f>AM34-AO34</f>
        <v>-13.240939982783736</v>
      </c>
      <c r="AQ34">
        <f>(((AH34/10^6)*(Q34/1000))/(0.082056*H34))</f>
        <v>7.5427729986304006E-10</v>
      </c>
      <c r="AR34">
        <f>(((M34/10^6)*AZ34)*(Q34/1000))/(0.082056*H34)</f>
        <v>7.8730738042107118E-10</v>
      </c>
      <c r="AS34">
        <f>(AH34/10^6)*V34*(R34/1000)</f>
        <v>1.2245111150715789E-8</v>
      </c>
      <c r="AT34">
        <f>AQ34+AS34</f>
        <v>1.299938845057883E-8</v>
      </c>
      <c r="AU34" s="39">
        <f>((AT34-AR34)/(R34/1000))*1000000000</f>
        <v>10.712351815927859</v>
      </c>
      <c r="AV34" s="39">
        <f>(AU34/1000)/(V34*AZ34)</f>
        <v>0.31908330697596382</v>
      </c>
      <c r="AW34" s="39">
        <f>(M34*AZ34)*V34*1000</f>
        <v>11.211692170683891</v>
      </c>
      <c r="AX34" s="39">
        <f>AU34-AW34</f>
        <v>-0.49934035475603267</v>
      </c>
      <c r="AY34" s="26">
        <f>VLOOKUP($E34,Water!$C$2:$G$90, 5, FALSE)</f>
        <v>699.94</v>
      </c>
      <c r="AZ34">
        <f>AY34/760</f>
        <v>0.92097368421052639</v>
      </c>
      <c r="BA34" s="3">
        <f>Assumptions!$B$3</f>
        <v>406.07</v>
      </c>
      <c r="BB34" s="3">
        <f>BA34*AZ34*T34</f>
        <v>18.326300401085881</v>
      </c>
      <c r="BC34" s="3">
        <f>Assumptions!$B$4</f>
        <v>1.8474300000000001</v>
      </c>
      <c r="BD34" s="45">
        <f>BC34*AZ34*U34*1/(0.0821*273.15)</f>
        <v>3.075283428544229E-3</v>
      </c>
      <c r="BE34" s="3">
        <f>Assumptions!$B$2</f>
        <v>0.33054499999999998</v>
      </c>
      <c r="BF34" s="44">
        <f>BE34*AZ34*V34*1000</f>
        <v>11.097146900456959</v>
      </c>
      <c r="BG34">
        <f>1923.6+(-125.06*F34)+(4.3773*(F34^2))+(-0.085681*(F34^3))+(0.00070284*(F34^4))</f>
        <v>894.11660156249991</v>
      </c>
      <c r="BH34">
        <f>1909.4+(-120.78*F34)+(4.1555*(F34^2))+(-0.080578*(F34^3))+(0.00065777*(F34^4))</f>
        <v>907.62680664062509</v>
      </c>
      <c r="BI34">
        <f>2141.2+(-152.56*F34)+(5.8963*(F34^2))+(-0.12411*(F34^3))+(0.0010655*(F34^4))</f>
        <v>939.10771484374982</v>
      </c>
      <c r="BJ34" s="25">
        <f>VLOOKUP(E34,Wind!$C$2:$E$109,3, FALSE)</f>
        <v>5.0555555555555554</v>
      </c>
      <c r="BK34" s="44">
        <v>1.66</v>
      </c>
      <c r="BL34">
        <f>BK34/(1-(((1.3*10^-3)^0.5)/0.41)*LN(10/1.5))</f>
        <v>1.9923982880693825</v>
      </c>
      <c r="BM34">
        <f>BK34*1.22</f>
        <v>2.0251999999999999</v>
      </c>
      <c r="BN34">
        <f>2.07+0.215*(BM34^1.7)*(24/100)</f>
        <v>2.241255750541113</v>
      </c>
      <c r="BO34">
        <f>BN34*((600/BG34)^0.67)</f>
        <v>1.7156103921338783</v>
      </c>
      <c r="BP34">
        <f>BN34*((600/BH34)^0.67)</f>
        <v>1.6984581647306429</v>
      </c>
      <c r="BQ34">
        <f>BN34*((600/BI34)^0.67)</f>
        <v>1.6600968711900779</v>
      </c>
      <c r="BR34" s="39">
        <f>BO34*(AM34-BB34)</f>
        <v>-19.009787753460774</v>
      </c>
      <c r="BS34" s="39">
        <f>BP34*(AD34-BD34)</f>
        <v>0.63914890426597126</v>
      </c>
      <c r="BT34" s="39">
        <f>BQ34*(AU34-BF34)</f>
        <v>-0.63879711587608146</v>
      </c>
      <c r="BU34">
        <f>(2.51+1.48*BM34)+(0.39*BM34*LOG10(0.0015))</f>
        <v>3.2768938069574309</v>
      </c>
      <c r="BV34">
        <f>BU34*((600/$BG34)^0.67)</f>
        <v>2.5083585698678119</v>
      </c>
      <c r="BW34">
        <f>BU34*((600/$BH34)^0.67)</f>
        <v>2.4832806519462993</v>
      </c>
      <c r="BX34">
        <f>BU34*((600/$BI34)^0.67)</f>
        <v>2.4271933958624707</v>
      </c>
      <c r="BY34" s="39">
        <f>BV34*($AM34-$BB34)</f>
        <v>-27.793818597387304</v>
      </c>
      <c r="BZ34" s="39">
        <f>BW34*($AD34-$BD34)</f>
        <v>0.93448643047859492</v>
      </c>
      <c r="CA34" s="39">
        <f>BX34*($AU34-$BF34)</f>
        <v>-0.93397208792937414</v>
      </c>
      <c r="CB34" s="42">
        <f>AVERAGE(0.72,0.69,0.4,0.22)</f>
        <v>0.50750000000000006</v>
      </c>
      <c r="CC34">
        <f>CB34*((600/$BG34)^0.67)</f>
        <v>0.3884751991367939</v>
      </c>
      <c r="CD34">
        <f>CB34*((600/$BH34)^0.67)</f>
        <v>0.38459132492697184</v>
      </c>
      <c r="CE34">
        <f>CB34*((600/$BI34)^0.67)</f>
        <v>0.37590496395851192</v>
      </c>
      <c r="CF34" s="39">
        <f>CC34*($AM34-$BB34)</f>
        <v>-4.3044919271493791</v>
      </c>
      <c r="CG34" s="39">
        <f>CD34*($AD34-$BD34)</f>
        <v>0.14472603978223694</v>
      </c>
      <c r="CH34" s="39">
        <f>CE34*($AU34-$BF34)</f>
        <v>-0.1446463823813241</v>
      </c>
      <c r="CI34">
        <v>0.86263901889527161</v>
      </c>
      <c r="CJ34">
        <f>((BG34/BH34)^0.67)*CI34</f>
        <v>0.85401457788766477</v>
      </c>
      <c r="CK34">
        <f>((BH34/BH34)^0.67)*CI34</f>
        <v>0.86263901889527161</v>
      </c>
      <c r="CL34">
        <f>((BI34/BH34)^0.67)*CI34</f>
        <v>0.88257276444812227</v>
      </c>
      <c r="CM34" s="39">
        <f>CJ34*($AM34-$BB34)</f>
        <v>-9.4628920053423329</v>
      </c>
      <c r="CN34" s="39">
        <f>CK34*($AD34-$BD34)</f>
        <v>0.32462076202590734</v>
      </c>
      <c r="CO34" s="39">
        <f>CL34*($AU34-$BF34)</f>
        <v>-0.33960966149889721</v>
      </c>
      <c r="CP34" s="27">
        <f>VLOOKUP(A34,Water!$A$2:$E$109, 5, FALSE)/1000</f>
        <v>1.4299999999999998E-3</v>
      </c>
      <c r="CQ34">
        <f>0.64*CP34</f>
        <v>9.1519999999999991E-4</v>
      </c>
      <c r="CR34" s="19">
        <f>CQ34*1000*(2.5*10^-5)</f>
        <v>2.2879999999999998E-5</v>
      </c>
      <c r="CS34" s="18">
        <f>(-0.0000009*F34^3)+(0.0002*F34^2)-(0.0134*F34)+6.579</f>
        <v>6.4409921875</v>
      </c>
      <c r="CT34" s="18">
        <f>CS34-(SQRT(CP34))/(1+1.4*SQRT(CP34))</f>
        <v>6.4050781869368434</v>
      </c>
      <c r="CU34" s="18">
        <f>10^(-CT34)</f>
        <v>3.9347923019638185E-7</v>
      </c>
      <c r="CV34" s="18">
        <f>(0.000001*F34^3)+(0.00006*F34^2)-(0.014*F34)+10.625</f>
        <v>10.461328125</v>
      </c>
      <c r="CW34" s="18">
        <f>CV34-(2*SQRT(CR34))/(1+1.4*SQRT(CR34))</f>
        <v>10.451825154246695</v>
      </c>
      <c r="CX34" s="18">
        <f>10^(-CW34)</f>
        <v>3.5332538898268321E-11</v>
      </c>
      <c r="CY34">
        <f>EXP(1246.98+-61900/H34-183*LN(H34))</f>
        <v>1.0660921635998464E-2</v>
      </c>
      <c r="CZ34">
        <f>12.225*(F34^2)+15.258*F34+1125.7</f>
        <v>3226.5812500000002</v>
      </c>
      <c r="DA34" s="15">
        <f>10^(-4470.99/H34+6.0875-0.01706*H34)</f>
        <v>3.6502642327204881E-15</v>
      </c>
      <c r="DB34">
        <f>(10^-I34)</f>
        <v>3.8904514499427963E-10</v>
      </c>
      <c r="DC34">
        <f>DB34^2</f>
        <v>1.5135612484362006E-19</v>
      </c>
      <c r="DD34" s="20">
        <f>((14.6836*10^-9)*((H34/217.2056)-1)^1.997)*100*100</f>
        <v>1.4630896897006907E-5</v>
      </c>
      <c r="DE34">
        <f>CY34+CZ34*DA34/DB34</f>
        <v>4.0934719631896196E-2</v>
      </c>
      <c r="DF34">
        <f>1+DC34*(CU34*CX34+CU34*DB34)^-1</f>
        <v>1.0009064120045303</v>
      </c>
      <c r="DG34">
        <f>(DE34*DF34/DD34)^0.5</f>
        <v>52.918456800290222</v>
      </c>
      <c r="DH34">
        <f>DD34/(BO34/60/60)</f>
        <v>3.0701159815027888E-2</v>
      </c>
      <c r="DI34" s="16">
        <f>DF34/((DF34-1)+TANH(DG34*DH34)/(DG34*DH34))</f>
        <v>1.7546221844911947</v>
      </c>
      <c r="DJ34">
        <f>$DI34*BR34</f>
        <v>-33.354995314691301</v>
      </c>
      <c r="DK34">
        <f>$DI34*BY34</f>
        <v>-48.767650702699704</v>
      </c>
      <c r="DL34">
        <f>$DI34*CF34</f>
        <v>-7.5527570283395562</v>
      </c>
      <c r="DM34">
        <f>$DI34*CM34</f>
        <v>-16.603800242018025</v>
      </c>
    </row>
    <row r="35" spans="1:117" ht="15.75" x14ac:dyDescent="0.25">
      <c r="A35" s="52" t="s">
        <v>330</v>
      </c>
      <c r="B35" s="55" t="s">
        <v>340</v>
      </c>
      <c r="C35" t="s">
        <v>169</v>
      </c>
      <c r="D35" s="57">
        <v>43223</v>
      </c>
      <c r="E35" s="42" t="str">
        <f>A35&amp;D35</f>
        <v>62B43223</v>
      </c>
      <c r="F35" s="3">
        <f>VLOOKUP($E35,Water!$C$2:$E$90, 2, FALSE)</f>
        <v>12.5</v>
      </c>
      <c r="G35" s="3">
        <f>VLOOKUP($E35,Water!$C$2:$E$90, 3, FALSE)</f>
        <v>1.43</v>
      </c>
      <c r="H35" s="1">
        <f>F35+273.15</f>
        <v>285.64999999999998</v>
      </c>
      <c r="I35" s="3">
        <f>VLOOKUP($E35,Water!$C$2:$F$90, 4, FALSE)</f>
        <v>9.41</v>
      </c>
      <c r="J35">
        <f>10^(I35*-1)</f>
        <v>3.8904514499427963E-10</v>
      </c>
      <c r="K35" s="25">
        <f>VLOOKUP($E35,Atm!$D$2:$G$45, 2, FALSE)</f>
        <v>453.94096696817888</v>
      </c>
      <c r="L35" s="25">
        <f>VLOOKUP($E35,Atm!$D$2:$G$45, 3, FALSE)</f>
        <v>2.4732134464892819</v>
      </c>
      <c r="M35" s="25">
        <f>VLOOKUP($E35,Atm!$D$2:$G$45, 4, FALSE)</f>
        <v>0.33395690097660158</v>
      </c>
      <c r="N35" s="21">
        <f>VLOOKUP($C35,Raw!$B$2:$F$353, 3, FALSE)</f>
        <v>171.3135277464703</v>
      </c>
      <c r="O35" s="21">
        <f>VLOOKUP($C35,Raw!$B$2:$F$353, 4, FALSE)</f>
        <v>110.2537183061515</v>
      </c>
      <c r="P35" s="21">
        <f>VLOOKUP($C35,Raw!$B$2:$F$353, 5, FALSE)</f>
        <v>0.32800394609206701</v>
      </c>
      <c r="Q35" s="14">
        <v>60</v>
      </c>
      <c r="R35" s="25">
        <v>1140</v>
      </c>
      <c r="S35">
        <f>EXP(24.4543-(100/H35*(67.4509))-(4.8489*LN(H35/100))-(0.000544*G35))</f>
        <v>1.4278544571688871E-2</v>
      </c>
      <c r="T35" s="8">
        <f>EXP(-58.0931+90.5069*(100/H35)+22.294*LN(H35/100)+G35*(0.027766-0.025888*(H35/100)+0.0050578*(H35/100)^2))</f>
        <v>4.9003452025270462E-2</v>
      </c>
      <c r="U35" s="9">
        <f>(EXP(-67.1962+99.1624*(100/H35)+27.9015*LN(H35/100)+G35*(-0.072909+0.041674*(H35/100)-0.0064603*(H35/100)^2)))</f>
        <v>4.0533517860230406E-2</v>
      </c>
      <c r="V35" s="9">
        <f>(EXP(-64.8539+100.252*(100/H35)+25.2049*LN(H35/100)+(-0.062544+0.035337*(H35/100)-0.0054699*(H35/100)^2)*G35))</f>
        <v>3.6453020687352601E-2</v>
      </c>
      <c r="W35" s="9">
        <f>(EXP(-68.8862+101.4956*(100/H35)+28.7314*LN(H35/100)+G35*(-0.076146+0.04397*(H35/100)-0.0068672*(H35/100)^2)))</f>
        <v>4.044712755091958E-2</v>
      </c>
      <c r="X35">
        <f>N35*(AZ35-S35)</f>
        <v>155.32914296210777</v>
      </c>
      <c r="Y35">
        <f>O35*(AZ35-S35)</f>
        <v>99.966510515297088</v>
      </c>
      <c r="Z35">
        <f>((Y35/10^6)*AZ35)/(0.082056*H35)</f>
        <v>3.9278706969610018E-6</v>
      </c>
      <c r="AA35">
        <f>(((L35/10^6)*AZ35)/(0.082056*H35))</f>
        <v>9.7177170371558062E-8</v>
      </c>
      <c r="AB35">
        <f>((Y35/10^6)*U35*1)/(0.082056*H35)</f>
        <v>1.7287184180992334E-7</v>
      </c>
      <c r="AC35">
        <f>(Z35*(Q35/1000))+(AB35*(R35/1000))</f>
        <v>4.3274614148097271E-7</v>
      </c>
      <c r="AD35" s="39">
        <f>((AC35-(AA35*(Q35/1000)))/(R35/1000))*1000000</f>
        <v>0.37448729057778884</v>
      </c>
      <c r="AE35" s="39">
        <f>(AD35/((U35*AZ35*1))*(0.0821*273.15))</f>
        <v>224.96757495930245</v>
      </c>
      <c r="AF35" s="39">
        <f>L35*U35*AZ35*1/(0.0821*273.15)</f>
        <v>4.1169799815101238E-3</v>
      </c>
      <c r="AG35" s="39">
        <f>AD35-AF35</f>
        <v>0.37037031059627873</v>
      </c>
      <c r="AH35" s="42">
        <f>P35*(AZ35-S35)</f>
        <v>0.29739958370403641</v>
      </c>
      <c r="AI35">
        <f>(((X35/10^6)*(Q35/1000))/(0.082056*H35))</f>
        <v>3.9761213044460095E-7</v>
      </c>
      <c r="AJ35">
        <f>(((K35/10^6)*AZ35)*(Q35/1000))/(0.082056*H35)</f>
        <v>1.0701712482191383E-6</v>
      </c>
      <c r="AK35">
        <f>(X35/10^6)*T35*(R35/1000)</f>
        <v>8.6772971940078271E-6</v>
      </c>
      <c r="AL35">
        <f>AI35+AK35</f>
        <v>9.0749093244524279E-6</v>
      </c>
      <c r="AM35" s="39">
        <f>((AL35-AJ35)/(R35/1000))*1000000</f>
        <v>7.0217000668713077</v>
      </c>
      <c r="AN35" s="39">
        <f>AM35/(T35*AZ35)</f>
        <v>155.58523454005396</v>
      </c>
      <c r="AO35" s="39">
        <f>(K35*AZ35)*T35</f>
        <v>20.486759733588421</v>
      </c>
      <c r="AP35" s="39">
        <f>AM35-AO35</f>
        <v>-13.465059666717114</v>
      </c>
      <c r="AQ35">
        <f>(((AH35/10^6)*(Q35/1000))/(0.082056*H35))</f>
        <v>7.6128458455955107E-10</v>
      </c>
      <c r="AR35">
        <f>(((M35/10^6)*AZ35)*(Q35/1000))/(0.082056*H35)</f>
        <v>7.8730738042107118E-10</v>
      </c>
      <c r="AS35">
        <f>(AH35/10^6)*V35*(R35/1000)</f>
        <v>1.235886902197755E-8</v>
      </c>
      <c r="AT35">
        <f>AQ35+AS35</f>
        <v>1.3120153606537101E-8</v>
      </c>
      <c r="AU35" s="39">
        <f>((AT35-AR35)/(R35/1000))*1000000000</f>
        <v>10.818286163259677</v>
      </c>
      <c r="AV35" s="39">
        <f>(AU35/1000)/(V35*AZ35)</f>
        <v>0.32223871882667604</v>
      </c>
      <c r="AW35" s="39">
        <f>(M35*AZ35)*V35*1000</f>
        <v>11.211692170683891</v>
      </c>
      <c r="AX35" s="39">
        <f>AU35-AW35</f>
        <v>-0.39340600742421472</v>
      </c>
      <c r="AY35" s="26">
        <f>VLOOKUP($E35,Water!$C$2:$G$90, 5, FALSE)</f>
        <v>699.94</v>
      </c>
      <c r="AZ35">
        <f>AY35/760</f>
        <v>0.92097368421052639</v>
      </c>
      <c r="BA35" s="3">
        <f>Assumptions!$B$3</f>
        <v>406.07</v>
      </c>
      <c r="BB35" s="3">
        <f>BA35*AZ35*T35</f>
        <v>18.326300401085881</v>
      </c>
      <c r="BC35" s="3">
        <f>Assumptions!$B$4</f>
        <v>1.8474300000000001</v>
      </c>
      <c r="BD35" s="45">
        <f>BC35*AZ35*U35*1/(0.0821*273.15)</f>
        <v>3.075283428544229E-3</v>
      </c>
      <c r="BE35" s="3">
        <f>Assumptions!$B$2</f>
        <v>0.33054499999999998</v>
      </c>
      <c r="BF35" s="44">
        <f>BE35*AZ35*V35*1000</f>
        <v>11.097146900456959</v>
      </c>
      <c r="BG35">
        <f>1923.6+(-125.06*F35)+(4.3773*(F35^2))+(-0.085681*(F35^3))+(0.00070284*(F35^4))</f>
        <v>894.11660156249991</v>
      </c>
      <c r="BH35">
        <f>1909.4+(-120.78*F35)+(4.1555*(F35^2))+(-0.080578*(F35^3))+(0.00065777*(F35^4))</f>
        <v>907.62680664062509</v>
      </c>
      <c r="BI35">
        <f>2141.2+(-152.56*F35)+(5.8963*(F35^2))+(-0.12411*(F35^3))+(0.0010655*(F35^4))</f>
        <v>939.10771484374982</v>
      </c>
      <c r="BJ35" s="25">
        <f>VLOOKUP(E35,Wind!$C$2:$E$109,3, FALSE)</f>
        <v>5.0555555555555554</v>
      </c>
      <c r="BK35" s="44">
        <v>1.66</v>
      </c>
      <c r="BL35">
        <f>BK35/(1-(((1.3*10^-3)^0.5)/0.41)*LN(10/1.5))</f>
        <v>1.9923982880693825</v>
      </c>
      <c r="BM35">
        <f>BK35*1.22</f>
        <v>2.0251999999999999</v>
      </c>
      <c r="BN35">
        <f>2.07+0.215*(BM35^1.7)*(24/100)</f>
        <v>2.241255750541113</v>
      </c>
      <c r="BO35">
        <f>BN35*((600/BG35)^0.67)</f>
        <v>1.7156103921338783</v>
      </c>
      <c r="BP35">
        <f>BN35*((600/BH35)^0.67)</f>
        <v>1.6984581647306429</v>
      </c>
      <c r="BQ35">
        <f>BN35*((600/BI35)^0.67)</f>
        <v>1.6600968711900779</v>
      </c>
      <c r="BR35" s="39">
        <f>BO35*(AM35-BB35)</f>
        <v>-19.394289812298634</v>
      </c>
      <c r="BS35" s="39">
        <f>BP35*(AD35-BD35)</f>
        <v>0.63082775602163044</v>
      </c>
      <c r="BT35" s="39">
        <f>BQ35*(AU35-BF35)</f>
        <v>-0.46293583731896754</v>
      </c>
      <c r="BU35">
        <f>(2.51+1.48*BM35)+(0.39*BM35*LOG10(0.0015))</f>
        <v>3.2768938069574309</v>
      </c>
      <c r="BV35">
        <f>BU35*((600/$BG35)^0.67)</f>
        <v>2.5083585698678119</v>
      </c>
      <c r="BW35">
        <f>BU35*((600/$BH35)^0.67)</f>
        <v>2.4832806519462993</v>
      </c>
      <c r="BX35">
        <f>BU35*((600/$BI35)^0.67)</f>
        <v>2.4271933958624707</v>
      </c>
      <c r="BY35" s="39">
        <f>BV35*($AM35-$BB35)</f>
        <v>-28.355991127257656</v>
      </c>
      <c r="BZ35" s="39">
        <f>BW35*($AD35-$BD35)</f>
        <v>0.92232025125425976</v>
      </c>
      <c r="CA35" s="39">
        <f>BX35*($AU35-$BF35)</f>
        <v>-0.67684893969058446</v>
      </c>
      <c r="CB35" s="42">
        <f>AVERAGE(0.72,0.69,0.4,0.22)</f>
        <v>0.50750000000000006</v>
      </c>
      <c r="CC35">
        <f>CB35*((600/$BG35)^0.67)</f>
        <v>0.3884751991367939</v>
      </c>
      <c r="CD35">
        <f>CB35*((600/$BH35)^0.67)</f>
        <v>0.38459132492697184</v>
      </c>
      <c r="CE35">
        <f>CB35*((600/$BI35)^0.67)</f>
        <v>0.37590496395851192</v>
      </c>
      <c r="CF35" s="39">
        <f>CC35*($AM35-$BB35)</f>
        <v>-4.3915568659958728</v>
      </c>
      <c r="CG35" s="39">
        <f>CD35*($AD35-$BD35)</f>
        <v>0.14284183592331393</v>
      </c>
      <c r="CH35" s="39">
        <f>CE35*($AU35-$BF35)</f>
        <v>-0.1048251353655886</v>
      </c>
      <c r="CI35">
        <v>0.86263901889527161</v>
      </c>
      <c r="CJ35">
        <f>((BG35/BH35)^0.67)*CI35</f>
        <v>0.85401457788766477</v>
      </c>
      <c r="CK35">
        <f>((BH35/BH35)^0.67)*CI35</f>
        <v>0.86263901889527161</v>
      </c>
      <c r="CL35">
        <f>((BI35/BH35)^0.67)*CI35</f>
        <v>0.88257276444812227</v>
      </c>
      <c r="CM35" s="39">
        <f>CJ35*($AM35-$BB35)</f>
        <v>-9.6542934826130136</v>
      </c>
      <c r="CN35" s="39">
        <f>CK35*($AD35-$BD35)</f>
        <v>0.32039448945314797</v>
      </c>
      <c r="CO35" s="39">
        <f>CL35*($AU35-$BF35)</f>
        <v>-0.24611489172424708</v>
      </c>
      <c r="CP35" s="27">
        <f>VLOOKUP(A35,Water!$A$2:$E$109, 5, FALSE)/1000</f>
        <v>1.4299999999999998E-3</v>
      </c>
      <c r="CQ35">
        <f>0.64*CP35</f>
        <v>9.1519999999999991E-4</v>
      </c>
      <c r="CR35" s="19">
        <f>CQ35*1000*(2.5*10^-5)</f>
        <v>2.2879999999999998E-5</v>
      </c>
      <c r="CS35" s="18">
        <f>(-0.0000009*F35^3)+(0.0002*F35^2)-(0.0134*F35)+6.579</f>
        <v>6.4409921875</v>
      </c>
      <c r="CT35" s="18">
        <f>CS35-(SQRT(CP35))/(1+1.4*SQRT(CP35))</f>
        <v>6.4050781869368434</v>
      </c>
      <c r="CU35" s="18">
        <f>10^(-CT35)</f>
        <v>3.9347923019638185E-7</v>
      </c>
      <c r="CV35" s="18">
        <f>(0.000001*F35^3)+(0.00006*F35^2)-(0.014*F35)+10.625</f>
        <v>10.461328125</v>
      </c>
      <c r="CW35" s="18">
        <f>CV35-(2*SQRT(CR35))/(1+1.4*SQRT(CR35))</f>
        <v>10.451825154246695</v>
      </c>
      <c r="CX35" s="18">
        <f>10^(-CW35)</f>
        <v>3.5332538898268321E-11</v>
      </c>
      <c r="CY35">
        <f>EXP(1246.98+-61900/H35-183*LN(H35))</f>
        <v>1.0660921635998464E-2</v>
      </c>
      <c r="CZ35">
        <f>12.225*(F35^2)+15.258*F35+1125.7</f>
        <v>3226.5812500000002</v>
      </c>
      <c r="DA35" s="15">
        <f>10^(-4470.99/H35+6.0875-0.01706*H35)</f>
        <v>3.6502642327204881E-15</v>
      </c>
      <c r="DB35">
        <f>(10^-I35)</f>
        <v>3.8904514499427963E-10</v>
      </c>
      <c r="DC35">
        <f>DB35^2</f>
        <v>1.5135612484362006E-19</v>
      </c>
      <c r="DD35" s="20">
        <f>((14.6836*10^-9)*((H35/217.2056)-1)^1.997)*100*100</f>
        <v>1.4630896897006907E-5</v>
      </c>
      <c r="DE35">
        <f>CY35+CZ35*DA35/DB35</f>
        <v>4.0934719631896196E-2</v>
      </c>
      <c r="DF35">
        <f>1+DC35*(CU35*CX35+CU35*DB35)^-1</f>
        <v>1.0009064120045303</v>
      </c>
      <c r="DG35">
        <f>(DE35*DF35/DD35)^0.5</f>
        <v>52.918456800290222</v>
      </c>
      <c r="DH35">
        <f>DD35/(BO35/60/60)</f>
        <v>3.0701159815027888E-2</v>
      </c>
      <c r="DI35" s="16">
        <f>DF35/((DF35-1)+TANH(DG35*DH35)/(DG35*DH35))</f>
        <v>1.7546221844911947</v>
      </c>
      <c r="DJ35">
        <f>$DI35*BR35</f>
        <v>-34.029651157110749</v>
      </c>
      <c r="DK35">
        <f>$DI35*BY35</f>
        <v>-49.75405109512176</v>
      </c>
      <c r="DL35">
        <f>$DI35*CF35</f>
        <v>-7.7055231015309831</v>
      </c>
      <c r="DM35">
        <f>$DI35*CM35</f>
        <v>-16.939637520181549</v>
      </c>
    </row>
    <row r="36" spans="1:117" ht="15.75" x14ac:dyDescent="0.25">
      <c r="A36" s="51" t="s">
        <v>330</v>
      </c>
      <c r="B36" s="54" t="s">
        <v>341</v>
      </c>
      <c r="C36" s="48" t="s">
        <v>170</v>
      </c>
      <c r="D36" s="57">
        <v>43223</v>
      </c>
      <c r="E36" s="42" t="str">
        <f>A36&amp;D36</f>
        <v>62B43223</v>
      </c>
      <c r="F36" s="3">
        <f>VLOOKUP($E36,Water!$C$2:$E$90, 2, FALSE)</f>
        <v>12.5</v>
      </c>
      <c r="G36" s="3">
        <f>VLOOKUP($E36,Water!$C$2:$E$90, 3, FALSE)</f>
        <v>1.43</v>
      </c>
      <c r="H36" s="1">
        <f>F36+273.15</f>
        <v>285.64999999999998</v>
      </c>
      <c r="I36" s="3">
        <f>VLOOKUP($E36,Water!$C$2:$F$90, 4, FALSE)</f>
        <v>9.41</v>
      </c>
      <c r="J36">
        <f>10^(I36*-1)</f>
        <v>3.8904514499427963E-10</v>
      </c>
      <c r="K36" s="25">
        <f>VLOOKUP($E36,Atm!$D$2:$G$45, 2, FALSE)</f>
        <v>453.94096696817888</v>
      </c>
      <c r="L36" s="25">
        <f>VLOOKUP($E36,Atm!$D$2:$G$45, 3, FALSE)</f>
        <v>2.4732134464892819</v>
      </c>
      <c r="M36" s="25">
        <f>VLOOKUP($E36,Atm!$D$2:$G$45, 4, FALSE)</f>
        <v>0.33395690097660158</v>
      </c>
      <c r="N36" s="21">
        <f>VLOOKUP($C36,Raw!$B$2:$F$353, 3, FALSE)</f>
        <v>200.82300000000001</v>
      </c>
      <c r="O36" s="21">
        <f>VLOOKUP($C36,Raw!$B$2:$F$353, 4, FALSE)</f>
        <v>113.133</v>
      </c>
      <c r="P36" s="21">
        <f>VLOOKUP($C36,Raw!$B$2:$F$353, 5, FALSE)</f>
        <v>0.30299999999999999</v>
      </c>
      <c r="Q36" s="14">
        <v>60</v>
      </c>
      <c r="R36" s="25">
        <v>1140</v>
      </c>
      <c r="S36">
        <f>EXP(24.4543-(100/H36*(67.4509))-(4.8489*LN(H36/100))-(0.000544*G36))</f>
        <v>1.4278544571688871E-2</v>
      </c>
      <c r="T36" s="8">
        <f>EXP(-58.0931+90.5069*(100/H36)+22.294*LN(H36/100)+G36*(0.027766-0.025888*(H36/100)+0.0050578*(H36/100)^2))</f>
        <v>4.9003452025270462E-2</v>
      </c>
      <c r="U36" s="9">
        <f>(EXP(-67.1962+99.1624*(100/H36)+27.9015*LN(H36/100)+G36*(-0.072909+0.041674*(H36/100)-0.0064603*(H36/100)^2)))</f>
        <v>4.0533517860230406E-2</v>
      </c>
      <c r="V36" s="9">
        <f>(EXP(-64.8539+100.252*(100/H36)+25.2049*LN(H36/100)+(-0.062544+0.035337*(H36/100)-0.0054699*(H36/100)^2)*G36))</f>
        <v>3.6453020687352601E-2</v>
      </c>
      <c r="W36" s="9">
        <f>(EXP(-68.8862+101.4956*(100/H36)+28.7314*LN(H36/100)+G36*(-0.076146+0.04397*(H36/100)-0.0068672*(H36/100)^2)))</f>
        <v>4.044712755091958E-2</v>
      </c>
      <c r="X36">
        <f>N36*(AZ36-S36)</f>
        <v>182.08523802769028</v>
      </c>
      <c r="Y36">
        <f>O36*(AZ36-S36)</f>
        <v>102.5771412327606</v>
      </c>
      <c r="Z36">
        <f>((Y36/10^6)*AZ36)/(0.082056*H36)</f>
        <v>4.0304472482765747E-6</v>
      </c>
      <c r="AA36">
        <f>(((L36/10^6)*AZ36)/(0.082056*H36))</f>
        <v>9.7177170371558062E-8</v>
      </c>
      <c r="AB36">
        <f>((Y36/10^6)*U36*1)/(0.082056*H36)</f>
        <v>1.7738639911603651E-7</v>
      </c>
      <c r="AC36">
        <f>(Z36*(Q36/1000))+(AB36*(R36/1000))</f>
        <v>4.4404732988887612E-7</v>
      </c>
      <c r="AD36" s="39">
        <f>((AC36-(AA36*(Q36/1000)))/(R36/1000))*1000000</f>
        <v>0.38440061374261636</v>
      </c>
      <c r="AE36" s="39">
        <f>(AD36/((U36*AZ36*1))*(0.0821*273.15))</f>
        <v>230.9228538921021</v>
      </c>
      <c r="AF36" s="39">
        <f>L36*U36*AZ36*1/(0.0821*273.15)</f>
        <v>4.1169799815101238E-3</v>
      </c>
      <c r="AG36" s="39">
        <f>AD36-AF36</f>
        <v>0.38028363376110624</v>
      </c>
      <c r="AH36" s="42">
        <f>P36*(AZ36-S36)</f>
        <v>0.27472862731056774</v>
      </c>
      <c r="AI36">
        <f>(((X36/10^6)*(Q36/1000))/(0.082056*H36))</f>
        <v>4.6610248427343656E-7</v>
      </c>
      <c r="AJ36">
        <f>(((K36/10^6)*AZ36)*(Q36/1000))/(0.082056*H36)</f>
        <v>1.0701712482191383E-6</v>
      </c>
      <c r="AK36">
        <f>(X36/10^6)*T36*(R36/1000)</f>
        <v>1.0171997957867856E-5</v>
      </c>
      <c r="AL36">
        <f>AI36+AK36</f>
        <v>1.0638100442141292E-5</v>
      </c>
      <c r="AM36" s="39">
        <f>((AL36-AJ36)/(R36/1000))*1000000</f>
        <v>8.3929203455457486</v>
      </c>
      <c r="AN36" s="39">
        <f>AM36/(T36*AZ36)</f>
        <v>185.96842189238708</v>
      </c>
      <c r="AO36" s="39">
        <f>(K36*AZ36)*T36</f>
        <v>20.486759733588421</v>
      </c>
      <c r="AP36" s="39">
        <f>AM36-AO36</f>
        <v>-12.093839388042673</v>
      </c>
      <c r="AQ36">
        <f>(((AH36/10^6)*(Q36/1000))/(0.082056*H36))</f>
        <v>7.0325138422815725E-10</v>
      </c>
      <c r="AR36">
        <f>(((M36/10^6)*AZ36)*(Q36/1000))/(0.082056*H36)</f>
        <v>7.8730738042107118E-10</v>
      </c>
      <c r="AS36">
        <f>(AH36/10^6)*V36*(R36/1000)</f>
        <v>1.1416744701626524E-8</v>
      </c>
      <c r="AT36">
        <f>AQ36+AS36</f>
        <v>1.2119996085854681E-8</v>
      </c>
      <c r="AU36" s="39">
        <f>((AT36-AR36)/(R36/1000))*1000000000</f>
        <v>9.9409550047663249</v>
      </c>
      <c r="AV36" s="39">
        <f>(AU36/1000)/(V36*AZ36)</f>
        <v>0.29610610740993037</v>
      </c>
      <c r="AW36" s="39">
        <f>(M36*AZ36)*V36*1000</f>
        <v>11.211692170683891</v>
      </c>
      <c r="AX36" s="39">
        <f>AU36-AW36</f>
        <v>-1.2707371659175664</v>
      </c>
      <c r="AY36" s="26">
        <f>VLOOKUP($E36,Water!$C$2:$G$90, 5, FALSE)</f>
        <v>699.94</v>
      </c>
      <c r="AZ36">
        <f>AY36/760</f>
        <v>0.92097368421052639</v>
      </c>
      <c r="BA36" s="3">
        <f>Assumptions!$B$3</f>
        <v>406.07</v>
      </c>
      <c r="BB36" s="3">
        <f>BA36*AZ36*T36</f>
        <v>18.326300401085881</v>
      </c>
      <c r="BC36" s="3">
        <f>Assumptions!$B$4</f>
        <v>1.8474300000000001</v>
      </c>
      <c r="BD36" s="45">
        <f>BC36*AZ36*U36*1/(0.0821*273.15)</f>
        <v>3.075283428544229E-3</v>
      </c>
      <c r="BE36" s="3">
        <f>Assumptions!$B$2</f>
        <v>0.33054499999999998</v>
      </c>
      <c r="BF36" s="44">
        <f>BE36*AZ36*V36*1000</f>
        <v>11.097146900456959</v>
      </c>
      <c r="BG36">
        <f>1923.6+(-125.06*F36)+(4.3773*(F36^2))+(-0.085681*(F36^3))+(0.00070284*(F36^4))</f>
        <v>894.11660156249991</v>
      </c>
      <c r="BH36">
        <f>1909.4+(-120.78*F36)+(4.1555*(F36^2))+(-0.080578*(F36^3))+(0.00065777*(F36^4))</f>
        <v>907.62680664062509</v>
      </c>
      <c r="BI36">
        <f>2141.2+(-152.56*F36)+(5.8963*(F36^2))+(-0.12411*(F36^3))+(0.0010655*(F36^4))</f>
        <v>939.10771484374982</v>
      </c>
      <c r="BJ36" s="25">
        <f>VLOOKUP(E36,Wind!$C$2:$E$109,3, FALSE)</f>
        <v>5.0555555555555554</v>
      </c>
      <c r="BK36" s="44">
        <v>1.66</v>
      </c>
      <c r="BL36">
        <f>BK36/(1-(((1.3*10^-3)^0.5)/0.41)*LN(10/1.5))</f>
        <v>1.9923982880693825</v>
      </c>
      <c r="BM36">
        <f>BK36*1.22</f>
        <v>2.0251999999999999</v>
      </c>
      <c r="BN36">
        <f>2.07+0.215*(BM36^1.7)*(24/100)</f>
        <v>2.241255750541113</v>
      </c>
      <c r="BO36">
        <f>BN36*((600/BG36)^0.67)</f>
        <v>1.7156103921338783</v>
      </c>
      <c r="BP36">
        <f>BN36*((600/BH36)^0.67)</f>
        <v>1.6984581647306429</v>
      </c>
      <c r="BQ36">
        <f>BN36*((600/BI36)^0.67)</f>
        <v>1.6600968711900779</v>
      </c>
      <c r="BR36" s="39">
        <f>BO36*(AM36-BB36)</f>
        <v>-17.041810052300054</v>
      </c>
      <c r="BS36" s="39">
        <f>BP36*(AD36-BD36)</f>
        <v>0.64766512069054516</v>
      </c>
      <c r="BT36" s="39">
        <f>BQ36*(AU36-BF36)</f>
        <v>-1.9193905485313469</v>
      </c>
      <c r="BU36">
        <f>(2.51+1.48*BM36)+(0.39*BM36*LOG10(0.0015))</f>
        <v>3.2768938069574309</v>
      </c>
      <c r="BV36">
        <f>BU36*((600/$BG36)^0.67)</f>
        <v>2.5083585698678119</v>
      </c>
      <c r="BW36">
        <f>BU36*((600/$BH36)^0.67)</f>
        <v>2.4832806519462993</v>
      </c>
      <c r="BX36">
        <f>BU36*((600/$BI36)^0.67)</f>
        <v>2.4271933958624707</v>
      </c>
      <c r="BY36" s="39">
        <f>BV36*($AM36-$BB36)</f>
        <v>-24.916478990068093</v>
      </c>
      <c r="BZ36" s="39">
        <f>BW36*($AD36-$BD36)</f>
        <v>0.94693781486596695</v>
      </c>
      <c r="CA36" s="39">
        <f>BX36*($AU36-$BF36)</f>
        <v>-2.8063013335700182</v>
      </c>
      <c r="CB36" s="42">
        <f>AVERAGE(0.72,0.69,0.4,0.22)</f>
        <v>0.50750000000000006</v>
      </c>
      <c r="CC36">
        <f>CB36*((600/$BG36)^0.67)</f>
        <v>0.3884751991367939</v>
      </c>
      <c r="CD36">
        <f>CB36*((600/$BH36)^0.67)</f>
        <v>0.38459132492697184</v>
      </c>
      <c r="CE36">
        <f>CB36*((600/$BI36)^0.67)</f>
        <v>0.37590496395851192</v>
      </c>
      <c r="CF36" s="39">
        <f>CC36*($AM36-$BB36)</f>
        <v>-3.8588717951774099</v>
      </c>
      <c r="CG36" s="39">
        <f>CD36*($AD36-$BD36)</f>
        <v>0.14665441401370419</v>
      </c>
      <c r="CH36" s="39">
        <f>CE36*($AU36-$BF36)</f>
        <v>-0.43461827287871146</v>
      </c>
      <c r="CI36">
        <v>0.86263901889527161</v>
      </c>
      <c r="CJ36">
        <f>((BG36/BH36)^0.67)*CI36</f>
        <v>0.85401457788766477</v>
      </c>
      <c r="CK36">
        <f>((BH36/BH36)^0.67)*CI36</f>
        <v>0.86263901889527161</v>
      </c>
      <c r="CL36">
        <f>((BI36/BH36)^0.67)*CI36</f>
        <v>0.88257276444812227</v>
      </c>
      <c r="CM36" s="39">
        <f>CJ36*($AM36-$BB36)</f>
        <v>-8.4832513751298535</v>
      </c>
      <c r="CN36" s="39">
        <f>CK36*($AD36-$BD36)</f>
        <v>0.32894610882204656</v>
      </c>
      <c r="CO36" s="39">
        <f>CL36*($AU36-$BF36)</f>
        <v>-1.0204234776121981</v>
      </c>
      <c r="CP36" s="27">
        <f>VLOOKUP(A36,Water!$A$2:$E$109, 5, FALSE)/1000</f>
        <v>1.4299999999999998E-3</v>
      </c>
      <c r="CQ36">
        <f>0.64*CP36</f>
        <v>9.1519999999999991E-4</v>
      </c>
      <c r="CR36" s="19">
        <f>CQ36*1000*(2.5*10^-5)</f>
        <v>2.2879999999999998E-5</v>
      </c>
      <c r="CS36" s="18">
        <f>(-0.0000009*F36^3)+(0.0002*F36^2)-(0.0134*F36)+6.579</f>
        <v>6.4409921875</v>
      </c>
      <c r="CT36" s="18">
        <f>CS36-(SQRT(CP36))/(1+1.4*SQRT(CP36))</f>
        <v>6.4050781869368434</v>
      </c>
      <c r="CU36" s="18">
        <f>10^(-CT36)</f>
        <v>3.9347923019638185E-7</v>
      </c>
      <c r="CV36" s="18">
        <f>(0.000001*F36^3)+(0.00006*F36^2)-(0.014*F36)+10.625</f>
        <v>10.461328125</v>
      </c>
      <c r="CW36" s="18">
        <f>CV36-(2*SQRT(CR36))/(1+1.4*SQRT(CR36))</f>
        <v>10.451825154246695</v>
      </c>
      <c r="CX36" s="18">
        <f>10^(-CW36)</f>
        <v>3.5332538898268321E-11</v>
      </c>
      <c r="CY36">
        <f>EXP(1246.98+-61900/H36-183*LN(H36))</f>
        <v>1.0660921635998464E-2</v>
      </c>
      <c r="CZ36">
        <f>12.225*(F36^2)+15.258*F36+1125.7</f>
        <v>3226.5812500000002</v>
      </c>
      <c r="DA36" s="15">
        <f>10^(-4470.99/H36+6.0875-0.01706*H36)</f>
        <v>3.6502642327204881E-15</v>
      </c>
      <c r="DB36">
        <f>(10^-I36)</f>
        <v>3.8904514499427963E-10</v>
      </c>
      <c r="DC36">
        <f>DB36^2</f>
        <v>1.5135612484362006E-19</v>
      </c>
      <c r="DD36" s="20">
        <f>((14.6836*10^-9)*((H36/217.2056)-1)^1.997)*100*100</f>
        <v>1.4630896897006907E-5</v>
      </c>
      <c r="DE36">
        <f>CY36+CZ36*DA36/DB36</f>
        <v>4.0934719631896196E-2</v>
      </c>
      <c r="DF36">
        <f>1+DC36*(CU36*CX36+CU36*DB36)^-1</f>
        <v>1.0009064120045303</v>
      </c>
      <c r="DG36">
        <f>(DE36*DF36/DD36)^0.5</f>
        <v>52.918456800290222</v>
      </c>
      <c r="DH36">
        <f>DD36/(BO36/60/60)</f>
        <v>3.0701159815027888E-2</v>
      </c>
      <c r="DI36" s="16">
        <f>DF36/((DF36-1)+TANH(DG36*DH36)/(DG36*DH36))</f>
        <v>1.7546221844911947</v>
      </c>
      <c r="DJ36">
        <f>$DI36*BR36</f>
        <v>-29.901937981650722</v>
      </c>
      <c r="DK36">
        <f>$DI36*BY36</f>
        <v>-43.719006795382235</v>
      </c>
      <c r="DL36">
        <f>$DI36*CF36</f>
        <v>-6.770862058925645</v>
      </c>
      <c r="DM36">
        <f>$DI36*CM36</f>
        <v>-14.884901059418274</v>
      </c>
    </row>
    <row r="37" spans="1:117" ht="15.75" x14ac:dyDescent="0.25">
      <c r="A37" s="52" t="s">
        <v>330</v>
      </c>
      <c r="B37" s="55" t="s">
        <v>342</v>
      </c>
      <c r="C37" t="s">
        <v>171</v>
      </c>
      <c r="D37" s="57">
        <v>43223</v>
      </c>
      <c r="E37" s="42" t="str">
        <f>A37&amp;D37</f>
        <v>62B43223</v>
      </c>
      <c r="F37" s="3">
        <f>VLOOKUP($E37,Water!$C$2:$E$90, 2, FALSE)</f>
        <v>12.5</v>
      </c>
      <c r="G37" s="3">
        <f>VLOOKUP($E37,Water!$C$2:$E$90, 3, FALSE)</f>
        <v>1.43</v>
      </c>
      <c r="H37" s="1">
        <f>F37+273.15</f>
        <v>285.64999999999998</v>
      </c>
      <c r="I37" s="3">
        <f>VLOOKUP($E37,Water!$C$2:$F$90, 4, FALSE)</f>
        <v>9.41</v>
      </c>
      <c r="J37">
        <f>10^(I37*-1)</f>
        <v>3.8904514499427963E-10</v>
      </c>
      <c r="K37" s="25">
        <f>VLOOKUP($E37,Atm!$D$2:$G$45, 2, FALSE)</f>
        <v>453.94096696817888</v>
      </c>
      <c r="L37" s="25">
        <f>VLOOKUP($E37,Atm!$D$2:$G$45, 3, FALSE)</f>
        <v>2.4732134464892819</v>
      </c>
      <c r="M37" s="25">
        <f>VLOOKUP($E37,Atm!$D$2:$G$45, 4, FALSE)</f>
        <v>0.33395690097660158</v>
      </c>
      <c r="N37" s="21">
        <f>VLOOKUP($C37,Raw!$B$2:$F$353, 3, FALSE)</f>
        <v>169.92637993230451</v>
      </c>
      <c r="O37" s="21">
        <f>VLOOKUP($C37,Raw!$B$2:$F$353, 4, FALSE)</f>
        <v>111.9074869490851</v>
      </c>
      <c r="P37" s="21">
        <f>VLOOKUP($C37,Raw!$B$2:$F$353, 5, FALSE)</f>
        <v>0.31706357139586477</v>
      </c>
      <c r="Q37" s="14">
        <v>60</v>
      </c>
      <c r="R37" s="25">
        <v>1140</v>
      </c>
      <c r="S37">
        <f>EXP(24.4543-(100/H37*(67.4509))-(4.8489*LN(H37/100))-(0.000544*G37))</f>
        <v>1.4278544571688871E-2</v>
      </c>
      <c r="T37" s="8">
        <f>EXP(-58.0931+90.5069*(100/H37)+22.294*LN(H37/100)+G37*(0.027766-0.025888*(H37/100)+0.0050578*(H37/100)^2))</f>
        <v>4.9003452025270462E-2</v>
      </c>
      <c r="U37" s="9">
        <f>(EXP(-67.1962+99.1624*(100/H37)+27.9015*LN(H37/100)+G37*(-0.072909+0.041674*(H37/100)-0.0064603*(H37/100)^2)))</f>
        <v>4.0533517860230406E-2</v>
      </c>
      <c r="V37" s="9">
        <f>(EXP(-64.8539+100.252*(100/H37)+25.2049*LN(H37/100)+(-0.062544+0.035337*(H37/100)-0.0054699*(H37/100)^2)*G37))</f>
        <v>3.6453020687352601E-2</v>
      </c>
      <c r="W37" s="9">
        <f>(EXP(-68.8862+101.4956*(100/H37)+28.7314*LN(H37/100)+G37*(-0.076146+0.04397*(H37/100)-0.0068672*(H37/100)^2)))</f>
        <v>4.044712755091958E-2</v>
      </c>
      <c r="X37">
        <f>N37*(AZ37-S37)</f>
        <v>154.071422781043</v>
      </c>
      <c r="Y37">
        <f>O37*(AZ37-S37)</f>
        <v>101.4659745059321</v>
      </c>
      <c r="Z37">
        <f>((Y37/10^6)*AZ37)/(0.082056*H37)</f>
        <v>3.9867874345724651E-6</v>
      </c>
      <c r="AA37">
        <f>(((L37/10^6)*AZ37)/(0.082056*H37))</f>
        <v>9.7177170371558062E-8</v>
      </c>
      <c r="AB37">
        <f>((Y37/10^6)*U37*1)/(0.082056*H37)</f>
        <v>1.7546486121664817E-7</v>
      </c>
      <c r="AC37">
        <f>(Z37*(Q37/1000))+(AB37*(R37/1000))</f>
        <v>4.3923718786132681E-7</v>
      </c>
      <c r="AD37" s="39">
        <f>((AC37-(AA37*(Q37/1000)))/(R37/1000))*1000000</f>
        <v>0.38018119091143276</v>
      </c>
      <c r="AE37" s="39">
        <f>(AD37/((U37*AZ37*1))*(0.0821*273.15))</f>
        <v>228.38809945332065</v>
      </c>
      <c r="AF37" s="39">
        <f>L37*U37*AZ37*1/(0.0821*273.15)</f>
        <v>4.1169799815101238E-3</v>
      </c>
      <c r="AG37" s="39">
        <f>AD37-AF37</f>
        <v>0.37606421092992265</v>
      </c>
      <c r="AH37" s="42">
        <f>P37*(AZ37-S37)</f>
        <v>0.28747999914116212</v>
      </c>
      <c r="AI37">
        <f>(((X37/10^6)*(Q37/1000))/(0.082056*H37))</f>
        <v>3.9439261354545521E-7</v>
      </c>
      <c r="AJ37">
        <f>(((K37/10^6)*AZ37)*(Q37/1000))/(0.082056*H37)</f>
        <v>1.0701712482191383E-6</v>
      </c>
      <c r="AK37">
        <f>(X37/10^6)*T37*(R37/1000)</f>
        <v>8.6070359951762415E-6</v>
      </c>
      <c r="AL37">
        <f>AI37+AK37</f>
        <v>9.0014286087216961E-6</v>
      </c>
      <c r="AM37" s="39">
        <f>((AL37-AJ37)/(R37/1000))*1000000</f>
        <v>6.9572432986864543</v>
      </c>
      <c r="AN37" s="39">
        <f>AM37/(T37*AZ37)</f>
        <v>154.15701611713251</v>
      </c>
      <c r="AO37" s="39">
        <f>(K37*AZ37)*T37</f>
        <v>20.486759733588421</v>
      </c>
      <c r="AP37" s="39">
        <f>AM37-AO37</f>
        <v>-13.529516434901968</v>
      </c>
      <c r="AQ37">
        <f>(((AH37/10^6)*(Q37/1000))/(0.082056*H37))</f>
        <v>7.3589239429856475E-10</v>
      </c>
      <c r="AR37">
        <f>(((M37/10^6)*AZ37)*(Q37/1000))/(0.082056*H37)</f>
        <v>7.8730738042107118E-10</v>
      </c>
      <c r="AS37">
        <f>(AH37/10^6)*V37*(R37/1000)</f>
        <v>1.1946646365717894E-8</v>
      </c>
      <c r="AT37">
        <f>AQ37+AS37</f>
        <v>1.2682538760016459E-8</v>
      </c>
      <c r="AU37" s="39">
        <f>((AT37-AR37)/(R37/1000))*1000000000</f>
        <v>10.434413490873148</v>
      </c>
      <c r="AV37" s="39">
        <f>(AU37/1000)/(V37*AZ37)</f>
        <v>0.31080450121811393</v>
      </c>
      <c r="AW37" s="39">
        <f>(M37*AZ37)*V37*1000</f>
        <v>11.211692170683891</v>
      </c>
      <c r="AX37" s="39">
        <f>AU37-AW37</f>
        <v>-0.77727867981074361</v>
      </c>
      <c r="AY37" s="26">
        <f>VLOOKUP($E37,Water!$C$2:$G$90, 5, FALSE)</f>
        <v>699.94</v>
      </c>
      <c r="AZ37">
        <f>AY37/760</f>
        <v>0.92097368421052639</v>
      </c>
      <c r="BA37" s="3">
        <f>Assumptions!$B$3</f>
        <v>406.07</v>
      </c>
      <c r="BB37" s="3">
        <f>BA37*AZ37*T37</f>
        <v>18.326300401085881</v>
      </c>
      <c r="BC37" s="3">
        <f>Assumptions!$B$4</f>
        <v>1.8474300000000001</v>
      </c>
      <c r="BD37" s="45">
        <f>BC37*AZ37*U37*1/(0.0821*273.15)</f>
        <v>3.075283428544229E-3</v>
      </c>
      <c r="BE37" s="3">
        <f>Assumptions!$B$2</f>
        <v>0.33054499999999998</v>
      </c>
      <c r="BF37" s="44">
        <f>BE37*AZ37*V37*1000</f>
        <v>11.097146900456959</v>
      </c>
      <c r="BG37">
        <f>1923.6+(-125.06*F37)+(4.3773*(F37^2))+(-0.085681*(F37^3))+(0.00070284*(F37^4))</f>
        <v>894.11660156249991</v>
      </c>
      <c r="BH37">
        <f>1909.4+(-120.78*F37)+(4.1555*(F37^2))+(-0.080578*(F37^3))+(0.00065777*(F37^4))</f>
        <v>907.62680664062509</v>
      </c>
      <c r="BI37">
        <f>2141.2+(-152.56*F37)+(5.8963*(F37^2))+(-0.12411*(F37^3))+(0.0010655*(F37^4))</f>
        <v>939.10771484374982</v>
      </c>
      <c r="BJ37" s="25">
        <f>VLOOKUP(E37,Wind!$C$2:$E$109,3, FALSE)</f>
        <v>5.0555555555555554</v>
      </c>
      <c r="BK37" s="44">
        <v>1.66</v>
      </c>
      <c r="BL37">
        <f>BK37/(1-(((1.3*10^-3)^0.5)/0.41)*LN(10/1.5))</f>
        <v>1.9923982880693825</v>
      </c>
      <c r="BM37">
        <f>BK37*1.22</f>
        <v>2.0251999999999999</v>
      </c>
      <c r="BN37">
        <f>2.07+0.215*(BM37^1.7)*(24/100)</f>
        <v>2.241255750541113</v>
      </c>
      <c r="BO37">
        <f>BN37*((600/BG37)^0.67)</f>
        <v>1.7156103921338783</v>
      </c>
      <c r="BP37">
        <f>BN37*((600/BH37)^0.67)</f>
        <v>1.6984581647306429</v>
      </c>
      <c r="BQ37">
        <f>BN37*((600/BI37)^0.67)</f>
        <v>1.6600968711900779</v>
      </c>
      <c r="BR37" s="39">
        <f>BO37*(AM37-BB37)</f>
        <v>-19.504872513639935</v>
      </c>
      <c r="BS37" s="39">
        <f>BP37*(AD37-BD37)</f>
        <v>0.64049860753247045</v>
      </c>
      <c r="BT37" s="39">
        <f>BQ37*(AU37-BF37)</f>
        <v>-1.1002016596832178</v>
      </c>
      <c r="BU37">
        <f>(2.51+1.48*BM37)+(0.39*BM37*LOG10(0.0015))</f>
        <v>3.2768938069574309</v>
      </c>
      <c r="BV37">
        <f>BU37*((600/$BG37)^0.67)</f>
        <v>2.5083585698678119</v>
      </c>
      <c r="BW37">
        <f>BU37*((600/$BH37)^0.67)</f>
        <v>2.4832806519462993</v>
      </c>
      <c r="BX37">
        <f>BU37*((600/$BI37)^0.67)</f>
        <v>2.4271933958624707</v>
      </c>
      <c r="BY37" s="39">
        <f>BV37*($AM37-$BB37)</f>
        <v>-28.517671814120117</v>
      </c>
      <c r="BZ37" s="39">
        <f>BW37*($AD37-$BD37)</f>
        <v>0.9364598037869083</v>
      </c>
      <c r="CA37" s="39">
        <f>BX37*($AU37-$BF37)</f>
        <v>-1.6085821549592452</v>
      </c>
      <c r="CB37" s="42">
        <f>AVERAGE(0.72,0.69,0.4,0.22)</f>
        <v>0.50750000000000006</v>
      </c>
      <c r="CC37">
        <f>CB37*((600/$BG37)^0.67)</f>
        <v>0.3884751991367939</v>
      </c>
      <c r="CD37">
        <f>CB37*((600/$BH37)^0.67)</f>
        <v>0.38459132492697184</v>
      </c>
      <c r="CE37">
        <f>CB37*((600/$BI37)^0.67)</f>
        <v>0.37590496395851192</v>
      </c>
      <c r="CF37" s="39">
        <f>CC37*($AM37-$BB37)</f>
        <v>-4.4165967218521986</v>
      </c>
      <c r="CG37" s="39">
        <f>CD37*($AD37-$BD37)</f>
        <v>0.14503166059663217</v>
      </c>
      <c r="CH37" s="39">
        <f>CE37*($AU37-$BF37)</f>
        <v>-0.2491247784437044</v>
      </c>
      <c r="CI37">
        <v>0.86263901889527161</v>
      </c>
      <c r="CJ37">
        <f>((BG37/BH37)^0.67)*CI37</f>
        <v>0.85401457788766477</v>
      </c>
      <c r="CK37">
        <f>((BH37/BH37)^0.67)*CI37</f>
        <v>0.86263901889527161</v>
      </c>
      <c r="CL37">
        <f>((BI37/BH37)^0.67)*CI37</f>
        <v>0.88257276444812227</v>
      </c>
      <c r="CM37" s="39">
        <f>CJ37*($AM37-$BB37)</f>
        <v>-9.7093405022864037</v>
      </c>
      <c r="CN37" s="39">
        <f>CK37*($AD37-$BD37)</f>
        <v>0.32530627005065005</v>
      </c>
      <c r="CO37" s="39">
        <f>CL37*($AU37-$BF37)</f>
        <v>-0.58491045738851422</v>
      </c>
      <c r="CP37" s="27">
        <f>VLOOKUP(A37,Water!$A$2:$E$109, 5, FALSE)/1000</f>
        <v>1.4299999999999998E-3</v>
      </c>
      <c r="CQ37">
        <f>0.64*CP37</f>
        <v>9.1519999999999991E-4</v>
      </c>
      <c r="CR37" s="19">
        <f>CQ37*1000*(2.5*10^-5)</f>
        <v>2.2879999999999998E-5</v>
      </c>
      <c r="CS37" s="18">
        <f>(-0.0000009*F37^3)+(0.0002*F37^2)-(0.0134*F37)+6.579</f>
        <v>6.4409921875</v>
      </c>
      <c r="CT37" s="18">
        <f>CS37-(SQRT(CP37))/(1+1.4*SQRT(CP37))</f>
        <v>6.4050781869368434</v>
      </c>
      <c r="CU37" s="18">
        <f>10^(-CT37)</f>
        <v>3.9347923019638185E-7</v>
      </c>
      <c r="CV37" s="18">
        <f>(0.000001*F37^3)+(0.00006*F37^2)-(0.014*F37)+10.625</f>
        <v>10.461328125</v>
      </c>
      <c r="CW37" s="18">
        <f>CV37-(2*SQRT(CR37))/(1+1.4*SQRT(CR37))</f>
        <v>10.451825154246695</v>
      </c>
      <c r="CX37" s="18">
        <f>10^(-CW37)</f>
        <v>3.5332538898268321E-11</v>
      </c>
      <c r="CY37">
        <f>EXP(1246.98+-61900/H37-183*LN(H37))</f>
        <v>1.0660921635998464E-2</v>
      </c>
      <c r="CZ37">
        <f>12.225*(F37^2)+15.258*F37+1125.7</f>
        <v>3226.5812500000002</v>
      </c>
      <c r="DA37" s="15">
        <f>10^(-4470.99/H37+6.0875-0.01706*H37)</f>
        <v>3.6502642327204881E-15</v>
      </c>
      <c r="DB37">
        <f>(10^-I37)</f>
        <v>3.8904514499427963E-10</v>
      </c>
      <c r="DC37">
        <f>DB37^2</f>
        <v>1.5135612484362006E-19</v>
      </c>
      <c r="DD37" s="20">
        <f>((14.6836*10^-9)*((H37/217.2056)-1)^1.997)*100*100</f>
        <v>1.4630896897006907E-5</v>
      </c>
      <c r="DE37">
        <f>CY37+CZ37*DA37/DB37</f>
        <v>4.0934719631896196E-2</v>
      </c>
      <c r="DF37">
        <f>1+DC37*(CU37*CX37+CU37*DB37)^-1</f>
        <v>1.0009064120045303</v>
      </c>
      <c r="DG37">
        <f>(DE37*DF37/DD37)^0.5</f>
        <v>52.918456800290222</v>
      </c>
      <c r="DH37">
        <f>DD37/(BO37/60/60)</f>
        <v>3.0701159815027888E-2</v>
      </c>
      <c r="DI37" s="16">
        <f>DF37/((DF37-1)+TANH(DG37*DH37)/(DG37*DH37))</f>
        <v>1.7546221844911947</v>
      </c>
      <c r="DJ37">
        <f>$DI37*BR37</f>
        <v>-34.223682018105158</v>
      </c>
      <c r="DK37">
        <f>$DI37*BY37</f>
        <v>-50.037739615094409</v>
      </c>
      <c r="DL37">
        <f>$DI37*CF37</f>
        <v>-7.7494585881129545</v>
      </c>
      <c r="DM37">
        <f>$DI37*CM37</f>
        <v>-17.036224242090604</v>
      </c>
    </row>
    <row r="38" spans="1:117" ht="15.75" x14ac:dyDescent="0.25">
      <c r="A38" s="52" t="s">
        <v>331</v>
      </c>
      <c r="B38" s="55" t="s">
        <v>339</v>
      </c>
      <c r="C38" t="s">
        <v>173</v>
      </c>
      <c r="D38" s="57">
        <v>43223</v>
      </c>
      <c r="E38" s="42" t="str">
        <f>A38&amp;D38</f>
        <v>62C43223</v>
      </c>
      <c r="F38" s="3">
        <f>VLOOKUP($E38,Water!$C$2:$E$90, 2, FALSE)</f>
        <v>13.2</v>
      </c>
      <c r="G38" s="3">
        <f>VLOOKUP($E38,Water!$C$2:$E$90, 3, FALSE)</f>
        <v>0.16</v>
      </c>
      <c r="H38" s="1">
        <f>F38+273.15</f>
        <v>286.34999999999997</v>
      </c>
      <c r="I38" s="3">
        <f>VLOOKUP($E38,Water!$C$2:$F$90, 4, FALSE)</f>
        <v>8.76</v>
      </c>
      <c r="J38">
        <f>10^(I38*-1)</f>
        <v>1.7378008287493727E-9</v>
      </c>
      <c r="K38" s="25">
        <f>VLOOKUP($E38,Atm!$D$2:$G$45, 2, FALSE)</f>
        <v>445.25542774904068</v>
      </c>
      <c r="L38" s="25">
        <f>VLOOKUP($E38,Atm!$D$2:$G$45, 3, FALSE)</f>
        <v>2.3130059604866831</v>
      </c>
      <c r="M38" s="25">
        <f>VLOOKUP($E38,Atm!$D$2:$G$45, 4, FALSE)</f>
        <v>0.3128617921059948</v>
      </c>
      <c r="N38" s="21">
        <f>VLOOKUP($C38,Raw!$B$2:$F$353, 3, FALSE)</f>
        <v>379.95949075742999</v>
      </c>
      <c r="O38" s="21">
        <f>VLOOKUP($C38,Raw!$B$2:$F$353, 4, FALSE)</f>
        <v>68.525613429032077</v>
      </c>
      <c r="P38" s="21">
        <f>VLOOKUP($C38,Raw!$B$2:$F$353, 5, FALSE)</f>
        <v>0.32149000956211155</v>
      </c>
      <c r="Q38" s="14">
        <v>60</v>
      </c>
      <c r="R38" s="25">
        <v>1140</v>
      </c>
      <c r="S38">
        <f>EXP(24.4543-(100/H38*(67.4509))-(4.8489*LN(H38/100))-(0.000544*G38))</f>
        <v>1.4958873907811376E-2</v>
      </c>
      <c r="T38" s="8">
        <f>EXP(-58.0931+90.5069*(100/H38)+22.294*LN(H38/100)+G38*(0.027766-0.025888*(H38/100)+0.0050578*(H38/100)^2))</f>
        <v>4.819451635662924E-2</v>
      </c>
      <c r="U38" s="9">
        <f>(EXP(-67.1962+99.1624*(100/H38)+27.9015*LN(H38/100)+G38*(-0.072909+0.041674*(H38/100)-0.0064603*(H38/100)^2)))</f>
        <v>4.0202141565825626E-2</v>
      </c>
      <c r="V38" s="9">
        <f>(EXP(-64.8539+100.252*(100/H38)+25.2049*LN(H38/100)+(-0.062544+0.035337*(H38/100)-0.0054699*(H38/100)^2)*G38))</f>
        <v>3.5867959375986386E-2</v>
      </c>
      <c r="W38" s="9">
        <f>(EXP(-68.8862+101.4956*(100/H38)+28.7314*LN(H38/100)+G38*(-0.076146+0.04397*(H38/100)-0.0068672*(H38/100)^2)))</f>
        <v>4.0117769474334743E-2</v>
      </c>
      <c r="X38">
        <f>N38*(AZ38-S38)</f>
        <v>344.12893873370149</v>
      </c>
      <c r="Y38">
        <f>O38*(AZ38-S38)</f>
        <v>62.06358098438303</v>
      </c>
      <c r="Z38">
        <f>((Y38/10^6)*AZ38)/(0.082056*H38)</f>
        <v>2.4317984753980718E-6</v>
      </c>
      <c r="AA38">
        <f>(((L38/10^6)*AZ38)/(0.082056*H38))</f>
        <v>9.0629065856085884E-8</v>
      </c>
      <c r="AB38">
        <f>((Y38/10^6)*U38*1)/(0.082056*H38)</f>
        <v>1.0618874516408357E-7</v>
      </c>
      <c r="AC38">
        <f>(Z38*(Q38/1000))+(AB38*(R38/1000))</f>
        <v>2.6696307801093959E-7</v>
      </c>
      <c r="AD38" s="39">
        <f>((AC38-(AA38*(Q38/1000)))/(R38/1000))*1000000</f>
        <v>0.22940818777155655</v>
      </c>
      <c r="AE38" s="39">
        <f>(AD38/((U38*AZ38*1))*(0.0821*273.15))</f>
        <v>138.99712132632618</v>
      </c>
      <c r="AF38" s="39">
        <f>L38*U38*AZ38*1/(0.0821*273.15)</f>
        <v>3.817507158686445E-3</v>
      </c>
      <c r="AG38" s="39">
        <f>AD38-AF38</f>
        <v>0.2255906806128701</v>
      </c>
      <c r="AH38" s="42">
        <f>P38*(AZ38-S38)</f>
        <v>0.29117318686672017</v>
      </c>
      <c r="AI38">
        <f>(((X38/10^6)*(Q38/1000))/(0.082056*H38))</f>
        <v>8.7874914522262781E-7</v>
      </c>
      <c r="AJ38">
        <f>(((K38/10^6)*AZ38)*(Q38/1000))/(0.082056*H38)</f>
        <v>1.0467698961508099E-6</v>
      </c>
      <c r="AK38">
        <f>(X38/10^6)*T38*(R38/1000)</f>
        <v>1.8907045653913552E-5</v>
      </c>
      <c r="AL38">
        <f>AI38+AK38</f>
        <v>1.9785794799136182E-5</v>
      </c>
      <c r="AM38" s="39">
        <f>((AL38-AJ38)/(R38/1000))*1000000</f>
        <v>16.437741142969625</v>
      </c>
      <c r="AN38" s="39">
        <f>AM38/(T38*AZ38)</f>
        <v>370.4641854405026</v>
      </c>
      <c r="AO38" s="39">
        <f>(K38*AZ38)*T38</f>
        <v>19.7562780735154</v>
      </c>
      <c r="AP38" s="39">
        <f>AM38-AO38</f>
        <v>-3.3185369305457755</v>
      </c>
      <c r="AQ38">
        <f>(((AH38/10^6)*(Q38/1000))/(0.082056*H38))</f>
        <v>7.4352418605770971E-10</v>
      </c>
      <c r="AR38">
        <f>(((M38/10^6)*AZ38)*(Q38/1000))/(0.082056*H38)</f>
        <v>7.3552007504540537E-10</v>
      </c>
      <c r="AS38">
        <f>(AH38/10^6)*V38*(R38/1000)</f>
        <v>1.1905918363219692E-8</v>
      </c>
      <c r="AT38">
        <f>AQ38+AS38</f>
        <v>1.2649442549277401E-8</v>
      </c>
      <c r="AU38" s="39">
        <f>((AT38-AR38)/(R38/1000))*1000000000</f>
        <v>10.450809187922804</v>
      </c>
      <c r="AV38" s="39">
        <f>(AU38/1000)/(V38*AZ38)</f>
        <v>0.31647905095663237</v>
      </c>
      <c r="AW38" s="39">
        <f>(M38*AZ38)*V38*1000</f>
        <v>10.33135963220318</v>
      </c>
      <c r="AX38" s="39">
        <f>AU38-AW38</f>
        <v>0.11944955571962446</v>
      </c>
      <c r="AY38" s="26">
        <f>VLOOKUP($E38,Water!$C$2:$G$90, 5, FALSE)</f>
        <v>699.7</v>
      </c>
      <c r="AZ38">
        <f>AY38/760</f>
        <v>0.92065789473684212</v>
      </c>
      <c r="BA38" s="3">
        <f>Assumptions!$B$3</f>
        <v>406.07</v>
      </c>
      <c r="BB38" s="3">
        <f>BA38*AZ38*T38</f>
        <v>18.017594704840032</v>
      </c>
      <c r="BC38" s="3">
        <f>Assumptions!$B$4</f>
        <v>1.8474300000000001</v>
      </c>
      <c r="BD38" s="45">
        <f>BC38*AZ38*U38*1/(0.0821*273.15)</f>
        <v>3.0490960121383154E-3</v>
      </c>
      <c r="BE38" s="3">
        <f>Assumptions!$B$2</f>
        <v>0.33054499999999998</v>
      </c>
      <c r="BF38" s="44">
        <f>BE38*AZ38*V38*1000</f>
        <v>10.91529664469107</v>
      </c>
      <c r="BG38">
        <f>1923.6+(-125.06*F38)+(4.3773*(F38^2))+(-0.085681*(F38^3))+(0.00070284*(F38^4))</f>
        <v>859.78311931238409</v>
      </c>
      <c r="BH38">
        <f>1909.4+(-120.78*F38)+(4.1555*(F38^2))+(-0.080578*(F38^3))+(0.00065777*(F38^4))</f>
        <v>873.80111785395218</v>
      </c>
      <c r="BI38">
        <f>2141.2+(-152.56*F38)+(5.8963*(F38^2))+(-0.12411*(F38^3))+(0.0010655*(F38^4))</f>
        <v>901.67841345279999</v>
      </c>
      <c r="BJ38" s="25">
        <f>VLOOKUP(E38,Wind!$C$2:$E$109,3, FALSE)</f>
        <v>3.3888888888888888</v>
      </c>
      <c r="BK38" s="44">
        <v>1.66</v>
      </c>
      <c r="BL38">
        <f>BK38/(1-(((1.3*10^-3)^0.5)/0.41)*LN(10/1.5))</f>
        <v>1.9923982880693825</v>
      </c>
      <c r="BM38">
        <f>BK38*1.22</f>
        <v>2.0251999999999999</v>
      </c>
      <c r="BN38">
        <f>2.07+0.215*(BM38^1.7)*(24/100)</f>
        <v>2.241255750541113</v>
      </c>
      <c r="BO38">
        <f>BN38*((600/BG38)^0.67)</f>
        <v>1.7612142155890089</v>
      </c>
      <c r="BP38">
        <f>BN38*((600/BH38)^0.67)</f>
        <v>1.7422333200710411</v>
      </c>
      <c r="BQ38">
        <f>BN38*((600/BI38)^0.67)</f>
        <v>1.7059572111126093</v>
      </c>
      <c r="BR38" s="39">
        <f>BO38*(AM38-BB38)</f>
        <v>-2.7824605517150922</v>
      </c>
      <c r="BS38" s="39">
        <f>BP38*(AD38-BD38)</f>
        <v>0.39437035196427667</v>
      </c>
      <c r="BT38" s="39">
        <f>BQ38*(AU38-BF38)</f>
        <v>-0.79239572634517974</v>
      </c>
      <c r="BU38">
        <f>(2.51+1.48*BM38)+(0.39*BM38*LOG10(0.0015))</f>
        <v>3.2768938069574309</v>
      </c>
      <c r="BV38">
        <f>BU38*((600/$BG38)^0.67)</f>
        <v>2.5750349795625187</v>
      </c>
      <c r="BW38">
        <f>BU38*((600/$BH38)^0.67)</f>
        <v>2.5472834037067438</v>
      </c>
      <c r="BX38">
        <f>BU38*((600/$BI38)^0.67)</f>
        <v>2.4942448529935115</v>
      </c>
      <c r="BY38" s="39">
        <f>BV38*($AM38-$BB38)</f>
        <v>-4.068178184402738</v>
      </c>
      <c r="BZ38" s="39">
        <f>BW38*($AD38-$BD38)</f>
        <v>0.576600757716898</v>
      </c>
      <c r="CA38" s="39">
        <f>BX38*($AU38-$BF38)</f>
        <v>-1.1585454483242936</v>
      </c>
      <c r="CB38" s="42">
        <f>AVERAGE(0.72,0.69,0.4,0.22)</f>
        <v>0.50750000000000006</v>
      </c>
      <c r="CC38">
        <f>CB38*((600/$BG38)^0.67)</f>
        <v>0.39880152641911815</v>
      </c>
      <c r="CD38">
        <f>CB38*((600/$BH38)^0.67)</f>
        <v>0.39450357672147968</v>
      </c>
      <c r="CE38">
        <f>CB38*((600/$BI38)^0.67)</f>
        <v>0.38628937569066946</v>
      </c>
      <c r="CF38" s="39">
        <f>CC38*($AM38-$BB38)</f>
        <v>-0.63004801199259941</v>
      </c>
      <c r="CG38" s="39">
        <f>CD38*($AD38-$BD38)</f>
        <v>8.9299471322516116E-2</v>
      </c>
      <c r="CH38" s="39">
        <f>CE38*($AU38-$BF38)</f>
        <v>-0.17942656969116028</v>
      </c>
      <c r="CI38">
        <v>0.86263901889527161</v>
      </c>
      <c r="CJ38">
        <f>((BG38/BH38)^0.67)*CI38</f>
        <v>0.85334221618811346</v>
      </c>
      <c r="CK38">
        <f>((BH38/BH38)^0.67)*CI38</f>
        <v>0.86263901889527161</v>
      </c>
      <c r="CL38">
        <f>((BI38/BH38)^0.67)*CI38</f>
        <v>0.88098249599856326</v>
      </c>
      <c r="CM38" s="39">
        <f>CJ38*($AM38-$BB38)</f>
        <v>-1.3481557397391788</v>
      </c>
      <c r="CN38" s="39">
        <f>CK38*($AD38-$BD38)</f>
        <v>0.1952661848333693</v>
      </c>
      <c r="CO38" s="39">
        <f>CL38*($AU38-$BF38)</f>
        <v>-0.4092053190237317</v>
      </c>
      <c r="CP38" s="27">
        <f>VLOOKUP(A38,Water!$A$2:$E$109, 5, FALSE)/1000</f>
        <v>1.6000000000000001E-4</v>
      </c>
      <c r="CQ38">
        <f>0.64*CP38</f>
        <v>1.0240000000000001E-4</v>
      </c>
      <c r="CR38" s="19">
        <f>CQ38*1000*(2.5*10^-5)</f>
        <v>2.5600000000000001E-6</v>
      </c>
      <c r="CS38" s="18">
        <f>(-0.0000009*F38^3)+(0.0002*F38^2)-(0.0134*F38)+6.579</f>
        <v>6.4348980287999993</v>
      </c>
      <c r="CT38" s="18">
        <f>CS38-(SQRT(CP38))/(1+1.4*SQRT(CP38))</f>
        <v>6.4224690204222989</v>
      </c>
      <c r="CU38" s="18">
        <f>10^(-CT38)</f>
        <v>3.780341026897049E-7</v>
      </c>
      <c r="CV38" s="18">
        <f>(0.000001*F38^3)+(0.00006*F38^2)-(0.014*F38)+10.625</f>
        <v>10.452954368</v>
      </c>
      <c r="CW38" s="18">
        <f>CV38-(2*SQRT(CR38))/(1+1.4*SQRT(CR38))</f>
        <v>10.449761519979566</v>
      </c>
      <c r="CX38" s="18">
        <f>10^(-CW38)</f>
        <v>3.5500827805731075E-11</v>
      </c>
      <c r="CY38">
        <f>EXP(1246.98+-61900/H38-183*LN(H38))</f>
        <v>1.157000356711271E-2</v>
      </c>
      <c r="CZ38">
        <f>12.225*(F38^2)+15.258*F38+1125.7</f>
        <v>3457.1895999999997</v>
      </c>
      <c r="DA38" s="15">
        <f>10^(-4470.99/H38+6.0875-0.01706*H38)</f>
        <v>3.8783280111855274E-15</v>
      </c>
      <c r="DB38">
        <f>(10^-I38)</f>
        <v>1.7378008287493727E-9</v>
      </c>
      <c r="DC38">
        <f>DB38^2</f>
        <v>3.0199517204020068E-18</v>
      </c>
      <c r="DD38" s="20">
        <f>((14.6836*10^-9)*((H38/217.2056)-1)^1.997)*100*100</f>
        <v>1.4931239990393653E-5</v>
      </c>
      <c r="DE38">
        <f>CY38+CZ38*DA38/DB38</f>
        <v>1.928556857539308E-2</v>
      </c>
      <c r="DF38">
        <f>1+DC38*(CU38*CX38+CU38*DB38)^-1</f>
        <v>1.0045049129217685</v>
      </c>
      <c r="DG38">
        <f>(DE38*DF38/DD38)^0.5</f>
        <v>36.02005057126113</v>
      </c>
      <c r="DH38">
        <f>DD38/(BO38/60/60)</f>
        <v>3.0520117024742804E-2</v>
      </c>
      <c r="DI38" s="16">
        <f>DF38/((DF38-1)+TANH(DG38*DH38)/(DG38*DH38))</f>
        <v>1.371424417914062</v>
      </c>
      <c r="DJ38">
        <f>$DI38*BR38</f>
        <v>-3.8159343425047103</v>
      </c>
      <c r="DK38">
        <f>$DI38*BY38</f>
        <v>-5.5791988985152106</v>
      </c>
      <c r="DL38">
        <f>$DI38*CF38</f>
        <v>-0.86406322810486258</v>
      </c>
      <c r="DM38">
        <f>$DI38*CM38</f>
        <v>-1.8488937006293049</v>
      </c>
    </row>
    <row r="39" spans="1:117" ht="15.75" x14ac:dyDescent="0.25">
      <c r="A39" s="52" t="s">
        <v>331</v>
      </c>
      <c r="B39" s="55" t="s">
        <v>340</v>
      </c>
      <c r="C39" t="s">
        <v>174</v>
      </c>
      <c r="D39" s="57">
        <v>43223</v>
      </c>
      <c r="E39" s="42" t="str">
        <f>A39&amp;D39</f>
        <v>62C43223</v>
      </c>
      <c r="F39" s="3">
        <f>VLOOKUP($E39,Water!$C$2:$E$90, 2, FALSE)</f>
        <v>13.2</v>
      </c>
      <c r="G39" s="3">
        <f>VLOOKUP($E39,Water!$C$2:$E$90, 3, FALSE)</f>
        <v>0.16</v>
      </c>
      <c r="H39" s="1">
        <f>F39+273.15</f>
        <v>286.34999999999997</v>
      </c>
      <c r="I39" s="3">
        <f>VLOOKUP($E39,Water!$C$2:$F$90, 4, FALSE)</f>
        <v>8.76</v>
      </c>
      <c r="J39">
        <f>10^(I39*-1)</f>
        <v>1.7378008287493727E-9</v>
      </c>
      <c r="K39" s="25">
        <f>VLOOKUP($E39,Atm!$D$2:$G$45, 2, FALSE)</f>
        <v>445.25542774904068</v>
      </c>
      <c r="L39" s="25">
        <f>VLOOKUP($E39,Atm!$D$2:$G$45, 3, FALSE)</f>
        <v>2.3130059604866831</v>
      </c>
      <c r="M39" s="25">
        <f>VLOOKUP($E39,Atm!$D$2:$G$45, 4, FALSE)</f>
        <v>0.3128617921059948</v>
      </c>
      <c r="N39" s="21">
        <f>VLOOKUP($C39,Raw!$B$2:$F$353, 3, FALSE)</f>
        <v>438.75361172741373</v>
      </c>
      <c r="O39" s="21">
        <f>VLOOKUP($C39,Raw!$B$2:$F$353, 4, FALSE)</f>
        <v>79.262895438092542</v>
      </c>
      <c r="P39" s="21">
        <f>VLOOKUP($C39,Raw!$B$2:$F$353, 5, FALSE)</f>
        <v>0.32069795489747982</v>
      </c>
      <c r="Q39" s="14">
        <v>60</v>
      </c>
      <c r="R39" s="25">
        <v>1140</v>
      </c>
      <c r="S39">
        <f>EXP(24.4543-(100/H39*(67.4509))-(4.8489*LN(H39/100))-(0.000544*G39))</f>
        <v>1.4958873907811376E-2</v>
      </c>
      <c r="T39" s="8">
        <f>EXP(-58.0931+90.5069*(100/H39)+22.294*LN(H39/100)+G39*(0.027766-0.025888*(H39/100)+0.0050578*(H39/100)^2))</f>
        <v>4.819451635662924E-2</v>
      </c>
      <c r="U39" s="9">
        <f>(EXP(-67.1962+99.1624*(100/H39)+27.9015*LN(H39/100)+G39*(-0.072909+0.041674*(H39/100)-0.0064603*(H39/100)^2)))</f>
        <v>4.0202141565825626E-2</v>
      </c>
      <c r="V39" s="9">
        <f>(EXP(-64.8539+100.252*(100/H39)+25.2049*LN(H39/100)+(-0.062544+0.035337*(H39/100)-0.0054699*(H39/100)^2)*G39))</f>
        <v>3.5867959375986386E-2</v>
      </c>
      <c r="W39" s="9">
        <f>(EXP(-68.8862+101.4956*(100/H39)+28.7314*LN(H39/100)+G39*(-0.076146+0.04397*(H39/100)-0.0068672*(H39/100)^2)))</f>
        <v>4.0117769474334743E-2</v>
      </c>
      <c r="X39">
        <f>N39*(AZ39-S39)</f>
        <v>397.37871652671936</v>
      </c>
      <c r="Y39">
        <f>O39*(AZ39-S39)</f>
        <v>71.788326786354261</v>
      </c>
      <c r="Z39">
        <f>((Y39/10^6)*AZ39)/(0.082056*H39)</f>
        <v>2.8128371077131831E-6</v>
      </c>
      <c r="AA39">
        <f>(((L39/10^6)*AZ39)/(0.082056*H39))</f>
        <v>9.0629065856085884E-8</v>
      </c>
      <c r="AB39">
        <f>((Y39/10^6)*U39*1)/(0.082056*H39)</f>
        <v>1.2282746528580619E-7</v>
      </c>
      <c r="AC39">
        <f>(Z39*(Q39/1000))+(AB39*(R39/1000))</f>
        <v>3.0879353688861005E-7</v>
      </c>
      <c r="AD39" s="39">
        <f>((AC39-(AA39*(Q39/1000)))/(R39/1000))*1000000</f>
        <v>0.26610157275196922</v>
      </c>
      <c r="AE39" s="39">
        <f>(AD39/((U39*AZ39*1))*(0.0821*273.15))</f>
        <v>161.22943541040254</v>
      </c>
      <c r="AF39" s="39">
        <f>L39*U39*AZ39*1/(0.0821*273.15)</f>
        <v>3.817507158686445E-3</v>
      </c>
      <c r="AG39" s="39">
        <f>AD39-AF39</f>
        <v>0.26228406559328277</v>
      </c>
      <c r="AH39" s="42">
        <f>P39*(AZ39-S39)</f>
        <v>0.29045582373252016</v>
      </c>
      <c r="AI39">
        <f>(((X39/10^6)*(Q39/1000))/(0.082056*H39))</f>
        <v>1.0147249131748821E-6</v>
      </c>
      <c r="AJ39">
        <f>(((K39/10^6)*AZ39)*(Q39/1000))/(0.082056*H39)</f>
        <v>1.0467698961508099E-6</v>
      </c>
      <c r="AK39">
        <f>(X39/10^6)*T39*(R39/1000)</f>
        <v>2.1832681560902571E-5</v>
      </c>
      <c r="AL39">
        <f>AI39+AK39</f>
        <v>2.2847406474077453E-5</v>
      </c>
      <c r="AM39" s="39">
        <f>((AL39-AJ39)/(R39/1000))*1000000</f>
        <v>19.123365419233899</v>
      </c>
      <c r="AN39" s="39">
        <f>AM39/(T39*AZ39)</f>
        <v>430.99121292268262</v>
      </c>
      <c r="AO39" s="39">
        <f>(K39*AZ39)*T39</f>
        <v>19.7562780735154</v>
      </c>
      <c r="AP39" s="39">
        <f>AM39-AO39</f>
        <v>-0.63291265428150112</v>
      </c>
      <c r="AQ39">
        <f>(((AH39/10^6)*(Q39/1000))/(0.082056*H39))</f>
        <v>7.4169236614941558E-10</v>
      </c>
      <c r="AR39">
        <f>(((M39/10^6)*AZ39)*(Q39/1000))/(0.082056*H39)</f>
        <v>7.3552007504540537E-10</v>
      </c>
      <c r="AS39">
        <f>(AH39/10^6)*V39*(R39/1000)</f>
        <v>1.1876585762218631E-8</v>
      </c>
      <c r="AT39">
        <f>AQ39+AS39</f>
        <v>1.2618278128368047E-8</v>
      </c>
      <c r="AU39" s="39">
        <f>((AT39-AR39)/(R39/1000))*1000000000</f>
        <v>10.423471976598808</v>
      </c>
      <c r="AV39" s="39">
        <f>(AU39/1000)/(V39*AZ39)</f>
        <v>0.31565120551997305</v>
      </c>
      <c r="AW39" s="39">
        <f>(M39*AZ39)*V39*1000</f>
        <v>10.33135963220318</v>
      </c>
      <c r="AX39" s="39">
        <f>AU39-AW39</f>
        <v>9.2112344395628654E-2</v>
      </c>
      <c r="AY39" s="26">
        <f>VLOOKUP($E39,Water!$C$2:$G$90, 5, FALSE)</f>
        <v>699.7</v>
      </c>
      <c r="AZ39">
        <f>AY39/760</f>
        <v>0.92065789473684212</v>
      </c>
      <c r="BA39" s="3">
        <f>Assumptions!$B$3</f>
        <v>406.07</v>
      </c>
      <c r="BB39" s="3">
        <f>BA39*AZ39*T39</f>
        <v>18.017594704840032</v>
      </c>
      <c r="BC39" s="3">
        <f>Assumptions!$B$4</f>
        <v>1.8474300000000001</v>
      </c>
      <c r="BD39" s="45">
        <f>BC39*AZ39*U39*1/(0.0821*273.15)</f>
        <v>3.0490960121383154E-3</v>
      </c>
      <c r="BE39" s="3">
        <f>Assumptions!$B$2</f>
        <v>0.33054499999999998</v>
      </c>
      <c r="BF39" s="44">
        <f>BE39*AZ39*V39*1000</f>
        <v>10.91529664469107</v>
      </c>
      <c r="BG39">
        <f>1923.6+(-125.06*F39)+(4.3773*(F39^2))+(-0.085681*(F39^3))+(0.00070284*(F39^4))</f>
        <v>859.78311931238409</v>
      </c>
      <c r="BH39">
        <f>1909.4+(-120.78*F39)+(4.1555*(F39^2))+(-0.080578*(F39^3))+(0.00065777*(F39^4))</f>
        <v>873.80111785395218</v>
      </c>
      <c r="BI39">
        <f>2141.2+(-152.56*F39)+(5.8963*(F39^2))+(-0.12411*(F39^3))+(0.0010655*(F39^4))</f>
        <v>901.67841345279999</v>
      </c>
      <c r="BJ39" s="25">
        <f>VLOOKUP(E39,Wind!$C$2:$E$109,3, FALSE)</f>
        <v>3.3888888888888888</v>
      </c>
      <c r="BK39" s="44">
        <v>1.66</v>
      </c>
      <c r="BL39">
        <f>BK39/(1-(((1.3*10^-3)^0.5)/0.41)*LN(10/1.5))</f>
        <v>1.9923982880693825</v>
      </c>
      <c r="BM39">
        <f>BK39*1.22</f>
        <v>2.0251999999999999</v>
      </c>
      <c r="BN39">
        <f>2.07+0.215*(BM39^1.7)*(24/100)</f>
        <v>2.241255750541113</v>
      </c>
      <c r="BO39">
        <f>BN39*((600/BG39)^0.67)</f>
        <v>1.7612142155890089</v>
      </c>
      <c r="BP39">
        <f>BN39*((600/BH39)^0.67)</f>
        <v>1.7422333200710411</v>
      </c>
      <c r="BQ39">
        <f>BN39*((600/BI39)^0.67)</f>
        <v>1.7059572111126093</v>
      </c>
      <c r="BR39" s="39">
        <f>BO39*(AM39-BB39)</f>
        <v>1.9474991013724914</v>
      </c>
      <c r="BS39" s="39">
        <f>BP39*(AD39-BD39)</f>
        <v>0.45829878990334594</v>
      </c>
      <c r="BT39" s="39">
        <f>BQ39*(AU39-BF39)</f>
        <v>-0.83903183913505963</v>
      </c>
      <c r="BU39">
        <f>(2.51+1.48*BM39)+(0.39*BM39*LOG10(0.0015))</f>
        <v>3.2768938069574309</v>
      </c>
      <c r="BV39">
        <f>BU39*((600/$BG39)^0.67)</f>
        <v>2.5750349795625187</v>
      </c>
      <c r="BW39">
        <f>BU39*((600/$BH39)^0.67)</f>
        <v>2.5472834037067438</v>
      </c>
      <c r="BX39">
        <f>BU39*((600/$BI39)^0.67)</f>
        <v>2.4942448529935115</v>
      </c>
      <c r="BY39" s="39">
        <f>BV39*($AM39-$BB39)</f>
        <v>2.8473982689400414</v>
      </c>
      <c r="BZ39" s="39">
        <f>BW39*($AD39-$BD39)</f>
        <v>0.6700692083033255</v>
      </c>
      <c r="CA39" s="39">
        <f>BX39*($AU39-$BF39)</f>
        <v>-1.226731146964366</v>
      </c>
      <c r="CB39" s="42">
        <f>AVERAGE(0.72,0.69,0.4,0.22)</f>
        <v>0.50750000000000006</v>
      </c>
      <c r="CC39">
        <f>CB39*((600/$BG39)^0.67)</f>
        <v>0.39880152641911815</v>
      </c>
      <c r="CD39">
        <f>CB39*((600/$BH39)^0.67)</f>
        <v>0.39450357672147968</v>
      </c>
      <c r="CE39">
        <f>CB39*((600/$BI39)^0.67)</f>
        <v>0.38628937569066946</v>
      </c>
      <c r="CF39" s="39">
        <f>CC39*($AM39-$BB39)</f>
        <v>0.44098304876983269</v>
      </c>
      <c r="CG39" s="39">
        <f>CD39*($AD39-$BD39)</f>
        <v>0.10377514293930713</v>
      </c>
      <c r="CH39" s="39">
        <f>CE39*($AU39-$BF39)</f>
        <v>-0.18998664398663051</v>
      </c>
      <c r="CI39">
        <v>0.86263901889527161</v>
      </c>
      <c r="CJ39">
        <f>((BG39/BH39)^0.67)*CI39</f>
        <v>0.85334221618811346</v>
      </c>
      <c r="CK39">
        <f>((BH39/BH39)^0.67)*CI39</f>
        <v>0.86263901889527161</v>
      </c>
      <c r="CL39">
        <f>((BI39/BH39)^0.67)*CI39</f>
        <v>0.88098249599856326</v>
      </c>
      <c r="CM39" s="39">
        <f>CJ39*($AM39-$BB39)</f>
        <v>0.94360083201677547</v>
      </c>
      <c r="CN39" s="39">
        <f>CK39*($AD39-$BD39)</f>
        <v>0.22691933045281898</v>
      </c>
      <c r="CO39" s="39">
        <f>CL39*($AU39-$BF39)</f>
        <v>-0.43328892368958571</v>
      </c>
      <c r="CP39" s="27">
        <f>VLOOKUP(A39,Water!$A$2:$E$109, 5, FALSE)/1000</f>
        <v>1.6000000000000001E-4</v>
      </c>
      <c r="CQ39">
        <f>0.64*CP39</f>
        <v>1.0240000000000001E-4</v>
      </c>
      <c r="CR39" s="19">
        <f>CQ39*1000*(2.5*10^-5)</f>
        <v>2.5600000000000001E-6</v>
      </c>
      <c r="CS39" s="18">
        <f>(-0.0000009*F39^3)+(0.0002*F39^2)-(0.0134*F39)+6.579</f>
        <v>6.4348980287999993</v>
      </c>
      <c r="CT39" s="18">
        <f>CS39-(SQRT(CP39))/(1+1.4*SQRT(CP39))</f>
        <v>6.4224690204222989</v>
      </c>
      <c r="CU39" s="18">
        <f>10^(-CT39)</f>
        <v>3.780341026897049E-7</v>
      </c>
      <c r="CV39" s="18">
        <f>(0.000001*F39^3)+(0.00006*F39^2)-(0.014*F39)+10.625</f>
        <v>10.452954368</v>
      </c>
      <c r="CW39" s="18">
        <f>CV39-(2*SQRT(CR39))/(1+1.4*SQRT(CR39))</f>
        <v>10.449761519979566</v>
      </c>
      <c r="CX39" s="18">
        <f>10^(-CW39)</f>
        <v>3.5500827805731075E-11</v>
      </c>
      <c r="CY39">
        <f>EXP(1246.98+-61900/H39-183*LN(H39))</f>
        <v>1.157000356711271E-2</v>
      </c>
      <c r="CZ39">
        <f>12.225*(F39^2)+15.258*F39+1125.7</f>
        <v>3457.1895999999997</v>
      </c>
      <c r="DA39" s="15">
        <f>10^(-4470.99/H39+6.0875-0.01706*H39)</f>
        <v>3.8783280111855274E-15</v>
      </c>
      <c r="DB39">
        <f>(10^-I39)</f>
        <v>1.7378008287493727E-9</v>
      </c>
      <c r="DC39">
        <f>DB39^2</f>
        <v>3.0199517204020068E-18</v>
      </c>
      <c r="DD39" s="20">
        <f>((14.6836*10^-9)*((H39/217.2056)-1)^1.997)*100*100</f>
        <v>1.4931239990393653E-5</v>
      </c>
      <c r="DE39">
        <f>CY39+CZ39*DA39/DB39</f>
        <v>1.928556857539308E-2</v>
      </c>
      <c r="DF39">
        <f>1+DC39*(CU39*CX39+CU39*DB39)^-1</f>
        <v>1.0045049129217685</v>
      </c>
      <c r="DG39">
        <f>(DE39*DF39/DD39)^0.5</f>
        <v>36.02005057126113</v>
      </c>
      <c r="DH39">
        <f>DD39/(BO39/60/60)</f>
        <v>3.0520117024742804E-2</v>
      </c>
      <c r="DI39" s="16">
        <f>DF39/((DF39-1)+TANH(DG39*DH39)/(DG39*DH39))</f>
        <v>1.371424417914062</v>
      </c>
      <c r="DJ39">
        <f>$DI39*BR39</f>
        <v>2.6708478214879277</v>
      </c>
      <c r="DK39">
        <f>$DI39*BY39</f>
        <v>3.9049915135506041</v>
      </c>
      <c r="DL39">
        <f>$DI39*CF39</f>
        <v>0.60477492096913621</v>
      </c>
      <c r="DM39">
        <f>$DI39*CM39</f>
        <v>1.2940772217918308</v>
      </c>
    </row>
    <row r="40" spans="1:117" ht="15.75" x14ac:dyDescent="0.25">
      <c r="A40" s="52" t="s">
        <v>331</v>
      </c>
      <c r="B40" s="55" t="s">
        <v>341</v>
      </c>
      <c r="C40" t="s">
        <v>175</v>
      </c>
      <c r="D40" s="57">
        <v>43223</v>
      </c>
      <c r="E40" s="42" t="str">
        <f>A40&amp;D40</f>
        <v>62C43223</v>
      </c>
      <c r="F40" s="3">
        <f>VLOOKUP($E40,Water!$C$2:$E$90, 2, FALSE)</f>
        <v>13.2</v>
      </c>
      <c r="G40" s="3">
        <f>VLOOKUP($E40,Water!$C$2:$E$90, 3, FALSE)</f>
        <v>0.16</v>
      </c>
      <c r="H40" s="1">
        <f>F40+273.15</f>
        <v>286.34999999999997</v>
      </c>
      <c r="I40" s="3">
        <f>VLOOKUP($E40,Water!$C$2:$F$90, 4, FALSE)</f>
        <v>8.76</v>
      </c>
      <c r="J40">
        <f>10^(I40*-1)</f>
        <v>1.7378008287493727E-9</v>
      </c>
      <c r="K40" s="25">
        <f>VLOOKUP($E40,Atm!$D$2:$G$45, 2, FALSE)</f>
        <v>445.25542774904068</v>
      </c>
      <c r="L40" s="25">
        <f>VLOOKUP($E40,Atm!$D$2:$G$45, 3, FALSE)</f>
        <v>2.3130059604866831</v>
      </c>
      <c r="M40" s="25">
        <f>VLOOKUP($E40,Atm!$D$2:$G$45, 4, FALSE)</f>
        <v>0.3128617921059948</v>
      </c>
      <c r="N40" s="21">
        <f>VLOOKUP($C40,Raw!$B$2:$F$353, 3, FALSE)</f>
        <v>380.23057879872079</v>
      </c>
      <c r="O40" s="21">
        <f>VLOOKUP($C40,Raw!$B$2:$F$353, 4, FALSE)</f>
        <v>62.411843723325539</v>
      </c>
      <c r="P40" s="21">
        <f>VLOOKUP($C40,Raw!$B$2:$F$353, 5, FALSE)</f>
        <v>0.32253570347321942</v>
      </c>
      <c r="Q40" s="14">
        <v>60</v>
      </c>
      <c r="R40" s="25">
        <v>1140</v>
      </c>
      <c r="S40">
        <f>EXP(24.4543-(100/H40*(67.4509))-(4.8489*LN(H40/100))-(0.000544*G40))</f>
        <v>1.4958873907811376E-2</v>
      </c>
      <c r="T40" s="8">
        <f>EXP(-58.0931+90.5069*(100/H40)+22.294*LN(H40/100)+G40*(0.027766-0.025888*(H40/100)+0.0050578*(H40/100)^2))</f>
        <v>4.819451635662924E-2</v>
      </c>
      <c r="U40" s="9">
        <f>(EXP(-67.1962+99.1624*(100/H40)+27.9015*LN(H40/100)+G40*(-0.072909+0.041674*(H40/100)-0.0064603*(H40/100)^2)))</f>
        <v>4.0202141565825626E-2</v>
      </c>
      <c r="V40" s="9">
        <f>(EXP(-64.8539+100.252*(100/H40)+25.2049*LN(H40/100)+(-0.062544+0.035337*(H40/100)-0.0054699*(H40/100)^2)*G40))</f>
        <v>3.5867959375986386E-2</v>
      </c>
      <c r="W40" s="9">
        <f>(EXP(-68.8862+101.4956*(100/H40)+28.7314*LN(H40/100)+G40*(-0.076146+0.04397*(H40/100)-0.0068672*(H40/100)^2)))</f>
        <v>4.0117769474334743E-2</v>
      </c>
      <c r="X40">
        <f>N40*(AZ40-S40)</f>
        <v>344.37446290725705</v>
      </c>
      <c r="Y40">
        <f>O40*(AZ40-S40)</f>
        <v>56.52634574835043</v>
      </c>
      <c r="Z40">
        <f>((Y40/10^6)*AZ40)/(0.082056*H40)</f>
        <v>2.214836450466045E-6</v>
      </c>
      <c r="AA40">
        <f>(((L40/10^6)*AZ40)/(0.082056*H40))</f>
        <v>9.0629065856085884E-8</v>
      </c>
      <c r="AB40">
        <f>((Y40/10^6)*U40*1)/(0.082056*H40)</f>
        <v>9.6714717851018828E-8</v>
      </c>
      <c r="AC40">
        <f>(Z40*(Q40/1000))+(AB40*(R40/1000))</f>
        <v>2.4314496537812414E-7</v>
      </c>
      <c r="AD40" s="39">
        <f>((AC40-(AA40*(Q40/1000)))/(R40/1000))*1000000</f>
        <v>0.20851510651470087</v>
      </c>
      <c r="AE40" s="39">
        <f>(AD40/((U40*AZ40*1))*(0.0821*273.15))</f>
        <v>126.33812175639005</v>
      </c>
      <c r="AF40" s="39">
        <f>L40*U40*AZ40*1/(0.0821*273.15)</f>
        <v>3.817507158686445E-3</v>
      </c>
      <c r="AG40" s="39">
        <f>AD40-AF40</f>
        <v>0.20469759935601442</v>
      </c>
      <c r="AH40" s="42">
        <f>P40*(AZ40-S40)</f>
        <v>0.29212027081809744</v>
      </c>
      <c r="AI40">
        <f>(((X40/10^6)*(Q40/1000))/(0.082056*H40))</f>
        <v>8.793761025440243E-7</v>
      </c>
      <c r="AJ40">
        <f>(((K40/10^6)*AZ40)*(Q40/1000))/(0.082056*H40)</f>
        <v>1.0467698961508099E-6</v>
      </c>
      <c r="AK40">
        <f>(X40/10^6)*T40*(R40/1000)</f>
        <v>1.8920535181343698E-5</v>
      </c>
      <c r="AL40">
        <f>AI40+AK40</f>
        <v>1.9799911283887724E-5</v>
      </c>
      <c r="AM40" s="39">
        <f>((AL40-AJ40)/(R40/1000))*1000000</f>
        <v>16.450124024330627</v>
      </c>
      <c r="AN40" s="39">
        <f>AM40/(T40*AZ40)</f>
        <v>370.74326357033266</v>
      </c>
      <c r="AO40" s="39">
        <f>(K40*AZ40)*T40</f>
        <v>19.7562780735154</v>
      </c>
      <c r="AP40" s="39">
        <f>AM40-AO40</f>
        <v>-3.306154049184773</v>
      </c>
      <c r="AQ40">
        <f>(((AH40/10^6)*(Q40/1000))/(0.082056*H40))</f>
        <v>7.4594260868670825E-10</v>
      </c>
      <c r="AR40">
        <f>(((M40/10^6)*AZ40)*(Q40/1000))/(0.082056*H40)</f>
        <v>7.3552007504540537E-10</v>
      </c>
      <c r="AS40">
        <f>(AH40/10^6)*V40*(R40/1000)</f>
        <v>1.1944644127530451E-8</v>
      </c>
      <c r="AT40">
        <f>AQ40+AS40</f>
        <v>1.269058673621716E-8</v>
      </c>
      <c r="AU40" s="39">
        <f>((AT40-AR40)/(R40/1000))*1000000000</f>
        <v>10.486900579975224</v>
      </c>
      <c r="AV40" s="39">
        <f>(AU40/1000)/(V40*AZ40)</f>
        <v>0.31757199689977078</v>
      </c>
      <c r="AW40" s="39">
        <f>(M40*AZ40)*V40*1000</f>
        <v>10.33135963220318</v>
      </c>
      <c r="AX40" s="39">
        <f>AU40-AW40</f>
        <v>0.15554094777204419</v>
      </c>
      <c r="AY40" s="26">
        <f>VLOOKUP($E40,Water!$C$2:$G$90, 5, FALSE)</f>
        <v>699.7</v>
      </c>
      <c r="AZ40">
        <f>AY40/760</f>
        <v>0.92065789473684212</v>
      </c>
      <c r="BA40" s="3">
        <f>Assumptions!$B$3</f>
        <v>406.07</v>
      </c>
      <c r="BB40" s="3">
        <f>BA40*AZ40*T40</f>
        <v>18.017594704840032</v>
      </c>
      <c r="BC40" s="3">
        <f>Assumptions!$B$4</f>
        <v>1.8474300000000001</v>
      </c>
      <c r="BD40" s="45">
        <f>BC40*AZ40*U40*1/(0.0821*273.15)</f>
        <v>3.0490960121383154E-3</v>
      </c>
      <c r="BE40" s="3">
        <f>Assumptions!$B$2</f>
        <v>0.33054499999999998</v>
      </c>
      <c r="BF40" s="44">
        <f>BE40*AZ40*V40*1000</f>
        <v>10.91529664469107</v>
      </c>
      <c r="BG40">
        <f>1923.6+(-125.06*F40)+(4.3773*(F40^2))+(-0.085681*(F40^3))+(0.00070284*(F40^4))</f>
        <v>859.78311931238409</v>
      </c>
      <c r="BH40">
        <f>1909.4+(-120.78*F40)+(4.1555*(F40^2))+(-0.080578*(F40^3))+(0.00065777*(F40^4))</f>
        <v>873.80111785395218</v>
      </c>
      <c r="BI40">
        <f>2141.2+(-152.56*F40)+(5.8963*(F40^2))+(-0.12411*(F40^3))+(0.0010655*(F40^4))</f>
        <v>901.67841345279999</v>
      </c>
      <c r="BJ40" s="25">
        <f>VLOOKUP(E40,Wind!$C$2:$E$109,3, FALSE)</f>
        <v>3.3888888888888888</v>
      </c>
      <c r="BK40" s="44">
        <v>1.66</v>
      </c>
      <c r="BL40">
        <f>BK40/(1-(((1.3*10^-3)^0.5)/0.41)*LN(10/1.5))</f>
        <v>1.9923982880693825</v>
      </c>
      <c r="BM40">
        <f>BK40*1.22</f>
        <v>2.0251999999999999</v>
      </c>
      <c r="BN40">
        <f>2.07+0.215*(BM40^1.7)*(24/100)</f>
        <v>2.241255750541113</v>
      </c>
      <c r="BO40">
        <f>BN40*((600/BG40)^0.67)</f>
        <v>1.7612142155890089</v>
      </c>
      <c r="BP40">
        <f>BN40*((600/BH40)^0.67)</f>
        <v>1.7422333200710411</v>
      </c>
      <c r="BQ40">
        <f>BN40*((600/BI40)^0.67)</f>
        <v>1.7059572111126093</v>
      </c>
      <c r="BR40" s="39">
        <f>BO40*(AM40-BB40)</f>
        <v>-2.7606516450321426</v>
      </c>
      <c r="BS40" s="39">
        <f>BP40*(AD40-BD40)</f>
        <v>0.35796972963963097</v>
      </c>
      <c r="BT40" s="39">
        <f>BQ40*(AU40-BF40)</f>
        <v>-0.730825355814262</v>
      </c>
      <c r="BU40">
        <f>(2.51+1.48*BM40)+(0.39*BM40*LOG10(0.0015))</f>
        <v>3.2768938069574309</v>
      </c>
      <c r="BV40">
        <f>BU40*((600/$BG40)^0.67)</f>
        <v>2.5750349795625187</v>
      </c>
      <c r="BW40">
        <f>BU40*((600/$BH40)^0.67)</f>
        <v>2.5472834037067438</v>
      </c>
      <c r="BX40">
        <f>BU40*((600/$BI40)^0.67)</f>
        <v>2.4942448529935115</v>
      </c>
      <c r="BY40" s="39">
        <f>BV40*($AM40-$BB40)</f>
        <v>-4.0362918317503844</v>
      </c>
      <c r="BZ40" s="39">
        <f>BW40*($AD40-$BD40)</f>
        <v>0.5233801585790131</v>
      </c>
      <c r="CA40" s="39">
        <f>BX40*($AU40-$BF40)</f>
        <v>-1.0685246794601748</v>
      </c>
      <c r="CB40" s="42">
        <f>AVERAGE(0.72,0.69,0.4,0.22)</f>
        <v>0.50750000000000006</v>
      </c>
      <c r="CC40">
        <f>CB40*((600/$BG40)^0.67)</f>
        <v>0.39880152641911815</v>
      </c>
      <c r="CD40">
        <f>CB40*((600/$BH40)^0.67)</f>
        <v>0.39450357672147968</v>
      </c>
      <c r="CE40">
        <f>CB40*((600/$BI40)^0.67)</f>
        <v>0.38628937569066946</v>
      </c>
      <c r="CF40" s="39">
        <f>CC40*($AM40-$BB40)</f>
        <v>-0.62510970000436472</v>
      </c>
      <c r="CG40" s="39">
        <f>CD40*($AD40-$BD40)</f>
        <v>8.1057076037954034E-2</v>
      </c>
      <c r="CH40" s="39">
        <f>CE40*($AU40-$BF40)</f>
        <v>-0.16548484838742386</v>
      </c>
      <c r="CI40">
        <v>0.86263901889527161</v>
      </c>
      <c r="CJ40">
        <f>((BG40/BH40)^0.67)*CI40</f>
        <v>0.85334221618811346</v>
      </c>
      <c r="CK40">
        <f>((BH40/BH40)^0.67)*CI40</f>
        <v>0.86263901889527161</v>
      </c>
      <c r="CL40">
        <f>((BI40/BH40)^0.67)*CI40</f>
        <v>0.88098249599856326</v>
      </c>
      <c r="CM40" s="39">
        <f>CJ40*($AM40-$BB40)</f>
        <v>-1.3375889043157863</v>
      </c>
      <c r="CN40" s="39">
        <f>CK40*($AD40-$BD40)</f>
        <v>0.17724299771625612</v>
      </c>
      <c r="CO40" s="39">
        <f>CL40*($AU40-$BF40)</f>
        <v>-0.37740943436932828</v>
      </c>
      <c r="CP40" s="27">
        <f>VLOOKUP(A40,Water!$A$2:$E$109, 5, FALSE)/1000</f>
        <v>1.6000000000000001E-4</v>
      </c>
      <c r="CQ40">
        <f>0.64*CP40</f>
        <v>1.0240000000000001E-4</v>
      </c>
      <c r="CR40" s="19">
        <f>CQ40*1000*(2.5*10^-5)</f>
        <v>2.5600000000000001E-6</v>
      </c>
      <c r="CS40" s="18">
        <f>(-0.0000009*F40^3)+(0.0002*F40^2)-(0.0134*F40)+6.579</f>
        <v>6.4348980287999993</v>
      </c>
      <c r="CT40" s="18">
        <f>CS40-(SQRT(CP40))/(1+1.4*SQRT(CP40))</f>
        <v>6.4224690204222989</v>
      </c>
      <c r="CU40" s="18">
        <f>10^(-CT40)</f>
        <v>3.780341026897049E-7</v>
      </c>
      <c r="CV40" s="18">
        <f>(0.000001*F40^3)+(0.00006*F40^2)-(0.014*F40)+10.625</f>
        <v>10.452954368</v>
      </c>
      <c r="CW40" s="18">
        <f>CV40-(2*SQRT(CR40))/(1+1.4*SQRT(CR40))</f>
        <v>10.449761519979566</v>
      </c>
      <c r="CX40" s="18">
        <f>10^(-CW40)</f>
        <v>3.5500827805731075E-11</v>
      </c>
      <c r="CY40">
        <f>EXP(1246.98+-61900/H40-183*LN(H40))</f>
        <v>1.157000356711271E-2</v>
      </c>
      <c r="CZ40">
        <f>12.225*(F40^2)+15.258*F40+1125.7</f>
        <v>3457.1895999999997</v>
      </c>
      <c r="DA40" s="15">
        <f>10^(-4470.99/H40+6.0875-0.01706*H40)</f>
        <v>3.8783280111855274E-15</v>
      </c>
      <c r="DB40">
        <f>(10^-I40)</f>
        <v>1.7378008287493727E-9</v>
      </c>
      <c r="DC40">
        <f>DB40^2</f>
        <v>3.0199517204020068E-18</v>
      </c>
      <c r="DD40" s="20">
        <f>((14.6836*10^-9)*((H40/217.2056)-1)^1.997)*100*100</f>
        <v>1.4931239990393653E-5</v>
      </c>
      <c r="DE40">
        <f>CY40+CZ40*DA40/DB40</f>
        <v>1.928556857539308E-2</v>
      </c>
      <c r="DF40">
        <f>1+DC40*(CU40*CX40+CU40*DB40)^-1</f>
        <v>1.0045049129217685</v>
      </c>
      <c r="DG40">
        <f>(DE40*DF40/DD40)^0.5</f>
        <v>36.02005057126113</v>
      </c>
      <c r="DH40">
        <f>DD40/(BO40/60/60)</f>
        <v>3.0520117024742804E-2</v>
      </c>
      <c r="DI40" s="16">
        <f>DF40/((DF40-1)+TANH(DG40*DH40)/(DG40*DH40))</f>
        <v>1.371424417914062</v>
      </c>
      <c r="DJ40">
        <f>$DI40*BR40</f>
        <v>-3.786025075351704</v>
      </c>
      <c r="DK40">
        <f>$DI40*BY40</f>
        <v>-5.5354691758895544</v>
      </c>
      <c r="DL40">
        <f>$DI40*CF40</f>
        <v>-0.85729070646091976</v>
      </c>
      <c r="DM40">
        <f>$DI40*CM40</f>
        <v>-1.8344020845095852</v>
      </c>
    </row>
    <row r="41" spans="1:117" ht="15.75" x14ac:dyDescent="0.25">
      <c r="A41" s="51" t="s">
        <v>331</v>
      </c>
      <c r="B41" s="54" t="s">
        <v>342</v>
      </c>
      <c r="C41" s="48" t="s">
        <v>176</v>
      </c>
      <c r="D41" s="57">
        <v>43223</v>
      </c>
      <c r="E41" s="42" t="str">
        <f>A41&amp;D41</f>
        <v>62C43223</v>
      </c>
      <c r="F41" s="3">
        <f>VLOOKUP($E41,Water!$C$2:$E$90, 2, FALSE)</f>
        <v>13.2</v>
      </c>
      <c r="G41" s="3">
        <f>VLOOKUP($E41,Water!$C$2:$E$90, 3, FALSE)</f>
        <v>0.16</v>
      </c>
      <c r="H41" s="1">
        <f>F41+273.15</f>
        <v>286.34999999999997</v>
      </c>
      <c r="I41" s="3">
        <f>VLOOKUP($E41,Water!$C$2:$F$90, 4, FALSE)</f>
        <v>8.76</v>
      </c>
      <c r="J41">
        <f>10^(I41*-1)</f>
        <v>1.7378008287493727E-9</v>
      </c>
      <c r="K41" s="25">
        <f>VLOOKUP($E41,Atm!$D$2:$G$45, 2, FALSE)</f>
        <v>445.25542774904068</v>
      </c>
      <c r="L41" s="25">
        <f>VLOOKUP($E41,Atm!$D$2:$G$45, 3, FALSE)</f>
        <v>2.3130059604866831</v>
      </c>
      <c r="M41" s="25">
        <f>VLOOKUP($E41,Atm!$D$2:$G$45, 4, FALSE)</f>
        <v>0.3128617921059948</v>
      </c>
      <c r="N41" s="21">
        <f>VLOOKUP($C41,Raw!$B$2:$F$353, 3, FALSE)</f>
        <v>393.601</v>
      </c>
      <c r="O41" s="21">
        <f>VLOOKUP($C41,Raw!$B$2:$F$353, 4, FALSE)</f>
        <v>61.841000000000001</v>
      </c>
      <c r="P41" s="21">
        <f>VLOOKUP($C41,Raw!$B$2:$F$353, 5, FALSE)</f>
        <v>0.29199999999999998</v>
      </c>
      <c r="Q41" s="14">
        <v>60</v>
      </c>
      <c r="R41" s="25">
        <v>1140</v>
      </c>
      <c r="S41">
        <f>EXP(24.4543-(100/H41*(67.4509))-(4.8489*LN(H41/100))-(0.000544*G41))</f>
        <v>1.4958873907811376E-2</v>
      </c>
      <c r="T41" s="8">
        <f>EXP(-58.0931+90.5069*(100/H41)+22.294*LN(H41/100)+G41*(0.027766-0.025888*(H41/100)+0.0050578*(H41/100)^2))</f>
        <v>4.819451635662924E-2</v>
      </c>
      <c r="U41" s="9">
        <f>(EXP(-67.1962+99.1624*(100/H41)+27.9015*LN(H41/100)+G41*(-0.072909+0.041674*(H41/100)-0.0064603*(H41/100)^2)))</f>
        <v>4.0202141565825626E-2</v>
      </c>
      <c r="V41" s="9">
        <f>(EXP(-64.8539+100.252*(100/H41)+25.2049*LN(H41/100)+(-0.062544+0.035337*(H41/100)-0.0054699*(H41/100)^2)*G41))</f>
        <v>3.5867959375986386E-2</v>
      </c>
      <c r="W41" s="9">
        <f>(EXP(-68.8862+101.4956*(100/H41)+28.7314*LN(H41/100)+G41*(-0.076146+0.04397*(H41/100)-0.0068672*(H41/100)^2)))</f>
        <v>4.0117769474334743E-2</v>
      </c>
      <c r="X41">
        <f>N41*(AZ41-S41)</f>
        <v>356.48404029732734</v>
      </c>
      <c r="Y41">
        <f>O41*(AZ41-S41)</f>
        <v>56.009333147088093</v>
      </c>
      <c r="Z41">
        <f>((Y41/10^6)*AZ41)/(0.082056*H41)</f>
        <v>2.1945786690816982E-6</v>
      </c>
      <c r="AA41">
        <f>(((L41/10^6)*AZ41)/(0.082056*H41))</f>
        <v>9.0629065856085884E-8</v>
      </c>
      <c r="AB41">
        <f>((Y41/10^6)*U41*1)/(0.082056*H41)</f>
        <v>9.5830126300043368E-8</v>
      </c>
      <c r="AC41">
        <f>(Z41*(Q41/1000))+(AB41*(R41/1000))</f>
        <v>2.409210641269513E-7</v>
      </c>
      <c r="AD41" s="39">
        <f>((AC41-(AA41*(Q41/1000)))/(R41/1000))*1000000</f>
        <v>0.20656431594349664</v>
      </c>
      <c r="AE41" s="39">
        <f>(AD41/((U41*AZ41*1))*(0.0821*273.15))</f>
        <v>125.1561488009263</v>
      </c>
      <c r="AF41" s="39">
        <f>L41*U41*AZ41*1/(0.0821*273.15)</f>
        <v>3.817507158686445E-3</v>
      </c>
      <c r="AG41" s="39">
        <f>AD41-AF41</f>
        <v>0.20274680878481019</v>
      </c>
      <c r="AH41" s="42">
        <f>P41*(AZ41-S41)</f>
        <v>0.26446411408207698</v>
      </c>
      <c r="AI41">
        <f>(((X41/10^6)*(Q41/1000))/(0.082056*H41))</f>
        <v>9.1029846792163076E-7</v>
      </c>
      <c r="AJ41">
        <f>(((K41/10^6)*AZ41)*(Q41/1000))/(0.082056*H41)</f>
        <v>1.0467698961508099E-6</v>
      </c>
      <c r="AK41">
        <f>(X41/10^6)*T41*(R41/1000)</f>
        <v>1.9585856538524972E-5</v>
      </c>
      <c r="AL41">
        <f>AI41+AK41</f>
        <v>2.0496155006446604E-5</v>
      </c>
      <c r="AM41" s="39">
        <f>((AL41-AJ41)/(R41/1000))*1000000</f>
        <v>17.060864131838418</v>
      </c>
      <c r="AN41" s="39">
        <f>AM41/(T41*AZ41)</f>
        <v>384.50776651972291</v>
      </c>
      <c r="AO41" s="39">
        <f>(K41*AZ41)*T41</f>
        <v>19.7562780735154</v>
      </c>
      <c r="AP41" s="39">
        <f>AM41-AO41</f>
        <v>-2.695413941676982</v>
      </c>
      <c r="AQ41">
        <f>(((AH41/10^6)*(Q41/1000))/(0.082056*H41))</f>
        <v>6.7532133463359151E-10</v>
      </c>
      <c r="AR41">
        <f>(((M41/10^6)*AZ41)*(Q41/1000))/(0.082056*H41)</f>
        <v>7.3552007504540537E-10</v>
      </c>
      <c r="AS41">
        <f>(AH41/10^6)*V41*(R41/1000)</f>
        <v>1.0813798434344468E-8</v>
      </c>
      <c r="AT41">
        <f>AQ41+AS41</f>
        <v>1.148911976897806E-8</v>
      </c>
      <c r="AU41" s="39">
        <f>((AT41-AR41)/(R41/1000))*1000000000</f>
        <v>9.4329821876602242</v>
      </c>
      <c r="AV41" s="39">
        <f>(AU41/1000)/(V41*AZ41)</f>
        <v>0.28565646896428404</v>
      </c>
      <c r="AW41" s="39">
        <f>(M41*AZ41)*V41*1000</f>
        <v>10.33135963220318</v>
      </c>
      <c r="AX41" s="39">
        <f>AU41-AW41</f>
        <v>-0.89837744454295532</v>
      </c>
      <c r="AY41" s="26">
        <f>VLOOKUP($E41,Water!$C$2:$G$90, 5, FALSE)</f>
        <v>699.7</v>
      </c>
      <c r="AZ41">
        <f>AY41/760</f>
        <v>0.92065789473684212</v>
      </c>
      <c r="BA41" s="3">
        <f>Assumptions!$B$3</f>
        <v>406.07</v>
      </c>
      <c r="BB41" s="3">
        <f>BA41*AZ41*T41</f>
        <v>18.017594704840032</v>
      </c>
      <c r="BC41" s="3">
        <f>Assumptions!$B$4</f>
        <v>1.8474300000000001</v>
      </c>
      <c r="BD41" s="45">
        <f>BC41*AZ41*U41*1/(0.0821*273.15)</f>
        <v>3.0490960121383154E-3</v>
      </c>
      <c r="BE41" s="3">
        <f>Assumptions!$B$2</f>
        <v>0.33054499999999998</v>
      </c>
      <c r="BF41" s="44">
        <f>BE41*AZ41*V41*1000</f>
        <v>10.91529664469107</v>
      </c>
      <c r="BG41">
        <f>1923.6+(-125.06*F41)+(4.3773*(F41^2))+(-0.085681*(F41^3))+(0.00070284*(F41^4))</f>
        <v>859.78311931238409</v>
      </c>
      <c r="BH41">
        <f>1909.4+(-120.78*F41)+(4.1555*(F41^2))+(-0.080578*(F41^3))+(0.00065777*(F41^4))</f>
        <v>873.80111785395218</v>
      </c>
      <c r="BI41">
        <f>2141.2+(-152.56*F41)+(5.8963*(F41^2))+(-0.12411*(F41^3))+(0.0010655*(F41^4))</f>
        <v>901.67841345279999</v>
      </c>
      <c r="BJ41" s="25">
        <f>VLOOKUP(E41,Wind!$C$2:$E$109,3, FALSE)</f>
        <v>3.3888888888888888</v>
      </c>
      <c r="BK41" s="44">
        <v>1.66</v>
      </c>
      <c r="BL41">
        <f>BK41/(1-(((1.3*10^-3)^0.5)/0.41)*LN(10/1.5))</f>
        <v>1.9923982880693825</v>
      </c>
      <c r="BM41">
        <f>BK41*1.22</f>
        <v>2.0251999999999999</v>
      </c>
      <c r="BN41">
        <f>2.07+0.215*(BM41^1.7)*(24/100)</f>
        <v>2.241255750541113</v>
      </c>
      <c r="BO41">
        <f>BN41*((600/BG41)^0.67)</f>
        <v>1.7612142155890089</v>
      </c>
      <c r="BP41">
        <f>BN41*((600/BH41)^0.67)</f>
        <v>1.7422333200710411</v>
      </c>
      <c r="BQ41">
        <f>BN41*((600/BI41)^0.67)</f>
        <v>1.7059572111126093</v>
      </c>
      <c r="BR41" s="39">
        <f>BO41*(AM41-BB41)</f>
        <v>-1.6850074856590616</v>
      </c>
      <c r="BS41" s="39">
        <f>BP41*(AD41-BD41)</f>
        <v>0.35457099730599856</v>
      </c>
      <c r="BT41" s="39">
        <f>BQ41*(AU41-BF41)</f>
        <v>-2.5287650371082435</v>
      </c>
      <c r="BU41">
        <f>(2.51+1.48*BM41)+(0.39*BM41*LOG10(0.0015))</f>
        <v>3.2768938069574309</v>
      </c>
      <c r="BV41">
        <f>BU41*((600/$BG41)^0.67)</f>
        <v>2.5750349795625187</v>
      </c>
      <c r="BW41">
        <f>BU41*((600/$BH41)^0.67)</f>
        <v>2.5472834037067438</v>
      </c>
      <c r="BX41">
        <f>BU41*((600/$BI41)^0.67)</f>
        <v>2.4942448529935115</v>
      </c>
      <c r="BY41" s="39">
        <f>BV41*($AM41-$BB41)</f>
        <v>-2.4636146914960491</v>
      </c>
      <c r="BZ41" s="39">
        <f>BW41*($AD41-$BD41)</f>
        <v>0.51841094213287697</v>
      </c>
      <c r="CA41" s="39">
        <f>BX41*($AU41-$BF41)</f>
        <v>-3.6972552049670586</v>
      </c>
      <c r="CB41" s="42">
        <f>AVERAGE(0.72,0.69,0.4,0.22)</f>
        <v>0.50750000000000006</v>
      </c>
      <c r="CC41">
        <f>CB41*((600/$BG41)^0.67)</f>
        <v>0.39880152641911815</v>
      </c>
      <c r="CD41">
        <f>CB41*((600/$BH41)^0.67)</f>
        <v>0.39450357672147968</v>
      </c>
      <c r="CE41">
        <f>CB41*((600/$BI41)^0.67)</f>
        <v>0.38628937569066946</v>
      </c>
      <c r="CF41" s="39">
        <f>CC41*($AM41-$BB41)</f>
        <v>-0.38154561288488137</v>
      </c>
      <c r="CG41" s="39">
        <f>CD41*($AD41-$BD41)</f>
        <v>8.028748218017942E-2</v>
      </c>
      <c r="CH41" s="39">
        <f>CE41*($AU41-$BF41)</f>
        <v>-0.57260232618369911</v>
      </c>
      <c r="CI41">
        <v>0.86263901889527161</v>
      </c>
      <c r="CJ41">
        <f>((BG41/BH41)^0.67)*CI41</f>
        <v>0.85334221618811346</v>
      </c>
      <c r="CK41">
        <f>((BH41/BH41)^0.67)*CI41</f>
        <v>0.86263901889527161</v>
      </c>
      <c r="CL41">
        <f>((BI41/BH41)^0.67)*CI41</f>
        <v>0.88098249599856326</v>
      </c>
      <c r="CM41" s="39">
        <f>CJ41*($AM41-$BB41)</f>
        <v>-0.8164185874601213</v>
      </c>
      <c r="CN41" s="39">
        <f>CK41*($AD41-$BD41)</f>
        <v>0.17556016965184237</v>
      </c>
      <c r="CO41" s="39">
        <f>CL41*($AU41-$BF41)</f>
        <v>-1.3058930902097896</v>
      </c>
      <c r="CP41" s="27">
        <f>VLOOKUP(A41,Water!$A$2:$E$109, 5, FALSE)/1000</f>
        <v>1.6000000000000001E-4</v>
      </c>
      <c r="CQ41">
        <f>0.64*CP41</f>
        <v>1.0240000000000001E-4</v>
      </c>
      <c r="CR41" s="19">
        <f>CQ41*1000*(2.5*10^-5)</f>
        <v>2.5600000000000001E-6</v>
      </c>
      <c r="CS41" s="18">
        <f>(-0.0000009*F41^3)+(0.0002*F41^2)-(0.0134*F41)+6.579</f>
        <v>6.4348980287999993</v>
      </c>
      <c r="CT41" s="18">
        <f>CS41-(SQRT(CP41))/(1+1.4*SQRT(CP41))</f>
        <v>6.4224690204222989</v>
      </c>
      <c r="CU41" s="18">
        <f>10^(-CT41)</f>
        <v>3.780341026897049E-7</v>
      </c>
      <c r="CV41" s="18">
        <f>(0.000001*F41^3)+(0.00006*F41^2)-(0.014*F41)+10.625</f>
        <v>10.452954368</v>
      </c>
      <c r="CW41" s="18">
        <f>CV41-(2*SQRT(CR41))/(1+1.4*SQRT(CR41))</f>
        <v>10.449761519979566</v>
      </c>
      <c r="CX41" s="18">
        <f>10^(-CW41)</f>
        <v>3.5500827805731075E-11</v>
      </c>
      <c r="CY41">
        <f>EXP(1246.98+-61900/H41-183*LN(H41))</f>
        <v>1.157000356711271E-2</v>
      </c>
      <c r="CZ41">
        <f>12.225*(F41^2)+15.258*F41+1125.7</f>
        <v>3457.1895999999997</v>
      </c>
      <c r="DA41" s="15">
        <f>10^(-4470.99/H41+6.0875-0.01706*H41)</f>
        <v>3.8783280111855274E-15</v>
      </c>
      <c r="DB41">
        <f>(10^-I41)</f>
        <v>1.7378008287493727E-9</v>
      </c>
      <c r="DC41">
        <f>DB41^2</f>
        <v>3.0199517204020068E-18</v>
      </c>
      <c r="DD41" s="20">
        <f>((14.6836*10^-9)*((H41/217.2056)-1)^1.997)*100*100</f>
        <v>1.4931239990393653E-5</v>
      </c>
      <c r="DE41">
        <f>CY41+CZ41*DA41/DB41</f>
        <v>1.928556857539308E-2</v>
      </c>
      <c r="DF41">
        <f>1+DC41*(CU41*CX41+CU41*DB41)^-1</f>
        <v>1.0045049129217685</v>
      </c>
      <c r="DG41">
        <f>(DE41*DF41/DD41)^0.5</f>
        <v>36.02005057126113</v>
      </c>
      <c r="DH41">
        <f>DD41/(BO41/60/60)</f>
        <v>3.0520117024742804E-2</v>
      </c>
      <c r="DI41" s="16">
        <f>DF41/((DF41-1)+TANH(DG41*DH41)/(DG41*DH41))</f>
        <v>1.371424417914062</v>
      </c>
      <c r="DJ41">
        <f>$DI41*BR41</f>
        <v>-2.3108604102008155</v>
      </c>
      <c r="DK41">
        <f>$DI41*BY41</f>
        <v>-3.3786613442495006</v>
      </c>
      <c r="DL41">
        <f>$DI41*CF41</f>
        <v>-0.52326097005831251</v>
      </c>
      <c r="DM41">
        <f>$DI41*CM41</f>
        <v>-1.1196563860817175</v>
      </c>
    </row>
    <row r="42" spans="1:117" ht="15.75" x14ac:dyDescent="0.25">
      <c r="A42" s="52" t="s">
        <v>332</v>
      </c>
      <c r="B42" s="55" t="s">
        <v>339</v>
      </c>
      <c r="C42" t="s">
        <v>178</v>
      </c>
      <c r="D42" s="57">
        <v>43223</v>
      </c>
      <c r="E42" s="42" t="str">
        <f>A42&amp;D42</f>
        <v>62E43223</v>
      </c>
      <c r="F42" s="3">
        <f>VLOOKUP($E42,Water!$C$2:$E$90, 2, FALSE)</f>
        <v>13.1</v>
      </c>
      <c r="G42" s="3">
        <f>VLOOKUP($E42,Water!$C$2:$E$90, 3, FALSE)</f>
        <v>1.19</v>
      </c>
      <c r="H42" s="1">
        <f>F42+273.15</f>
        <v>286.25</v>
      </c>
      <c r="I42" s="3">
        <f>VLOOKUP($E42,Water!$C$2:$F$90, 4, FALSE)</f>
        <v>9.57</v>
      </c>
      <c r="J42">
        <f>10^(I42*-1)</f>
        <v>2.6915348039269034E-10</v>
      </c>
      <c r="K42" s="25">
        <f>VLOOKUP($E42,Atm!$D$2:$G$45, 2, FALSE)</f>
        <v>492.40095603301552</v>
      </c>
      <c r="L42" s="25">
        <f>VLOOKUP($E42,Atm!$D$2:$G$45, 3, FALSE)</f>
        <v>11.526681260263141</v>
      </c>
      <c r="M42" s="25">
        <f>VLOOKUP($E42,Atm!$D$2:$G$45, 4, FALSE)</f>
        <v>0.33004911192027742</v>
      </c>
      <c r="N42" s="21">
        <f>VLOOKUP($C42,Raw!$B$2:$F$353, 3, FALSE)</f>
        <v>81.264147155926921</v>
      </c>
      <c r="O42" s="21">
        <f>VLOOKUP($C42,Raw!$B$2:$F$353, 4, FALSE)</f>
        <v>25.577079358875071</v>
      </c>
      <c r="P42" s="21">
        <f>VLOOKUP($C42,Raw!$B$2:$F$353, 5, FALSE)</f>
        <v>0.76279586262798282</v>
      </c>
      <c r="Q42" s="14">
        <v>60</v>
      </c>
      <c r="R42" s="25">
        <v>1140</v>
      </c>
      <c r="S42">
        <f>EXP(24.4543-(100/H42*(67.4509))-(4.8489*LN(H42/100))-(0.000544*G42))</f>
        <v>1.4853106823128159E-2</v>
      </c>
      <c r="T42" s="8">
        <f>EXP(-58.0931+90.5069*(100/H42)+22.294*LN(H42/100)+G42*(0.027766-0.025888*(H42/100)+0.0050578*(H42/100)^2))</f>
        <v>4.8108432645198033E-2</v>
      </c>
      <c r="U42" s="9">
        <f>(EXP(-67.1962+99.1624*(100/H42)+27.9015*LN(H42/100)+G42*(-0.072909+0.041674*(H42/100)-0.0064603*(H42/100)^2)))</f>
        <v>4.0025745249062605E-2</v>
      </c>
      <c r="V42" s="9">
        <f>(EXP(-64.8539+100.252*(100/H42)+25.2049*LN(H42/100)+(-0.062544+0.035337*(H42/100)-0.0054699*(H42/100)^2)*G42))</f>
        <v>3.5761529751033555E-2</v>
      </c>
      <c r="W42" s="9">
        <f>(EXP(-68.8862+101.4956*(100/H42)+28.7314*LN(H42/100)+G42*(-0.076146+0.04397*(H42/100)-0.0068672*(H42/100)^2)))</f>
        <v>3.994158434987366E-2</v>
      </c>
      <c r="X42">
        <f>N42*(AZ42-S42)</f>
        <v>73.470449117322829</v>
      </c>
      <c r="Y42">
        <f>O42*(AZ42-S42)</f>
        <v>23.124090676793674</v>
      </c>
      <c r="Z42">
        <f>((Y42/10^6)*AZ42)/(0.082056*H42)</f>
        <v>9.0468932174850206E-7</v>
      </c>
      <c r="AA42">
        <f>(((L42/10^6)*AZ42)/(0.082056*H42))</f>
        <v>4.509611036002285E-7</v>
      </c>
      <c r="AB42">
        <f>((Y42/10^6)*U42*1)/(0.082056*H42)</f>
        <v>3.9404720625154802E-8</v>
      </c>
      <c r="AC42">
        <f>(Z42*(Q42/1000))+(AB42*(R42/1000))</f>
        <v>9.9202740817586589E-8</v>
      </c>
      <c r="AD42" s="39">
        <f>((AC42-(AA42*(Q42/1000)))/(R42/1000))*1000000</f>
        <v>6.3285153159274465E-2</v>
      </c>
      <c r="AE42" s="39">
        <f>(AD42/((U42*AZ42*1))*(0.0821*273.15))</f>
        <v>38.584789220652752</v>
      </c>
      <c r="AF42" s="39">
        <f>L42*U42*AZ42*1/(0.0821*273.15)</f>
        <v>1.8905579211598737E-2</v>
      </c>
      <c r="AG42" s="39">
        <f>AD42-AF42</f>
        <v>4.4379573947675728E-2</v>
      </c>
      <c r="AH42" s="42">
        <f>P42*(AZ42-S42)</f>
        <v>0.68963936217259802</v>
      </c>
      <c r="AI42">
        <f>(((X42/10^6)*(Q42/1000))/(0.082056*H42))</f>
        <v>1.8767572713317389E-7</v>
      </c>
      <c r="AJ42">
        <f>(((K42/10^6)*AZ42)*(Q42/1000))/(0.082056*H42)</f>
        <v>1.1558592115076167E-6</v>
      </c>
      <c r="AK42">
        <f>(X42/10^6)*T42*(R42/1000)</f>
        <v>4.0293848941614186E-6</v>
      </c>
      <c r="AL42">
        <f>AI42+AK42</f>
        <v>4.2170606212945921E-6</v>
      </c>
      <c r="AM42" s="39">
        <f>((AL42-AJ42)/(R42/1000))*1000000</f>
        <v>2.685264394549979</v>
      </c>
      <c r="AN42" s="39">
        <f>AM42/(T42*AZ42)</f>
        <v>60.740058649715408</v>
      </c>
      <c r="AO42" s="39">
        <f>(K42*AZ42)*T42</f>
        <v>21.768611760865024</v>
      </c>
      <c r="AP42" s="39">
        <f>AM42-AO42</f>
        <v>-19.083347366315046</v>
      </c>
      <c r="AQ42">
        <f>(((AH42/10^6)*(Q42/1000))/(0.082056*H42))</f>
        <v>1.7616411810511718E-9</v>
      </c>
      <c r="AR42">
        <f>(((M42/10^6)*AZ42)*(Q42/1000))/(0.082056*H42)</f>
        <v>7.7475541342649627E-10</v>
      </c>
      <c r="AS42">
        <f>(AH42/10^6)*V42*(R42/1000)</f>
        <v>2.8115316767313851E-8</v>
      </c>
      <c r="AT42">
        <f>AQ42+AS42</f>
        <v>2.987695794836502E-8</v>
      </c>
      <c r="AU42" s="39">
        <f>((AT42-AR42)/(R42/1000))*1000000000</f>
        <v>25.528247837665376</v>
      </c>
      <c r="AV42" s="39">
        <f>(AU42/1000)/(V42*AZ42)</f>
        <v>0.77680905792111588</v>
      </c>
      <c r="AW42" s="39">
        <f>(M42*AZ42)*V42*1000</f>
        <v>10.846391969540869</v>
      </c>
      <c r="AX42" s="39">
        <f>AU42-AW42</f>
        <v>14.681855868124506</v>
      </c>
      <c r="AY42" s="26">
        <f>VLOOKUP($E42,Water!$C$2:$G$90, 5, FALSE)</f>
        <v>698.4</v>
      </c>
      <c r="AZ42">
        <f>AY42/760</f>
        <v>0.91894736842105262</v>
      </c>
      <c r="BA42" s="3">
        <f>Assumptions!$B$3</f>
        <v>406.07</v>
      </c>
      <c r="BB42" s="3">
        <f>BA42*AZ42*T42</f>
        <v>17.951996374965944</v>
      </c>
      <c r="BC42" s="3">
        <f>Assumptions!$B$4</f>
        <v>1.8474300000000001</v>
      </c>
      <c r="BD42" s="45">
        <f>BC42*AZ42*U42*1/(0.0821*273.15)</f>
        <v>3.0300772108004413E-3</v>
      </c>
      <c r="BE42" s="3">
        <f>Assumptions!$B$2</f>
        <v>0.33054499999999998</v>
      </c>
      <c r="BF42" s="44">
        <f>BE42*AZ42*V42*1000</f>
        <v>10.862688321481949</v>
      </c>
      <c r="BG42">
        <f>1923.6+(-125.06*F42)+(4.3773*(F42^2))+(-0.085681*(F42^3))+(0.00070284*(F42^4))</f>
        <v>864.58240047656386</v>
      </c>
      <c r="BH42">
        <f>1909.4+(-120.78*F42)+(4.1555*(F42^2))+(-0.080578*(F42^3))+(0.00065777*(F42^4))</f>
        <v>878.53199970561695</v>
      </c>
      <c r="BI42">
        <f>2141.2+(-152.56*F42)+(5.8963*(F42^2))+(-0.12411*(F42^3))+(0.0010655*(F42^4))</f>
        <v>906.89643557254976</v>
      </c>
      <c r="BJ42" s="25">
        <f>VLOOKUP(E42,Wind!$C$2:$E$109,3, FALSE)</f>
        <v>3.9722222222222223</v>
      </c>
      <c r="BK42" s="44">
        <v>1.66</v>
      </c>
      <c r="BL42">
        <f>BK42/(1-(((1.3*10^-3)^0.5)/0.41)*LN(10/1.5))</f>
        <v>1.9923982880693825</v>
      </c>
      <c r="BM42">
        <f>BK42*1.22</f>
        <v>2.0251999999999999</v>
      </c>
      <c r="BN42">
        <f>2.07+0.215*(BM42^1.7)*(24/100)</f>
        <v>2.241255750541113</v>
      </c>
      <c r="BO42">
        <f>BN42*((600/BG42)^0.67)</f>
        <v>1.7546579677488572</v>
      </c>
      <c r="BP42">
        <f>BN42*((600/BH42)^0.67)</f>
        <v>1.7359418480766289</v>
      </c>
      <c r="BQ42">
        <f>BN42*((600/BI42)^0.67)</f>
        <v>1.6993745072303725</v>
      </c>
      <c r="BR42" s="39">
        <f>BO42*(AM42-BB42)</f>
        <v>-26.787892910923162</v>
      </c>
      <c r="BS42" s="39">
        <f>BP42*(AD42-BD42)</f>
        <v>0.10459930789799163</v>
      </c>
      <c r="BT42" s="39">
        <f>BQ42*(AU42-BF42)</f>
        <v>24.922277976071911</v>
      </c>
      <c r="BU42">
        <f>(2.51+1.48*BM42)+(0.39*BM42*LOG10(0.0015))</f>
        <v>3.2768938069574309</v>
      </c>
      <c r="BV42">
        <f>BU42*((600/$BG42)^0.67)</f>
        <v>2.5654492248180709</v>
      </c>
      <c r="BW42">
        <f>BU42*((600/$BH42)^0.67)</f>
        <v>2.5380847722653481</v>
      </c>
      <c r="BX42">
        <f>BU42*((600/$BI42)^0.67)</f>
        <v>2.4846204174155866</v>
      </c>
      <c r="BY42" s="39">
        <f>BV42*($AM42-$BB42)</f>
        <v>-39.166025724663392</v>
      </c>
      <c r="BZ42" s="39">
        <f>BW42*($AD42-$BD42)</f>
        <v>0.15293249071651396</v>
      </c>
      <c r="CA42" s="39">
        <f>BX42*($AU42-$BF42)</f>
        <v>36.438348606732795</v>
      </c>
      <c r="CB42" s="42">
        <f>AVERAGE(0.72,0.69,0.4,0.22)</f>
        <v>0.50750000000000006</v>
      </c>
      <c r="CC42">
        <f>CB42*((600/$BG42)^0.67)</f>
        <v>0.39731695877079254</v>
      </c>
      <c r="CD42">
        <f>CB42*((600/$BH42)^0.67)</f>
        <v>0.39307896373994317</v>
      </c>
      <c r="CE42">
        <f>CB42*((600/$BI42)^0.67)</f>
        <v>0.38479881745365047</v>
      </c>
      <c r="CF42" s="39">
        <f>CC42*($AM42-$BB42)</f>
        <v>-6.0657315208276703</v>
      </c>
      <c r="CG42" s="39">
        <f>CD42*($AD42-$BD42)</f>
        <v>2.3685002813897744E-2</v>
      </c>
      <c r="CH42" s="39">
        <f>CE42*($AU42-$BF42)</f>
        <v>5.6432899591235133</v>
      </c>
      <c r="CI42">
        <v>0.86263901889527161</v>
      </c>
      <c r="CJ42">
        <f>((BG42/BH42)^0.67)*CI42</f>
        <v>0.8534376500767713</v>
      </c>
      <c r="CK42">
        <f>((BH42/BH42)^0.67)*CI42</f>
        <v>0.86263901889527161</v>
      </c>
      <c r="CL42">
        <f>((BI42/BH42)^0.67)*CI42</f>
        <v>0.88120138692951655</v>
      </c>
      <c r="CM42" s="39">
        <f>CJ42*($AM42-$BB42)</f>
        <v>-13.029203865718094</v>
      </c>
      <c r="CN42" s="39">
        <f>CK42*($AD42-$BD42)</f>
        <v>5.1978379599651715E-2</v>
      </c>
      <c r="CO42" s="39">
        <f>CL42*($AU42-$BF42)</f>
        <v>12.923311385758206</v>
      </c>
      <c r="CP42" s="27">
        <f>VLOOKUP(A42,Water!$A$2:$E$109, 5, FALSE)/1000</f>
        <v>1.1899999999999999E-3</v>
      </c>
      <c r="CQ42">
        <f>0.64*CP42</f>
        <v>7.6159999999999997E-4</v>
      </c>
      <c r="CR42" s="19">
        <f>CQ42*1000*(2.5*10^-5)</f>
        <v>1.9040000000000001E-5</v>
      </c>
      <c r="CS42" s="18">
        <f>(-0.0000009*F42^3)+(0.0002*F42^2)-(0.0134*F42)+6.579</f>
        <v>6.4357587180999998</v>
      </c>
      <c r="CT42" s="18">
        <f>CS42-(SQRT(CP42))/(1+1.4*SQRT(CP42))</f>
        <v>6.4028515888905106</v>
      </c>
      <c r="CU42" s="18">
        <f>10^(-CT42)</f>
        <v>3.955017514780688E-7</v>
      </c>
      <c r="CV42" s="18">
        <f>(0.000001*F42^3)+(0.00006*F42^2)-(0.014*F42)+10.625</f>
        <v>10.454144691</v>
      </c>
      <c r="CW42" s="18">
        <f>CV42-(2*SQRT(CR42))/(1+1.4*SQRT(CR42))</f>
        <v>10.445470709609184</v>
      </c>
      <c r="CX42" s="18">
        <f>10^(-CW42)</f>
        <v>3.5853312823222938E-11</v>
      </c>
      <c r="CY42">
        <f>EXP(1246.98+-61900/H42-183*LN(H42))</f>
        <v>1.1436583009327764E-2</v>
      </c>
      <c r="CZ42">
        <f>12.225*(F42^2)+15.258*F42+1125.7</f>
        <v>3423.5120500000003</v>
      </c>
      <c r="DA42" s="15">
        <f>10^(-4470.99/H42+6.0875-0.01706*H42)</f>
        <v>3.8449966052495567E-15</v>
      </c>
      <c r="DB42">
        <f>(10^-I42)</f>
        <v>2.6915348039269034E-10</v>
      </c>
      <c r="DC42">
        <f>DB42^2</f>
        <v>7.244359600749834E-20</v>
      </c>
      <c r="DD42" s="20">
        <f>((14.6836*10^-9)*((H42/217.2056)-1)^1.997)*100*100</f>
        <v>1.488814729016037E-5</v>
      </c>
      <c r="DE42">
        <f>CY42+CZ42*DA42/DB42</f>
        <v>6.0343222414754691E-2</v>
      </c>
      <c r="DF42">
        <f>1+DC42*(CU42*CX42+CU42*DB42)^-1</f>
        <v>1.0006005401895075</v>
      </c>
      <c r="DG42">
        <f>(DE42*DF42/DD42)^0.5</f>
        <v>63.683113389273579</v>
      </c>
      <c r="DH42">
        <f>DD42/(BO42/60/60)</f>
        <v>3.0545742378122933E-2</v>
      </c>
      <c r="DI42" s="16">
        <f>DF42/((DF42-1)+TANH(DG42*DH42)/(DG42*DH42))</f>
        <v>2.0251620661266689</v>
      </c>
      <c r="DJ42">
        <f>$DI42*BR42</f>
        <v>-54.249824554665096</v>
      </c>
      <c r="DK42">
        <f>$DI42*BY42</f>
        <v>-79.317549578529579</v>
      </c>
      <c r="DL42">
        <f>$DI42*CF42</f>
        <v>-12.284089379289027</v>
      </c>
      <c r="DM42">
        <f>$DI42*CM42</f>
        <v>-26.386249420683235</v>
      </c>
    </row>
    <row r="43" spans="1:117" ht="15.75" x14ac:dyDescent="0.25">
      <c r="A43" s="52" t="s">
        <v>332</v>
      </c>
      <c r="B43" s="55" t="s">
        <v>340</v>
      </c>
      <c r="C43" t="s">
        <v>179</v>
      </c>
      <c r="D43" s="57">
        <v>43223</v>
      </c>
      <c r="E43" s="42" t="str">
        <f>A43&amp;D43</f>
        <v>62E43223</v>
      </c>
      <c r="F43" s="3">
        <f>VLOOKUP($E43,Water!$C$2:$E$90, 2, FALSE)</f>
        <v>13.1</v>
      </c>
      <c r="G43" s="3">
        <f>VLOOKUP($E43,Water!$C$2:$E$90, 3, FALSE)</f>
        <v>1.19</v>
      </c>
      <c r="H43" s="1">
        <f>F43+273.15</f>
        <v>286.25</v>
      </c>
      <c r="I43" s="3">
        <f>VLOOKUP($E43,Water!$C$2:$F$90, 4, FALSE)</f>
        <v>9.57</v>
      </c>
      <c r="J43">
        <f>10^(I43*-1)</f>
        <v>2.6915348039269034E-10</v>
      </c>
      <c r="K43" s="25">
        <f>VLOOKUP($E43,Atm!$D$2:$G$45, 2, FALSE)</f>
        <v>492.40095603301552</v>
      </c>
      <c r="L43" s="25">
        <f>VLOOKUP($E43,Atm!$D$2:$G$45, 3, FALSE)</f>
        <v>11.526681260263141</v>
      </c>
      <c r="M43" s="25">
        <f>VLOOKUP($E43,Atm!$D$2:$G$45, 4, FALSE)</f>
        <v>0.33004911192027742</v>
      </c>
      <c r="N43" s="21">
        <f>VLOOKUP($C43,Raw!$B$2:$F$353, 3, FALSE)</f>
        <v>85.274751263570678</v>
      </c>
      <c r="O43" s="21">
        <f>VLOOKUP($C43,Raw!$B$2:$F$353, 4, FALSE)</f>
        <v>25.133596212146681</v>
      </c>
      <c r="P43" s="21">
        <f>VLOOKUP($C43,Raw!$B$2:$F$353, 5, FALSE)</f>
        <v>0.7620770028555871</v>
      </c>
      <c r="Q43" s="14">
        <v>60</v>
      </c>
      <c r="R43" s="25">
        <v>1140</v>
      </c>
      <c r="S43">
        <f>EXP(24.4543-(100/H43*(67.4509))-(4.8489*LN(H43/100))-(0.000544*G43))</f>
        <v>1.4853106823128159E-2</v>
      </c>
      <c r="T43" s="8">
        <f>EXP(-58.0931+90.5069*(100/H43)+22.294*LN(H43/100)+G43*(0.027766-0.025888*(H43/100)+0.0050578*(H43/100)^2))</f>
        <v>4.8108432645198033E-2</v>
      </c>
      <c r="U43" s="9">
        <f>(EXP(-67.1962+99.1624*(100/H43)+27.9015*LN(H43/100)+G43*(-0.072909+0.041674*(H43/100)-0.0064603*(H43/100)^2)))</f>
        <v>4.0025745249062605E-2</v>
      </c>
      <c r="V43" s="9">
        <f>(EXP(-64.8539+100.252*(100/H43)+25.2049*LN(H43/100)+(-0.062544+0.035337*(H43/100)-0.0054699*(H43/100)^2)*G43))</f>
        <v>3.5761529751033555E-2</v>
      </c>
      <c r="W43" s="9">
        <f>(EXP(-68.8862+101.4956*(100/H43)+28.7314*LN(H43/100)+G43*(-0.076146+0.04397*(H43/100)-0.0068672*(H43/100)^2)))</f>
        <v>3.994158434987366E-2</v>
      </c>
      <c r="X43">
        <f>N43*(AZ43-S43)</f>
        <v>77.096413276584613</v>
      </c>
      <c r="Y43">
        <f>O43*(AZ43-S43)</f>
        <v>22.723140108721147</v>
      </c>
      <c r="Z43">
        <f>((Y43/10^6)*AZ43)/(0.082056*H43)</f>
        <v>8.8900283692390161E-7</v>
      </c>
      <c r="AA43">
        <f>(((L43/10^6)*AZ43)/(0.082056*H43))</f>
        <v>4.509611036002285E-7</v>
      </c>
      <c r="AB43">
        <f>((Y43/10^6)*U43*1)/(0.082056*H43)</f>
        <v>3.8721478834581358E-8</v>
      </c>
      <c r="AC43">
        <f>(Z43*(Q43/1000))+(AB43*(R43/1000))</f>
        <v>9.7482656086856846E-8</v>
      </c>
      <c r="AD43" s="39">
        <f>((AC43-(AA43*(Q43/1000)))/(R43/1000))*1000000</f>
        <v>6.1776306904248367E-2</v>
      </c>
      <c r="AE43" s="39">
        <f>(AD43/((U43*AZ43*1))*(0.0821*273.15))</f>
        <v>37.664849680172694</v>
      </c>
      <c r="AF43" s="39">
        <f>L43*U43*AZ43*1/(0.0821*273.15)</f>
        <v>1.8905579211598737E-2</v>
      </c>
      <c r="AG43" s="39">
        <f>AD43-AF43</f>
        <v>4.2870727692649629E-2</v>
      </c>
      <c r="AH43" s="42">
        <f>P43*(AZ43-S43)</f>
        <v>0.6889894451774814</v>
      </c>
      <c r="AI43">
        <f>(((X43/10^6)*(Q43/1000))/(0.082056*H43))</f>
        <v>1.9693802875680497E-7</v>
      </c>
      <c r="AJ43">
        <f>(((K43/10^6)*AZ43)*(Q43/1000))/(0.082056*H43)</f>
        <v>1.1558592115076167E-6</v>
      </c>
      <c r="AK43">
        <f>(X43/10^6)*T43*(R43/1000)</f>
        <v>4.2282458700453308E-6</v>
      </c>
      <c r="AL43">
        <f>AI43+AK43</f>
        <v>4.4251838988021362E-6</v>
      </c>
      <c r="AM43" s="39">
        <f>((AL43-AJ43)/(R43/1000))*1000000</f>
        <v>2.8678286730653686</v>
      </c>
      <c r="AN43" s="39">
        <f>AM43/(T43*AZ43)</f>
        <v>64.869620344598758</v>
      </c>
      <c r="AO43" s="39">
        <f>(K43*AZ43)*T43</f>
        <v>21.768611760865024</v>
      </c>
      <c r="AP43" s="39">
        <f>AM43-AO43</f>
        <v>-18.900783087799656</v>
      </c>
      <c r="AQ43">
        <f>(((AH43/10^6)*(Q43/1000))/(0.082056*H43))</f>
        <v>1.7599810082048079E-9</v>
      </c>
      <c r="AR43">
        <f>(((M43/10^6)*AZ43)*(Q43/1000))/(0.082056*H43)</f>
        <v>7.7475541342649627E-10</v>
      </c>
      <c r="AS43">
        <f>(AH43/10^6)*V43*(R43/1000)</f>
        <v>2.8088820857723363E-8</v>
      </c>
      <c r="AT43">
        <f>AQ43+AS43</f>
        <v>2.9848801865928172E-8</v>
      </c>
      <c r="AU43" s="39">
        <f>((AT43-AR43)/(R43/1000))*1000000000</f>
        <v>25.503549519738314</v>
      </c>
      <c r="AV43" s="39">
        <f>(AU43/1000)/(V43*AZ43)</f>
        <v>0.77605750312569244</v>
      </c>
      <c r="AW43" s="39">
        <f>(M43*AZ43)*V43*1000</f>
        <v>10.846391969540869</v>
      </c>
      <c r="AX43" s="39">
        <f>AU43-AW43</f>
        <v>14.657157550197445</v>
      </c>
      <c r="AY43" s="26">
        <f>VLOOKUP($E43,Water!$C$2:$G$90, 5, FALSE)</f>
        <v>698.4</v>
      </c>
      <c r="AZ43">
        <f>AY43/760</f>
        <v>0.91894736842105262</v>
      </c>
      <c r="BA43" s="3">
        <f>Assumptions!$B$3</f>
        <v>406.07</v>
      </c>
      <c r="BB43" s="3">
        <f>BA43*AZ43*T43</f>
        <v>17.951996374965944</v>
      </c>
      <c r="BC43" s="3">
        <f>Assumptions!$B$4</f>
        <v>1.8474300000000001</v>
      </c>
      <c r="BD43" s="45">
        <f>BC43*AZ43*U43*1/(0.0821*273.15)</f>
        <v>3.0300772108004413E-3</v>
      </c>
      <c r="BE43" s="3">
        <f>Assumptions!$B$2</f>
        <v>0.33054499999999998</v>
      </c>
      <c r="BF43" s="44">
        <f>BE43*AZ43*V43*1000</f>
        <v>10.862688321481949</v>
      </c>
      <c r="BG43">
        <f>1923.6+(-125.06*F43)+(4.3773*(F43^2))+(-0.085681*(F43^3))+(0.00070284*(F43^4))</f>
        <v>864.58240047656386</v>
      </c>
      <c r="BH43">
        <f>1909.4+(-120.78*F43)+(4.1555*(F43^2))+(-0.080578*(F43^3))+(0.00065777*(F43^4))</f>
        <v>878.53199970561695</v>
      </c>
      <c r="BI43">
        <f>2141.2+(-152.56*F43)+(5.8963*(F43^2))+(-0.12411*(F43^3))+(0.0010655*(F43^4))</f>
        <v>906.89643557254976</v>
      </c>
      <c r="BJ43" s="25">
        <f>VLOOKUP(E43,Wind!$C$2:$E$109,3, FALSE)</f>
        <v>3.9722222222222223</v>
      </c>
      <c r="BK43" s="44">
        <v>1.66</v>
      </c>
      <c r="BL43">
        <f>BK43/(1-(((1.3*10^-3)^0.5)/0.41)*LN(10/1.5))</f>
        <v>1.9923982880693825</v>
      </c>
      <c r="BM43">
        <f>BK43*1.22</f>
        <v>2.0251999999999999</v>
      </c>
      <c r="BN43">
        <f>2.07+0.215*(BM43^1.7)*(24/100)</f>
        <v>2.241255750541113</v>
      </c>
      <c r="BO43">
        <f>BN43*((600/BG43)^0.67)</f>
        <v>1.7546579677488572</v>
      </c>
      <c r="BP43">
        <f>BN43*((600/BH43)^0.67)</f>
        <v>1.7359418480766289</v>
      </c>
      <c r="BQ43">
        <f>BN43*((600/BI43)^0.67)</f>
        <v>1.6993745072303725</v>
      </c>
      <c r="BR43" s="39">
        <f>BO43*(AM43-BB43)</f>
        <v>-26.467555044999813</v>
      </c>
      <c r="BS43" s="39">
        <f>BP43*(AD43-BD43)</f>
        <v>0.10198003854157812</v>
      </c>
      <c r="BT43" s="39">
        <f>BQ43*(AU43-BF43)</f>
        <v>24.880306284215191</v>
      </c>
      <c r="BU43">
        <f>(2.51+1.48*BM43)+(0.39*BM43*LOG10(0.0015))</f>
        <v>3.2768938069574309</v>
      </c>
      <c r="BV43">
        <f>BU43*((600/$BG43)^0.67)</f>
        <v>2.5654492248180709</v>
      </c>
      <c r="BW43">
        <f>BU43*((600/$BH43)^0.67)</f>
        <v>2.5380847722653481</v>
      </c>
      <c r="BX43">
        <f>BU43*((600/$BI43)^0.67)</f>
        <v>2.4846204174155866</v>
      </c>
      <c r="BY43" s="39">
        <f>BV43*($AM43-$BB43)</f>
        <v>-38.697666337866615</v>
      </c>
      <c r="BZ43" s="39">
        <f>BW43*($AD43-$BD43)</f>
        <v>0.14910291101294262</v>
      </c>
      <c r="CA43" s="39">
        <f>BX43*($AU43-$BF43)</f>
        <v>36.376982661735397</v>
      </c>
      <c r="CB43" s="42">
        <f>AVERAGE(0.72,0.69,0.4,0.22)</f>
        <v>0.50750000000000006</v>
      </c>
      <c r="CC43">
        <f>CB43*((600/$BG43)^0.67)</f>
        <v>0.39731695877079254</v>
      </c>
      <c r="CD43">
        <f>CB43*((600/$BH43)^0.67)</f>
        <v>0.39307896373994317</v>
      </c>
      <c r="CE43">
        <f>CB43*((600/$BI43)^0.67)</f>
        <v>0.38479881745365047</v>
      </c>
      <c r="CF43" s="39">
        <f>CC43*($AM43-$BB43)</f>
        <v>-5.9931956369077515</v>
      </c>
      <c r="CG43" s="39">
        <f>CD43*($AD43-$BD43)</f>
        <v>2.3091907091529192E-2</v>
      </c>
      <c r="CH43" s="39">
        <f>CE43*($AU43-$BF43)</f>
        <v>5.6337860755920852</v>
      </c>
      <c r="CI43">
        <v>0.86263901889527161</v>
      </c>
      <c r="CJ43">
        <f>((BG43/BH43)^0.67)*CI43</f>
        <v>0.8534376500767713</v>
      </c>
      <c r="CK43">
        <f>((BH43/BH43)^0.67)*CI43</f>
        <v>0.86263901889527161</v>
      </c>
      <c r="CL43">
        <f>((BI43/BH43)^0.67)*CI43</f>
        <v>0.88120138692951655</v>
      </c>
      <c r="CM43" s="39">
        <f>CJ43*($AM43-$BB43)</f>
        <v>-12.873396636873959</v>
      </c>
      <c r="CN43" s="39">
        <f>CK43*($AD43-$BD43)</f>
        <v>5.0676789946552191E-2</v>
      </c>
      <c r="CO43" s="39">
        <f>CL43*($AU43-$BF43)</f>
        <v>12.901547193746053</v>
      </c>
      <c r="CP43" s="27">
        <f>VLOOKUP(A43,Water!$A$2:$E$109, 5, FALSE)/1000</f>
        <v>1.1899999999999999E-3</v>
      </c>
      <c r="CQ43">
        <f>0.64*CP43</f>
        <v>7.6159999999999997E-4</v>
      </c>
      <c r="CR43" s="19">
        <f>CQ43*1000*(2.5*10^-5)</f>
        <v>1.9040000000000001E-5</v>
      </c>
      <c r="CS43" s="18">
        <f>(-0.0000009*F43^3)+(0.0002*F43^2)-(0.0134*F43)+6.579</f>
        <v>6.4357587180999998</v>
      </c>
      <c r="CT43" s="18">
        <f>CS43-(SQRT(CP43))/(1+1.4*SQRT(CP43))</f>
        <v>6.4028515888905106</v>
      </c>
      <c r="CU43" s="18">
        <f>10^(-CT43)</f>
        <v>3.955017514780688E-7</v>
      </c>
      <c r="CV43" s="18">
        <f>(0.000001*F43^3)+(0.00006*F43^2)-(0.014*F43)+10.625</f>
        <v>10.454144691</v>
      </c>
      <c r="CW43" s="18">
        <f>CV43-(2*SQRT(CR43))/(1+1.4*SQRT(CR43))</f>
        <v>10.445470709609184</v>
      </c>
      <c r="CX43" s="18">
        <f>10^(-CW43)</f>
        <v>3.5853312823222938E-11</v>
      </c>
      <c r="CY43">
        <f>EXP(1246.98+-61900/H43-183*LN(H43))</f>
        <v>1.1436583009327764E-2</v>
      </c>
      <c r="CZ43">
        <f>12.225*(F43^2)+15.258*F43+1125.7</f>
        <v>3423.5120500000003</v>
      </c>
      <c r="DA43" s="15">
        <f>10^(-4470.99/H43+6.0875-0.01706*H43)</f>
        <v>3.8449966052495567E-15</v>
      </c>
      <c r="DB43">
        <f>(10^-I43)</f>
        <v>2.6915348039269034E-10</v>
      </c>
      <c r="DC43">
        <f>DB43^2</f>
        <v>7.244359600749834E-20</v>
      </c>
      <c r="DD43" s="20">
        <f>((14.6836*10^-9)*((H43/217.2056)-1)^1.997)*100*100</f>
        <v>1.488814729016037E-5</v>
      </c>
      <c r="DE43">
        <f>CY43+CZ43*DA43/DB43</f>
        <v>6.0343222414754691E-2</v>
      </c>
      <c r="DF43">
        <f>1+DC43*(CU43*CX43+CU43*DB43)^-1</f>
        <v>1.0006005401895075</v>
      </c>
      <c r="DG43">
        <f>(DE43*DF43/DD43)^0.5</f>
        <v>63.683113389273579</v>
      </c>
      <c r="DH43">
        <f>DD43/(BO43/60/60)</f>
        <v>3.0545742378122933E-2</v>
      </c>
      <c r="DI43" s="16">
        <f>DF43/((DF43-1)+TANH(DG43*DH43)/(DG43*DH43))</f>
        <v>2.0251620661266689</v>
      </c>
      <c r="DJ43">
        <f>$DI43*BR43</f>
        <v>-53.601088460253159</v>
      </c>
      <c r="DK43">
        <f>$DI43*BY43</f>
        <v>-78.369045915074395</v>
      </c>
      <c r="DL43">
        <f>$DI43*CF43</f>
        <v>-12.13719245874144</v>
      </c>
      <c r="DM43">
        <f>$DI43*CM43</f>
        <v>-26.07071453119978</v>
      </c>
    </row>
    <row r="44" spans="1:117" ht="15.75" x14ac:dyDescent="0.25">
      <c r="A44" s="52" t="s">
        <v>332</v>
      </c>
      <c r="B44" s="55" t="s">
        <v>341</v>
      </c>
      <c r="C44" t="s">
        <v>180</v>
      </c>
      <c r="D44" s="57">
        <v>43223</v>
      </c>
      <c r="E44" s="42" t="str">
        <f>A44&amp;D44</f>
        <v>62E43223</v>
      </c>
      <c r="F44" s="3">
        <f>VLOOKUP($E44,Water!$C$2:$E$90, 2, FALSE)</f>
        <v>13.1</v>
      </c>
      <c r="G44" s="3">
        <f>VLOOKUP($E44,Water!$C$2:$E$90, 3, FALSE)</f>
        <v>1.19</v>
      </c>
      <c r="H44" s="1">
        <f>F44+273.15</f>
        <v>286.25</v>
      </c>
      <c r="I44" s="3">
        <f>VLOOKUP($E44,Water!$C$2:$F$90, 4, FALSE)</f>
        <v>9.57</v>
      </c>
      <c r="J44">
        <f>10^(I44*-1)</f>
        <v>2.6915348039269034E-10</v>
      </c>
      <c r="K44" s="25">
        <f>VLOOKUP($E44,Atm!$D$2:$G$45, 2, FALSE)</f>
        <v>492.40095603301552</v>
      </c>
      <c r="L44" s="25">
        <f>VLOOKUP($E44,Atm!$D$2:$G$45, 3, FALSE)</f>
        <v>11.526681260263141</v>
      </c>
      <c r="M44" s="25">
        <f>VLOOKUP($E44,Atm!$D$2:$G$45, 4, FALSE)</f>
        <v>0.33004911192027742</v>
      </c>
      <c r="N44" s="21">
        <f>VLOOKUP($C44,Raw!$B$2:$F$353, 3, FALSE)</f>
        <v>70.577627379670986</v>
      </c>
      <c r="O44" s="21">
        <f>VLOOKUP($C44,Raw!$B$2:$F$353, 4, FALSE)</f>
        <v>24.791525665824711</v>
      </c>
      <c r="P44" s="21">
        <f>VLOOKUP($C44,Raw!$B$2:$F$353, 5, FALSE)</f>
        <v>0.83919847223249888</v>
      </c>
      <c r="Q44" s="14">
        <v>60</v>
      </c>
      <c r="R44" s="25">
        <v>1140</v>
      </c>
      <c r="S44">
        <f>EXP(24.4543-(100/H44*(67.4509))-(4.8489*LN(H44/100))-(0.000544*G44))</f>
        <v>1.4853106823128159E-2</v>
      </c>
      <c r="T44" s="8">
        <f>EXP(-58.0931+90.5069*(100/H44)+22.294*LN(H44/100)+G44*(0.027766-0.025888*(H44/100)+0.0050578*(H44/100)^2))</f>
        <v>4.8108432645198033E-2</v>
      </c>
      <c r="U44" s="9">
        <f>(EXP(-67.1962+99.1624*(100/H44)+27.9015*LN(H44/100)+G44*(-0.072909+0.041674*(H44/100)-0.0064603*(H44/100)^2)))</f>
        <v>4.0025745249062605E-2</v>
      </c>
      <c r="V44" s="9">
        <f>(EXP(-64.8539+100.252*(100/H44)+25.2049*LN(H44/100)+(-0.062544+0.035337*(H44/100)-0.0054699*(H44/100)^2)*G44))</f>
        <v>3.5761529751033555E-2</v>
      </c>
      <c r="W44" s="9">
        <f>(EXP(-68.8862+101.4956*(100/H44)+28.7314*LN(H44/100)+G44*(-0.076146+0.04397*(H44/100)-0.0068672*(H44/100)^2)))</f>
        <v>3.994158434987366E-2</v>
      </c>
      <c r="X44">
        <f>N44*(AZ44-S44)</f>
        <v>63.808827911157096</v>
      </c>
      <c r="Y44">
        <f>O44*(AZ44-S44)</f>
        <v>22.413876090729786</v>
      </c>
      <c r="Z44">
        <f>((Y44/10^6)*AZ44)/(0.082056*H44)</f>
        <v>8.7690342689353851E-7</v>
      </c>
      <c r="AA44">
        <f>(((L44/10^6)*AZ44)/(0.082056*H44))</f>
        <v>4.509611036002285E-7</v>
      </c>
      <c r="AB44">
        <f>((Y44/10^6)*U44*1)/(0.082056*H44)</f>
        <v>3.8194475961314123E-8</v>
      </c>
      <c r="AC44">
        <f>(Z44*(Q44/1000))+(AB44*(R44/1000))</f>
        <v>9.6155908209510411E-8</v>
      </c>
      <c r="AD44" s="39">
        <f>((AC44-(AA44*(Q44/1000)))/(R44/1000))*1000000</f>
        <v>6.0612492976751489E-2</v>
      </c>
      <c r="AE44" s="39">
        <f>(AD44/((U44*AZ44*1))*(0.0821*273.15))</f>
        <v>36.955275430245379</v>
      </c>
      <c r="AF44" s="39">
        <f>L44*U44*AZ44*1/(0.0821*273.15)</f>
        <v>1.8905579211598737E-2</v>
      </c>
      <c r="AG44" s="39">
        <f>AD44-AF44</f>
        <v>4.1706913765152752E-2</v>
      </c>
      <c r="AH44" s="42">
        <f>P44*(AZ44-S44)</f>
        <v>0.75871452308714737</v>
      </c>
      <c r="AI44">
        <f>(((X44/10^6)*(Q44/1000))/(0.082056*H44))</f>
        <v>1.6299571214841563E-7</v>
      </c>
      <c r="AJ44">
        <f>(((K44/10^6)*AZ44)*(Q44/1000))/(0.082056*H44)</f>
        <v>1.1558592115076167E-6</v>
      </c>
      <c r="AK44">
        <f>(X44/10^6)*T44*(R44/1000)</f>
        <v>3.4995066776955437E-6</v>
      </c>
      <c r="AL44">
        <f>AI44+AK44</f>
        <v>3.6625023898439592E-6</v>
      </c>
      <c r="AM44" s="39">
        <f>((AL44-AJ44)/(R44/1000))*1000000</f>
        <v>2.1988098055581955</v>
      </c>
      <c r="AN44" s="39">
        <f>AM44/(T44*AZ44)</f>
        <v>49.736568518258188</v>
      </c>
      <c r="AO44" s="39">
        <f>(K44*AZ44)*T44</f>
        <v>21.768611760865024</v>
      </c>
      <c r="AP44" s="39">
        <f>AM44-AO44</f>
        <v>-19.569801955306829</v>
      </c>
      <c r="AQ44">
        <f>(((AH44/10^6)*(Q44/1000))/(0.082056*H44))</f>
        <v>1.9380894157799079E-9</v>
      </c>
      <c r="AR44">
        <f>(((M44/10^6)*AZ44)*(Q44/1000))/(0.082056*H44)</f>
        <v>7.7475541342649627E-10</v>
      </c>
      <c r="AS44">
        <f>(AH44/10^6)*V44*(R44/1000)</f>
        <v>3.093138286851137E-8</v>
      </c>
      <c r="AT44">
        <f>AQ44+AS44</f>
        <v>3.2869472284291276E-8</v>
      </c>
      <c r="AU44" s="39">
        <f>((AT44-AR44)/(R44/1000))*1000000000</f>
        <v>28.153260413039284</v>
      </c>
      <c r="AV44" s="39">
        <f>(AU44/1000)/(V44*AZ44)</f>
        <v>0.85668659431429794</v>
      </c>
      <c r="AW44" s="39">
        <f>(M44*AZ44)*V44*1000</f>
        <v>10.846391969540869</v>
      </c>
      <c r="AX44" s="39">
        <f>AU44-AW44</f>
        <v>17.306868443498416</v>
      </c>
      <c r="AY44" s="26">
        <f>VLOOKUP($E44,Water!$C$2:$G$90, 5, FALSE)</f>
        <v>698.4</v>
      </c>
      <c r="AZ44">
        <f>AY44/760</f>
        <v>0.91894736842105262</v>
      </c>
      <c r="BA44" s="3">
        <f>Assumptions!$B$3</f>
        <v>406.07</v>
      </c>
      <c r="BB44" s="3">
        <f>BA44*AZ44*T44</f>
        <v>17.951996374965944</v>
      </c>
      <c r="BC44" s="3">
        <f>Assumptions!$B$4</f>
        <v>1.8474300000000001</v>
      </c>
      <c r="BD44" s="45">
        <f>BC44*AZ44*U44*1/(0.0821*273.15)</f>
        <v>3.0300772108004413E-3</v>
      </c>
      <c r="BE44" s="3">
        <f>Assumptions!$B$2</f>
        <v>0.33054499999999998</v>
      </c>
      <c r="BF44" s="44">
        <f>BE44*AZ44*V44*1000</f>
        <v>10.862688321481949</v>
      </c>
      <c r="BG44">
        <f>1923.6+(-125.06*F44)+(4.3773*(F44^2))+(-0.085681*(F44^3))+(0.00070284*(F44^4))</f>
        <v>864.58240047656386</v>
      </c>
      <c r="BH44">
        <f>1909.4+(-120.78*F44)+(4.1555*(F44^2))+(-0.080578*(F44^3))+(0.00065777*(F44^4))</f>
        <v>878.53199970561695</v>
      </c>
      <c r="BI44">
        <f>2141.2+(-152.56*F44)+(5.8963*(F44^2))+(-0.12411*(F44^3))+(0.0010655*(F44^4))</f>
        <v>906.89643557254976</v>
      </c>
      <c r="BJ44" s="25">
        <f>VLOOKUP(E44,Wind!$C$2:$E$109,3, FALSE)</f>
        <v>3.9722222222222223</v>
      </c>
      <c r="BK44" s="44">
        <v>1.66</v>
      </c>
      <c r="BL44">
        <f>BK44/(1-(((1.3*10^-3)^0.5)/0.41)*LN(10/1.5))</f>
        <v>1.9923982880693825</v>
      </c>
      <c r="BM44">
        <f>BK44*1.22</f>
        <v>2.0251999999999999</v>
      </c>
      <c r="BN44">
        <f>2.07+0.215*(BM44^1.7)*(24/100)</f>
        <v>2.241255750541113</v>
      </c>
      <c r="BO44">
        <f>BN44*((600/BG44)^0.67)</f>
        <v>1.7546579677488572</v>
      </c>
      <c r="BP44">
        <f>BN44*((600/BH44)^0.67)</f>
        <v>1.7359418480766289</v>
      </c>
      <c r="BQ44">
        <f>BN44*((600/BI44)^0.67)</f>
        <v>1.6993745072303725</v>
      </c>
      <c r="BR44" s="39">
        <f>BO44*(AM44-BB44)</f>
        <v>-27.64145433144559</v>
      </c>
      <c r="BS44" s="39">
        <f>BP44*(AD44-BD44)</f>
        <v>9.9959725241461878E-2</v>
      </c>
      <c r="BT44" s="39">
        <f>BQ44*(AU44-BF44)</f>
        <v>29.38315742782148</v>
      </c>
      <c r="BU44">
        <f>(2.51+1.48*BM44)+(0.39*BM44*LOG10(0.0015))</f>
        <v>3.2768938069574309</v>
      </c>
      <c r="BV44">
        <f>BU44*((600/$BG44)^0.67)</f>
        <v>2.5654492248180709</v>
      </c>
      <c r="BW44">
        <f>BU44*((600/$BH44)^0.67)</f>
        <v>2.5380847722653481</v>
      </c>
      <c r="BX44">
        <f>BU44*((600/$BI44)^0.67)</f>
        <v>2.4846204174155866</v>
      </c>
      <c r="BY44" s="39">
        <f>BV44*($AM44-$BB44)</f>
        <v>-40.414000272901554</v>
      </c>
      <c r="BZ44" s="39">
        <f>BW44*($AD44-$BD44)</f>
        <v>0.14614905260581246</v>
      </c>
      <c r="CA44" s="39">
        <f>BX44*($AU44-$BF44)</f>
        <v>42.960508447479484</v>
      </c>
      <c r="CB44" s="42">
        <f>AVERAGE(0.72,0.69,0.4,0.22)</f>
        <v>0.50750000000000006</v>
      </c>
      <c r="CC44">
        <f>CB44*((600/$BG44)^0.67)</f>
        <v>0.39731695877079254</v>
      </c>
      <c r="CD44">
        <f>CB44*((600/$BH44)^0.67)</f>
        <v>0.39307896373994317</v>
      </c>
      <c r="CE44">
        <f>CB44*((600/$BI44)^0.67)</f>
        <v>0.38479881745365047</v>
      </c>
      <c r="CF44" s="39">
        <f>CC44*($AM44-$BB44)</f>
        <v>-6.2590081787059813</v>
      </c>
      <c r="CG44" s="39">
        <f>CD44*($AD44-$BD44)</f>
        <v>2.2634436318922604E-2</v>
      </c>
      <c r="CH44" s="39">
        <f>CE44*($AU44-$BF44)</f>
        <v>6.6533916939283548</v>
      </c>
      <c r="CI44">
        <v>0.86263901889527161</v>
      </c>
      <c r="CJ44">
        <f>((BG44/BH44)^0.67)*CI44</f>
        <v>0.8534376500767713</v>
      </c>
      <c r="CK44">
        <f>((BH44/BH44)^0.67)*CI44</f>
        <v>0.86263901889527161</v>
      </c>
      <c r="CL44">
        <f>((BI44/BH44)^0.67)*CI44</f>
        <v>0.88120138692951655</v>
      </c>
      <c r="CM44" s="39">
        <f>CJ44*($AM44-$BB44)</f>
        <v>-13.444362527016304</v>
      </c>
      <c r="CN44" s="39">
        <f>CK44*($AD44-$BD44)</f>
        <v>4.9672838641959635E-2</v>
      </c>
      <c r="CO44" s="39">
        <f>CL44*($AU44-$BF44)</f>
        <v>15.236476107885117</v>
      </c>
      <c r="CP44" s="27">
        <f>VLOOKUP(A44,Water!$A$2:$E$109, 5, FALSE)/1000</f>
        <v>1.1899999999999999E-3</v>
      </c>
      <c r="CQ44">
        <f>0.64*CP44</f>
        <v>7.6159999999999997E-4</v>
      </c>
      <c r="CR44" s="19">
        <f>CQ44*1000*(2.5*10^-5)</f>
        <v>1.9040000000000001E-5</v>
      </c>
      <c r="CS44" s="18">
        <f>(-0.0000009*F44^3)+(0.0002*F44^2)-(0.0134*F44)+6.579</f>
        <v>6.4357587180999998</v>
      </c>
      <c r="CT44" s="18">
        <f>CS44-(SQRT(CP44))/(1+1.4*SQRT(CP44))</f>
        <v>6.4028515888905106</v>
      </c>
      <c r="CU44" s="18">
        <f>10^(-CT44)</f>
        <v>3.955017514780688E-7</v>
      </c>
      <c r="CV44" s="18">
        <f>(0.000001*F44^3)+(0.00006*F44^2)-(0.014*F44)+10.625</f>
        <v>10.454144691</v>
      </c>
      <c r="CW44" s="18">
        <f>CV44-(2*SQRT(CR44))/(1+1.4*SQRT(CR44))</f>
        <v>10.445470709609184</v>
      </c>
      <c r="CX44" s="18">
        <f>10^(-CW44)</f>
        <v>3.5853312823222938E-11</v>
      </c>
      <c r="CY44">
        <f>EXP(1246.98+-61900/H44-183*LN(H44))</f>
        <v>1.1436583009327764E-2</v>
      </c>
      <c r="CZ44">
        <f>12.225*(F44^2)+15.258*F44+1125.7</f>
        <v>3423.5120500000003</v>
      </c>
      <c r="DA44" s="15">
        <f>10^(-4470.99/H44+6.0875-0.01706*H44)</f>
        <v>3.8449966052495567E-15</v>
      </c>
      <c r="DB44">
        <f>(10^-I44)</f>
        <v>2.6915348039269034E-10</v>
      </c>
      <c r="DC44">
        <f>DB44^2</f>
        <v>7.244359600749834E-20</v>
      </c>
      <c r="DD44" s="20">
        <f>((14.6836*10^-9)*((H44/217.2056)-1)^1.997)*100*100</f>
        <v>1.488814729016037E-5</v>
      </c>
      <c r="DE44">
        <f>CY44+CZ44*DA44/DB44</f>
        <v>6.0343222414754691E-2</v>
      </c>
      <c r="DF44">
        <f>1+DC44*(CU44*CX44+CU44*DB44)^-1</f>
        <v>1.0006005401895075</v>
      </c>
      <c r="DG44">
        <f>(DE44*DF44/DD44)^0.5</f>
        <v>63.683113389273579</v>
      </c>
      <c r="DH44">
        <f>DD44/(BO44/60/60)</f>
        <v>3.0545742378122933E-2</v>
      </c>
      <c r="DI44" s="16">
        <f>DF44/((DF44-1)+TANH(DG44*DH44)/(DG44*DH44))</f>
        <v>2.0251620661266689</v>
      </c>
      <c r="DJ44">
        <f>$DI44*BR44</f>
        <v>-55.978424764616314</v>
      </c>
      <c r="DK44">
        <f>$DI44*BY44</f>
        <v>-81.844900293113071</v>
      </c>
      <c r="DL44">
        <f>$DI44*CF44</f>
        <v>-12.675505935091923</v>
      </c>
      <c r="DM44">
        <f>$DI44*CM44</f>
        <v>-27.227012992968302</v>
      </c>
    </row>
    <row r="45" spans="1:117" ht="15.75" x14ac:dyDescent="0.25">
      <c r="A45" s="52" t="s">
        <v>332</v>
      </c>
      <c r="B45" s="55" t="s">
        <v>342</v>
      </c>
      <c r="C45" t="s">
        <v>181</v>
      </c>
      <c r="D45" s="57">
        <v>43223</v>
      </c>
      <c r="E45" s="42" t="str">
        <f>A45&amp;D45</f>
        <v>62E43223</v>
      </c>
      <c r="F45" s="3">
        <f>VLOOKUP($E45,Water!$C$2:$E$90, 2, FALSE)</f>
        <v>13.1</v>
      </c>
      <c r="G45" s="3">
        <f>VLOOKUP($E45,Water!$C$2:$E$90, 3, FALSE)</f>
        <v>1.19</v>
      </c>
      <c r="H45" s="1">
        <f>F45+273.15</f>
        <v>286.25</v>
      </c>
      <c r="I45" s="3">
        <f>VLOOKUP($E45,Water!$C$2:$F$90, 4, FALSE)</f>
        <v>9.57</v>
      </c>
      <c r="J45">
        <f>10^(I45*-1)</f>
        <v>2.6915348039269034E-10</v>
      </c>
      <c r="K45" s="25">
        <f>VLOOKUP($E45,Atm!$D$2:$G$45, 2, FALSE)</f>
        <v>492.40095603301552</v>
      </c>
      <c r="L45" s="25">
        <f>VLOOKUP($E45,Atm!$D$2:$G$45, 3, FALSE)</f>
        <v>11.526681260263141</v>
      </c>
      <c r="M45" s="25">
        <f>VLOOKUP($E45,Atm!$D$2:$G$45, 4, FALSE)</f>
        <v>0.33004911192027742</v>
      </c>
      <c r="N45" s="21">
        <f>VLOOKUP($C45,Raw!$B$2:$F$353, 3, FALSE)</f>
        <v>81.987767873264943</v>
      </c>
      <c r="O45" s="21">
        <f>VLOOKUP($C45,Raw!$B$2:$F$353, 4, FALSE)</f>
        <v>24.830974979316359</v>
      </c>
      <c r="P45" s="21">
        <f>VLOOKUP($C45,Raw!$B$2:$F$353, 5, FALSE)</f>
        <v>0.83910795659652371</v>
      </c>
      <c r="Q45" s="14">
        <v>60</v>
      </c>
      <c r="R45" s="25">
        <v>1140</v>
      </c>
      <c r="S45">
        <f>EXP(24.4543-(100/H45*(67.4509))-(4.8489*LN(H45/100))-(0.000544*G45))</f>
        <v>1.4853106823128159E-2</v>
      </c>
      <c r="T45" s="8">
        <f>EXP(-58.0931+90.5069*(100/H45)+22.294*LN(H45/100)+G45*(0.027766-0.025888*(H45/100)+0.0050578*(H45/100)^2))</f>
        <v>4.8108432645198033E-2</v>
      </c>
      <c r="U45" s="9">
        <f>(EXP(-67.1962+99.1624*(100/H45)+27.9015*LN(H45/100)+G45*(-0.072909+0.041674*(H45/100)-0.0064603*(H45/100)^2)))</f>
        <v>4.0025745249062605E-2</v>
      </c>
      <c r="V45" s="9">
        <f>(EXP(-64.8539+100.252*(100/H45)+25.2049*LN(H45/100)+(-0.062544+0.035337*(H45/100)-0.0054699*(H45/100)^2)*G45))</f>
        <v>3.5761529751033555E-2</v>
      </c>
      <c r="W45" s="9">
        <f>(EXP(-68.8862+101.4956*(100/H45)+28.7314*LN(H45/100)+G45*(-0.076146+0.04397*(H45/100)-0.0068672*(H45/100)^2)))</f>
        <v>3.994158434987366E-2</v>
      </c>
      <c r="X45">
        <f>N45*(AZ45-S45)</f>
        <v>74.124670455441503</v>
      </c>
      <c r="Y45">
        <f>O45*(AZ45-S45)</f>
        <v>22.449541988681563</v>
      </c>
      <c r="Z45">
        <f>((Y45/10^6)*AZ45)/(0.082056*H45)</f>
        <v>8.7829879233638069E-7</v>
      </c>
      <c r="AA45">
        <f>(((L45/10^6)*AZ45)/(0.082056*H45))</f>
        <v>4.509611036002285E-7</v>
      </c>
      <c r="AB45">
        <f>((Y45/10^6)*U45*1)/(0.082056*H45)</f>
        <v>3.8255252610406123E-8</v>
      </c>
      <c r="AC45">
        <f>(Z45*(Q45/1000))+(AB45*(R45/1000))</f>
        <v>9.6308915516045825E-8</v>
      </c>
      <c r="AD45" s="39">
        <f>((AC45-(AA45*(Q45/1000)))/(R45/1000))*1000000</f>
        <v>6.0746709912308877E-2</v>
      </c>
      <c r="AE45" s="39">
        <f>(AD45/((U45*AZ45*1))*(0.0821*273.15))</f>
        <v>37.03710713815466</v>
      </c>
      <c r="AF45" s="39">
        <f>L45*U45*AZ45*1/(0.0821*273.15)</f>
        <v>1.8905579211598737E-2</v>
      </c>
      <c r="AG45" s="39">
        <f>AD45-AF45</f>
        <v>4.184113070071014E-2</v>
      </c>
      <c r="AH45" s="42">
        <f>P45*(AZ45-S45)</f>
        <v>0.75863268842007736</v>
      </c>
      <c r="AI45">
        <f>(((X45/10^6)*(Q45/1000))/(0.082056*H45))</f>
        <v>1.8934689515804054E-7</v>
      </c>
      <c r="AJ45">
        <f>(((K45/10^6)*AZ45)*(Q45/1000))/(0.082056*H45)</f>
        <v>1.1558592115076167E-6</v>
      </c>
      <c r="AK45">
        <f>(X45/10^6)*T45*(R45/1000)</f>
        <v>4.0652647561865432E-6</v>
      </c>
      <c r="AL45">
        <f>AI45+AK45</f>
        <v>4.2546116513445839E-6</v>
      </c>
      <c r="AM45" s="39">
        <f>((AL45-AJ45)/(R45/1000))*1000000</f>
        <v>2.7182038945938314</v>
      </c>
      <c r="AN45" s="39">
        <f>AM45/(T45*AZ45)</f>
        <v>61.485142511333137</v>
      </c>
      <c r="AO45" s="39">
        <f>(K45*AZ45)*T45</f>
        <v>21.768611760865024</v>
      </c>
      <c r="AP45" s="39">
        <f>AM45-AO45</f>
        <v>-19.050407866271193</v>
      </c>
      <c r="AQ45">
        <f>(((AH45/10^6)*(Q45/1000))/(0.082056*H45))</f>
        <v>1.9378803741743158E-9</v>
      </c>
      <c r="AR45">
        <f>(((M45/10^6)*AZ45)*(Q45/1000))/(0.082056*H45)</f>
        <v>7.7475541342649627E-10</v>
      </c>
      <c r="AS45">
        <f>(AH45/10^6)*V45*(R45/1000)</f>
        <v>3.092804662102692E-8</v>
      </c>
      <c r="AT45">
        <f>AQ45+AS45</f>
        <v>3.2865926995201239E-8</v>
      </c>
      <c r="AU45" s="39">
        <f>((AT45-AR45)/(R45/1000))*1000000000</f>
        <v>28.150150510328725</v>
      </c>
      <c r="AV45" s="39">
        <f>(AU45/1000)/(V45*AZ45)</f>
        <v>0.85659196186595388</v>
      </c>
      <c r="AW45" s="39">
        <f>(M45*AZ45)*V45*1000</f>
        <v>10.846391969540869</v>
      </c>
      <c r="AX45" s="39">
        <f>AU45-AW45</f>
        <v>17.303758540787854</v>
      </c>
      <c r="AY45" s="26">
        <f>VLOOKUP($E45,Water!$C$2:$G$90, 5, FALSE)</f>
        <v>698.4</v>
      </c>
      <c r="AZ45">
        <f>AY45/760</f>
        <v>0.91894736842105262</v>
      </c>
      <c r="BA45" s="3">
        <f>Assumptions!$B$3</f>
        <v>406.07</v>
      </c>
      <c r="BB45" s="3">
        <f>BA45*AZ45*T45</f>
        <v>17.951996374965944</v>
      </c>
      <c r="BC45" s="3">
        <f>Assumptions!$B$4</f>
        <v>1.8474300000000001</v>
      </c>
      <c r="BD45" s="45">
        <f>BC45*AZ45*U45*1/(0.0821*273.15)</f>
        <v>3.0300772108004413E-3</v>
      </c>
      <c r="BE45" s="3">
        <f>Assumptions!$B$2</f>
        <v>0.33054499999999998</v>
      </c>
      <c r="BF45" s="44">
        <f>BE45*AZ45*V45*1000</f>
        <v>10.862688321481949</v>
      </c>
      <c r="BG45">
        <f>1923.6+(-125.06*F45)+(4.3773*(F45^2))+(-0.085681*(F45^3))+(0.00070284*(F45^4))</f>
        <v>864.58240047656386</v>
      </c>
      <c r="BH45">
        <f>1909.4+(-120.78*F45)+(4.1555*(F45^2))+(-0.080578*(F45^3))+(0.00065777*(F45^4))</f>
        <v>878.53199970561695</v>
      </c>
      <c r="BI45">
        <f>2141.2+(-152.56*F45)+(5.8963*(F45^2))+(-0.12411*(F45^3))+(0.0010655*(F45^4))</f>
        <v>906.89643557254976</v>
      </c>
      <c r="BJ45" s="25">
        <f>VLOOKUP(E45,Wind!$C$2:$E$109,3, FALSE)</f>
        <v>3.9722222222222223</v>
      </c>
      <c r="BK45" s="44">
        <v>1.66</v>
      </c>
      <c r="BL45">
        <f>BK45/(1-(((1.3*10^-3)^0.5)/0.41)*LN(10/1.5))</f>
        <v>1.9923982880693825</v>
      </c>
      <c r="BM45">
        <f>BK45*1.22</f>
        <v>2.0251999999999999</v>
      </c>
      <c r="BN45">
        <f>2.07+0.215*(BM45^1.7)*(24/100)</f>
        <v>2.241255750541113</v>
      </c>
      <c r="BO45">
        <f>BN45*((600/BG45)^0.67)</f>
        <v>1.7546579677488572</v>
      </c>
      <c r="BP45">
        <f>BN45*((600/BH45)^0.67)</f>
        <v>1.7359418480766289</v>
      </c>
      <c r="BQ45">
        <f>BN45*((600/BI45)^0.67)</f>
        <v>1.6993745072303725</v>
      </c>
      <c r="BR45" s="39">
        <f>BO45*(AM45-BB45)</f>
        <v>-26.730095354717555</v>
      </c>
      <c r="BS45" s="39">
        <f>BP45*(AD45-BD45)</f>
        <v>0.10019271803661656</v>
      </c>
      <c r="BT45" s="39">
        <f>BQ45*(AU45-BF45)</f>
        <v>29.377872538435184</v>
      </c>
      <c r="BU45">
        <f>(2.51+1.48*BM45)+(0.39*BM45*LOG10(0.0015))</f>
        <v>3.2768938069574309</v>
      </c>
      <c r="BV45">
        <f>BU45*((600/$BG45)^0.67)</f>
        <v>2.5654492248180709</v>
      </c>
      <c r="BW45">
        <f>BU45*((600/$BH45)^0.67)</f>
        <v>2.5380847722653481</v>
      </c>
      <c r="BX45">
        <f>BU45*((600/$BI45)^0.67)</f>
        <v>2.4846204174155866</v>
      </c>
      <c r="BY45" s="39">
        <f>BV45*($AM45-$BB45)</f>
        <v>-39.081521109809998</v>
      </c>
      <c r="BZ45" s="39">
        <f>BW45*($AD45-$BD45)</f>
        <v>0.14648970656613078</v>
      </c>
      <c r="CA45" s="39">
        <f>BX45*($AU45-$BF45)</f>
        <v>42.952781519708644</v>
      </c>
      <c r="CB45" s="42">
        <f>AVERAGE(0.72,0.69,0.4,0.22)</f>
        <v>0.50750000000000006</v>
      </c>
      <c r="CC45">
        <f>CB45*((600/$BG45)^0.67)</f>
        <v>0.39731695877079254</v>
      </c>
      <c r="CD45">
        <f>CB45*((600/$BH45)^0.67)</f>
        <v>0.39307896373994317</v>
      </c>
      <c r="CE45">
        <f>CB45*((600/$BI45)^0.67)</f>
        <v>0.38479881745365047</v>
      </c>
      <c r="CF45" s="39">
        <f>CC45*($AM45-$BB45)</f>
        <v>-6.052644098846816</v>
      </c>
      <c r="CG45" s="39">
        <f>CD45*($AD45-$BD45)</f>
        <v>2.2687194172867853E-2</v>
      </c>
      <c r="CH45" s="39">
        <f>CE45*($AU45-$BF45)</f>
        <v>6.652195007042935</v>
      </c>
      <c r="CI45">
        <v>0.86263901889527161</v>
      </c>
      <c r="CJ45">
        <f>((BG45/BH45)^0.67)*CI45</f>
        <v>0.8534376500767713</v>
      </c>
      <c r="CK45">
        <f>((BH45/BH45)^0.67)*CI45</f>
        <v>0.86263901889527161</v>
      </c>
      <c r="CL45">
        <f>((BI45/BH45)^0.67)*CI45</f>
        <v>0.88120138692951655</v>
      </c>
      <c r="CM45" s="39">
        <f>CJ45*($AM45-$BB45)</f>
        <v>-13.001092056205966</v>
      </c>
      <c r="CN45" s="39">
        <f>CK45*($AD45-$BD45)</f>
        <v>4.9788619407567992E-2</v>
      </c>
      <c r="CO45" s="39">
        <f>CL45*($AU45-$BF45)</f>
        <v>15.233735657303354</v>
      </c>
      <c r="CP45" s="27">
        <f>VLOOKUP(A45,Water!$A$2:$E$109, 5, FALSE)/1000</f>
        <v>1.1899999999999999E-3</v>
      </c>
      <c r="CQ45">
        <f>0.64*CP45</f>
        <v>7.6159999999999997E-4</v>
      </c>
      <c r="CR45" s="19">
        <f>CQ45*1000*(2.5*10^-5)</f>
        <v>1.9040000000000001E-5</v>
      </c>
      <c r="CS45" s="18">
        <f>(-0.0000009*F45^3)+(0.0002*F45^2)-(0.0134*F45)+6.579</f>
        <v>6.4357587180999998</v>
      </c>
      <c r="CT45" s="18">
        <f>CS45-(SQRT(CP45))/(1+1.4*SQRT(CP45))</f>
        <v>6.4028515888905106</v>
      </c>
      <c r="CU45" s="18">
        <f>10^(-CT45)</f>
        <v>3.955017514780688E-7</v>
      </c>
      <c r="CV45" s="18">
        <f>(0.000001*F45^3)+(0.00006*F45^2)-(0.014*F45)+10.625</f>
        <v>10.454144691</v>
      </c>
      <c r="CW45" s="18">
        <f>CV45-(2*SQRT(CR45))/(1+1.4*SQRT(CR45))</f>
        <v>10.445470709609184</v>
      </c>
      <c r="CX45" s="18">
        <f>10^(-CW45)</f>
        <v>3.5853312823222938E-11</v>
      </c>
      <c r="CY45">
        <f>EXP(1246.98+-61900/H45-183*LN(H45))</f>
        <v>1.1436583009327764E-2</v>
      </c>
      <c r="CZ45">
        <f>12.225*(F45^2)+15.258*F45+1125.7</f>
        <v>3423.5120500000003</v>
      </c>
      <c r="DA45" s="15">
        <f>10^(-4470.99/H45+6.0875-0.01706*H45)</f>
        <v>3.8449966052495567E-15</v>
      </c>
      <c r="DB45">
        <f>(10^-I45)</f>
        <v>2.6915348039269034E-10</v>
      </c>
      <c r="DC45">
        <f>DB45^2</f>
        <v>7.244359600749834E-20</v>
      </c>
      <c r="DD45" s="20">
        <f>((14.6836*10^-9)*((H45/217.2056)-1)^1.997)*100*100</f>
        <v>1.488814729016037E-5</v>
      </c>
      <c r="DE45">
        <f>CY45+CZ45*DA45/DB45</f>
        <v>6.0343222414754691E-2</v>
      </c>
      <c r="DF45">
        <f>1+DC45*(CU45*CX45+CU45*DB45)^-1</f>
        <v>1.0006005401895075</v>
      </c>
      <c r="DG45">
        <f>(DE45*DF45/DD45)^0.5</f>
        <v>63.683113389273579</v>
      </c>
      <c r="DH45">
        <f>DD45/(BO45/60/60)</f>
        <v>3.0545742378122933E-2</v>
      </c>
      <c r="DI45" s="16">
        <f>DF45/((DF45-1)+TANH(DG45*DH45)/(DG45*DH45))</f>
        <v>2.0251620661266689</v>
      </c>
      <c r="DJ45">
        <f>$DI45*BR45</f>
        <v>-54.132775136322678</v>
      </c>
      <c r="DK45">
        <f>$DI45*BY45</f>
        <v>-79.14641403811585</v>
      </c>
      <c r="DL45">
        <f>$DI45*CF45</f>
        <v>-12.257585228750008</v>
      </c>
      <c r="DM45">
        <f>$DI45*CM45</f>
        <v>-26.329318450449097</v>
      </c>
    </row>
    <row r="46" spans="1:117" ht="15.75" x14ac:dyDescent="0.25">
      <c r="A46" s="51" t="s">
        <v>333</v>
      </c>
      <c r="B46" s="54" t="s">
        <v>339</v>
      </c>
      <c r="C46" s="48" t="s">
        <v>183</v>
      </c>
      <c r="D46" s="57">
        <v>43223</v>
      </c>
      <c r="E46" s="42" t="str">
        <f>A46&amp;D46</f>
        <v>61C43223</v>
      </c>
      <c r="F46" s="3">
        <f>VLOOKUP($E46,Water!$C$2:$E$90, 2, FALSE)</f>
        <v>12.1</v>
      </c>
      <c r="G46" s="3">
        <f>VLOOKUP($E46,Water!$C$2:$E$90, 3, FALSE)</f>
        <v>0.21</v>
      </c>
      <c r="H46" s="1">
        <f>F46+273.15</f>
        <v>285.25</v>
      </c>
      <c r="I46" s="3">
        <f>VLOOKUP($E46,Water!$C$2:$F$90, 4, FALSE)</f>
        <v>9.58</v>
      </c>
      <c r="J46">
        <f>10^(I46*-1)</f>
        <v>2.6302679918953798E-10</v>
      </c>
      <c r="K46" s="25">
        <f>VLOOKUP($E46,Atm!$D$2:$G$45, 2, FALSE)</f>
        <v>474.7614133324256</v>
      </c>
      <c r="L46" s="25">
        <f>VLOOKUP($E46,Atm!$D$2:$G$45, 3, FALSE)</f>
        <v>2.7058566584302222</v>
      </c>
      <c r="M46" s="25">
        <f>VLOOKUP($E46,Atm!$D$2:$G$45, 4, FALSE)</f>
        <v>0.3383059202946414</v>
      </c>
      <c r="N46" s="21">
        <f>VLOOKUP($C46,Raw!$B$2:$F$353, 3, FALSE)</f>
        <v>159.46600000000001</v>
      </c>
      <c r="O46" s="21">
        <f>VLOOKUP($C46,Raw!$B$2:$F$353, 4, FALSE)</f>
        <v>41.417000000000002</v>
      </c>
      <c r="P46" s="21">
        <f>VLOOKUP($C46,Raw!$B$2:$F$353, 5, FALSE)</f>
        <v>0.36199999999999999</v>
      </c>
      <c r="Q46" s="14">
        <v>60</v>
      </c>
      <c r="R46" s="25">
        <v>1140</v>
      </c>
      <c r="S46">
        <f>EXP(24.4543-(100/H46*(67.4509))-(4.8489*LN(H46/100))-(0.000544*G46))</f>
        <v>1.3916904757140601E-2</v>
      </c>
      <c r="T46" s="8">
        <f>EXP(-58.0931+90.5069*(100/H46)+22.294*LN(H46/100)+G46*(0.027766-0.025888*(H46/100)+0.0050578*(H46/100)^2))</f>
        <v>4.9952509700682872E-2</v>
      </c>
      <c r="U46" s="9">
        <f>(EXP(-67.1962+99.1624*(100/H46)+27.9015*LN(H46/100)+G46*(-0.072909+0.041674*(H46/100)-0.0064603*(H46/100)^2)))</f>
        <v>4.1253457322630319E-2</v>
      </c>
      <c r="V46" s="9">
        <f>(EXP(-64.8539+100.252*(100/H46)+25.2049*LN(H46/100)+(-0.062544+0.035337*(H46/100)-0.0054699*(H46/100)^2)*G46))</f>
        <v>3.7245226307649038E-2</v>
      </c>
      <c r="W46" s="9">
        <f>(EXP(-68.8862+101.4956*(100/H46)+28.7314*LN(H46/100)+G46*(-0.076146+0.04397*(H46/100)-0.0068672*(H46/100)^2)))</f>
        <v>4.1164741493581479E-2</v>
      </c>
      <c r="X46">
        <f>N46*(AZ46-S46)</f>
        <v>143.90194055020834</v>
      </c>
      <c r="Y46">
        <f>O46*(AZ46-S46)</f>
        <v>37.374654608305086</v>
      </c>
      <c r="Z46">
        <f>((Y46/10^6)*AZ46)/(0.082056*H46)</f>
        <v>1.4631416138849166E-6</v>
      </c>
      <c r="AA46">
        <f>(((L46/10^6)*AZ46)/(0.082056*H46))</f>
        <v>1.0592877766092039E-7</v>
      </c>
      <c r="AB46">
        <f>((Y46/10^6)*U46*1)/(0.082056*H46)</f>
        <v>6.587210524881972E-8</v>
      </c>
      <c r="AC46">
        <f>(Z46*(Q46/1000))+(AB46*(R46/1000))</f>
        <v>1.6288269681674948E-7</v>
      </c>
      <c r="AD46" s="39">
        <f>((AC46-(AA46*(Q46/1000)))/(R46/1000))*1000000</f>
        <v>0.13730435978692479</v>
      </c>
      <c r="AE46" s="39">
        <f>(AD46/((U46*AZ46*1))*(0.0821*273.15))</f>
        <v>81.45601656751542</v>
      </c>
      <c r="AF46" s="39">
        <f>L46*U46*AZ46*1/(0.0821*273.15)</f>
        <v>4.5610616847806115E-3</v>
      </c>
      <c r="AG46" s="39">
        <f>AD46-AF46</f>
        <v>0.13274329810214419</v>
      </c>
      <c r="AH46" s="42">
        <f>P46*(AZ46-S46)</f>
        <v>0.32666839626738881</v>
      </c>
      <c r="AI46">
        <f>(((X46/10^6)*(Q46/1000))/(0.082056*H46))</f>
        <v>3.6887727869701773E-7</v>
      </c>
      <c r="AJ46">
        <f>(((K46/10^6)*AZ46)*(Q46/1000))/(0.082056*H46)</f>
        <v>1.1151565484045405E-6</v>
      </c>
      <c r="AK46">
        <f>(X46/10^6)*T46*(R46/1000)</f>
        <v>8.1946199126607633E-6</v>
      </c>
      <c r="AL46">
        <f>AI46+AK46</f>
        <v>8.5634971913577807E-6</v>
      </c>
      <c r="AM46" s="39">
        <f>((AL46-AJ46)/(R46/1000))*1000000</f>
        <v>6.533632142941439</v>
      </c>
      <c r="AN46" s="39">
        <f>AM46/(T46*AZ46)</f>
        <v>142.74213760778235</v>
      </c>
      <c r="AO46" s="39">
        <f>(K46*AZ46)*T46</f>
        <v>21.730909193053339</v>
      </c>
      <c r="AP46" s="39">
        <f>AM46-AO46</f>
        <v>-15.1972770501119</v>
      </c>
      <c r="AQ46">
        <f>(((AH46/10^6)*(Q46/1000))/(0.082056*H46))</f>
        <v>8.3737959745852048E-10</v>
      </c>
      <c r="AR46">
        <f>(((M46/10^6)*AZ46)*(Q46/1000))/(0.082056*H46)</f>
        <v>7.9463926887511265E-10</v>
      </c>
      <c r="AS46">
        <f>(AH46/10^6)*V46*(R46/1000)</f>
        <v>1.3870195715050664E-8</v>
      </c>
      <c r="AT46">
        <f>AQ46+AS46</f>
        <v>1.4707575312509185E-8</v>
      </c>
      <c r="AU46" s="39">
        <f>((AT46-AR46)/(R46/1000))*1000000000</f>
        <v>12.204329862836907</v>
      </c>
      <c r="AV46" s="39">
        <f>(AU46/1000)/(V46*AZ46)</f>
        <v>0.3576005266862628</v>
      </c>
      <c r="AW46" s="39">
        <f>(M46*AZ46)*V46*1000</f>
        <v>11.545836031300855</v>
      </c>
      <c r="AX46" s="39">
        <f>AU46-AW46</f>
        <v>0.65849383153605245</v>
      </c>
      <c r="AY46" s="26">
        <f>VLOOKUP($E46,Water!$C$2:$G$90, 5, FALSE)</f>
        <v>696.4</v>
      </c>
      <c r="AZ46">
        <f>AY46/760</f>
        <v>0.91631578947368419</v>
      </c>
      <c r="BA46" s="3">
        <f>Assumptions!$B$3</f>
        <v>406.07</v>
      </c>
      <c r="BB46" s="3">
        <f>BA46*AZ46*T46</f>
        <v>18.586747044340054</v>
      </c>
      <c r="BC46" s="3">
        <f>Assumptions!$B$4</f>
        <v>1.8474300000000001</v>
      </c>
      <c r="BD46" s="45">
        <f>BC46*AZ46*U46*1/(0.0821*273.15)</f>
        <v>3.1140755967474835E-3</v>
      </c>
      <c r="BE46" s="3">
        <f>Assumptions!$B$2</f>
        <v>0.33054499999999998</v>
      </c>
      <c r="BF46" s="44">
        <f>BE46*AZ46*V46*1000</f>
        <v>11.280968324889201</v>
      </c>
      <c r="BG46">
        <f>1923.6+(-125.06*F46)+(4.3773*(F46^2))+(-0.085681*(F46^3))+(0.00070284*(F46^4))</f>
        <v>914.53137455120395</v>
      </c>
      <c r="BH46">
        <f>1909.4+(-120.78*F46)+(4.1555*(F46^2))+(-0.080578*(F46^3))+(0.00065777*(F46^4))</f>
        <v>927.71979685753718</v>
      </c>
      <c r="BI46">
        <f>2141.2+(-152.56*F46)+(5.8963*(F46^2))+(-0.12411*(F46^3))+(0.0010655*(F46^4))</f>
        <v>961.47278606055011</v>
      </c>
      <c r="BJ46" s="25">
        <f>VLOOKUP(E46,Wind!$C$2:$E$109,3, FALSE)</f>
        <v>3.7222222222222223</v>
      </c>
      <c r="BK46" s="44">
        <v>1.66</v>
      </c>
      <c r="BL46">
        <f>BK46/(1-(((1.3*10^-3)^0.5)/0.41)*LN(10/1.5))</f>
        <v>1.9923982880693825</v>
      </c>
      <c r="BM46">
        <f>BK46*1.22</f>
        <v>2.0251999999999999</v>
      </c>
      <c r="BN46">
        <f>2.07+0.215*(BM46^1.7)*(24/100)</f>
        <v>2.241255750541113</v>
      </c>
      <c r="BO46">
        <f>BN46*((600/BG46)^0.67)</f>
        <v>1.689855954661869</v>
      </c>
      <c r="BP46">
        <f>BN46*((600/BH46)^0.67)</f>
        <v>1.6737226077965606</v>
      </c>
      <c r="BQ46">
        <f>BN46*((600/BI46)^0.67)</f>
        <v>1.6341238445653712</v>
      </c>
      <c r="BR46" s="39">
        <f>BO46*(AM46-BB46)</f>
        <v>-20.368027988352157</v>
      </c>
      <c r="BS46" s="39">
        <f>BP46*(AD46-BD46)</f>
        <v>0.22459731239574515</v>
      </c>
      <c r="BT46" s="39">
        <f>BQ46*(AU46-BF46)</f>
        <v>1.508887106314899</v>
      </c>
      <c r="BU46">
        <f>(2.51+1.48*BM46)+(0.39*BM46*LOG10(0.0015))</f>
        <v>3.2768938069574309</v>
      </c>
      <c r="BV46">
        <f>BU46*((600/$BG46)^0.67)</f>
        <v>2.4707035380253615</v>
      </c>
      <c r="BW46">
        <f>BU46*((600/$BH46)^0.67)</f>
        <v>2.4471153043239373</v>
      </c>
      <c r="BX46">
        <f>BU46*((600/$BI46)^0.67)</f>
        <v>2.3892187693282638</v>
      </c>
      <c r="BY46" s="39">
        <f>BV46*($AM46-$BB46)</f>
        <v>-29.779673631111763</v>
      </c>
      <c r="BZ46" s="39">
        <f>BW46*($AD46-$BD46)</f>
        <v>0.32837909813336136</v>
      </c>
      <c r="CA46" s="39">
        <f>BX46*($AU46-$BF46)</f>
        <v>2.2061127173404707</v>
      </c>
      <c r="CB46" s="42">
        <f>AVERAGE(0.72,0.69,0.4,0.22)</f>
        <v>0.50750000000000006</v>
      </c>
      <c r="CC46">
        <f>CB46*((600/$BG46)^0.67)</f>
        <v>0.38264347867656123</v>
      </c>
      <c r="CD46">
        <f>CB46*((600/$BH46)^0.67)</f>
        <v>0.37899031525147364</v>
      </c>
      <c r="CE46">
        <f>CB46*((600/$BI46)^0.67)</f>
        <v>0.37002374714117359</v>
      </c>
      <c r="CF46" s="39">
        <f>CC46*($AM46-$BB46)</f>
        <v>-4.6120458147594636</v>
      </c>
      <c r="CG46" s="39">
        <f>CD46*($AD46-$BD46)</f>
        <v>5.0856818108920142E-2</v>
      </c>
      <c r="CH46" s="39">
        <f>CE46*($AU46-$BF46)</f>
        <v>0.34166569623744708</v>
      </c>
      <c r="CI46">
        <v>0.86263901889527161</v>
      </c>
      <c r="CJ46">
        <f>((BG46/BH46)^0.67)*CI46</f>
        <v>0.85440325508771597</v>
      </c>
      <c r="CK46">
        <f>((BH46/BH46)^0.67)*CI46</f>
        <v>0.86263901889527161</v>
      </c>
      <c r="CL46">
        <f>((BI46/BH46)^0.67)*CI46</f>
        <v>0.88354284352081858</v>
      </c>
      <c r="CM46" s="39">
        <f>CJ46*($AM46-$BB46)</f>
        <v>-10.298220605701232</v>
      </c>
      <c r="CN46" s="39">
        <f>CK46*($AD46-$BD46)</f>
        <v>0.11575777509909223</v>
      </c>
      <c r="CO46" s="39">
        <f>CL46*($AU46-$BF46)</f>
        <v>0.81582947883607226</v>
      </c>
      <c r="CP46" s="27">
        <f>VLOOKUP(A46,Water!$A$2:$E$109, 5, FALSE)/1000</f>
        <v>2.0999999999999998E-4</v>
      </c>
      <c r="CQ46">
        <f>0.64*CP46</f>
        <v>1.3439999999999999E-4</v>
      </c>
      <c r="CR46" s="19">
        <f>CQ46*1000*(2.5*10^-5)</f>
        <v>3.36E-6</v>
      </c>
      <c r="CS46" s="18">
        <f>(-0.0000009*F46^3)+(0.0002*F46^2)-(0.0134*F46)+6.579</f>
        <v>6.4445475950999995</v>
      </c>
      <c r="CT46" s="18">
        <f>CS46-(SQRT(CP46))/(1+1.4*SQRT(CP46))</f>
        <v>6.4303443723073084</v>
      </c>
      <c r="CU46" s="18">
        <f>10^(-CT46)</f>
        <v>3.7124073829546908E-7</v>
      </c>
      <c r="CV46" s="18">
        <f>(0.000001*F46^3)+(0.00006*F46^2)-(0.014*F46)+10.625</f>
        <v>10.466156161000001</v>
      </c>
      <c r="CW46" s="18">
        <f>CV46-(2*SQRT(CR46))/(1+1.4*SQRT(CR46))</f>
        <v>10.462499484362626</v>
      </c>
      <c r="CX46" s="18">
        <f>10^(-CW46)</f>
        <v>3.4474701589066881E-11</v>
      </c>
      <c r="CY46">
        <f>EXP(1246.98+-61900/H46-183*LN(H46))</f>
        <v>1.0167029334900291E-2</v>
      </c>
      <c r="CZ46">
        <f>12.225*(F46^2)+15.258*F46+1125.7</f>
        <v>3100.1840499999998</v>
      </c>
      <c r="DA46" s="15">
        <f>10^(-4470.99/H46+6.0875-0.01706*H46)</f>
        <v>3.5253306381053181E-15</v>
      </c>
      <c r="DB46">
        <f>(10^-I46)</f>
        <v>2.6302679918953798E-10</v>
      </c>
      <c r="DC46">
        <f>DB46^2</f>
        <v>6.9183097091893543E-20</v>
      </c>
      <c r="DD46" s="20">
        <f>((14.6836*10^-9)*((H46/217.2056)-1)^1.997)*100*100</f>
        <v>1.446064028172755E-5</v>
      </c>
      <c r="DE46">
        <f>CY46+CZ46*DA46/DB46</f>
        <v>5.1718589285849735E-2</v>
      </c>
      <c r="DF46">
        <f>1+DC46*(CU46*CX46+CU46*DB46)^-1</f>
        <v>1.0006264049938913</v>
      </c>
      <c r="DG46">
        <f>(DE46*DF46/DD46)^0.5</f>
        <v>59.822637035710684</v>
      </c>
      <c r="DH46">
        <f>DD46/(BO46/60/60)</f>
        <v>3.0806356524414984E-2</v>
      </c>
      <c r="DI46" s="16">
        <f>DF46/((DF46-1)+TANH(DG46*DH46)/(DG46*DH46))</f>
        <v>1.9365848288606262</v>
      </c>
      <c r="DJ46">
        <f>$DI46*BR46</f>
        <v>-39.444413996051409</v>
      </c>
      <c r="DK46">
        <f>$DI46*BY46</f>
        <v>-57.670864162431876</v>
      </c>
      <c r="DL46">
        <f>$DI46*CF46</f>
        <v>-8.9316179548733228</v>
      </c>
      <c r="DM46">
        <f>$DI46*CM46</f>
        <v>-19.943377789260897</v>
      </c>
    </row>
    <row r="47" spans="1:117" ht="15.75" x14ac:dyDescent="0.25">
      <c r="A47" s="52" t="s">
        <v>333</v>
      </c>
      <c r="B47" s="55" t="s">
        <v>340</v>
      </c>
      <c r="C47" t="s">
        <v>184</v>
      </c>
      <c r="D47" s="57">
        <v>43223</v>
      </c>
      <c r="E47" s="42" t="str">
        <f>A47&amp;D47</f>
        <v>61C43223</v>
      </c>
      <c r="F47" s="3">
        <f>VLOOKUP($E47,Water!$C$2:$E$90, 2, FALSE)</f>
        <v>12.1</v>
      </c>
      <c r="G47" s="3">
        <f>VLOOKUP($E47,Water!$C$2:$E$90, 3, FALSE)</f>
        <v>0.21</v>
      </c>
      <c r="H47" s="1">
        <f>F47+273.15</f>
        <v>285.25</v>
      </c>
      <c r="I47" s="3">
        <f>VLOOKUP($E47,Water!$C$2:$F$90, 4, FALSE)</f>
        <v>9.58</v>
      </c>
      <c r="J47">
        <f>10^(I47*-1)</f>
        <v>2.6302679918953798E-10</v>
      </c>
      <c r="K47" s="25">
        <f>VLOOKUP($E47,Atm!$D$2:$G$45, 2, FALSE)</f>
        <v>474.7614133324256</v>
      </c>
      <c r="L47" s="25">
        <f>VLOOKUP($E47,Atm!$D$2:$G$45, 3, FALSE)</f>
        <v>2.7058566584302222</v>
      </c>
      <c r="M47" s="25">
        <f>VLOOKUP($E47,Atm!$D$2:$G$45, 4, FALSE)</f>
        <v>0.3383059202946414</v>
      </c>
      <c r="N47" s="21">
        <f>VLOOKUP($C47,Raw!$B$2:$F$353, 3, FALSE)</f>
        <v>108.8007015647057</v>
      </c>
      <c r="O47" s="21">
        <f>VLOOKUP($C47,Raw!$B$2:$F$353, 4, FALSE)</f>
        <v>40.517401222583082</v>
      </c>
      <c r="P47" s="21">
        <f>VLOOKUP($C47,Raw!$B$2:$F$353, 5, FALSE)</f>
        <v>0.39672945289004968</v>
      </c>
      <c r="Q47" s="14">
        <v>60</v>
      </c>
      <c r="R47" s="25">
        <v>1140</v>
      </c>
      <c r="S47">
        <f>EXP(24.4543-(100/H47*(67.4509))-(4.8489*LN(H47/100))-(0.000544*G47))</f>
        <v>1.3916904757140601E-2</v>
      </c>
      <c r="T47" s="8">
        <f>EXP(-58.0931+90.5069*(100/H47)+22.294*LN(H47/100)+G47*(0.027766-0.025888*(H47/100)+0.0050578*(H47/100)^2))</f>
        <v>4.9952509700682872E-2</v>
      </c>
      <c r="U47" s="9">
        <f>(EXP(-67.1962+99.1624*(100/H47)+27.9015*LN(H47/100)+G47*(-0.072909+0.041674*(H47/100)-0.0064603*(H47/100)^2)))</f>
        <v>4.1253457322630319E-2</v>
      </c>
      <c r="V47" s="9">
        <f>(EXP(-64.8539+100.252*(100/H47)+25.2049*LN(H47/100)+(-0.062544+0.035337*(H47/100)-0.0054699*(H47/100)^2)*G47))</f>
        <v>3.7245226307649038E-2</v>
      </c>
      <c r="W47" s="9">
        <f>(EXP(-68.8862+101.4956*(100/H47)+28.7314*LN(H47/100)+G47*(-0.076146+0.04397*(H47/100)-0.0068672*(H47/100)^2)))</f>
        <v>4.1164741493581479E-2</v>
      </c>
      <c r="X47">
        <f>N47*(AZ47-S47)</f>
        <v>98.181631748367934</v>
      </c>
      <c r="Y47">
        <f>O47*(AZ47-S47)</f>
        <v>36.562857674871694</v>
      </c>
      <c r="Z47">
        <f>((Y47/10^6)*AZ47)/(0.082056*H47)</f>
        <v>1.4313614171773163E-6</v>
      </c>
      <c r="AA47">
        <f>(((L47/10^6)*AZ47)/(0.082056*H47))</f>
        <v>1.0592877766092039E-7</v>
      </c>
      <c r="AB47">
        <f>((Y47/10^6)*U47*1)/(0.082056*H47)</f>
        <v>6.4441328868403059E-8</v>
      </c>
      <c r="AC47">
        <f>(Z47*(Q47/1000))+(AB47*(R47/1000))</f>
        <v>1.5934479994061846E-7</v>
      </c>
      <c r="AD47" s="39">
        <f>((AC47-(AA47*(Q47/1000)))/(R47/1000))*1000000</f>
        <v>0.13420094147452916</v>
      </c>
      <c r="AE47" s="39">
        <f>(AD47/((U47*AZ47*1))*(0.0821*273.15))</f>
        <v>79.614909017378451</v>
      </c>
      <c r="AF47" s="39">
        <f>L47*U47*AZ47*1/(0.0821*273.15)</f>
        <v>4.5610616847806115E-3</v>
      </c>
      <c r="AG47" s="39">
        <f>AD47-AF47</f>
        <v>0.12963987978974856</v>
      </c>
      <c r="AH47" s="42">
        <f>P47*(AZ47-S47)</f>
        <v>0.35800821582218534</v>
      </c>
      <c r="AI47">
        <f>(((X47/10^6)*(Q47/1000))/(0.082056*H47))</f>
        <v>2.5167814276093334E-7</v>
      </c>
      <c r="AJ47">
        <f>(((K47/10^6)*AZ47)*(Q47/1000))/(0.082056*H47)</f>
        <v>1.1151565484045405E-6</v>
      </c>
      <c r="AK47">
        <f>(X47/10^6)*T47*(R47/1000)</f>
        <v>5.5910375600667125E-6</v>
      </c>
      <c r="AL47">
        <f>AI47+AK47</f>
        <v>5.8427157028276456E-6</v>
      </c>
      <c r="AM47" s="39">
        <f>((AL47-AJ47)/(R47/1000))*1000000</f>
        <v>4.1469817144062322</v>
      </c>
      <c r="AN47" s="39">
        <f>AM47/(T47*AZ47)</f>
        <v>90.600300351197347</v>
      </c>
      <c r="AO47" s="39">
        <f>(K47*AZ47)*T47</f>
        <v>21.730909193053339</v>
      </c>
      <c r="AP47" s="39">
        <f>AM47-AO47</f>
        <v>-17.583927478647105</v>
      </c>
      <c r="AQ47">
        <f>(((AH47/10^6)*(Q47/1000))/(0.082056*H47))</f>
        <v>9.177158827652178E-10</v>
      </c>
      <c r="AR47">
        <f>(((M47/10^6)*AZ47)*(Q47/1000))/(0.082056*H47)</f>
        <v>7.9463926887511265E-10</v>
      </c>
      <c r="AS47">
        <f>(AH47/10^6)*V47*(R47/1000)</f>
        <v>1.5200870600856244E-8</v>
      </c>
      <c r="AT47">
        <f>AQ47+AS47</f>
        <v>1.6118586483621462E-8</v>
      </c>
      <c r="AU47" s="39">
        <f>((AT47-AR47)/(R47/1000))*1000000000</f>
        <v>13.442058960303816</v>
      </c>
      <c r="AV47" s="39">
        <f>(AU47/1000)/(V47*AZ47)</f>
        <v>0.39386737477407691</v>
      </c>
      <c r="AW47" s="39">
        <f>(M47*AZ47)*V47*1000</f>
        <v>11.545836031300855</v>
      </c>
      <c r="AX47" s="39">
        <f>AU47-AW47</f>
        <v>1.8962229290029615</v>
      </c>
      <c r="AY47" s="26">
        <f>VLOOKUP($E47,Water!$C$2:$G$90, 5, FALSE)</f>
        <v>696.4</v>
      </c>
      <c r="AZ47">
        <f>AY47/760</f>
        <v>0.91631578947368419</v>
      </c>
      <c r="BA47" s="3">
        <f>Assumptions!$B$3</f>
        <v>406.07</v>
      </c>
      <c r="BB47" s="3">
        <f>BA47*AZ47*T47</f>
        <v>18.586747044340054</v>
      </c>
      <c r="BC47" s="3">
        <f>Assumptions!$B$4</f>
        <v>1.8474300000000001</v>
      </c>
      <c r="BD47" s="45">
        <f>BC47*AZ47*U47*1/(0.0821*273.15)</f>
        <v>3.1140755967474835E-3</v>
      </c>
      <c r="BE47" s="3">
        <f>Assumptions!$B$2</f>
        <v>0.33054499999999998</v>
      </c>
      <c r="BF47" s="44">
        <f>BE47*AZ47*V47*1000</f>
        <v>11.280968324889201</v>
      </c>
      <c r="BG47">
        <f>1923.6+(-125.06*F47)+(4.3773*(F47^2))+(-0.085681*(F47^3))+(0.00070284*(F47^4))</f>
        <v>914.53137455120395</v>
      </c>
      <c r="BH47">
        <f>1909.4+(-120.78*F47)+(4.1555*(F47^2))+(-0.080578*(F47^3))+(0.00065777*(F47^4))</f>
        <v>927.71979685753718</v>
      </c>
      <c r="BI47">
        <f>2141.2+(-152.56*F47)+(5.8963*(F47^2))+(-0.12411*(F47^3))+(0.0010655*(F47^4))</f>
        <v>961.47278606055011</v>
      </c>
      <c r="BJ47" s="25">
        <f>VLOOKUP(E47,Wind!$C$2:$E$109,3, FALSE)</f>
        <v>3.7222222222222223</v>
      </c>
      <c r="BK47" s="44">
        <v>1.66</v>
      </c>
      <c r="BL47">
        <f>BK47/(1-(((1.3*10^-3)^0.5)/0.41)*LN(10/1.5))</f>
        <v>1.9923982880693825</v>
      </c>
      <c r="BM47">
        <f>BK47*1.22</f>
        <v>2.0251999999999999</v>
      </c>
      <c r="BN47">
        <f>2.07+0.215*(BM47^1.7)*(24/100)</f>
        <v>2.241255750541113</v>
      </c>
      <c r="BO47">
        <f>BN47*((600/BG47)^0.67)</f>
        <v>1.689855954661869</v>
      </c>
      <c r="BP47">
        <f>BN47*((600/BH47)^0.67)</f>
        <v>1.6737226077965606</v>
      </c>
      <c r="BQ47">
        <f>BN47*((600/BI47)^0.67)</f>
        <v>1.6341238445653712</v>
      </c>
      <c r="BR47" s="39">
        <f>BO47*(AM47-BB47)</f>
        <v>-24.401123426708676</v>
      </c>
      <c r="BS47" s="39">
        <f>BP47*(AD47-BD47)</f>
        <v>0.21940305100483873</v>
      </c>
      <c r="BT47" s="39">
        <f>BQ47*(AU47-BF47)</f>
        <v>3.5314897375979513</v>
      </c>
      <c r="BU47">
        <f>(2.51+1.48*BM47)+(0.39*BM47*LOG10(0.0015))</f>
        <v>3.2768938069574309</v>
      </c>
      <c r="BV47">
        <f>BU47*((600/$BG47)^0.67)</f>
        <v>2.4707035380253615</v>
      </c>
      <c r="BW47">
        <f>BU47*((600/$BH47)^0.67)</f>
        <v>2.4471153043239373</v>
      </c>
      <c r="BX47">
        <f>BU47*((600/$BI47)^0.67)</f>
        <v>2.3892187693282638</v>
      </c>
      <c r="BY47" s="39">
        <f>BV47*($AM47-$BB47)</f>
        <v>-35.676379288923442</v>
      </c>
      <c r="BZ47" s="39">
        <f>BW47*($AD47-$BD47)</f>
        <v>0.32078467568537888</v>
      </c>
      <c r="CA47" s="39">
        <f>BX47*($AU47-$BF47)</f>
        <v>5.1633183083521415</v>
      </c>
      <c r="CB47" s="42">
        <f>AVERAGE(0.72,0.69,0.4,0.22)</f>
        <v>0.50750000000000006</v>
      </c>
      <c r="CC47">
        <f>CB47*((600/$BG47)^0.67)</f>
        <v>0.38264347867656123</v>
      </c>
      <c r="CD47">
        <f>CB47*((600/$BH47)^0.67)</f>
        <v>0.37899031525147364</v>
      </c>
      <c r="CE47">
        <f>CB47*((600/$BI47)^0.67)</f>
        <v>0.37002374714117359</v>
      </c>
      <c r="CF47" s="39">
        <f>CC47*($AM47-$BB47)</f>
        <v>-5.5252820371190809</v>
      </c>
      <c r="CG47" s="39">
        <f>CD47*($AD47-$BD47)</f>
        <v>4.9680652624348121E-2</v>
      </c>
      <c r="CH47" s="39">
        <f>CE47*($AU47-$BF47)</f>
        <v>0.79965485482781562</v>
      </c>
      <c r="CI47">
        <v>0.86263901889527161</v>
      </c>
      <c r="CJ47">
        <f>((BG47/BH47)^0.67)*CI47</f>
        <v>0.85440325508771597</v>
      </c>
      <c r="CK47">
        <f>((BH47/BH47)^0.67)*CI47</f>
        <v>0.86263901889527161</v>
      </c>
      <c r="CL47">
        <f>((BI47/BH47)^0.67)*CI47</f>
        <v>0.88354284352081858</v>
      </c>
      <c r="CM47" s="39">
        <f>CJ47*($AM47-$BB47)</f>
        <v>-12.337382500598205</v>
      </c>
      <c r="CN47" s="39">
        <f>CK47*($AD47-$BD47)</f>
        <v>0.11308064537086565</v>
      </c>
      <c r="CO47" s="39">
        <f>CL47*($AU47-$BF47)</f>
        <v>1.9094161651204415</v>
      </c>
      <c r="CP47" s="27">
        <f>VLOOKUP(A47,Water!$A$2:$E$109, 5, FALSE)/1000</f>
        <v>2.0999999999999998E-4</v>
      </c>
      <c r="CQ47">
        <f>0.64*CP47</f>
        <v>1.3439999999999999E-4</v>
      </c>
      <c r="CR47" s="19">
        <f>CQ47*1000*(2.5*10^-5)</f>
        <v>3.36E-6</v>
      </c>
      <c r="CS47" s="18">
        <f>(-0.0000009*F47^3)+(0.0002*F47^2)-(0.0134*F47)+6.579</f>
        <v>6.4445475950999995</v>
      </c>
      <c r="CT47" s="18">
        <f>CS47-(SQRT(CP47))/(1+1.4*SQRT(CP47))</f>
        <v>6.4303443723073084</v>
      </c>
      <c r="CU47" s="18">
        <f>10^(-CT47)</f>
        <v>3.7124073829546908E-7</v>
      </c>
      <c r="CV47" s="18">
        <f>(0.000001*F47^3)+(0.00006*F47^2)-(0.014*F47)+10.625</f>
        <v>10.466156161000001</v>
      </c>
      <c r="CW47" s="18">
        <f>CV47-(2*SQRT(CR47))/(1+1.4*SQRT(CR47))</f>
        <v>10.462499484362626</v>
      </c>
      <c r="CX47" s="18">
        <f>10^(-CW47)</f>
        <v>3.4474701589066881E-11</v>
      </c>
      <c r="CY47">
        <f>EXP(1246.98+-61900/H47-183*LN(H47))</f>
        <v>1.0167029334900291E-2</v>
      </c>
      <c r="CZ47">
        <f>12.225*(F47^2)+15.258*F47+1125.7</f>
        <v>3100.1840499999998</v>
      </c>
      <c r="DA47" s="15">
        <f>10^(-4470.99/H47+6.0875-0.01706*H47)</f>
        <v>3.5253306381053181E-15</v>
      </c>
      <c r="DB47">
        <f>(10^-I47)</f>
        <v>2.6302679918953798E-10</v>
      </c>
      <c r="DC47">
        <f>DB47^2</f>
        <v>6.9183097091893543E-20</v>
      </c>
      <c r="DD47" s="20">
        <f>((14.6836*10^-9)*((H47/217.2056)-1)^1.997)*100*100</f>
        <v>1.446064028172755E-5</v>
      </c>
      <c r="DE47">
        <f>CY47+CZ47*DA47/DB47</f>
        <v>5.1718589285849735E-2</v>
      </c>
      <c r="DF47">
        <f>1+DC47*(CU47*CX47+CU47*DB47)^-1</f>
        <v>1.0006264049938913</v>
      </c>
      <c r="DG47">
        <f>(DE47*DF47/DD47)^0.5</f>
        <v>59.822637035710684</v>
      </c>
      <c r="DH47">
        <f>DD47/(BO47/60/60)</f>
        <v>3.0806356524414984E-2</v>
      </c>
      <c r="DI47" s="16">
        <f>DF47/((DF47-1)+TANH(DG47*DH47)/(DG47*DH47))</f>
        <v>1.9365848288606262</v>
      </c>
      <c r="DJ47">
        <f>$DI47*BR47</f>
        <v>-47.254845435319638</v>
      </c>
      <c r="DK47">
        <f>$DI47*BY47</f>
        <v>-69.090334879606601</v>
      </c>
      <c r="DL47">
        <f>$DI47*CF47</f>
        <v>-10.700177368260947</v>
      </c>
      <c r="DM47">
        <f>$DI47*CM47</f>
        <v>-23.892387778509057</v>
      </c>
    </row>
    <row r="48" spans="1:117" ht="15.75" x14ac:dyDescent="0.25">
      <c r="A48" s="52" t="s">
        <v>333</v>
      </c>
      <c r="B48" s="55" t="s">
        <v>341</v>
      </c>
      <c r="C48" t="s">
        <v>185</v>
      </c>
      <c r="D48" s="57">
        <v>43223</v>
      </c>
      <c r="E48" s="42" t="str">
        <f>A48&amp;D48</f>
        <v>61C43223</v>
      </c>
      <c r="F48" s="3">
        <f>VLOOKUP($E48,Water!$C$2:$E$90, 2, FALSE)</f>
        <v>12.1</v>
      </c>
      <c r="G48" s="3">
        <f>VLOOKUP($E48,Water!$C$2:$E$90, 3, FALSE)</f>
        <v>0.21</v>
      </c>
      <c r="H48" s="1">
        <f>F48+273.15</f>
        <v>285.25</v>
      </c>
      <c r="I48" s="3">
        <f>VLOOKUP($E48,Water!$C$2:$F$90, 4, FALSE)</f>
        <v>9.58</v>
      </c>
      <c r="J48">
        <f>10^(I48*-1)</f>
        <v>2.6302679918953798E-10</v>
      </c>
      <c r="K48" s="25">
        <f>VLOOKUP($E48,Atm!$D$2:$G$45, 2, FALSE)</f>
        <v>474.7614133324256</v>
      </c>
      <c r="L48" s="25">
        <f>VLOOKUP($E48,Atm!$D$2:$G$45, 3, FALSE)</f>
        <v>2.7058566584302222</v>
      </c>
      <c r="M48" s="25">
        <f>VLOOKUP($E48,Atm!$D$2:$G$45, 4, FALSE)</f>
        <v>0.3383059202946414</v>
      </c>
      <c r="N48" s="21">
        <f>VLOOKUP($C48,Raw!$B$2:$F$353, 3, FALSE)</f>
        <v>116.1695300285174</v>
      </c>
      <c r="O48" s="21">
        <f>VLOOKUP($C48,Raw!$B$2:$F$353, 4, FALSE)</f>
        <v>42.341357957820328</v>
      </c>
      <c r="P48" s="21">
        <f>VLOOKUP($C48,Raw!$B$2:$F$353, 5, FALSE)</f>
        <v>0.39763077473415215</v>
      </c>
      <c r="Q48" s="14">
        <v>60</v>
      </c>
      <c r="R48" s="25">
        <v>1140</v>
      </c>
      <c r="S48">
        <f>EXP(24.4543-(100/H48*(67.4509))-(4.8489*LN(H48/100))-(0.000544*G48))</f>
        <v>1.3916904757140601E-2</v>
      </c>
      <c r="T48" s="8">
        <f>EXP(-58.0931+90.5069*(100/H48)+22.294*LN(H48/100)+G48*(0.027766-0.025888*(H48/100)+0.0050578*(H48/100)^2))</f>
        <v>4.9952509700682872E-2</v>
      </c>
      <c r="U48" s="9">
        <f>(EXP(-67.1962+99.1624*(100/H48)+27.9015*LN(H48/100)+G48*(-0.072909+0.041674*(H48/100)-0.0064603*(H48/100)^2)))</f>
        <v>4.1253457322630319E-2</v>
      </c>
      <c r="V48" s="9">
        <f>(EXP(-64.8539+100.252*(100/H48)+25.2049*LN(H48/100)+(-0.062544+0.035337*(H48/100)-0.0054699*(H48/100)^2)*G48))</f>
        <v>3.7245226307649038E-2</v>
      </c>
      <c r="W48" s="9">
        <f>(EXP(-68.8862+101.4956*(100/H48)+28.7314*LN(H48/100)+G48*(-0.076146+0.04397*(H48/100)-0.0068672*(H48/100)^2)))</f>
        <v>4.1164741493581479E-2</v>
      </c>
      <c r="X48">
        <f>N48*(AZ48-S48)</f>
        <v>104.83125433577912</v>
      </c>
      <c r="Y48">
        <f>O48*(AZ48-S48)</f>
        <v>38.208794198521012</v>
      </c>
      <c r="Z48">
        <f>((Y48/10^6)*AZ48)/(0.082056*H48)</f>
        <v>1.4957964801044062E-6</v>
      </c>
      <c r="AA48">
        <f>(((L48/10^6)*AZ48)/(0.082056*H48))</f>
        <v>1.0592877766092039E-7</v>
      </c>
      <c r="AB48">
        <f>((Y48/10^6)*U48*1)/(0.082056*H48)</f>
        <v>6.7342260129306592E-8</v>
      </c>
      <c r="AC48">
        <f>(Z48*(Q48/1000))+(AB48*(R48/1000))</f>
        <v>1.6651796535367386E-7</v>
      </c>
      <c r="AD48" s="39">
        <f>((AC48-(AA48*(Q48/1000)))/(R48/1000))*1000000</f>
        <v>0.14049319183685846</v>
      </c>
      <c r="AE48" s="39">
        <f>(AD48/((U48*AZ48*1))*(0.0821*273.15))</f>
        <v>83.347795945049469</v>
      </c>
      <c r="AF48" s="39">
        <f>L48*U48*AZ48*1/(0.0821*273.15)</f>
        <v>4.5610616847806115E-3</v>
      </c>
      <c r="AG48" s="39">
        <f>AD48-AF48</f>
        <v>0.13593213015207786</v>
      </c>
      <c r="AH48" s="42">
        <f>P48*(AZ48-S48)</f>
        <v>0.35882156764907408</v>
      </c>
      <c r="AI48">
        <f>(((X48/10^6)*(Q48/1000))/(0.082056*H48))</f>
        <v>2.6872374113874416E-7</v>
      </c>
      <c r="AJ48">
        <f>(((K48/10^6)*AZ48)*(Q48/1000))/(0.082056*H48)</f>
        <v>1.1151565484045405E-6</v>
      </c>
      <c r="AK48">
        <f>(X48/10^6)*T48*(R48/1000)</f>
        <v>5.9697060440227455E-6</v>
      </c>
      <c r="AL48">
        <f>AI48+AK48</f>
        <v>6.2384297851614896E-6</v>
      </c>
      <c r="AM48" s="39">
        <f>((AL48-AJ48)/(R48/1000))*1000000</f>
        <v>4.4940993304885524</v>
      </c>
      <c r="AN48" s="39">
        <f>AM48/(T48*AZ48)</f>
        <v>98.18387858714641</v>
      </c>
      <c r="AO48" s="39">
        <f>(K48*AZ48)*T48</f>
        <v>21.730909193053339</v>
      </c>
      <c r="AP48" s="39">
        <f>AM48-AO48</f>
        <v>-17.236809862564787</v>
      </c>
      <c r="AQ48">
        <f>(((AH48/10^6)*(Q48/1000))/(0.082056*H48))</f>
        <v>9.1980082343647502E-10</v>
      </c>
      <c r="AR48">
        <f>(((M48/10^6)*AZ48)*(Q48/1000))/(0.082056*H48)</f>
        <v>7.9463926887511265E-10</v>
      </c>
      <c r="AS48">
        <f>(AH48/10^6)*V48*(R48/1000)</f>
        <v>1.5235405159916886E-8</v>
      </c>
      <c r="AT48">
        <f>AQ48+AS48</f>
        <v>1.6155205983353362E-8</v>
      </c>
      <c r="AU48" s="39">
        <f>((AT48-AR48)/(R48/1000))*1000000000</f>
        <v>13.474181328489692</v>
      </c>
      <c r="AV48" s="39">
        <f>(AU48/1000)/(V48*AZ48)</f>
        <v>0.39480859612017127</v>
      </c>
      <c r="AW48" s="39">
        <f>(M48*AZ48)*V48*1000</f>
        <v>11.545836031300855</v>
      </c>
      <c r="AX48" s="39">
        <f>AU48-AW48</f>
        <v>1.9283452971888373</v>
      </c>
      <c r="AY48" s="26">
        <f>VLOOKUP($E48,Water!$C$2:$G$90, 5, FALSE)</f>
        <v>696.4</v>
      </c>
      <c r="AZ48">
        <f>AY48/760</f>
        <v>0.91631578947368419</v>
      </c>
      <c r="BA48" s="3">
        <f>Assumptions!$B$3</f>
        <v>406.07</v>
      </c>
      <c r="BB48" s="3">
        <f>BA48*AZ48*T48</f>
        <v>18.586747044340054</v>
      </c>
      <c r="BC48" s="3">
        <f>Assumptions!$B$4</f>
        <v>1.8474300000000001</v>
      </c>
      <c r="BD48" s="45">
        <f>BC48*AZ48*U48*1/(0.0821*273.15)</f>
        <v>3.1140755967474835E-3</v>
      </c>
      <c r="BE48" s="3">
        <f>Assumptions!$B$2</f>
        <v>0.33054499999999998</v>
      </c>
      <c r="BF48" s="44">
        <f>BE48*AZ48*V48*1000</f>
        <v>11.280968324889201</v>
      </c>
      <c r="BG48">
        <f>1923.6+(-125.06*F48)+(4.3773*(F48^2))+(-0.085681*(F48^3))+(0.00070284*(F48^4))</f>
        <v>914.53137455120395</v>
      </c>
      <c r="BH48">
        <f>1909.4+(-120.78*F48)+(4.1555*(F48^2))+(-0.080578*(F48^3))+(0.00065777*(F48^4))</f>
        <v>927.71979685753718</v>
      </c>
      <c r="BI48">
        <f>2141.2+(-152.56*F48)+(5.8963*(F48^2))+(-0.12411*(F48^3))+(0.0010655*(F48^4))</f>
        <v>961.47278606055011</v>
      </c>
      <c r="BJ48" s="25">
        <f>VLOOKUP(E48,Wind!$C$2:$E$109,3, FALSE)</f>
        <v>3.7222222222222223</v>
      </c>
      <c r="BK48" s="44">
        <v>1.66</v>
      </c>
      <c r="BL48">
        <f>BK48/(1-(((1.3*10^-3)^0.5)/0.41)*LN(10/1.5))</f>
        <v>1.9923982880693825</v>
      </c>
      <c r="BM48">
        <f>BK48*1.22</f>
        <v>2.0251999999999999</v>
      </c>
      <c r="BN48">
        <f>2.07+0.215*(BM48^1.7)*(24/100)</f>
        <v>2.241255750541113</v>
      </c>
      <c r="BO48">
        <f>BN48*((600/BG48)^0.67)</f>
        <v>1.689855954661869</v>
      </c>
      <c r="BP48">
        <f>BN48*((600/BH48)^0.67)</f>
        <v>1.6737226077965606</v>
      </c>
      <c r="BQ48">
        <f>BN48*((600/BI48)^0.67)</f>
        <v>1.6341238445653712</v>
      </c>
      <c r="BR48" s="39">
        <f>BO48*(AM48-BB48)</f>
        <v>-23.814544656203935</v>
      </c>
      <c r="BS48" s="39">
        <f>BP48*(AD48-BD48)</f>
        <v>0.22993453269018538</v>
      </c>
      <c r="BT48" s="39">
        <f>BQ48*(AU48-BF48)</f>
        <v>3.5839816653943992</v>
      </c>
      <c r="BU48">
        <f>(2.51+1.48*BM48)+(0.39*BM48*LOG10(0.0015))</f>
        <v>3.2768938069574309</v>
      </c>
      <c r="BV48">
        <f>BU48*((600/$BG48)^0.67)</f>
        <v>2.4707035380253615</v>
      </c>
      <c r="BW48">
        <f>BU48*((600/$BH48)^0.67)</f>
        <v>2.4471153043239373</v>
      </c>
      <c r="BX48">
        <f>BU48*((600/$BI48)^0.67)</f>
        <v>2.3892187693282638</v>
      </c>
      <c r="BY48" s="39">
        <f>BV48*($AM48-$BB48)</f>
        <v>-34.818754566757924</v>
      </c>
      <c r="BZ48" s="39">
        <f>BW48*($AD48-$BD48)</f>
        <v>0.33618253784567276</v>
      </c>
      <c r="CA48" s="39">
        <f>BX48*($AU48-$BF48)</f>
        <v>5.2400656733371092</v>
      </c>
      <c r="CB48" s="42">
        <f>AVERAGE(0.72,0.69,0.4,0.22)</f>
        <v>0.50750000000000006</v>
      </c>
      <c r="CC48">
        <f>CB48*((600/$BG48)^0.67)</f>
        <v>0.38264347867656123</v>
      </c>
      <c r="CD48">
        <f>CB48*((600/$BH48)^0.67)</f>
        <v>0.37899031525147364</v>
      </c>
      <c r="CE48">
        <f>CB48*((600/$BI48)^0.67)</f>
        <v>0.37002374714117359</v>
      </c>
      <c r="CF48" s="39">
        <f>CC48*($AM48-$BB48)</f>
        <v>-5.3924597449914264</v>
      </c>
      <c r="CG48" s="39">
        <f>CD48*($AD48-$BD48)</f>
        <v>5.2065354572808503E-2</v>
      </c>
      <c r="CH48" s="39">
        <f>CE48*($AU48-$BF48)</f>
        <v>0.81154089387100181</v>
      </c>
      <c r="CI48">
        <v>0.86263901889527161</v>
      </c>
      <c r="CJ48">
        <f>((BG48/BH48)^0.67)*CI48</f>
        <v>0.85440325508771597</v>
      </c>
      <c r="CK48">
        <f>((BH48/BH48)^0.67)*CI48</f>
        <v>0.86263901889527161</v>
      </c>
      <c r="CL48">
        <f>((BI48/BH48)^0.67)*CI48</f>
        <v>0.88354284352081858</v>
      </c>
      <c r="CM48" s="39">
        <f>CJ48*($AM48-$BB48)</f>
        <v>-12.040804079519182</v>
      </c>
      <c r="CN48" s="39">
        <f>CK48*($AD48-$BD48)</f>
        <v>0.11850858605006881</v>
      </c>
      <c r="CO48" s="39">
        <f>CL48*($AU48-$BF48)</f>
        <v>1.9377976536480128</v>
      </c>
      <c r="CP48" s="27">
        <f>VLOOKUP(A48,Water!$A$2:$E$109, 5, FALSE)/1000</f>
        <v>2.0999999999999998E-4</v>
      </c>
      <c r="CQ48">
        <f>0.64*CP48</f>
        <v>1.3439999999999999E-4</v>
      </c>
      <c r="CR48" s="19">
        <f>CQ48*1000*(2.5*10^-5)</f>
        <v>3.36E-6</v>
      </c>
      <c r="CS48" s="18">
        <f>(-0.0000009*F48^3)+(0.0002*F48^2)-(0.0134*F48)+6.579</f>
        <v>6.4445475950999995</v>
      </c>
      <c r="CT48" s="18">
        <f>CS48-(SQRT(CP48))/(1+1.4*SQRT(CP48))</f>
        <v>6.4303443723073084</v>
      </c>
      <c r="CU48" s="18">
        <f>10^(-CT48)</f>
        <v>3.7124073829546908E-7</v>
      </c>
      <c r="CV48" s="18">
        <f>(0.000001*F48^3)+(0.00006*F48^2)-(0.014*F48)+10.625</f>
        <v>10.466156161000001</v>
      </c>
      <c r="CW48" s="18">
        <f>CV48-(2*SQRT(CR48))/(1+1.4*SQRT(CR48))</f>
        <v>10.462499484362626</v>
      </c>
      <c r="CX48" s="18">
        <f>10^(-CW48)</f>
        <v>3.4474701589066881E-11</v>
      </c>
      <c r="CY48">
        <f>EXP(1246.98+-61900/H48-183*LN(H48))</f>
        <v>1.0167029334900291E-2</v>
      </c>
      <c r="CZ48">
        <f>12.225*(F48^2)+15.258*F48+1125.7</f>
        <v>3100.1840499999998</v>
      </c>
      <c r="DA48" s="15">
        <f>10^(-4470.99/H48+6.0875-0.01706*H48)</f>
        <v>3.5253306381053181E-15</v>
      </c>
      <c r="DB48">
        <f>(10^-I48)</f>
        <v>2.6302679918953798E-10</v>
      </c>
      <c r="DC48">
        <f>DB48^2</f>
        <v>6.9183097091893543E-20</v>
      </c>
      <c r="DD48" s="20">
        <f>((14.6836*10^-9)*((H48/217.2056)-1)^1.997)*100*100</f>
        <v>1.446064028172755E-5</v>
      </c>
      <c r="DE48">
        <f>CY48+CZ48*DA48/DB48</f>
        <v>5.1718589285849735E-2</v>
      </c>
      <c r="DF48">
        <f>1+DC48*(CU48*CX48+CU48*DB48)^-1</f>
        <v>1.0006264049938913</v>
      </c>
      <c r="DG48">
        <f>(DE48*DF48/DD48)^0.5</f>
        <v>59.822637035710684</v>
      </c>
      <c r="DH48">
        <f>DD48/(BO48/60/60)</f>
        <v>3.0806356524414984E-2</v>
      </c>
      <c r="DI48" s="16">
        <f>DF48/((DF48-1)+TANH(DG48*DH48)/(DG48*DH48))</f>
        <v>1.9365848288606262</v>
      </c>
      <c r="DJ48">
        <f>$DI48*BR48</f>
        <v>-46.118885887428441</v>
      </c>
      <c r="DK48">
        <f>$DI48*BY48</f>
        <v>-67.42947185380504</v>
      </c>
      <c r="DL48">
        <f>$DI48*CF48</f>
        <v>-10.442955732392038</v>
      </c>
      <c r="DM48">
        <f>$DI48*CM48</f>
        <v>-23.318038507679987</v>
      </c>
    </row>
    <row r="49" spans="1:117" ht="15.75" x14ac:dyDescent="0.25">
      <c r="A49" s="52" t="s">
        <v>333</v>
      </c>
      <c r="B49" s="55" t="s">
        <v>342</v>
      </c>
      <c r="C49" t="s">
        <v>186</v>
      </c>
      <c r="D49" s="57">
        <v>43223</v>
      </c>
      <c r="E49" s="42" t="str">
        <f>A49&amp;D49</f>
        <v>61C43223</v>
      </c>
      <c r="F49" s="3">
        <f>VLOOKUP($E49,Water!$C$2:$E$90, 2, FALSE)</f>
        <v>12.1</v>
      </c>
      <c r="G49" s="3">
        <f>VLOOKUP($E49,Water!$C$2:$E$90, 3, FALSE)</f>
        <v>0.21</v>
      </c>
      <c r="H49" s="1">
        <f>F49+273.15</f>
        <v>285.25</v>
      </c>
      <c r="I49" s="3">
        <f>VLOOKUP($E49,Water!$C$2:$F$90, 4, FALSE)</f>
        <v>9.58</v>
      </c>
      <c r="J49">
        <f>10^(I49*-1)</f>
        <v>2.6302679918953798E-10</v>
      </c>
      <c r="K49" s="25">
        <f>VLOOKUP($E49,Atm!$D$2:$G$45, 2, FALSE)</f>
        <v>474.7614133324256</v>
      </c>
      <c r="L49" s="25">
        <f>VLOOKUP($E49,Atm!$D$2:$G$45, 3, FALSE)</f>
        <v>2.7058566584302222</v>
      </c>
      <c r="M49" s="25">
        <f>VLOOKUP($E49,Atm!$D$2:$G$45, 4, FALSE)</f>
        <v>0.3383059202946414</v>
      </c>
      <c r="N49" s="21">
        <f>VLOOKUP($C49,Raw!$B$2:$F$353, 3, FALSE)</f>
        <v>124.0130818279907</v>
      </c>
      <c r="O49" s="21">
        <f>VLOOKUP($C49,Raw!$B$2:$F$353, 4, FALSE)</f>
        <v>42.345726563018992</v>
      </c>
      <c r="P49" s="21">
        <f>VLOOKUP($C49,Raw!$B$2:$F$353, 5, FALSE)</f>
        <v>0.39953014552703403</v>
      </c>
      <c r="Q49" s="14">
        <v>60</v>
      </c>
      <c r="R49" s="25">
        <v>1140</v>
      </c>
      <c r="S49">
        <f>EXP(24.4543-(100/H49*(67.4509))-(4.8489*LN(H49/100))-(0.000544*G49))</f>
        <v>1.3916904757140601E-2</v>
      </c>
      <c r="T49" s="8">
        <f>EXP(-58.0931+90.5069*(100/H49)+22.294*LN(H49/100)+G49*(0.027766-0.025888*(H49/100)+0.0050578*(H49/100)^2))</f>
        <v>4.9952509700682872E-2</v>
      </c>
      <c r="U49" s="9">
        <f>(EXP(-67.1962+99.1624*(100/H49)+27.9015*LN(H49/100)+G49*(-0.072909+0.041674*(H49/100)-0.0064603*(H49/100)^2)))</f>
        <v>4.1253457322630319E-2</v>
      </c>
      <c r="V49" s="9">
        <f>(EXP(-64.8539+100.252*(100/H49)+25.2049*LN(H49/100)+(-0.062544+0.035337*(H49/100)-0.0054699*(H49/100)^2)*G49))</f>
        <v>3.7245226307649038E-2</v>
      </c>
      <c r="W49" s="9">
        <f>(EXP(-68.8862+101.4956*(100/H49)+28.7314*LN(H49/100)+G49*(-0.076146+0.04397*(H49/100)-0.0068672*(H49/100)^2)))</f>
        <v>4.1164741493581479E-2</v>
      </c>
      <c r="X49">
        <f>N49*(AZ49-S49)</f>
        <v>111.90926673184028</v>
      </c>
      <c r="Y49">
        <f>O49*(AZ49-S49)</f>
        <v>38.212736422980058</v>
      </c>
      <c r="Z49">
        <f>((Y49/10^6)*AZ49)/(0.082056*H49)</f>
        <v>1.4959508101635801E-6</v>
      </c>
      <c r="AA49">
        <f>(((L49/10^6)*AZ49)/(0.082056*H49))</f>
        <v>1.0592877766092039E-7</v>
      </c>
      <c r="AB49">
        <f>((Y49/10^6)*U49*1)/(0.082056*H49)</f>
        <v>6.7349208223602103E-8</v>
      </c>
      <c r="AC49">
        <f>(Z49*(Q49/1000))+(AB49*(R49/1000))</f>
        <v>1.665351459847212E-7</v>
      </c>
      <c r="AD49" s="39">
        <f>((AC49-(AA49*(Q49/1000)))/(R49/1000))*1000000</f>
        <v>0.14050826256584736</v>
      </c>
      <c r="AE49" s="39">
        <f>(AD49/((U49*AZ49*1))*(0.0821*273.15))</f>
        <v>83.356736677536844</v>
      </c>
      <c r="AF49" s="39">
        <f>L49*U49*AZ49*1/(0.0821*273.15)</f>
        <v>4.5610616847806115E-3</v>
      </c>
      <c r="AG49" s="39">
        <f>AD49-AF49</f>
        <v>0.13594720088106677</v>
      </c>
      <c r="AH49" s="42">
        <f>P49*(AZ49-S49)</f>
        <v>0.3605355577342339</v>
      </c>
      <c r="AI49">
        <f>(((X49/10^6)*(Q49/1000))/(0.082056*H49))</f>
        <v>2.8686747110694311E-7</v>
      </c>
      <c r="AJ49">
        <f>(((K49/10^6)*AZ49)*(Q49/1000))/(0.082056*H49)</f>
        <v>1.1151565484045405E-6</v>
      </c>
      <c r="AK49">
        <f>(X49/10^6)*T49*(R49/1000)</f>
        <v>6.3727695545011552E-6</v>
      </c>
      <c r="AL49">
        <f>AI49+AK49</f>
        <v>6.6596370256080982E-6</v>
      </c>
      <c r="AM49" s="39">
        <f>((AL49-AJ49)/(R49/1000))*1000000</f>
        <v>4.8635793659680333</v>
      </c>
      <c r="AN49" s="39">
        <f>AM49/(T49*AZ49)</f>
        <v>106.25601502119987</v>
      </c>
      <c r="AO49" s="39">
        <f>(K49*AZ49)*T49</f>
        <v>21.730909193053339</v>
      </c>
      <c r="AP49" s="39">
        <f>AM49-AO49</f>
        <v>-16.867329827085307</v>
      </c>
      <c r="AQ49">
        <f>(((AH49/10^6)*(Q49/1000))/(0.082056*H49))</f>
        <v>9.2419445423749125E-10</v>
      </c>
      <c r="AR49">
        <f>(((M49/10^6)*AZ49)*(Q49/1000))/(0.082056*H49)</f>
        <v>7.9463926887511265E-10</v>
      </c>
      <c r="AS49">
        <f>(AH49/10^6)*V49*(R49/1000)</f>
        <v>1.5308180421333245E-8</v>
      </c>
      <c r="AT49">
        <f>AQ49+AS49</f>
        <v>1.6232374875570734E-8</v>
      </c>
      <c r="AU49" s="39">
        <f>((AT49-AR49)/(R49/1000))*1000000000</f>
        <v>13.541873339206687</v>
      </c>
      <c r="AV49" s="39">
        <f>(AU49/1000)/(V49*AZ49)</f>
        <v>0.39679204780960492</v>
      </c>
      <c r="AW49" s="39">
        <f>(M49*AZ49)*V49*1000</f>
        <v>11.545836031300855</v>
      </c>
      <c r="AX49" s="39">
        <f>AU49-AW49</f>
        <v>1.9960373079058318</v>
      </c>
      <c r="AY49" s="26">
        <f>VLOOKUP($E49,Water!$C$2:$G$90, 5, FALSE)</f>
        <v>696.4</v>
      </c>
      <c r="AZ49">
        <f>AY49/760</f>
        <v>0.91631578947368419</v>
      </c>
      <c r="BA49" s="3">
        <f>Assumptions!$B$3</f>
        <v>406.07</v>
      </c>
      <c r="BB49" s="3">
        <f>BA49*AZ49*T49</f>
        <v>18.586747044340054</v>
      </c>
      <c r="BC49" s="3">
        <f>Assumptions!$B$4</f>
        <v>1.8474300000000001</v>
      </c>
      <c r="BD49" s="45">
        <f>BC49*AZ49*U49*1/(0.0821*273.15)</f>
        <v>3.1140755967474835E-3</v>
      </c>
      <c r="BE49" s="3">
        <f>Assumptions!$B$2</f>
        <v>0.33054499999999998</v>
      </c>
      <c r="BF49" s="44">
        <f>BE49*AZ49*V49*1000</f>
        <v>11.280968324889201</v>
      </c>
      <c r="BG49">
        <f>1923.6+(-125.06*F49)+(4.3773*(F49^2))+(-0.085681*(F49^3))+(0.00070284*(F49^4))</f>
        <v>914.53137455120395</v>
      </c>
      <c r="BH49">
        <f>1909.4+(-120.78*F49)+(4.1555*(F49^2))+(-0.080578*(F49^3))+(0.00065777*(F49^4))</f>
        <v>927.71979685753718</v>
      </c>
      <c r="BI49">
        <f>2141.2+(-152.56*F49)+(5.8963*(F49^2))+(-0.12411*(F49^3))+(0.0010655*(F49^4))</f>
        <v>961.47278606055011</v>
      </c>
      <c r="BJ49" s="25">
        <f>VLOOKUP(E49,Wind!$C$2:$E$109,3, FALSE)</f>
        <v>3.7222222222222223</v>
      </c>
      <c r="BK49" s="44">
        <v>1.66</v>
      </c>
      <c r="BL49">
        <f>BK49/(1-(((1.3*10^-3)^0.5)/0.41)*LN(10/1.5))</f>
        <v>1.9923982880693825</v>
      </c>
      <c r="BM49">
        <f>BK49*1.22</f>
        <v>2.0251999999999999</v>
      </c>
      <c r="BN49">
        <f>2.07+0.215*(BM49^1.7)*(24/100)</f>
        <v>2.241255750541113</v>
      </c>
      <c r="BO49">
        <f>BN49*((600/BG49)^0.67)</f>
        <v>1.689855954661869</v>
      </c>
      <c r="BP49">
        <f>BN49*((600/BH49)^0.67)</f>
        <v>1.6737226077965606</v>
      </c>
      <c r="BQ49">
        <f>BN49*((600/BI49)^0.67)</f>
        <v>1.6341238445653712</v>
      </c>
      <c r="BR49" s="39">
        <f>BO49*(AM49-BB49)</f>
        <v>-23.190176618120258</v>
      </c>
      <c r="BS49" s="39">
        <f>BP49*(AD49-BD49)</f>
        <v>0.22995975691001008</v>
      </c>
      <c r="BT49" s="39">
        <f>BQ49*(AU49-BF49)</f>
        <v>3.6945987941936145</v>
      </c>
      <c r="BU49">
        <f>(2.51+1.48*BM49)+(0.39*BM49*LOG10(0.0015))</f>
        <v>3.2768938069574309</v>
      </c>
      <c r="BV49">
        <f>BU49*((600/$BG49)^0.67)</f>
        <v>2.4707035380253615</v>
      </c>
      <c r="BW49">
        <f>BU49*((600/$BH49)^0.67)</f>
        <v>2.4471153043239373</v>
      </c>
      <c r="BX49">
        <f>BU49*((600/$BI49)^0.67)</f>
        <v>2.3892187693282638</v>
      </c>
      <c r="BY49" s="39">
        <f>BV49*($AM49-$BB49)</f>
        <v>-33.90587893586904</v>
      </c>
      <c r="BZ49" s="39">
        <f>BW49*($AD49-$BD49)</f>
        <v>0.33621941765722879</v>
      </c>
      <c r="CA49" s="39">
        <f>BX49*($AU49-$BF49)</f>
        <v>5.4017966958757224</v>
      </c>
      <c r="CB49" s="42">
        <f>AVERAGE(0.72,0.69,0.4,0.22)</f>
        <v>0.50750000000000006</v>
      </c>
      <c r="CC49">
        <f>CB49*((600/$BG49)^0.67)</f>
        <v>0.38264347867656123</v>
      </c>
      <c r="CD49">
        <f>CB49*((600/$BH49)^0.67)</f>
        <v>0.37899031525147364</v>
      </c>
      <c r="CE49">
        <f>CB49*((600/$BI49)^0.67)</f>
        <v>0.37002374714117359</v>
      </c>
      <c r="CF49" s="39">
        <f>CC49*($AM49-$BB49)</f>
        <v>-5.2510806189140187</v>
      </c>
      <c r="CG49" s="39">
        <f>CD49*($AD49-$BD49)</f>
        <v>5.2071066233139077E-2</v>
      </c>
      <c r="CH49" s="39">
        <f>CE49*($AU49-$BF49)</f>
        <v>0.83658854532802462</v>
      </c>
      <c r="CI49">
        <v>0.86263901889527161</v>
      </c>
      <c r="CJ49">
        <f>((BG49/BH49)^0.67)*CI49</f>
        <v>0.85440325508771597</v>
      </c>
      <c r="CK49">
        <f>((BH49/BH49)^0.67)*CI49</f>
        <v>0.86263901889527161</v>
      </c>
      <c r="CL49">
        <f>((BI49/BH49)^0.67)*CI49</f>
        <v>0.88354284352081858</v>
      </c>
      <c r="CM49" s="39">
        <f>CJ49*($AM49-$BB49)</f>
        <v>-11.725119134515589</v>
      </c>
      <c r="CN49" s="39">
        <f>CK49*($AD49-$BD49)</f>
        <v>0.11852158664893783</v>
      </c>
      <c r="CO49" s="39">
        <f>CL49*($AU49-$BF49)</f>
        <v>1.9976064452805478</v>
      </c>
      <c r="CP49" s="27">
        <f>VLOOKUP(A49,Water!$A$2:$E$109, 5, FALSE)/1000</f>
        <v>2.0999999999999998E-4</v>
      </c>
      <c r="CQ49">
        <f>0.64*CP49</f>
        <v>1.3439999999999999E-4</v>
      </c>
      <c r="CR49" s="19">
        <f>CQ49*1000*(2.5*10^-5)</f>
        <v>3.36E-6</v>
      </c>
      <c r="CS49" s="18">
        <f>(-0.0000009*F49^3)+(0.0002*F49^2)-(0.0134*F49)+6.579</f>
        <v>6.4445475950999995</v>
      </c>
      <c r="CT49" s="18">
        <f>CS49-(SQRT(CP49))/(1+1.4*SQRT(CP49))</f>
        <v>6.4303443723073084</v>
      </c>
      <c r="CU49" s="18">
        <f>10^(-CT49)</f>
        <v>3.7124073829546908E-7</v>
      </c>
      <c r="CV49" s="18">
        <f>(0.000001*F49^3)+(0.00006*F49^2)-(0.014*F49)+10.625</f>
        <v>10.466156161000001</v>
      </c>
      <c r="CW49" s="18">
        <f>CV49-(2*SQRT(CR49))/(1+1.4*SQRT(CR49))</f>
        <v>10.462499484362626</v>
      </c>
      <c r="CX49" s="18">
        <f>10^(-CW49)</f>
        <v>3.4474701589066881E-11</v>
      </c>
      <c r="CY49">
        <f>EXP(1246.98+-61900/H49-183*LN(H49))</f>
        <v>1.0167029334900291E-2</v>
      </c>
      <c r="CZ49">
        <f>12.225*(F49^2)+15.258*F49+1125.7</f>
        <v>3100.1840499999998</v>
      </c>
      <c r="DA49" s="15">
        <f>10^(-4470.99/H49+6.0875-0.01706*H49)</f>
        <v>3.5253306381053181E-15</v>
      </c>
      <c r="DB49">
        <f>(10^-I49)</f>
        <v>2.6302679918953798E-10</v>
      </c>
      <c r="DC49">
        <f>DB49^2</f>
        <v>6.9183097091893543E-20</v>
      </c>
      <c r="DD49" s="20">
        <f>((14.6836*10^-9)*((H49/217.2056)-1)^1.997)*100*100</f>
        <v>1.446064028172755E-5</v>
      </c>
      <c r="DE49">
        <f>CY49+CZ49*DA49/DB49</f>
        <v>5.1718589285849735E-2</v>
      </c>
      <c r="DF49">
        <f>1+DC49*(CU49*CX49+CU49*DB49)^-1</f>
        <v>1.0006264049938913</v>
      </c>
      <c r="DG49">
        <f>(DE49*DF49/DD49)^0.5</f>
        <v>59.822637035710684</v>
      </c>
      <c r="DH49">
        <f>DD49/(BO49/60/60)</f>
        <v>3.0806356524414984E-2</v>
      </c>
      <c r="DI49" s="16">
        <f>DF49/((DF49-1)+TANH(DG49*DH49)/(DG49*DH49))</f>
        <v>1.9365848288606262</v>
      </c>
      <c r="DJ49">
        <f>$DI49*BR49</f>
        <v>-44.909744217250115</v>
      </c>
      <c r="DK49">
        <f>$DI49*BY49</f>
        <v>-65.661610756389052</v>
      </c>
      <c r="DL49">
        <f>$DI49*CF49</f>
        <v>-10.169163061712956</v>
      </c>
      <c r="DM49">
        <f>$DI49*CM49</f>
        <v>-22.706687832486327</v>
      </c>
    </row>
    <row r="50" spans="1:117" ht="15.75" x14ac:dyDescent="0.25">
      <c r="A50" s="52" t="s">
        <v>334</v>
      </c>
      <c r="B50" s="55" t="s">
        <v>339</v>
      </c>
      <c r="C50" t="s">
        <v>188</v>
      </c>
      <c r="D50" s="57">
        <v>43223</v>
      </c>
      <c r="E50" s="42" t="str">
        <f>A50&amp;D50</f>
        <v>61B43223</v>
      </c>
      <c r="F50" s="3">
        <f>VLOOKUP($E50,Water!$C$2:$E$90, 2, FALSE)</f>
        <v>14</v>
      </c>
      <c r="G50" s="3">
        <f>VLOOKUP($E50,Water!$C$2:$E$90, 3, FALSE)</f>
        <v>1.1000000000000001</v>
      </c>
      <c r="H50" s="1">
        <f>F50+273.15</f>
        <v>287.14999999999998</v>
      </c>
      <c r="I50" s="3">
        <f>VLOOKUP($E50,Water!$C$2:$F$90, 4, FALSE)</f>
        <v>8.2100000000000009</v>
      </c>
      <c r="J50">
        <f>10^(I50*-1)</f>
        <v>6.1659500186148016E-9</v>
      </c>
      <c r="K50" s="25">
        <f>VLOOKUP($E50,Atm!$D$2:$G$45, 2, FALSE)</f>
        <v>456.51125997214501</v>
      </c>
      <c r="L50" s="25">
        <f>VLOOKUP($E50,Atm!$D$2:$G$45, 3, FALSE)</f>
        <v>2.3535382703497429</v>
      </c>
      <c r="M50" s="25">
        <f>VLOOKUP($E50,Atm!$D$2:$G$45, 4, FALSE)</f>
        <v>0.33206109426016461</v>
      </c>
      <c r="N50" s="21">
        <f>VLOOKUP($C50,Raw!$B$2:$F$353, 3, FALSE)</f>
        <v>803.14764366724194</v>
      </c>
      <c r="O50" s="21">
        <f>VLOOKUP($C50,Raw!$B$2:$F$353, 4, FALSE)</f>
        <v>18.459640322076929</v>
      </c>
      <c r="P50" s="21">
        <f>VLOOKUP($C50,Raw!$B$2:$F$353, 5, FALSE)</f>
        <v>0.44692670355388658</v>
      </c>
      <c r="Q50" s="14">
        <v>60</v>
      </c>
      <c r="R50" s="25">
        <v>1140</v>
      </c>
      <c r="S50">
        <f>EXP(24.4543-(100/H50*(67.4509))-(4.8489*LN(H50/100))-(0.000544*G50))</f>
        <v>1.5750794529905753E-2</v>
      </c>
      <c r="T50" s="8">
        <f>EXP(-58.0931+90.5069*(100/H50)+22.294*LN(H50/100)+G50*(0.027766-0.025888*(H50/100)+0.0050578*(H50/100)^2))</f>
        <v>4.6750008798711919E-2</v>
      </c>
      <c r="U50" s="9">
        <f>(EXP(-67.1962+99.1624*(100/H50)+27.9015*LN(H50/100)+G50*(-0.072909+0.041674*(H50/100)-0.0064603*(H50/100)^2)))</f>
        <v>3.9219328504907731E-2</v>
      </c>
      <c r="V50" s="9">
        <f>(EXP(-64.8539+100.252*(100/H50)+25.2049*LN(H50/100)+(-0.062544+0.035337*(H50/100)-0.0054699*(H50/100)^2)*G50))</f>
        <v>3.4702934409683056E-2</v>
      </c>
      <c r="W50" s="9">
        <f>(EXP(-68.8862+101.4956*(100/H50)+28.7314*LN(H50/100)+G50*(-0.076146+0.04397*(H50/100)-0.0068672*(H50/100)^2)))</f>
        <v>3.9138820979844412E-2</v>
      </c>
      <c r="X50">
        <f>N50*(AZ50-S50)</f>
        <v>725.50587741053573</v>
      </c>
      <c r="Y50">
        <f>O50*(AZ50-S50)</f>
        <v>16.675112794205127</v>
      </c>
      <c r="Z50">
        <f>((Y50/10^6)*AZ50)/(0.082056*H50)</f>
        <v>6.5043280237287664E-7</v>
      </c>
      <c r="AA50">
        <f>(((L50/10^6)*AZ50)/(0.082056*H50))</f>
        <v>9.1802586979044632E-8</v>
      </c>
      <c r="AB50">
        <f>((Y50/10^6)*U50*1)/(0.082056*H50)</f>
        <v>2.7755545722889728E-8</v>
      </c>
      <c r="AC50">
        <f>(Z50*(Q50/1000))+(AB50*(R50/1000))</f>
        <v>7.0667290266466877E-8</v>
      </c>
      <c r="AD50" s="39">
        <f>((AC50-(AA50*(Q50/1000)))/(R50/1000))*1000000</f>
        <v>5.7157136006775619E-2</v>
      </c>
      <c r="AE50" s="39">
        <f>(AD50/((U50*AZ50*1))*(0.0821*273.15))</f>
        <v>35.56000795946396</v>
      </c>
      <c r="AF50" s="39">
        <f>L50*U50*AZ50*1/(0.0821*273.15)</f>
        <v>3.7829436700035969E-3</v>
      </c>
      <c r="AG50" s="39">
        <f>AD50-AF50</f>
        <v>5.3374192336772021E-2</v>
      </c>
      <c r="AH50" s="42">
        <f>P50*(AZ50-S50)</f>
        <v>0.40372147357553906</v>
      </c>
      <c r="AI50">
        <f>(((X50/10^6)*(Q50/1000))/(0.082056*H50))</f>
        <v>1.8474513994618363E-6</v>
      </c>
      <c r="AJ50">
        <f>(((K50/10^6)*AZ50)*(Q50/1000))/(0.082056*H50)</f>
        <v>1.0684061995969576E-6</v>
      </c>
      <c r="AK50">
        <f>(X50/10^6)*T50*(R50/1000)</f>
        <v>3.8665843013804119E-5</v>
      </c>
      <c r="AL50">
        <f>AI50+AK50</f>
        <v>4.0513294413265953E-5</v>
      </c>
      <c r="AM50" s="39">
        <f>((AL50-AJ50)/(R50/1000))*1000000</f>
        <v>34.600779134797364</v>
      </c>
      <c r="AN50" s="39">
        <f>AM50/(T50*AZ50)</f>
        <v>805.28825154665913</v>
      </c>
      <c r="AO50" s="39">
        <f>(K50*AZ50)*T50</f>
        <v>19.61489596862576</v>
      </c>
      <c r="AP50" s="39">
        <f>AM50-AO50</f>
        <v>14.985883166171604</v>
      </c>
      <c r="AQ50">
        <f>(((AH50/10^6)*(Q50/1000))/(0.082056*H50))</f>
        <v>1.0280492888796729E-9</v>
      </c>
      <c r="AR50">
        <f>(((M50/10^6)*AZ50)*(Q50/1000))/(0.082056*H50)</f>
        <v>7.7714650844353096E-10</v>
      </c>
      <c r="AS50">
        <f>(AH50/10^6)*V50*(R50/1000)</f>
        <v>1.5971764591690673E-8</v>
      </c>
      <c r="AT50">
        <f>AQ50+AS50</f>
        <v>1.6999813880570347E-8</v>
      </c>
      <c r="AU50" s="39">
        <f>((AT50-AR50)/(R50/1000))*1000000000</f>
        <v>14.230409975549838</v>
      </c>
      <c r="AV50" s="39">
        <f>(AU50/1000)/(V50*AZ50)</f>
        <v>0.44616797532540386</v>
      </c>
      <c r="AW50" s="39">
        <f>(M50*AZ50)*V50*1000</f>
        <v>10.591001079370363</v>
      </c>
      <c r="AX50" s="39">
        <f>AU50-AW50</f>
        <v>3.6394088961794751</v>
      </c>
      <c r="AY50" s="26">
        <f>VLOOKUP($E50,Water!$C$2:$G$90, 5, FALSE)</f>
        <v>698.5</v>
      </c>
      <c r="AZ50">
        <f>AY50/760</f>
        <v>0.91907894736842111</v>
      </c>
      <c r="BA50" s="3">
        <f>Assumptions!$B$3</f>
        <v>406.07</v>
      </c>
      <c r="BB50" s="3">
        <f>BA50*AZ50*T50</f>
        <v>17.447588930152268</v>
      </c>
      <c r="BC50" s="3">
        <f>Assumptions!$B$4</f>
        <v>1.8474300000000001</v>
      </c>
      <c r="BD50" s="45">
        <f>BC50*AZ50*U50*1/(0.0821*273.15)</f>
        <v>2.9694539971241679E-3</v>
      </c>
      <c r="BE50" s="3">
        <f>Assumptions!$B$2</f>
        <v>0.33054499999999998</v>
      </c>
      <c r="BF50" s="44">
        <f>BE50*AZ50*V50*1000</f>
        <v>10.542645652542641</v>
      </c>
      <c r="BG50">
        <f>1923.6+(-125.06*F50)+(4.3773*(F50^2))+(-0.085681*(F50^3))+(0.00070284*(F50^4))</f>
        <v>822.6024374399999</v>
      </c>
      <c r="BH50">
        <f>1909.4+(-120.78*F50)+(4.1555*(F50^2))+(-0.080578*(F50^3))+(0.00065777*(F50^4))</f>
        <v>837.12086032000002</v>
      </c>
      <c r="BI50">
        <f>2141.2+(-152.56*F50)+(5.8963*(F50^2))+(-0.12411*(F50^3))+(0.0010655*(F50^4))</f>
        <v>861.40920799999969</v>
      </c>
      <c r="BJ50" s="25">
        <f>VLOOKUP(E50,Wind!$C$2:$E$109,3, FALSE)</f>
        <v>4.833333333333333</v>
      </c>
      <c r="BK50" s="44">
        <v>1.66</v>
      </c>
      <c r="BL50">
        <f>BK50/(1-(((1.3*10^-3)^0.5)/0.41)*LN(10/1.5))</f>
        <v>1.9923982880693825</v>
      </c>
      <c r="BM50">
        <f>BK50*1.22</f>
        <v>2.0251999999999999</v>
      </c>
      <c r="BN50">
        <f>2.07+0.215*(BM50^1.7)*(24/100)</f>
        <v>2.241255750541113</v>
      </c>
      <c r="BO50">
        <f>BN50*((600/BG50)^0.67)</f>
        <v>1.8141594691410119</v>
      </c>
      <c r="BP50">
        <f>BN50*((600/BH50)^0.67)</f>
        <v>1.7930181449313667</v>
      </c>
      <c r="BQ50">
        <f>BN50*((600/BI50)^0.67)</f>
        <v>1.7589860007286524</v>
      </c>
      <c r="BR50" s="39">
        <f>BO50*(AM50-BB50)</f>
        <v>31.118622435733752</v>
      </c>
      <c r="BS50" s="39">
        <f>BP50*(AD50-BD50)</f>
        <v>9.715949707507604E-2</v>
      </c>
      <c r="BT50" s="39">
        <f>BQ50*(AU50-BF50)</f>
        <v>6.4867258181562368</v>
      </c>
      <c r="BU50">
        <f>(2.51+1.48*BM50)+(0.39*BM50*LOG10(0.0015))</f>
        <v>3.2768938069574309</v>
      </c>
      <c r="BV50">
        <f>BU50*((600/$BG50)^0.67)</f>
        <v>2.6524451427848383</v>
      </c>
      <c r="BW50">
        <f>BU50*((600/$BH50)^0.67)</f>
        <v>2.6215348486978116</v>
      </c>
      <c r="BX50">
        <f>BU50*((600/$BI50)^0.67)</f>
        <v>2.5717771525721318</v>
      </c>
      <c r="BY50" s="39">
        <f>BV50*($AM50-$BB50)</f>
        <v>45.497896041575352</v>
      </c>
      <c r="BZ50" s="39">
        <f>BW50*($AD50-$BD50)</f>
        <v>0.14205489675845676</v>
      </c>
      <c r="CA50" s="39">
        <f>BX50*($AU50-$BF50)</f>
        <v>9.4841080299805451</v>
      </c>
      <c r="CB50" s="42">
        <f>AVERAGE(0.72,0.69,0.4,0.22)</f>
        <v>0.50750000000000006</v>
      </c>
      <c r="CC50">
        <f>CB50*((600/$BG50)^0.67)</f>
        <v>0.41079021453342829</v>
      </c>
      <c r="CD50">
        <f>CB50*((600/$BH50)^0.67)</f>
        <v>0.40600306695609151</v>
      </c>
      <c r="CE50">
        <f>CB50*((600/$BI50)^0.67)</f>
        <v>0.39829697934038427</v>
      </c>
      <c r="CF50" s="39">
        <f>CC50*($AM50-$BB50)</f>
        <v>7.0463626840988596</v>
      </c>
      <c r="CG50" s="39">
        <f>CD50*($AD50-$BD50)</f>
        <v>2.2000365087159916E-2</v>
      </c>
      <c r="CH50" s="39">
        <f>CE50*($AU50-$BF50)</f>
        <v>1.468825390373004</v>
      </c>
      <c r="CI50">
        <v>0.86263901889527161</v>
      </c>
      <c r="CJ50">
        <f>((BG50/BH50)^0.67)*CI50</f>
        <v>0.85258624708299513</v>
      </c>
      <c r="CK50">
        <f>((BH50/BH50)^0.67)*CI50</f>
        <v>0.86263901889527161</v>
      </c>
      <c r="CL50">
        <f>((BI50/BH50)^0.67)*CI50</f>
        <v>0.87932900703262495</v>
      </c>
      <c r="CM50" s="39">
        <f>CJ50*($AM50-$BB50)</f>
        <v>14.624574062079155</v>
      </c>
      <c r="CN50" s="39">
        <f>CK50*($AD50-$BD50)</f>
        <v>4.6744408845014691E-2</v>
      </c>
      <c r="CO50" s="39">
        <f>CL50*($AU50-$BF50)</f>
        <v>3.2427581403202592</v>
      </c>
      <c r="CP50" s="27">
        <f>VLOOKUP(A50,Water!$A$2:$E$109, 5, FALSE)/1000</f>
        <v>1.1000000000000001E-3</v>
      </c>
      <c r="CQ50">
        <f>0.64*CP50</f>
        <v>7.0400000000000009E-4</v>
      </c>
      <c r="CR50" s="19">
        <f>CQ50*1000*(2.5*10^-5)</f>
        <v>1.7600000000000004E-5</v>
      </c>
      <c r="CS50" s="18">
        <f>(-0.0000009*F50^3)+(0.0002*F50^2)-(0.0134*F50)+6.579</f>
        <v>6.4281303999999997</v>
      </c>
      <c r="CT50" s="18">
        <f>CS50-(SQRT(CP50))/(1+1.4*SQRT(CP50))</f>
        <v>6.3964358185789019</v>
      </c>
      <c r="CU50" s="18">
        <f>10^(-CT50)</f>
        <v>4.0138781224852706E-7</v>
      </c>
      <c r="CV50" s="18">
        <f>(0.000001*F50^3)+(0.00006*F50^2)-(0.014*F50)+10.625</f>
        <v>10.443504000000001</v>
      </c>
      <c r="CW50" s="18">
        <f>CV50-(2*SQRT(CR50))/(1+1.4*SQRT(CR50))</f>
        <v>10.435162521466996</v>
      </c>
      <c r="CX50" s="18">
        <f>10^(-CW50)</f>
        <v>3.6714488201053312E-11</v>
      </c>
      <c r="CY50">
        <f>EXP(1246.98+-61900/H50-183*LN(H50))</f>
        <v>1.268110683909794E-2</v>
      </c>
      <c r="CZ50">
        <f>12.225*(F50^2)+15.258*F50+1125.7</f>
        <v>3735.4120000000003</v>
      </c>
      <c r="DA50" s="15">
        <f>10^(-4470.99/H50+6.0875-0.01706*H50)</f>
        <v>4.1542858725884671E-15</v>
      </c>
      <c r="DB50">
        <f>(10^-I50)</f>
        <v>6.1659500186148016E-9</v>
      </c>
      <c r="DC50">
        <f>DB50^2</f>
        <v>3.8018939632055872E-17</v>
      </c>
      <c r="DD50" s="20">
        <f>((14.6836*10^-9)*((H50/217.2056)-1)^1.997)*100*100</f>
        <v>1.5278220072120082E-5</v>
      </c>
      <c r="DE50">
        <f>CY50+CZ50*DA50/DB50</f>
        <v>1.5197826769205901E-2</v>
      </c>
      <c r="DF50">
        <f>1+DC50*(CU50*CX50+CU50*DB50)^-1</f>
        <v>1.0152706501339956</v>
      </c>
      <c r="DG50">
        <f>(DE50*DF50/DD50)^0.5</f>
        <v>31.779369753008446</v>
      </c>
      <c r="DH50">
        <f>DD50/(BO50/60/60)</f>
        <v>3.0317947895548043E-2</v>
      </c>
      <c r="DI50" s="16">
        <f>DF50/((DF50-1)+TANH(DG50*DH50)/(DG50*DH50))</f>
        <v>1.286188340111152</v>
      </c>
      <c r="DJ50">
        <f>$DI50*BR50</f>
        <v>40.024409337162048</v>
      </c>
      <c r="DK50">
        <f>$DI50*BY50</f>
        <v>58.518863388263554</v>
      </c>
      <c r="DL50">
        <f>$DI50*CF50</f>
        <v>9.0629495244822742</v>
      </c>
      <c r="DM50">
        <f>$DI50*CM50</f>
        <v>18.809956637738196</v>
      </c>
    </row>
    <row r="51" spans="1:117" ht="15.75" x14ac:dyDescent="0.25">
      <c r="A51" s="52" t="s">
        <v>334</v>
      </c>
      <c r="B51" s="55" t="s">
        <v>340</v>
      </c>
      <c r="C51" t="s">
        <v>189</v>
      </c>
      <c r="D51" s="57">
        <v>43223</v>
      </c>
      <c r="E51" s="42" t="str">
        <f>A51&amp;D51</f>
        <v>61B43223</v>
      </c>
      <c r="F51" s="3">
        <f>VLOOKUP($E51,Water!$C$2:$E$90, 2, FALSE)</f>
        <v>14</v>
      </c>
      <c r="G51" s="3">
        <f>VLOOKUP($E51,Water!$C$2:$E$90, 3, FALSE)</f>
        <v>1.1000000000000001</v>
      </c>
      <c r="H51" s="1">
        <f>F51+273.15</f>
        <v>287.14999999999998</v>
      </c>
      <c r="I51" s="3">
        <f>VLOOKUP($E51,Water!$C$2:$F$90, 4, FALSE)</f>
        <v>8.2100000000000009</v>
      </c>
      <c r="J51">
        <f>10^(I51*-1)</f>
        <v>6.1659500186148016E-9</v>
      </c>
      <c r="K51" s="25">
        <f>VLOOKUP($E51,Atm!$D$2:$G$45, 2, FALSE)</f>
        <v>456.51125997214501</v>
      </c>
      <c r="L51" s="25">
        <f>VLOOKUP($E51,Atm!$D$2:$G$45, 3, FALSE)</f>
        <v>2.3535382703497429</v>
      </c>
      <c r="M51" s="25">
        <f>VLOOKUP($E51,Atm!$D$2:$G$45, 4, FALSE)</f>
        <v>0.33206109426016461</v>
      </c>
      <c r="N51" s="21">
        <f>VLOOKUP($C51,Raw!$B$2:$F$353, 3, FALSE)</f>
        <v>782.87972243213744</v>
      </c>
      <c r="O51" s="21">
        <f>VLOOKUP($C51,Raw!$B$2:$F$353, 4, FALSE)</f>
        <v>18.60550922779716</v>
      </c>
      <c r="P51" s="21">
        <f>VLOOKUP($C51,Raw!$B$2:$F$353, 5, FALSE)</f>
        <v>0.43943550045702101</v>
      </c>
      <c r="Q51" s="14">
        <v>60</v>
      </c>
      <c r="R51" s="25">
        <v>1140</v>
      </c>
      <c r="S51">
        <f>EXP(24.4543-(100/H51*(67.4509))-(4.8489*LN(H51/100))-(0.000544*G51))</f>
        <v>1.5750794529905753E-2</v>
      </c>
      <c r="T51" s="8">
        <f>EXP(-58.0931+90.5069*(100/H51)+22.294*LN(H51/100)+G51*(0.027766-0.025888*(H51/100)+0.0050578*(H51/100)^2))</f>
        <v>4.6750008798711919E-2</v>
      </c>
      <c r="U51" s="9">
        <f>(EXP(-67.1962+99.1624*(100/H51)+27.9015*LN(H51/100)+G51*(-0.072909+0.041674*(H51/100)-0.0064603*(H51/100)^2)))</f>
        <v>3.9219328504907731E-2</v>
      </c>
      <c r="V51" s="9">
        <f>(EXP(-64.8539+100.252*(100/H51)+25.2049*LN(H51/100)+(-0.062544+0.035337*(H51/100)-0.0054699*(H51/100)^2)*G51))</f>
        <v>3.4702934409683056E-2</v>
      </c>
      <c r="W51" s="9">
        <f>(EXP(-68.8862+101.4956*(100/H51)+28.7314*LN(H51/100)+G51*(-0.076146+0.04397*(H51/100)-0.0068672*(H51/100)^2)))</f>
        <v>3.9138820979844412E-2</v>
      </c>
      <c r="X51">
        <f>N51*(AZ51-S51)</f>
        <v>707.19729355935226</v>
      </c>
      <c r="Y51">
        <f>O51*(AZ51-S51)</f>
        <v>16.80688028336596</v>
      </c>
      <c r="Z51">
        <f>((Y51/10^6)*AZ51)/(0.082056*H51)</f>
        <v>6.5557255154844449E-7</v>
      </c>
      <c r="AA51">
        <f>(((L51/10^6)*AZ51)/(0.082056*H51))</f>
        <v>9.1802586979044632E-8</v>
      </c>
      <c r="AB51">
        <f>((Y51/10^6)*U51*1)/(0.082056*H51)</f>
        <v>2.7974871289998626E-8</v>
      </c>
      <c r="AC51">
        <f>(Z51*(Q51/1000))+(AB51*(R51/1000))</f>
        <v>7.12257063635051E-8</v>
      </c>
      <c r="AD51" s="39">
        <f>((AC51-(AA51*(Q51/1000)))/(R51/1000))*1000000</f>
        <v>5.7646974688388093E-2</v>
      </c>
      <c r="AE51" s="39">
        <f>(AD51/((U51*AZ51*1))*(0.0821*273.15))</f>
        <v>35.864758488163091</v>
      </c>
      <c r="AF51" s="39">
        <f>L51*U51*AZ51*1/(0.0821*273.15)</f>
        <v>3.7829436700035969E-3</v>
      </c>
      <c r="AG51" s="39">
        <f>AD51-AF51</f>
        <v>5.3864031018384495E-2</v>
      </c>
      <c r="AH51" s="42">
        <f>P51*(AZ51-S51)</f>
        <v>0.39695445891950931</v>
      </c>
      <c r="AI51">
        <f>(((X51/10^6)*(Q51/1000))/(0.082056*H51))</f>
        <v>1.8008298352385966E-6</v>
      </c>
      <c r="AJ51">
        <f>(((K51/10^6)*AZ51)*(Q51/1000))/(0.082056*H51)</f>
        <v>1.0684061995969576E-6</v>
      </c>
      <c r="AK51">
        <f>(X51/10^6)*T51*(R51/1000)</f>
        <v>3.7690086853810466E-5</v>
      </c>
      <c r="AL51">
        <f>AI51+AK51</f>
        <v>3.949091668904906E-5</v>
      </c>
      <c r="AM51" s="39">
        <f>((AL51-AJ51)/(R51/1000))*1000000</f>
        <v>33.703956569694824</v>
      </c>
      <c r="AN51" s="39">
        <f>AM51/(T51*AZ51)</f>
        <v>784.41586966804675</v>
      </c>
      <c r="AO51" s="39">
        <f>(K51*AZ51)*T51</f>
        <v>19.61489596862576</v>
      </c>
      <c r="AP51" s="39">
        <f>AM51-AO51</f>
        <v>14.089060601069065</v>
      </c>
      <c r="AQ51">
        <f>(((AH51/10^6)*(Q51/1000))/(0.082056*H51))</f>
        <v>1.0108175460561938E-9</v>
      </c>
      <c r="AR51">
        <f>(((M51/10^6)*AZ51)*(Q51/1000))/(0.082056*H51)</f>
        <v>7.7714650844353096E-10</v>
      </c>
      <c r="AS51">
        <f>(AH51/10^6)*V51*(R51/1000)</f>
        <v>1.5704052388727053E-8</v>
      </c>
      <c r="AT51">
        <f>AQ51+AS51</f>
        <v>1.6714869934783247E-8</v>
      </c>
      <c r="AU51" s="39">
        <f>((AT51-AR51)/(R51/1000))*1000000000</f>
        <v>13.980459145912032</v>
      </c>
      <c r="AV51" s="39">
        <f>(AU51/1000)/(V51*AZ51)</f>
        <v>0.4383312330402544</v>
      </c>
      <c r="AW51" s="39">
        <f>(M51*AZ51)*V51*1000</f>
        <v>10.591001079370363</v>
      </c>
      <c r="AX51" s="39">
        <f>AU51-AW51</f>
        <v>3.3894580665416694</v>
      </c>
      <c r="AY51" s="26">
        <f>VLOOKUP($E51,Water!$C$2:$G$90, 5, FALSE)</f>
        <v>698.5</v>
      </c>
      <c r="AZ51">
        <f>AY51/760</f>
        <v>0.91907894736842111</v>
      </c>
      <c r="BA51" s="3">
        <f>Assumptions!$B$3</f>
        <v>406.07</v>
      </c>
      <c r="BB51" s="3">
        <f>BA51*AZ51*T51</f>
        <v>17.447588930152268</v>
      </c>
      <c r="BC51" s="3">
        <f>Assumptions!$B$4</f>
        <v>1.8474300000000001</v>
      </c>
      <c r="BD51" s="45">
        <f>BC51*AZ51*U51*1/(0.0821*273.15)</f>
        <v>2.9694539971241679E-3</v>
      </c>
      <c r="BE51" s="3">
        <f>Assumptions!$B$2</f>
        <v>0.33054499999999998</v>
      </c>
      <c r="BF51" s="44">
        <f>BE51*AZ51*V51*1000</f>
        <v>10.542645652542641</v>
      </c>
      <c r="BG51">
        <f>1923.6+(-125.06*F51)+(4.3773*(F51^2))+(-0.085681*(F51^3))+(0.00070284*(F51^4))</f>
        <v>822.6024374399999</v>
      </c>
      <c r="BH51">
        <f>1909.4+(-120.78*F51)+(4.1555*(F51^2))+(-0.080578*(F51^3))+(0.00065777*(F51^4))</f>
        <v>837.12086032000002</v>
      </c>
      <c r="BI51">
        <f>2141.2+(-152.56*F51)+(5.8963*(F51^2))+(-0.12411*(F51^3))+(0.0010655*(F51^4))</f>
        <v>861.40920799999969</v>
      </c>
      <c r="BJ51" s="25">
        <f>VLOOKUP(E51,Wind!$C$2:$E$109,3, FALSE)</f>
        <v>4.833333333333333</v>
      </c>
      <c r="BK51" s="44">
        <v>1.66</v>
      </c>
      <c r="BL51">
        <f>BK51/(1-(((1.3*10^-3)^0.5)/0.41)*LN(10/1.5))</f>
        <v>1.9923982880693825</v>
      </c>
      <c r="BM51">
        <f>BK51*1.22</f>
        <v>2.0251999999999999</v>
      </c>
      <c r="BN51">
        <f>2.07+0.215*(BM51^1.7)*(24/100)</f>
        <v>2.241255750541113</v>
      </c>
      <c r="BO51">
        <f>BN51*((600/BG51)^0.67)</f>
        <v>1.8141594691410119</v>
      </c>
      <c r="BP51">
        <f>BN51*((600/BH51)^0.67)</f>
        <v>1.7930181449313667</v>
      </c>
      <c r="BQ51">
        <f>BN51*((600/BI51)^0.67)</f>
        <v>1.7589860007286524</v>
      </c>
      <c r="BR51" s="39">
        <f>BO51*(AM51-BB51)</f>
        <v>29.49164328711365</v>
      </c>
      <c r="BS51" s="39">
        <f>BP51*(AD51-BD51)</f>
        <v>9.8037786719296471E-2</v>
      </c>
      <c r="BT51" s="39">
        <f>BQ51*(AU51-BF51)</f>
        <v>6.0470658079528237</v>
      </c>
      <c r="BU51">
        <f>(2.51+1.48*BM51)+(0.39*BM51*LOG10(0.0015))</f>
        <v>3.2768938069574309</v>
      </c>
      <c r="BV51">
        <f>BU51*((600/$BG51)^0.67)</f>
        <v>2.6524451427848383</v>
      </c>
      <c r="BW51">
        <f>BU51*((600/$BH51)^0.67)</f>
        <v>2.6215348486978116</v>
      </c>
      <c r="BX51">
        <f>BU51*((600/$BI51)^0.67)</f>
        <v>2.5717771525721318</v>
      </c>
      <c r="BY51" s="39">
        <f>BV51*($AM51-$BB51)</f>
        <v>43.11912338482928</v>
      </c>
      <c r="BZ51" s="39">
        <f>BW51*($AD51-$BD51)</f>
        <v>0.14333902593254405</v>
      </c>
      <c r="CA51" s="39">
        <f>BX51*($AU51-$BF51)</f>
        <v>8.8412901970515883</v>
      </c>
      <c r="CB51" s="42">
        <f>AVERAGE(0.72,0.69,0.4,0.22)</f>
        <v>0.50750000000000006</v>
      </c>
      <c r="CC51">
        <f>CB51*((600/$BG51)^0.67)</f>
        <v>0.41079021453342829</v>
      </c>
      <c r="CD51">
        <f>CB51*((600/$BH51)^0.67)</f>
        <v>0.40600306695609151</v>
      </c>
      <c r="CE51">
        <f>CB51*((600/$BI51)^0.67)</f>
        <v>0.39829697934038427</v>
      </c>
      <c r="CF51" s="39">
        <f>CC51*($AM51-$BB51)</f>
        <v>6.6779567501819681</v>
      </c>
      <c r="CG51" s="39">
        <f>CD51*($AD51-$BD51)</f>
        <v>2.2199241094208306E-2</v>
      </c>
      <c r="CH51" s="39">
        <f>CE51*($AU51-$BF51)</f>
        <v>1.3692707299446429</v>
      </c>
      <c r="CI51">
        <v>0.86263901889527161</v>
      </c>
      <c r="CJ51">
        <f>((BG51/BH51)^0.67)*CI51</f>
        <v>0.85258624708299513</v>
      </c>
      <c r="CK51">
        <f>((BH51/BH51)^0.67)*CI51</f>
        <v>0.86263901889527161</v>
      </c>
      <c r="CL51">
        <f>((BI51/BH51)^0.67)*CI51</f>
        <v>0.87932900703262495</v>
      </c>
      <c r="CM51" s="39">
        <f>CJ51*($AM51-$BB51)</f>
        <v>13.859955476999037</v>
      </c>
      <c r="CN51" s="39">
        <f>CK51*($AD51-$BD51)</f>
        <v>4.7166962804737832E-2</v>
      </c>
      <c r="CO51" s="39">
        <f>CL51*($AU51-$BF51)</f>
        <v>3.022969125487867</v>
      </c>
      <c r="CP51" s="27">
        <f>VLOOKUP(A51,Water!$A$2:$E$109, 5, FALSE)/1000</f>
        <v>1.1000000000000001E-3</v>
      </c>
      <c r="CQ51">
        <f>0.64*CP51</f>
        <v>7.0400000000000009E-4</v>
      </c>
      <c r="CR51" s="19">
        <f>CQ51*1000*(2.5*10^-5)</f>
        <v>1.7600000000000004E-5</v>
      </c>
      <c r="CS51" s="18">
        <f>(-0.0000009*F51^3)+(0.0002*F51^2)-(0.0134*F51)+6.579</f>
        <v>6.4281303999999997</v>
      </c>
      <c r="CT51" s="18">
        <f>CS51-(SQRT(CP51))/(1+1.4*SQRT(CP51))</f>
        <v>6.3964358185789019</v>
      </c>
      <c r="CU51" s="18">
        <f>10^(-CT51)</f>
        <v>4.0138781224852706E-7</v>
      </c>
      <c r="CV51" s="18">
        <f>(0.000001*F51^3)+(0.00006*F51^2)-(0.014*F51)+10.625</f>
        <v>10.443504000000001</v>
      </c>
      <c r="CW51" s="18">
        <f>CV51-(2*SQRT(CR51))/(1+1.4*SQRT(CR51))</f>
        <v>10.435162521466996</v>
      </c>
      <c r="CX51" s="18">
        <f>10^(-CW51)</f>
        <v>3.6714488201053312E-11</v>
      </c>
      <c r="CY51">
        <f>EXP(1246.98+-61900/H51-183*LN(H51))</f>
        <v>1.268110683909794E-2</v>
      </c>
      <c r="CZ51">
        <f>12.225*(F51^2)+15.258*F51+1125.7</f>
        <v>3735.4120000000003</v>
      </c>
      <c r="DA51" s="15">
        <f>10^(-4470.99/H51+6.0875-0.01706*H51)</f>
        <v>4.1542858725884671E-15</v>
      </c>
      <c r="DB51">
        <f>(10^-I51)</f>
        <v>6.1659500186148016E-9</v>
      </c>
      <c r="DC51">
        <f>DB51^2</f>
        <v>3.8018939632055872E-17</v>
      </c>
      <c r="DD51" s="20">
        <f>((14.6836*10^-9)*((H51/217.2056)-1)^1.997)*100*100</f>
        <v>1.5278220072120082E-5</v>
      </c>
      <c r="DE51">
        <f>CY51+CZ51*DA51/DB51</f>
        <v>1.5197826769205901E-2</v>
      </c>
      <c r="DF51">
        <f>1+DC51*(CU51*CX51+CU51*DB51)^-1</f>
        <v>1.0152706501339956</v>
      </c>
      <c r="DG51">
        <f>(DE51*DF51/DD51)^0.5</f>
        <v>31.779369753008446</v>
      </c>
      <c r="DH51">
        <f>DD51/(BO51/60/60)</f>
        <v>3.0317947895548043E-2</v>
      </c>
      <c r="DI51" s="16">
        <f>DF51/((DF51-1)+TANH(DG51*DH51)/(DG51*DH51))</f>
        <v>1.286188340111152</v>
      </c>
      <c r="DJ51">
        <f>$DI51*BR51</f>
        <v>37.931807726602905</v>
      </c>
      <c r="DK51">
        <f>$DI51*BY51</f>
        <v>55.459313733381528</v>
      </c>
      <c r="DL51">
        <f>$DI51*CF51</f>
        <v>8.5891101078506082</v>
      </c>
      <c r="DM51">
        <f>$DI51*CM51</f>
        <v>17.826513128975861</v>
      </c>
    </row>
    <row r="52" spans="1:117" ht="15.75" x14ac:dyDescent="0.25">
      <c r="A52" s="52" t="s">
        <v>334</v>
      </c>
      <c r="B52" s="55" t="s">
        <v>341</v>
      </c>
      <c r="C52" t="s">
        <v>190</v>
      </c>
      <c r="D52" s="57">
        <v>43223</v>
      </c>
      <c r="E52" s="42" t="str">
        <f>A52&amp;D52</f>
        <v>61B43223</v>
      </c>
      <c r="F52" s="3">
        <f>VLOOKUP($E52,Water!$C$2:$E$90, 2, FALSE)</f>
        <v>14</v>
      </c>
      <c r="G52" s="3">
        <f>VLOOKUP($E52,Water!$C$2:$E$90, 3, FALSE)</f>
        <v>1.1000000000000001</v>
      </c>
      <c r="H52" s="1">
        <f>F52+273.15</f>
        <v>287.14999999999998</v>
      </c>
      <c r="I52" s="3">
        <f>VLOOKUP($E52,Water!$C$2:$F$90, 4, FALSE)</f>
        <v>8.2100000000000009</v>
      </c>
      <c r="J52">
        <f>10^(I52*-1)</f>
        <v>6.1659500186148016E-9</v>
      </c>
      <c r="K52" s="25">
        <f>VLOOKUP($E52,Atm!$D$2:$G$45, 2, FALSE)</f>
        <v>456.51125997214501</v>
      </c>
      <c r="L52" s="25">
        <f>VLOOKUP($E52,Atm!$D$2:$G$45, 3, FALSE)</f>
        <v>2.3535382703497429</v>
      </c>
      <c r="M52" s="25">
        <f>VLOOKUP($E52,Atm!$D$2:$G$45, 4, FALSE)</f>
        <v>0.33206109426016461</v>
      </c>
      <c r="N52" s="21">
        <f>VLOOKUP($C52,Raw!$B$2:$F$353, 3, FALSE)</f>
        <v>794.08660331227634</v>
      </c>
      <c r="O52" s="21">
        <f>VLOOKUP($C52,Raw!$B$2:$F$353, 4, FALSE)</f>
        <v>18.354409056395522</v>
      </c>
      <c r="P52" s="21">
        <f>VLOOKUP($C52,Raw!$B$2:$F$353, 5, FALSE)</f>
        <v>0.45032938619511176</v>
      </c>
      <c r="Q52" s="14">
        <v>60</v>
      </c>
      <c r="R52" s="25">
        <v>1140</v>
      </c>
      <c r="S52">
        <f>EXP(24.4543-(100/H52*(67.4509))-(4.8489*LN(H52/100))-(0.000544*G52))</f>
        <v>1.5750794529905753E-2</v>
      </c>
      <c r="T52" s="8">
        <f>EXP(-58.0931+90.5069*(100/H52)+22.294*LN(H52/100)+G52*(0.027766-0.025888*(H52/100)+0.0050578*(H52/100)^2))</f>
        <v>4.6750008798711919E-2</v>
      </c>
      <c r="U52" s="9">
        <f>(EXP(-67.1962+99.1624*(100/H52)+27.9015*LN(H52/100)+G52*(-0.072909+0.041674*(H52/100)-0.0064603*(H52/100)^2)))</f>
        <v>3.9219328504907731E-2</v>
      </c>
      <c r="V52" s="9">
        <f>(EXP(-64.8539+100.252*(100/H52)+25.2049*LN(H52/100)+(-0.062544+0.035337*(H52/100)-0.0054699*(H52/100)^2)*G52))</f>
        <v>3.4702934409683056E-2</v>
      </c>
      <c r="W52" s="9">
        <f>(EXP(-68.8862+101.4956*(100/H52)+28.7314*LN(H52/100)+G52*(-0.076146+0.04397*(H52/100)-0.0068672*(H52/100)^2)))</f>
        <v>3.9138820979844412E-2</v>
      </c>
      <c r="X52">
        <f>N52*(AZ52-S52)</f>
        <v>717.32078456388945</v>
      </c>
      <c r="Y52">
        <f>O52*(AZ52-S52)</f>
        <v>16.580054429356284</v>
      </c>
      <c r="Z52">
        <f>((Y52/10^6)*AZ52)/(0.082056*H52)</f>
        <v>6.4672493668101123E-7</v>
      </c>
      <c r="AA52">
        <f>(((L52/10^6)*AZ52)/(0.082056*H52))</f>
        <v>9.1802586979044632E-8</v>
      </c>
      <c r="AB52">
        <f>((Y52/10^6)*U52*1)/(0.082056*H52)</f>
        <v>2.7597322097990346E-8</v>
      </c>
      <c r="AC52">
        <f>(Z52*(Q52/1000))+(AB52*(R52/1000))</f>
        <v>7.0264443392569667E-8</v>
      </c>
      <c r="AD52" s="39">
        <f>((AC52-(AA52*(Q52/1000)))/(R52/1000))*1000000</f>
        <v>5.680376155598859E-2</v>
      </c>
      <c r="AE52" s="39">
        <f>(AD52/((U52*AZ52*1))*(0.0821*273.15))</f>
        <v>35.340157925669956</v>
      </c>
      <c r="AF52" s="39">
        <f>L52*U52*AZ52*1/(0.0821*273.15)</f>
        <v>3.7829436700035969E-3</v>
      </c>
      <c r="AG52" s="39">
        <f>AD52-AF52</f>
        <v>5.3020817885984992E-2</v>
      </c>
      <c r="AH52" s="42">
        <f>P52*(AZ52-S52)</f>
        <v>0.4067952126005327</v>
      </c>
      <c r="AI52">
        <f>(((X52/10^6)*(Q52/1000))/(0.082056*H52))</f>
        <v>1.8266086169219714E-6</v>
      </c>
      <c r="AJ52">
        <f>(((K52/10^6)*AZ52)*(Q52/1000))/(0.082056*H52)</f>
        <v>1.0684061995969576E-6</v>
      </c>
      <c r="AK52">
        <f>(X52/10^6)*T52*(R52/1000)</f>
        <v>3.8229618408441273E-5</v>
      </c>
      <c r="AL52">
        <f>AI52+AK52</f>
        <v>4.0056227025363241E-5</v>
      </c>
      <c r="AM52" s="39">
        <f>((AL52-AJ52)/(R52/1000))*1000000</f>
        <v>34.199842829619548</v>
      </c>
      <c r="AN52" s="39">
        <f>AM52/(T52*AZ52)</f>
        <v>795.95697912298363</v>
      </c>
      <c r="AO52" s="39">
        <f>(K52*AZ52)*T52</f>
        <v>19.61489596862576</v>
      </c>
      <c r="AP52" s="39">
        <f>AM52-AO52</f>
        <v>14.584946860993789</v>
      </c>
      <c r="AQ52">
        <f>(((AH52/10^6)*(Q52/1000))/(0.082056*H52))</f>
        <v>1.03587635636474E-9</v>
      </c>
      <c r="AR52">
        <f>(((M52/10^6)*AZ52)*(Q52/1000))/(0.082056*H52)</f>
        <v>7.7714650844353096E-10</v>
      </c>
      <c r="AS52">
        <f>(AH52/10^6)*V52*(R52/1000)</f>
        <v>1.609336584239627E-8</v>
      </c>
      <c r="AT52">
        <f>AQ52+AS52</f>
        <v>1.7129242198761011E-8</v>
      </c>
      <c r="AU52" s="39">
        <f>((AT52-AR52)/(R52/1000))*1000000000</f>
        <v>14.34394358799779</v>
      </c>
      <c r="AV52" s="39">
        <f>(AU52/1000)/(V52*AZ52)</f>
        <v>0.44972761008535211</v>
      </c>
      <c r="AW52" s="39">
        <f>(M52*AZ52)*V52*1000</f>
        <v>10.591001079370363</v>
      </c>
      <c r="AX52" s="39">
        <f>AU52-AW52</f>
        <v>3.7529425086274273</v>
      </c>
      <c r="AY52" s="26">
        <f>VLOOKUP($E52,Water!$C$2:$G$90, 5, FALSE)</f>
        <v>698.5</v>
      </c>
      <c r="AZ52">
        <f>AY52/760</f>
        <v>0.91907894736842111</v>
      </c>
      <c r="BA52" s="3">
        <f>Assumptions!$B$3</f>
        <v>406.07</v>
      </c>
      <c r="BB52" s="3">
        <f>BA52*AZ52*T52</f>
        <v>17.447588930152268</v>
      </c>
      <c r="BC52" s="3">
        <f>Assumptions!$B$4</f>
        <v>1.8474300000000001</v>
      </c>
      <c r="BD52" s="45">
        <f>BC52*AZ52*U52*1/(0.0821*273.15)</f>
        <v>2.9694539971241679E-3</v>
      </c>
      <c r="BE52" s="3">
        <f>Assumptions!$B$2</f>
        <v>0.33054499999999998</v>
      </c>
      <c r="BF52" s="44">
        <f>BE52*AZ52*V52*1000</f>
        <v>10.542645652542641</v>
      </c>
      <c r="BG52">
        <f>1923.6+(-125.06*F52)+(4.3773*(F52^2))+(-0.085681*(F52^3))+(0.00070284*(F52^4))</f>
        <v>822.6024374399999</v>
      </c>
      <c r="BH52">
        <f>1909.4+(-120.78*F52)+(4.1555*(F52^2))+(-0.080578*(F52^3))+(0.00065777*(F52^4))</f>
        <v>837.12086032000002</v>
      </c>
      <c r="BI52">
        <f>2141.2+(-152.56*F52)+(5.8963*(F52^2))+(-0.12411*(F52^3))+(0.0010655*(F52^4))</f>
        <v>861.40920799999969</v>
      </c>
      <c r="BJ52" s="25">
        <f>VLOOKUP(E52,Wind!$C$2:$E$109,3, FALSE)</f>
        <v>4.833333333333333</v>
      </c>
      <c r="BK52" s="44">
        <v>1.66</v>
      </c>
      <c r="BL52">
        <f>BK52/(1-(((1.3*10^-3)^0.5)/0.41)*LN(10/1.5))</f>
        <v>1.9923982880693825</v>
      </c>
      <c r="BM52">
        <f>BK52*1.22</f>
        <v>2.0251999999999999</v>
      </c>
      <c r="BN52">
        <f>2.07+0.215*(BM52^1.7)*(24/100)</f>
        <v>2.241255750541113</v>
      </c>
      <c r="BO52">
        <f>BN52*((600/BG52)^0.67)</f>
        <v>1.8141594691410119</v>
      </c>
      <c r="BP52">
        <f>BN52*((600/BH52)^0.67)</f>
        <v>1.7930181449313667</v>
      </c>
      <c r="BQ52">
        <f>BN52*((600/BI52)^0.67)</f>
        <v>1.7589860007286524</v>
      </c>
      <c r="BR52" s="39">
        <f>BO52*(AM52-BB52)</f>
        <v>30.391260041173009</v>
      </c>
      <c r="BS52" s="39">
        <f>BP52*(AD52-BD52)</f>
        <v>9.6525890272859738E-2</v>
      </c>
      <c r="BT52" s="39">
        <f>BQ52*(AU52-BF52)</f>
        <v>6.6864298530643369</v>
      </c>
      <c r="BU52">
        <f>(2.51+1.48*BM52)+(0.39*BM52*LOG10(0.0015))</f>
        <v>3.2768938069574309</v>
      </c>
      <c r="BV52">
        <f>BU52*((600/$BG52)^0.67)</f>
        <v>2.6524451427848383</v>
      </c>
      <c r="BW52">
        <f>BU52*((600/$BH52)^0.67)</f>
        <v>2.6215348486978116</v>
      </c>
      <c r="BX52">
        <f>BU52*((600/$BI52)^0.67)</f>
        <v>2.5717771525721318</v>
      </c>
      <c r="BY52" s="39">
        <f>BV52*($AM52-$BB52)</f>
        <v>44.434434486340358</v>
      </c>
      <c r="BZ52" s="39">
        <f>BW52*($AD52-$BD52)</f>
        <v>0.14112851332107912</v>
      </c>
      <c r="CA52" s="39">
        <f>BX52*($AU52-$BF52)</f>
        <v>9.7760911805231689</v>
      </c>
      <c r="CB52" s="42">
        <f>AVERAGE(0.72,0.69,0.4,0.22)</f>
        <v>0.50750000000000006</v>
      </c>
      <c r="CC52">
        <f>CB52*((600/$BG52)^0.67)</f>
        <v>0.41079021453342829</v>
      </c>
      <c r="CD52">
        <f>CB52*((600/$BH52)^0.67)</f>
        <v>0.40600306695609151</v>
      </c>
      <c r="CE52">
        <f>CB52*((600/$BI52)^0.67)</f>
        <v>0.39829697934038427</v>
      </c>
      <c r="CF52" s="39">
        <f>CC52*($AM52-$BB52)</f>
        <v>6.8816619732806252</v>
      </c>
      <c r="CG52" s="39">
        <f>CD52*($AD52-$BD52)</f>
        <v>2.1856893976356456E-2</v>
      </c>
      <c r="CH52" s="39">
        <f>CE52*($AU52-$BF52)</f>
        <v>1.5140454852646252</v>
      </c>
      <c r="CI52">
        <v>0.86263901889527161</v>
      </c>
      <c r="CJ52">
        <f>((BG52/BH52)^0.67)*CI52</f>
        <v>0.85258624708299513</v>
      </c>
      <c r="CK52">
        <f>((BH52/BH52)^0.67)*CI52</f>
        <v>0.86263901889527161</v>
      </c>
      <c r="CL52">
        <f>((BI52/BH52)^0.67)*CI52</f>
        <v>0.87932900703262495</v>
      </c>
      <c r="CM52" s="39">
        <f>CJ52*($AM52-$BB52)</f>
        <v>14.28274128232828</v>
      </c>
      <c r="CN52" s="39">
        <f>CK52*($AD52-$BD52)</f>
        <v>4.643957425548511E-2</v>
      </c>
      <c r="CO52" s="39">
        <f>CL52*($AU52-$BF52)</f>
        <v>3.3425915390189442</v>
      </c>
      <c r="CP52" s="27">
        <f>VLOOKUP(A52,Water!$A$2:$E$109, 5, FALSE)/1000</f>
        <v>1.1000000000000001E-3</v>
      </c>
      <c r="CQ52">
        <f>0.64*CP52</f>
        <v>7.0400000000000009E-4</v>
      </c>
      <c r="CR52" s="19">
        <f>CQ52*1000*(2.5*10^-5)</f>
        <v>1.7600000000000004E-5</v>
      </c>
      <c r="CS52" s="18">
        <f>(-0.0000009*F52^3)+(0.0002*F52^2)-(0.0134*F52)+6.579</f>
        <v>6.4281303999999997</v>
      </c>
      <c r="CT52" s="18">
        <f>CS52-(SQRT(CP52))/(1+1.4*SQRT(CP52))</f>
        <v>6.3964358185789019</v>
      </c>
      <c r="CU52" s="18">
        <f>10^(-CT52)</f>
        <v>4.0138781224852706E-7</v>
      </c>
      <c r="CV52" s="18">
        <f>(0.000001*F52^3)+(0.00006*F52^2)-(0.014*F52)+10.625</f>
        <v>10.443504000000001</v>
      </c>
      <c r="CW52" s="18">
        <f>CV52-(2*SQRT(CR52))/(1+1.4*SQRT(CR52))</f>
        <v>10.435162521466996</v>
      </c>
      <c r="CX52" s="18">
        <f>10^(-CW52)</f>
        <v>3.6714488201053312E-11</v>
      </c>
      <c r="CY52">
        <f>EXP(1246.98+-61900/H52-183*LN(H52))</f>
        <v>1.268110683909794E-2</v>
      </c>
      <c r="CZ52">
        <f>12.225*(F52^2)+15.258*F52+1125.7</f>
        <v>3735.4120000000003</v>
      </c>
      <c r="DA52" s="15">
        <f>10^(-4470.99/H52+6.0875-0.01706*H52)</f>
        <v>4.1542858725884671E-15</v>
      </c>
      <c r="DB52">
        <f>(10^-I52)</f>
        <v>6.1659500186148016E-9</v>
      </c>
      <c r="DC52">
        <f>DB52^2</f>
        <v>3.8018939632055872E-17</v>
      </c>
      <c r="DD52" s="20">
        <f>((14.6836*10^-9)*((H52/217.2056)-1)^1.997)*100*100</f>
        <v>1.5278220072120082E-5</v>
      </c>
      <c r="DE52">
        <f>CY52+CZ52*DA52/DB52</f>
        <v>1.5197826769205901E-2</v>
      </c>
      <c r="DF52">
        <f>1+DC52*(CU52*CX52+CU52*DB52)^-1</f>
        <v>1.0152706501339956</v>
      </c>
      <c r="DG52">
        <f>(DE52*DF52/DD52)^0.5</f>
        <v>31.779369753008446</v>
      </c>
      <c r="DH52">
        <f>DD52/(BO52/60/60)</f>
        <v>3.0317947895548043E-2</v>
      </c>
      <c r="DI52" s="16">
        <f>DF52/((DF52-1)+TANH(DG52*DH52)/(DG52*DH52))</f>
        <v>1.286188340111152</v>
      </c>
      <c r="DJ52">
        <f>$DI52*BR52</f>
        <v>39.088884306242697</v>
      </c>
      <c r="DK52">
        <f>$DI52*BY52</f>
        <v>57.151051535763834</v>
      </c>
      <c r="DL52">
        <f>$DI52*CF52</f>
        <v>8.851113390619842</v>
      </c>
      <c r="DM52">
        <f>$DI52*CM52</f>
        <v>18.370295302154837</v>
      </c>
    </row>
    <row r="53" spans="1:117" ht="15.75" x14ac:dyDescent="0.25">
      <c r="A53" s="51" t="s">
        <v>334</v>
      </c>
      <c r="B53" s="54" t="s">
        <v>342</v>
      </c>
      <c r="C53" s="48" t="s">
        <v>191</v>
      </c>
      <c r="D53" s="57">
        <v>43223</v>
      </c>
      <c r="E53" s="42" t="str">
        <f>A53&amp;D53</f>
        <v>61B43223</v>
      </c>
      <c r="F53" s="3">
        <f>VLOOKUP($E53,Water!$C$2:$E$90, 2, FALSE)</f>
        <v>14</v>
      </c>
      <c r="G53" s="3">
        <f>VLOOKUP($E53,Water!$C$2:$E$90, 3, FALSE)</f>
        <v>1.1000000000000001</v>
      </c>
      <c r="H53" s="1">
        <f>F53+273.15</f>
        <v>287.14999999999998</v>
      </c>
      <c r="I53" s="3">
        <f>VLOOKUP($E53,Water!$C$2:$F$90, 4, FALSE)</f>
        <v>8.2100000000000009</v>
      </c>
      <c r="J53">
        <f>10^(I53*-1)</f>
        <v>6.1659500186148016E-9</v>
      </c>
      <c r="K53" s="25">
        <f>VLOOKUP($E53,Atm!$D$2:$G$45, 2, FALSE)</f>
        <v>456.51125997214501</v>
      </c>
      <c r="L53" s="25">
        <f>VLOOKUP($E53,Atm!$D$2:$G$45, 3, FALSE)</f>
        <v>2.3535382703497429</v>
      </c>
      <c r="M53" s="25">
        <f>VLOOKUP($E53,Atm!$D$2:$G$45, 4, FALSE)</f>
        <v>0.33206109426016461</v>
      </c>
      <c r="N53" s="21">
        <f>VLOOKUP($C53,Raw!$B$2:$F$353, 3, FALSE)</f>
        <v>415.697443667176</v>
      </c>
      <c r="O53" s="21">
        <f>VLOOKUP($C53,Raw!$B$2:$F$353, 4, FALSE)</f>
        <v>2.1243140058399899</v>
      </c>
      <c r="P53" s="21">
        <f>VLOOKUP($C53,Raw!$B$2:$F$353, 5, FALSE)</f>
        <v>0.32720279611643893</v>
      </c>
      <c r="Q53" s="14">
        <v>60</v>
      </c>
      <c r="R53" s="25">
        <v>1140</v>
      </c>
      <c r="S53">
        <f>EXP(24.4543-(100/H53*(67.4509))-(4.8489*LN(H53/100))-(0.000544*G53))</f>
        <v>1.5750794529905753E-2</v>
      </c>
      <c r="T53" s="8">
        <f>EXP(-58.0931+90.5069*(100/H53)+22.294*LN(H53/100)+G53*(0.027766-0.025888*(H53/100)+0.0050578*(H53/100)^2))</f>
        <v>4.6750008798711919E-2</v>
      </c>
      <c r="U53" s="9">
        <f>(EXP(-67.1962+99.1624*(100/H53)+27.9015*LN(H53/100)+G53*(-0.072909+0.041674*(H53/100)-0.0064603*(H53/100)^2)))</f>
        <v>3.9219328504907731E-2</v>
      </c>
      <c r="V53" s="9">
        <f>(EXP(-64.8539+100.252*(100/H53)+25.2049*LN(H53/100)+(-0.062544+0.035337*(H53/100)-0.0054699*(H53/100)^2)*G53))</f>
        <v>3.4702934409683056E-2</v>
      </c>
      <c r="W53" s="9">
        <f>(EXP(-68.8862+101.4956*(100/H53)+28.7314*LN(H53/100)+G53*(-0.076146+0.04397*(H53/100)-0.0068672*(H53/100)^2)))</f>
        <v>3.9138820979844412E-2</v>
      </c>
      <c r="X53">
        <f>N53*(AZ53-S53)</f>
        <v>375.51120392756286</v>
      </c>
      <c r="Y53">
        <f>O53*(AZ53-S53)</f>
        <v>1.9189526469444251</v>
      </c>
      <c r="Z53">
        <f>((Y53/10^6)*AZ53)/(0.082056*H53)</f>
        <v>7.4851052774087611E-8</v>
      </c>
      <c r="AA53">
        <f>(((L53/10^6)*AZ53)/(0.082056*H53))</f>
        <v>9.1802586979044632E-8</v>
      </c>
      <c r="AB53">
        <f>((Y53/10^6)*U53*1)/(0.082056*H53)</f>
        <v>3.1940760215328515E-9</v>
      </c>
      <c r="AC53">
        <f>(Z53*(Q53/1000))+(AB53*(R53/1000))</f>
        <v>8.1323098309927064E-9</v>
      </c>
      <c r="AD53" s="39">
        <f>((AC53-(AA53*(Q53/1000)))/(R53/1000))*1000000</f>
        <v>2.3018900107456392E-3</v>
      </c>
      <c r="AE53" s="39">
        <f>(AD53/((U53*AZ53*1))*(0.0821*273.15))</f>
        <v>1.4321086188472092</v>
      </c>
      <c r="AF53" s="39">
        <f>L53*U53*AZ53*1/(0.0821*273.15)</f>
        <v>3.7829436700035969E-3</v>
      </c>
      <c r="AG53" s="39">
        <f>AD53-AF53</f>
        <v>-1.4810536592579577E-3</v>
      </c>
      <c r="AH53" s="42">
        <f>P53*(AZ53-S53)</f>
        <v>0.29557149741946009</v>
      </c>
      <c r="AI53">
        <f>(((X53/10^6)*(Q53/1000))/(0.082056*H53))</f>
        <v>9.5621375485703341E-7</v>
      </c>
      <c r="AJ53">
        <f>(((K53/10^6)*AZ53)*(Q53/1000))/(0.082056*H53)</f>
        <v>1.0684061995969576E-6</v>
      </c>
      <c r="AK53">
        <f>(X53/10^6)*T53*(R53/1000)</f>
        <v>2.0012873379896451E-5</v>
      </c>
      <c r="AL53">
        <f>AI53+AK53</f>
        <v>2.0969087134753486E-5</v>
      </c>
      <c r="AM53" s="39">
        <f>((AL53-AJ53)/(R53/1000))*1000000</f>
        <v>17.456737662418007</v>
      </c>
      <c r="AN53" s="39">
        <f>AM53/(T53*AZ53)</f>
        <v>406.28292487609724</v>
      </c>
      <c r="AO53" s="39">
        <f>(K53*AZ53)*T53</f>
        <v>19.61489596862576</v>
      </c>
      <c r="AP53" s="39">
        <f>AM53-AO53</f>
        <v>-2.1581583062077527</v>
      </c>
      <c r="AQ53">
        <f>(((AH53/10^6)*(Q53/1000))/(0.082056*H53))</f>
        <v>7.5265272625713185E-10</v>
      </c>
      <c r="AR53">
        <f>(((M53/10^6)*AZ53)*(Q53/1000))/(0.082056*H53)</f>
        <v>7.7714650844353096E-10</v>
      </c>
      <c r="AS53">
        <f>(AH53/10^6)*V53*(R53/1000)</f>
        <v>1.1693206048684035E-8</v>
      </c>
      <c r="AT53">
        <f>AQ53+AS53</f>
        <v>1.2445858774941166E-8</v>
      </c>
      <c r="AU53" s="39">
        <f>((AT53-AR53)/(R53/1000))*1000000000</f>
        <v>10.235712514471611</v>
      </c>
      <c r="AV53" s="39">
        <f>(AU53/1000)/(V53*AZ53)</f>
        <v>0.32092168366486173</v>
      </c>
      <c r="AW53" s="39">
        <f>(M53*AZ53)*V53*1000</f>
        <v>10.591001079370363</v>
      </c>
      <c r="AX53" s="39">
        <f>AU53-AW53</f>
        <v>-0.3552885648987516</v>
      </c>
      <c r="AY53" s="26">
        <f>VLOOKUP($E53,Water!$C$2:$G$90, 5, FALSE)</f>
        <v>698.5</v>
      </c>
      <c r="AZ53">
        <f>AY53/760</f>
        <v>0.91907894736842111</v>
      </c>
      <c r="BA53" s="3">
        <f>Assumptions!$B$3</f>
        <v>406.07</v>
      </c>
      <c r="BB53" s="3">
        <f>BA53*AZ53*T53</f>
        <v>17.447588930152268</v>
      </c>
      <c r="BC53" s="3">
        <f>Assumptions!$B$4</f>
        <v>1.8474300000000001</v>
      </c>
      <c r="BD53" s="45">
        <f>BC53*AZ53*U53*1/(0.0821*273.15)</f>
        <v>2.9694539971241679E-3</v>
      </c>
      <c r="BE53" s="3">
        <f>Assumptions!$B$2</f>
        <v>0.33054499999999998</v>
      </c>
      <c r="BF53" s="44">
        <f>BE53*AZ53*V53*1000</f>
        <v>10.542645652542641</v>
      </c>
      <c r="BG53">
        <f>1923.6+(-125.06*F53)+(4.3773*(F53^2))+(-0.085681*(F53^3))+(0.00070284*(F53^4))</f>
        <v>822.6024374399999</v>
      </c>
      <c r="BH53">
        <f>1909.4+(-120.78*F53)+(4.1555*(F53^2))+(-0.080578*(F53^3))+(0.00065777*(F53^4))</f>
        <v>837.12086032000002</v>
      </c>
      <c r="BI53">
        <f>2141.2+(-152.56*F53)+(5.8963*(F53^2))+(-0.12411*(F53^3))+(0.0010655*(F53^4))</f>
        <v>861.40920799999969</v>
      </c>
      <c r="BJ53" s="25">
        <f>VLOOKUP(E53,Wind!$C$2:$E$109,3, FALSE)</f>
        <v>4.833333333333333</v>
      </c>
      <c r="BK53" s="44">
        <v>1.66</v>
      </c>
      <c r="BL53">
        <f>BK53/(1-(((1.3*10^-3)^0.5)/0.41)*LN(10/1.5))</f>
        <v>1.9923982880693825</v>
      </c>
      <c r="BM53">
        <f>BK53*1.22</f>
        <v>2.0251999999999999</v>
      </c>
      <c r="BN53">
        <f>2.07+0.215*(BM53^1.7)*(24/100)</f>
        <v>2.241255750541113</v>
      </c>
      <c r="BO53">
        <f>BN53*((600/BG53)^0.67)</f>
        <v>1.8141594691410119</v>
      </c>
      <c r="BP53">
        <f>BN53*((600/BH53)^0.67)</f>
        <v>1.7930181449313667</v>
      </c>
      <c r="BQ53">
        <f>BN53*((600/BI53)^0.67)</f>
        <v>1.7589860007286524</v>
      </c>
      <c r="BR53" s="39">
        <f>BO53*(AM53-BB53)</f>
        <v>1.6597259270526878E-2</v>
      </c>
      <c r="BS53" s="39">
        <f>BP53*(AD53-BD53)</f>
        <v>-1.1969543404794177E-3</v>
      </c>
      <c r="BT53" s="39">
        <f>BQ53*(AU53-BF53)</f>
        <v>-0.53989109302665494</v>
      </c>
      <c r="BU53">
        <f>(2.51+1.48*BM53)+(0.39*BM53*LOG10(0.0015))</f>
        <v>3.2768938069574309</v>
      </c>
      <c r="BV53">
        <f>BU53*((600/$BG53)^0.67)</f>
        <v>2.6524451427848383</v>
      </c>
      <c r="BW53">
        <f>BU53*((600/$BH53)^0.67)</f>
        <v>2.6215348486978116</v>
      </c>
      <c r="BX53">
        <f>BU53*((600/$BI53)^0.67)</f>
        <v>2.5717771525721318</v>
      </c>
      <c r="BY53" s="39">
        <f>BV53*($AM53-$BB53)</f>
        <v>2.4266510460899168E-2</v>
      </c>
      <c r="BZ53" s="39">
        <f>BW53*($AD53-$BD53)</f>
        <v>-1.7500422540269443E-3</v>
      </c>
      <c r="CA53" s="39">
        <f>BX53*($AU53-$BF53)</f>
        <v>-0.78936363185834035</v>
      </c>
      <c r="CB53" s="42">
        <f>AVERAGE(0.72,0.69,0.4,0.22)</f>
        <v>0.50750000000000006</v>
      </c>
      <c r="CC53">
        <f>CB53*((600/$BG53)^0.67)</f>
        <v>0.41079021453342829</v>
      </c>
      <c r="CD53">
        <f>CB53*((600/$BH53)^0.67)</f>
        <v>0.40600306695609151</v>
      </c>
      <c r="CE53">
        <f>CB53*((600/$BI53)^0.67)</f>
        <v>0.39829697934038427</v>
      </c>
      <c r="CF53" s="39">
        <f>CC53*($AM53-$BB53)</f>
        <v>3.7582096901519497E-3</v>
      </c>
      <c r="CG53" s="39">
        <f>CD53*($AD53-$BD53)</f>
        <v>-2.7103302585911715E-4</v>
      </c>
      <c r="CH53" s="39">
        <f>CE53*($AU53-$BF53)</f>
        <v>-0.12225054175315603</v>
      </c>
      <c r="CI53">
        <v>0.86263901889527161</v>
      </c>
      <c r="CJ53">
        <f>((BG53/BH53)^0.67)*CI53</f>
        <v>0.85258624708299513</v>
      </c>
      <c r="CK53">
        <f>((BH53/BH53)^0.67)*CI53</f>
        <v>0.86263901889527161</v>
      </c>
      <c r="CL53">
        <f>((BI53/BH53)^0.67)*CI53</f>
        <v>0.87932900703262495</v>
      </c>
      <c r="CM53" s="39">
        <f>CJ53*($AM53-$BB53)</f>
        <v>7.8000833080137874E-3</v>
      </c>
      <c r="CN53" s="39">
        <f>CK53*($AD53-$BD53)</f>
        <v>-5.7586674225939042E-4</v>
      </c>
      <c r="CO53" s="39">
        <f>CL53*($AU53-$BF53)</f>
        <v>-0.26989521152540569</v>
      </c>
      <c r="CP53" s="27">
        <f>VLOOKUP(A53,Water!$A$2:$E$109, 5, FALSE)/1000</f>
        <v>1.1000000000000001E-3</v>
      </c>
      <c r="CQ53">
        <f>0.64*CP53</f>
        <v>7.0400000000000009E-4</v>
      </c>
      <c r="CR53" s="19">
        <f>CQ53*1000*(2.5*10^-5)</f>
        <v>1.7600000000000004E-5</v>
      </c>
      <c r="CS53" s="18">
        <f>(-0.0000009*F53^3)+(0.0002*F53^2)-(0.0134*F53)+6.579</f>
        <v>6.4281303999999997</v>
      </c>
      <c r="CT53" s="18">
        <f>CS53-(SQRT(CP53))/(1+1.4*SQRT(CP53))</f>
        <v>6.3964358185789019</v>
      </c>
      <c r="CU53" s="18">
        <f>10^(-CT53)</f>
        <v>4.0138781224852706E-7</v>
      </c>
      <c r="CV53" s="18">
        <f>(0.000001*F53^3)+(0.00006*F53^2)-(0.014*F53)+10.625</f>
        <v>10.443504000000001</v>
      </c>
      <c r="CW53" s="18">
        <f>CV53-(2*SQRT(CR53))/(1+1.4*SQRT(CR53))</f>
        <v>10.435162521466996</v>
      </c>
      <c r="CX53" s="18">
        <f>10^(-CW53)</f>
        <v>3.6714488201053312E-11</v>
      </c>
      <c r="CY53">
        <f>EXP(1246.98+-61900/H53-183*LN(H53))</f>
        <v>1.268110683909794E-2</v>
      </c>
      <c r="CZ53">
        <f>12.225*(F53^2)+15.258*F53+1125.7</f>
        <v>3735.4120000000003</v>
      </c>
      <c r="DA53" s="15">
        <f>10^(-4470.99/H53+6.0875-0.01706*H53)</f>
        <v>4.1542858725884671E-15</v>
      </c>
      <c r="DB53">
        <f>(10^-I53)</f>
        <v>6.1659500186148016E-9</v>
      </c>
      <c r="DC53">
        <f>DB53^2</f>
        <v>3.8018939632055872E-17</v>
      </c>
      <c r="DD53" s="20">
        <f>((14.6836*10^-9)*((H53/217.2056)-1)^1.997)*100*100</f>
        <v>1.5278220072120082E-5</v>
      </c>
      <c r="DE53">
        <f>CY53+CZ53*DA53/DB53</f>
        <v>1.5197826769205901E-2</v>
      </c>
      <c r="DF53">
        <f>1+DC53*(CU53*CX53+CU53*DB53)^-1</f>
        <v>1.0152706501339956</v>
      </c>
      <c r="DG53">
        <f>(DE53*DF53/DD53)^0.5</f>
        <v>31.779369753008446</v>
      </c>
      <c r="DH53">
        <f>DD53/(BO53/60/60)</f>
        <v>3.0317947895548043E-2</v>
      </c>
      <c r="DI53" s="16">
        <f>DF53/((DF53-1)+TANH(DG53*DH53)/(DG53*DH53))</f>
        <v>1.286188340111152</v>
      </c>
      <c r="DJ53">
        <f>$DI53*BR53</f>
        <v>2.1347201351553394E-2</v>
      </c>
      <c r="DK53">
        <f>$DI53*BY53</f>
        <v>3.1211302809993808E-2</v>
      </c>
      <c r="DL53">
        <f>$DI53*CF53</f>
        <v>4.8337654831661827E-3</v>
      </c>
      <c r="DM53">
        <f>$DI53*CM53</f>
        <v>1.0032376202662957E-2</v>
      </c>
    </row>
    <row r="54" spans="1:117" ht="15.75" x14ac:dyDescent="0.25">
      <c r="A54" s="52" t="s">
        <v>335</v>
      </c>
      <c r="B54" s="55" t="s">
        <v>339</v>
      </c>
      <c r="C54" t="s">
        <v>193</v>
      </c>
      <c r="D54" s="58">
        <v>43214</v>
      </c>
      <c r="E54" s="42" t="str">
        <f>A54&amp;D54</f>
        <v>4C43214</v>
      </c>
      <c r="F54" s="3">
        <f>VLOOKUP($E54,Water!$C$2:$E$90, 2, FALSE)</f>
        <v>1.2</v>
      </c>
      <c r="G54" s="3">
        <f>VLOOKUP($E54,Water!$C$2:$E$90, 3, FALSE)</f>
        <v>0.15</v>
      </c>
      <c r="H54" s="1">
        <f>F54+273.15</f>
        <v>274.34999999999997</v>
      </c>
      <c r="I54" s="3">
        <f>VLOOKUP($E54,Water!$C$2:$F$90, 4, FALSE)</f>
        <v>8.26</v>
      </c>
      <c r="J54">
        <f>10^(I54*-1)</f>
        <v>5.4954087385762298E-9</v>
      </c>
      <c r="K54" s="25">
        <v>406.07</v>
      </c>
      <c r="L54" s="25">
        <v>1.8474300000000001</v>
      </c>
      <c r="M54" s="25">
        <v>0.33054499999999998</v>
      </c>
      <c r="N54" s="21">
        <f>VLOOKUP($C54,Raw!$B$2:$F$353, 3, FALSE)</f>
        <v>531.6879525032756</v>
      </c>
      <c r="O54" s="21">
        <f>VLOOKUP($C54,Raw!$B$2:$F$353, 4, FALSE)</f>
        <v>720.52895159779564</v>
      </c>
      <c r="P54" s="21">
        <f>VLOOKUP($C54,Raw!$B$2:$F$353, 5, FALSE)</f>
        <v>0.38712094683528675</v>
      </c>
      <c r="Q54" s="14">
        <v>60</v>
      </c>
      <c r="R54" s="25">
        <v>1140</v>
      </c>
      <c r="S54">
        <f>EXP(24.4543-(100/H54*(67.4509))-(4.8489*LN(H54/100))-(0.000544*G54))</f>
        <v>6.5704671849752304E-3</v>
      </c>
      <c r="T54" s="8">
        <f>EXP(-58.0931+90.5069*(100/H54)+22.294*LN(H54/100)+G54*(0.027766-0.025888*(H54/100)+0.0050578*(H54/100)^2))</f>
        <v>7.3945310521070548E-2</v>
      </c>
      <c r="U54" s="9">
        <f>(EXP(-67.1962+99.1624*(100/H54)+27.9015*LN(H54/100)+G54*(-0.072909+0.041674*(H54/100)-0.0064603*(H54/100)^2)))</f>
        <v>5.5374420598261594E-2</v>
      </c>
      <c r="V54" s="9">
        <f>(EXP(-64.8539+100.252*(100/H54)+25.2049*LN(H54/100)+(-0.062544+0.035337*(H54/100)-0.0054699*(H54/100)^2)*G54))</f>
        <v>5.6381330583425898E-2</v>
      </c>
      <c r="W54" s="9">
        <f>(EXP(-68.8862+101.4956*(100/H54)+28.7314*LN(H54/100)+G54*(-0.076146+0.04397*(H54/100)-0.0068672*(H54/100)^2)))</f>
        <v>5.526434150871995E-2</v>
      </c>
      <c r="X54">
        <f>N54*(AZ54-S54)</f>
        <v>500.98048616347273</v>
      </c>
      <c r="Y54">
        <f>O54*(AZ54-S54)</f>
        <v>678.91503421661059</v>
      </c>
      <c r="Z54">
        <f>((Y54/10^6)*AZ54)/(0.082056*H54)</f>
        <v>2.8614227270386122E-5</v>
      </c>
      <c r="AA54">
        <f>(((L54/10^6)*AZ54)/(0.082056*H54))</f>
        <v>7.78636194838828E-8</v>
      </c>
      <c r="AB54">
        <f>((Y54/10^6)*U54*1)/(0.082056*H54)</f>
        <v>1.6699724788976591E-6</v>
      </c>
      <c r="AC54">
        <f>(Z54*(Q54/1000))+(AB54*(R54/1000))</f>
        <v>3.6206222621664985E-6</v>
      </c>
      <c r="AD54" s="39">
        <f>((AC54-(AA54*(Q54/1000)))/(R54/1000))*1000000</f>
        <v>3.1718863552609351</v>
      </c>
      <c r="AE54" s="39">
        <f>(AD54/((U54*AZ54*1))*(0.0821*273.15))</f>
        <v>1353.8510380969878</v>
      </c>
      <c r="AF54" s="39">
        <f>L54*U54*AZ54*1/(0.0821*273.15)</f>
        <v>4.3282738236375459E-3</v>
      </c>
      <c r="AG54" s="39">
        <f>AD54-AF54</f>
        <v>3.1675580814372974</v>
      </c>
      <c r="AH54" s="42">
        <f>P54*(AZ54-S54)</f>
        <v>0.36476290131552497</v>
      </c>
      <c r="AI54">
        <f>(((X54/10^6)*(Q54/1000))/(0.082056*H54))</f>
        <v>1.3352320650785815E-6</v>
      </c>
      <c r="AJ54">
        <f>(((K54/10^6)*AZ54)*(Q54/1000))/(0.082056*H54)</f>
        <v>1.0268777695659468E-6</v>
      </c>
      <c r="AK54">
        <f>(X54/10^6)*T54*(R54/1000)</f>
        <v>4.2231479680364557E-5</v>
      </c>
      <c r="AL54">
        <f>AI54+AK54</f>
        <v>4.3566711745443137E-5</v>
      </c>
      <c r="AM54" s="39">
        <f>((AL54-AJ54)/(R54/1000))*1000000</f>
        <v>37.315643838488768</v>
      </c>
      <c r="AN54" s="39">
        <f>AM54/(T54*AZ54)</f>
        <v>531.86131004969695</v>
      </c>
      <c r="AO54" s="39">
        <f>(K54*AZ54)*T54</f>
        <v>28.490065374522665</v>
      </c>
      <c r="AP54" s="39">
        <f>AM54-AO54</f>
        <v>8.825578463966103</v>
      </c>
      <c r="AQ54">
        <f>(((AH54/10^6)*(Q54/1000))/(0.082056*H54))</f>
        <v>9.7217982623909711E-10</v>
      </c>
      <c r="AR54">
        <f>(((M54/10^6)*AZ54)*(Q54/1000))/(0.082056*H54)</f>
        <v>8.3588867028141922E-10</v>
      </c>
      <c r="AS54">
        <f>(AH54/10^6)*V54*(R54/1000)</f>
        <v>2.3445032204949795E-8</v>
      </c>
      <c r="AT54">
        <f>AQ54+AS54</f>
        <v>2.4417212031188892E-8</v>
      </c>
      <c r="AU54" s="39">
        <f>((AT54-AR54)/(R54/1000))*1000000000</f>
        <v>20.685371369217084</v>
      </c>
      <c r="AV54" s="39">
        <f>(AU54/1000)/(V54*AZ54)</f>
        <v>0.38667500349493344</v>
      </c>
      <c r="AW54" s="39">
        <f>(M54*AZ54)*V54*1000</f>
        <v>17.682668953095263</v>
      </c>
      <c r="AX54" s="39">
        <f>AU54-AW54</f>
        <v>3.0027024161218208</v>
      </c>
      <c r="AY54" s="26">
        <f>VLOOKUP($E54,Water!$C$2:$G$90, 5, FALSE)</f>
        <v>721.1</v>
      </c>
      <c r="AZ54">
        <f>AY54/760</f>
        <v>0.94881578947368428</v>
      </c>
      <c r="BA54" s="3">
        <f>Assumptions!$B$3</f>
        <v>406.07</v>
      </c>
      <c r="BB54" s="3">
        <f>BA54*AZ54*T54</f>
        <v>28.490065374522665</v>
      </c>
      <c r="BC54" s="3">
        <f>Assumptions!$B$4</f>
        <v>1.8474300000000001</v>
      </c>
      <c r="BD54" s="45">
        <f>BC54*AZ54*U54*1/(0.0821*273.15)</f>
        <v>4.3282738236375459E-3</v>
      </c>
      <c r="BE54" s="3">
        <f>Assumptions!$B$2</f>
        <v>0.33054499999999998</v>
      </c>
      <c r="BF54" s="44">
        <f>BE54*AZ54*V54*1000</f>
        <v>17.682668953095263</v>
      </c>
      <c r="BG54">
        <f>1923.6+(-125.06*F54)+(4.3773*(F54^2))+(-0.085681*(F54^3))+(0.00070284*(F54^4))</f>
        <v>1779.6847126410237</v>
      </c>
      <c r="BH54">
        <f>1909.4+(-120.78*F54)+(4.1555*(F54^2))+(-0.080578*(F54^3))+(0.00065777*(F54^4))</f>
        <v>1770.310045167872</v>
      </c>
      <c r="BI54">
        <f>2141.2+(-152.56*F54)+(5.8963*(F54^2))+(-0.12411*(F54^3))+(0.0010655*(F54^4))</f>
        <v>1966.4064193407996</v>
      </c>
      <c r="BJ54" s="25">
        <f>VLOOKUP(E54,Wind!$C$2:$E$109,3, FALSE)</f>
        <v>5.7777777777777777</v>
      </c>
      <c r="BK54" s="44">
        <v>1.66</v>
      </c>
      <c r="BL54">
        <f>BK54/(1-(((1.3*10^-3)^0.5)/0.41)*LN(10/1.5))</f>
        <v>1.9923982880693825</v>
      </c>
      <c r="BM54">
        <f>BK54*1.22</f>
        <v>2.0251999999999999</v>
      </c>
      <c r="BN54">
        <f>2.07+0.215*(BM54^1.7)*(24/100)</f>
        <v>2.241255750541113</v>
      </c>
      <c r="BO54">
        <f>BN54*((600/BG54)^0.67)</f>
        <v>1.081740021625722</v>
      </c>
      <c r="BP54">
        <f>BN54*((600/BH54)^0.67)</f>
        <v>1.085574669536205</v>
      </c>
      <c r="BQ54">
        <f>BN54*((600/BI54)^0.67)</f>
        <v>1.0117929635648111</v>
      </c>
      <c r="BR54" s="39">
        <f>BO54*(AM54-BB54)</f>
        <v>9.5469814384701994</v>
      </c>
      <c r="BS54" s="39">
        <f>BP54*(AD54-BD54)</f>
        <v>3.4386208174930295</v>
      </c>
      <c r="BT54" s="39">
        <f>BQ54*(AU54-BF54)</f>
        <v>3.0381131763111155</v>
      </c>
      <c r="BU54">
        <f>(2.51+1.48*BM54)+(0.39*BM54*LOG10(0.0015))</f>
        <v>3.2768938069574309</v>
      </c>
      <c r="BV54">
        <f>BU54*((600/$BG54)^0.67)</f>
        <v>1.5815897747267385</v>
      </c>
      <c r="BW54">
        <f>BU54*((600/$BH54)^0.67)</f>
        <v>1.587196334347027</v>
      </c>
      <c r="BX54">
        <f>BU54*((600/$BI54)^0.67)</f>
        <v>1.4793216237942302</v>
      </c>
      <c r="BY54" s="39">
        <f>BV54*($AM54-$BB54)</f>
        <v>13.958444654657303</v>
      </c>
      <c r="BZ54" s="39">
        <f>BW54*($AD54-$BD54)</f>
        <v>5.0275365756885799</v>
      </c>
      <c r="CA54" s="39">
        <f>BX54*($AU54-$BF54)</f>
        <v>4.4419626139881903</v>
      </c>
      <c r="CB54" s="42">
        <f>AVERAGE(0.72,0.69,0.4,0.22)</f>
        <v>0.50750000000000006</v>
      </c>
      <c r="CC54">
        <f>CB54*((600/$BG54)^0.67)</f>
        <v>0.24494440709968571</v>
      </c>
      <c r="CD54">
        <f>CB54*((600/$BH54)^0.67)</f>
        <v>0.24581270774502714</v>
      </c>
      <c r="CE54">
        <f>CB54*((600/$BI54)^0.67)</f>
        <v>0.2291059058678018</v>
      </c>
      <c r="CF54" s="39">
        <f>CC54*($AM54-$BB54)</f>
        <v>2.1617760841679319</v>
      </c>
      <c r="CG54" s="39">
        <f>CD54*($AD54-$BD54)</f>
        <v>0.77862602893774524</v>
      </c>
      <c r="CH54" s="39">
        <f>CE54*($AU54-$BF54)</f>
        <v>0.6879368570970269</v>
      </c>
      <c r="CI54">
        <v>0.86263901889527161</v>
      </c>
      <c r="CJ54">
        <f>((BG54/BH54)^0.67)*CI54</f>
        <v>0.86569697815089419</v>
      </c>
      <c r="CK54">
        <f>((BH54/BH54)^0.67)*CI54</f>
        <v>0.86263901889527161</v>
      </c>
      <c r="CL54">
        <f>((BI54/BH54)^0.67)*CI54</f>
        <v>0.92554415931781175</v>
      </c>
      <c r="CM54" s="39">
        <f>CJ54*($AM54-$BB54)</f>
        <v>7.6402766066890662</v>
      </c>
      <c r="CN54" s="39">
        <f>CK54*($AD54-$BD54)</f>
        <v>2.732459195664859</v>
      </c>
      <c r="CO54" s="39">
        <f>CL54*($AU54-$BF54)</f>
        <v>2.779133683411033</v>
      </c>
      <c r="CP54" s="27">
        <f>VLOOKUP(A54,Water!$A$2:$E$109, 5, FALSE)/1000</f>
        <v>1.4999999999999999E-4</v>
      </c>
      <c r="CQ54">
        <f>0.64*CP54</f>
        <v>9.5999999999999989E-5</v>
      </c>
      <c r="CR54" s="19">
        <f>CQ54*1000*(2.5*10^-5)</f>
        <v>2.3999999999999999E-6</v>
      </c>
      <c r="CS54" s="18">
        <f>(-0.0000009*F54^3)+(0.0002*F54^2)-(0.0134*F54)+6.579</f>
        <v>6.5632064447999996</v>
      </c>
      <c r="CT54" s="18">
        <f>CS54-(SQRT(CP54))/(1+1.4*SQRT(CP54))</f>
        <v>6.5511654560353865</v>
      </c>
      <c r="CU54" s="18">
        <f>10^(-CT54)</f>
        <v>2.8108297660174604E-7</v>
      </c>
      <c r="CV54" s="18">
        <f>(0.000001*F54^3)+(0.00006*F54^2)-(0.014*F54)+10.625</f>
        <v>10.608288128</v>
      </c>
      <c r="CW54" s="18">
        <f>CV54-(2*SQRT(CR54))/(1+1.4*SQRT(CR54))</f>
        <v>10.605196446779766</v>
      </c>
      <c r="CX54" s="18">
        <f>10^(-CW54)</f>
        <v>2.4820101502182624E-11</v>
      </c>
      <c r="CY54">
        <f>EXP(1246.98+-61900/H54-183*LN(H54))</f>
        <v>2.2875907665242637E-3</v>
      </c>
      <c r="CZ54">
        <f>12.225*(F54^2)+15.258*F54+1125.7</f>
        <v>1161.6136000000001</v>
      </c>
      <c r="DA54" s="15">
        <f>10^(-4470.99/H54+6.0875-0.01706*H54)</f>
        <v>1.289508341499302E-15</v>
      </c>
      <c r="DB54">
        <f>(10^-I54)</f>
        <v>5.4954087385762298E-9</v>
      </c>
      <c r="DC54">
        <f>DB54^2</f>
        <v>3.0199517204019989E-17</v>
      </c>
      <c r="DD54" s="20">
        <f>((14.6836*10^-9)*((H54/217.2056)-1)^1.997)*100*100</f>
        <v>1.0204166948053591E-5</v>
      </c>
      <c r="DE54">
        <f>CY54+CZ54*DA54/DB54</f>
        <v>2.5601656555009691E-3</v>
      </c>
      <c r="DF54">
        <f>1+DC54*(CU54*CX54+CU54*DB54)^-1</f>
        <v>1.0194629368863704</v>
      </c>
      <c r="DG54">
        <f>(DE54*DF54/DD54)^0.5</f>
        <v>15.993038275466857</v>
      </c>
      <c r="DH54">
        <f>DD54/(BO54/60/60)</f>
        <v>3.3959177139239745E-2</v>
      </c>
      <c r="DI54" s="16">
        <f>DF54/((DF54-1)+TANH(DG54*DH54)/(DG54*DH54))</f>
        <v>1.0944271798745326</v>
      </c>
      <c r="DJ54">
        <f>$DI54*BR54</f>
        <v>10.44847597201945</v>
      </c>
      <c r="DK54">
        <f>$DI54*BY54</f>
        <v>15.276501218831337</v>
      </c>
      <c r="DL54">
        <f>$DI54*CF54</f>
        <v>2.3659065033161202</v>
      </c>
      <c r="DM54">
        <f>$DI54*CM54</f>
        <v>8.3617263801200785</v>
      </c>
    </row>
    <row r="55" spans="1:117" ht="15.75" x14ac:dyDescent="0.25">
      <c r="A55" s="52" t="s">
        <v>335</v>
      </c>
      <c r="B55" s="55" t="s">
        <v>340</v>
      </c>
      <c r="C55" t="s">
        <v>194</v>
      </c>
      <c r="D55" s="58">
        <v>43214</v>
      </c>
      <c r="E55" s="42" t="str">
        <f>A55&amp;D55</f>
        <v>4C43214</v>
      </c>
      <c r="F55" s="3">
        <f>VLOOKUP($E55,Water!$C$2:$E$90, 2, FALSE)</f>
        <v>1.2</v>
      </c>
      <c r="G55" s="3">
        <f>VLOOKUP($E55,Water!$C$2:$E$90, 3, FALSE)</f>
        <v>0.15</v>
      </c>
      <c r="H55" s="1">
        <f>F55+273.15</f>
        <v>274.34999999999997</v>
      </c>
      <c r="I55" s="3">
        <f>VLOOKUP($E55,Water!$C$2:$F$90, 4, FALSE)</f>
        <v>8.26</v>
      </c>
      <c r="J55">
        <f>10^(I55*-1)</f>
        <v>5.4954087385762298E-9</v>
      </c>
      <c r="K55" s="25">
        <v>406.07</v>
      </c>
      <c r="L55" s="25">
        <v>1.8474300000000001</v>
      </c>
      <c r="M55" s="25">
        <v>0.33054499999999998</v>
      </c>
      <c r="N55" s="21">
        <f>VLOOKUP($C55,Raw!$B$2:$F$353, 3, FALSE)</f>
        <v>537.73739003545836</v>
      </c>
      <c r="O55" s="21">
        <f>VLOOKUP($C55,Raw!$B$2:$F$353, 4, FALSE)</f>
        <v>722.56515345359742</v>
      </c>
      <c r="P55" s="21">
        <f>VLOOKUP($C55,Raw!$B$2:$F$353, 5, FALSE)</f>
        <v>0.39066509877478689</v>
      </c>
      <c r="Q55" s="14">
        <v>60</v>
      </c>
      <c r="R55" s="25">
        <v>1140</v>
      </c>
      <c r="S55">
        <f>EXP(24.4543-(100/H55*(67.4509))-(4.8489*LN(H55/100))-(0.000544*G55))</f>
        <v>6.5704671849752304E-3</v>
      </c>
      <c r="T55" s="8">
        <f>EXP(-58.0931+90.5069*(100/H55)+22.294*LN(H55/100)+G55*(0.027766-0.025888*(H55/100)+0.0050578*(H55/100)^2))</f>
        <v>7.3945310521070548E-2</v>
      </c>
      <c r="U55" s="9">
        <f>(EXP(-67.1962+99.1624*(100/H55)+27.9015*LN(H55/100)+G55*(-0.072909+0.041674*(H55/100)-0.0064603*(H55/100)^2)))</f>
        <v>5.5374420598261594E-2</v>
      </c>
      <c r="V55" s="9">
        <f>(EXP(-64.8539+100.252*(100/H55)+25.2049*LN(H55/100)+(-0.062544+0.035337*(H55/100)-0.0054699*(H55/100)^2)*G55))</f>
        <v>5.6381330583425898E-2</v>
      </c>
      <c r="W55" s="9">
        <f>(EXP(-68.8862+101.4956*(100/H55)+28.7314*LN(H55/100)+G55*(-0.076146+0.04397*(H55/100)-0.0068672*(H55/100)^2)))</f>
        <v>5.526434150871995E-2</v>
      </c>
      <c r="X55">
        <f>N55*(AZ55-S55)</f>
        <v>506.68054038064969</v>
      </c>
      <c r="Y55">
        <f>O55*(AZ55-S55)</f>
        <v>680.83363589047542</v>
      </c>
      <c r="Z55">
        <f>((Y55/10^6)*AZ55)/(0.082056*H55)</f>
        <v>2.8695090561918118E-5</v>
      </c>
      <c r="AA55">
        <f>(((L55/10^6)*AZ55)/(0.082056*H55))</f>
        <v>7.78636194838828E-8</v>
      </c>
      <c r="AB55">
        <f>((Y55/10^6)*U55*1)/(0.082056*H55)</f>
        <v>1.67469179108231E-6</v>
      </c>
      <c r="AC55">
        <f>(Z55*(Q55/1000))+(AB55*(R55/1000))</f>
        <v>3.6308540755489203E-6</v>
      </c>
      <c r="AD55" s="39">
        <f>((AC55-(AA55*(Q55/1000)))/(R55/1000))*1000000</f>
        <v>3.1808616301577963</v>
      </c>
      <c r="AE55" s="39">
        <f>(AD55/((U55*AZ55*1))*(0.0821*273.15))</f>
        <v>1357.6819399249071</v>
      </c>
      <c r="AF55" s="39">
        <f>L55*U55*AZ55*1/(0.0821*273.15)</f>
        <v>4.3282738236375459E-3</v>
      </c>
      <c r="AG55" s="39">
        <f>AD55-AF55</f>
        <v>3.1765333563341587</v>
      </c>
      <c r="AH55" s="42">
        <f>P55*(AZ55-S55)</f>
        <v>0.36810236190199941</v>
      </c>
      <c r="AI55">
        <f>(((X55/10^6)*(Q55/1000))/(0.082056*H55))</f>
        <v>1.3504240643154091E-6</v>
      </c>
      <c r="AJ55">
        <f>(((K55/10^6)*AZ55)*(Q55/1000))/(0.082056*H55)</f>
        <v>1.0268777695659468E-6</v>
      </c>
      <c r="AK55">
        <f>(X55/10^6)*T55*(R55/1000)</f>
        <v>4.2711980878511299E-5</v>
      </c>
      <c r="AL55">
        <f>AI55+AK55</f>
        <v>4.4062404942826706E-5</v>
      </c>
      <c r="AM55" s="39">
        <f>((AL55-AJ55)/(R55/1000))*1000000</f>
        <v>37.750462432684877</v>
      </c>
      <c r="AN55" s="39">
        <f>AM55/(T55*AZ55)</f>
        <v>538.05879623388478</v>
      </c>
      <c r="AO55" s="39">
        <f>(K55*AZ55)*T55</f>
        <v>28.490065374522665</v>
      </c>
      <c r="AP55" s="39">
        <f>AM55-AO55</f>
        <v>9.2603970581622121</v>
      </c>
      <c r="AQ55">
        <f>(((AH55/10^6)*(Q55/1000))/(0.082056*H55))</f>
        <v>9.8108028240111971E-10</v>
      </c>
      <c r="AR55">
        <f>(((M55/10^6)*AZ55)*(Q55/1000))/(0.082056*H55)</f>
        <v>8.3588867028141922E-10</v>
      </c>
      <c r="AS55">
        <f>(AH55/10^6)*V55*(R55/1000)</f>
        <v>2.3659675088627619E-8</v>
      </c>
      <c r="AT55">
        <f>AQ55+AS55</f>
        <v>2.4640755371028737E-8</v>
      </c>
      <c r="AU55" s="39">
        <f>((AT55-AR55)/(R55/1000))*1000000000</f>
        <v>20.8814620181994</v>
      </c>
      <c r="AV55" s="39">
        <f>(AU55/1000)/(V55*AZ55)</f>
        <v>0.39034055781480398</v>
      </c>
      <c r="AW55" s="39">
        <f>(M55*AZ55)*V55*1000</f>
        <v>17.682668953095263</v>
      </c>
      <c r="AX55" s="39">
        <f>AU55-AW55</f>
        <v>3.1987930651041374</v>
      </c>
      <c r="AY55" s="26">
        <f>VLOOKUP($E55,Water!$C$2:$G$90, 5, FALSE)</f>
        <v>721.1</v>
      </c>
      <c r="AZ55">
        <f>AY55/760</f>
        <v>0.94881578947368428</v>
      </c>
      <c r="BA55" s="3">
        <f>Assumptions!$B$3</f>
        <v>406.07</v>
      </c>
      <c r="BB55" s="3">
        <f>BA55*AZ55*T55</f>
        <v>28.490065374522665</v>
      </c>
      <c r="BC55" s="3">
        <f>Assumptions!$B$4</f>
        <v>1.8474300000000001</v>
      </c>
      <c r="BD55" s="45">
        <f>BC55*AZ55*U55*1/(0.0821*273.15)</f>
        <v>4.3282738236375459E-3</v>
      </c>
      <c r="BE55" s="3">
        <f>Assumptions!$B$2</f>
        <v>0.33054499999999998</v>
      </c>
      <c r="BF55" s="44">
        <f>BE55*AZ55*V55*1000</f>
        <v>17.682668953095263</v>
      </c>
      <c r="BG55">
        <f>1923.6+(-125.06*F55)+(4.3773*(F55^2))+(-0.085681*(F55^3))+(0.00070284*(F55^4))</f>
        <v>1779.6847126410237</v>
      </c>
      <c r="BH55">
        <f>1909.4+(-120.78*F55)+(4.1555*(F55^2))+(-0.080578*(F55^3))+(0.00065777*(F55^4))</f>
        <v>1770.310045167872</v>
      </c>
      <c r="BI55">
        <f>2141.2+(-152.56*F55)+(5.8963*(F55^2))+(-0.12411*(F55^3))+(0.0010655*(F55^4))</f>
        <v>1966.4064193407996</v>
      </c>
      <c r="BJ55" s="25">
        <f>VLOOKUP(E55,Wind!$C$2:$E$109,3, FALSE)</f>
        <v>5.7777777777777777</v>
      </c>
      <c r="BK55" s="44">
        <v>1.66</v>
      </c>
      <c r="BL55">
        <f>BK55/(1-(((1.3*10^-3)^0.5)/0.41)*LN(10/1.5))</f>
        <v>1.9923982880693825</v>
      </c>
      <c r="BM55">
        <f>BK55*1.22</f>
        <v>2.0251999999999999</v>
      </c>
      <c r="BN55">
        <f>2.07+0.215*(BM55^1.7)*(24/100)</f>
        <v>2.241255750541113</v>
      </c>
      <c r="BO55">
        <f>BN55*((600/BG55)^0.67)</f>
        <v>1.081740021625722</v>
      </c>
      <c r="BP55">
        <f>BN55*((600/BH55)^0.67)</f>
        <v>1.085574669536205</v>
      </c>
      <c r="BQ55">
        <f>BN55*((600/BI55)^0.67)</f>
        <v>1.0117929635648111</v>
      </c>
      <c r="BR55" s="39">
        <f>BO55*(AM55-BB55)</f>
        <v>10.017342113959163</v>
      </c>
      <c r="BS55" s="39">
        <f>BP55*(AD55-BD55)</f>
        <v>3.4483641485731864</v>
      </c>
      <c r="BT55" s="39">
        <f>BQ55*(AU55-BF55)</f>
        <v>3.2365163151722807</v>
      </c>
      <c r="BU55">
        <f>(2.51+1.48*BM55)+(0.39*BM55*LOG10(0.0015))</f>
        <v>3.2768938069574309</v>
      </c>
      <c r="BV55">
        <f>BU55*((600/$BG55)^0.67)</f>
        <v>1.5815897747267385</v>
      </c>
      <c r="BW55">
        <f>BU55*((600/$BH55)^0.67)</f>
        <v>1.587196334347027</v>
      </c>
      <c r="BX55">
        <f>BU55*((600/$BI55)^0.67)</f>
        <v>1.4793216237942302</v>
      </c>
      <c r="BY55" s="39">
        <f>BV55*($AM55-$BB55)</f>
        <v>14.646149297098924</v>
      </c>
      <c r="BZ55" s="39">
        <f>BW55*($AD55-$BD55)</f>
        <v>5.0417820991046352</v>
      </c>
      <c r="CA55" s="39">
        <f>BX55*($AU55-$BF55)</f>
        <v>4.7320437512515747</v>
      </c>
      <c r="CB55" s="42">
        <f>AVERAGE(0.72,0.69,0.4,0.22)</f>
        <v>0.50750000000000006</v>
      </c>
      <c r="CC55">
        <f>CB55*((600/$BG55)^0.67)</f>
        <v>0.24494440709968571</v>
      </c>
      <c r="CD55">
        <f>CB55*((600/$BH55)^0.67)</f>
        <v>0.24581270774502714</v>
      </c>
      <c r="CE55">
        <f>CB55*((600/$BI55)^0.67)</f>
        <v>0.2291059058678018</v>
      </c>
      <c r="CF55" s="39">
        <f>CC55*($AM55-$BB55)</f>
        <v>2.2682824669192168</v>
      </c>
      <c r="CG55" s="39">
        <f>CD55*($AD55-$BD55)</f>
        <v>0.78083226556289875</v>
      </c>
      <c r="CH55" s="39">
        <f>CE55*($AU55-$BF55)</f>
        <v>0.7328623828643257</v>
      </c>
      <c r="CI55">
        <v>0.86263901889527161</v>
      </c>
      <c r="CJ55">
        <f>((BG55/BH55)^0.67)*CI55</f>
        <v>0.86569697815089419</v>
      </c>
      <c r="CK55">
        <f>((BH55/BH55)^0.67)*CI55</f>
        <v>0.86263901889527161</v>
      </c>
      <c r="CL55">
        <f>((BI55/BH55)^0.67)*CI55</f>
        <v>0.92554415931781175</v>
      </c>
      <c r="CM55" s="39">
        <f>CJ55*($AM55-$BB55)</f>
        <v>8.0166977497284577</v>
      </c>
      <c r="CN55" s="39">
        <f>CK55*($AD55-$BD55)</f>
        <v>2.740201617996203</v>
      </c>
      <c r="CO55" s="39">
        <f>CL55*($AU55-$BF55)</f>
        <v>2.9606242382734553</v>
      </c>
      <c r="CP55" s="27">
        <f>VLOOKUP(A55,Water!$A$2:$E$109, 5, FALSE)/1000</f>
        <v>1.4999999999999999E-4</v>
      </c>
      <c r="CQ55">
        <f>0.64*CP55</f>
        <v>9.5999999999999989E-5</v>
      </c>
      <c r="CR55" s="19">
        <f>CQ55*1000*(2.5*10^-5)</f>
        <v>2.3999999999999999E-6</v>
      </c>
      <c r="CS55" s="18">
        <f>(-0.0000009*F55^3)+(0.0002*F55^2)-(0.0134*F55)+6.579</f>
        <v>6.5632064447999996</v>
      </c>
      <c r="CT55" s="18">
        <f>CS55-(SQRT(CP55))/(1+1.4*SQRT(CP55))</f>
        <v>6.5511654560353865</v>
      </c>
      <c r="CU55" s="18">
        <f>10^(-CT55)</f>
        <v>2.8108297660174604E-7</v>
      </c>
      <c r="CV55" s="18">
        <f>(0.000001*F55^3)+(0.00006*F55^2)-(0.014*F55)+10.625</f>
        <v>10.608288128</v>
      </c>
      <c r="CW55" s="18">
        <f>CV55-(2*SQRT(CR55))/(1+1.4*SQRT(CR55))</f>
        <v>10.605196446779766</v>
      </c>
      <c r="CX55" s="18">
        <f>10^(-CW55)</f>
        <v>2.4820101502182624E-11</v>
      </c>
      <c r="CY55">
        <f>EXP(1246.98+-61900/H55-183*LN(H55))</f>
        <v>2.2875907665242637E-3</v>
      </c>
      <c r="CZ55">
        <f>12.225*(F55^2)+15.258*F55+1125.7</f>
        <v>1161.6136000000001</v>
      </c>
      <c r="DA55" s="15">
        <f>10^(-4470.99/H55+6.0875-0.01706*H55)</f>
        <v>1.289508341499302E-15</v>
      </c>
      <c r="DB55">
        <f>(10^-I55)</f>
        <v>5.4954087385762298E-9</v>
      </c>
      <c r="DC55">
        <f>DB55^2</f>
        <v>3.0199517204019989E-17</v>
      </c>
      <c r="DD55" s="20">
        <f>((14.6836*10^-9)*((H55/217.2056)-1)^1.997)*100*100</f>
        <v>1.0204166948053591E-5</v>
      </c>
      <c r="DE55">
        <f>CY55+CZ55*DA55/DB55</f>
        <v>2.5601656555009691E-3</v>
      </c>
      <c r="DF55">
        <f>1+DC55*(CU55*CX55+CU55*DB55)^-1</f>
        <v>1.0194629368863704</v>
      </c>
      <c r="DG55">
        <f>(DE55*DF55/DD55)^0.5</f>
        <v>15.993038275466857</v>
      </c>
      <c r="DH55">
        <f>DD55/(BO55/60/60)</f>
        <v>3.3959177139239745E-2</v>
      </c>
      <c r="DI55" s="16">
        <f>DF55/((DF55-1)+TANH(DG55*DH55)/(DG55*DH55))</f>
        <v>1.0944271798745326</v>
      </c>
      <c r="DJ55">
        <f>$DI55*BR55</f>
        <v>10.963251479618716</v>
      </c>
      <c r="DK55">
        <f>$DI55*BY55</f>
        <v>16.029143871245346</v>
      </c>
      <c r="DL55">
        <f>$DI55*CF55</f>
        <v>2.4824699834292461</v>
      </c>
      <c r="DM55">
        <f>$DI55*CM55</f>
        <v>8.773691910141828</v>
      </c>
    </row>
    <row r="56" spans="1:117" ht="15.75" x14ac:dyDescent="0.25">
      <c r="A56" s="52" t="s">
        <v>335</v>
      </c>
      <c r="B56" s="55" t="s">
        <v>341</v>
      </c>
      <c r="C56" t="s">
        <v>195</v>
      </c>
      <c r="D56" s="58">
        <v>43214</v>
      </c>
      <c r="E56" s="42" t="str">
        <f>A56&amp;D56</f>
        <v>4C43214</v>
      </c>
      <c r="F56" s="3">
        <f>VLOOKUP($E56,Water!$C$2:$E$90, 2, FALSE)</f>
        <v>1.2</v>
      </c>
      <c r="G56" s="3">
        <f>VLOOKUP($E56,Water!$C$2:$E$90, 3, FALSE)</f>
        <v>0.15</v>
      </c>
      <c r="H56" s="1">
        <f>F56+273.15</f>
        <v>274.34999999999997</v>
      </c>
      <c r="I56" s="3">
        <f>VLOOKUP($E56,Water!$C$2:$F$90, 4, FALSE)</f>
        <v>8.26</v>
      </c>
      <c r="J56">
        <f>10^(I56*-1)</f>
        <v>5.4954087385762298E-9</v>
      </c>
      <c r="K56" s="25">
        <v>406.07</v>
      </c>
      <c r="L56" s="25">
        <v>1.8474300000000001</v>
      </c>
      <c r="M56" s="25">
        <v>0.33054499999999998</v>
      </c>
      <c r="N56" s="21">
        <f>VLOOKUP($C56,Raw!$B$2:$F$353, 3, FALSE)</f>
        <v>521.18734447920713</v>
      </c>
      <c r="O56" s="21">
        <f>VLOOKUP($C56,Raw!$B$2:$F$353, 4, FALSE)</f>
        <v>716.81539216035549</v>
      </c>
      <c r="P56" s="21">
        <f>VLOOKUP($C56,Raw!$B$2:$F$353, 5, FALSE)</f>
        <v>0.3944570306661862</v>
      </c>
      <c r="Q56" s="14">
        <v>60</v>
      </c>
      <c r="R56" s="25">
        <v>1140</v>
      </c>
      <c r="S56">
        <f>EXP(24.4543-(100/H56*(67.4509))-(4.8489*LN(H56/100))-(0.000544*G56))</f>
        <v>6.5704671849752304E-3</v>
      </c>
      <c r="T56" s="8">
        <f>EXP(-58.0931+90.5069*(100/H56)+22.294*LN(H56/100)+G56*(0.027766-0.025888*(H56/100)+0.0050578*(H56/100)^2))</f>
        <v>7.3945310521070548E-2</v>
      </c>
      <c r="U56" s="9">
        <f>(EXP(-67.1962+99.1624*(100/H56)+27.9015*LN(H56/100)+G56*(-0.072909+0.041674*(H56/100)-0.0064603*(H56/100)^2)))</f>
        <v>5.5374420598261594E-2</v>
      </c>
      <c r="V56" s="9">
        <f>(EXP(-64.8539+100.252*(100/H56)+25.2049*LN(H56/100)+(-0.062544+0.035337*(H56/100)-0.0054699*(H56/100)^2)*G56))</f>
        <v>5.6381330583425898E-2</v>
      </c>
      <c r="W56" s="9">
        <f>(EXP(-68.8862+101.4956*(100/H56)+28.7314*LN(H56/100)+G56*(-0.076146+0.04397*(H56/100)-0.0068672*(H56/100)^2)))</f>
        <v>5.526434150871995E-2</v>
      </c>
      <c r="X56">
        <f>N56*(AZ56-S56)</f>
        <v>491.08633737160693</v>
      </c>
      <c r="Y56">
        <f>O56*(AZ56-S56)</f>
        <v>675.41595020764157</v>
      </c>
      <c r="Z56">
        <f>((Y56/10^6)*AZ56)/(0.082056*H56)</f>
        <v>2.8466751400763731E-5</v>
      </c>
      <c r="AA56">
        <f>(((L56/10^6)*AZ56)/(0.082056*H56))</f>
        <v>7.78636194838828E-8</v>
      </c>
      <c r="AB56">
        <f>((Y56/10^6)*U56*1)/(0.082056*H56)</f>
        <v>1.6613655491614931E-6</v>
      </c>
      <c r="AC56">
        <f>(Z56*(Q56/1000))+(AB56*(R56/1000))</f>
        <v>3.6019618100899258E-6</v>
      </c>
      <c r="AD56" s="39">
        <f>((AC56-(AA56*(Q56/1000)))/(R56/1000))*1000000</f>
        <v>3.1555175376499065</v>
      </c>
      <c r="AE56" s="39">
        <f>(AD56/((U56*AZ56*1))*(0.0821*273.15))</f>
        <v>1346.8643625881523</v>
      </c>
      <c r="AF56" s="39">
        <f>L56*U56*AZ56*1/(0.0821*273.15)</f>
        <v>4.3282738236375459E-3</v>
      </c>
      <c r="AG56" s="39">
        <f>AD56-AF56</f>
        <v>3.1511892638262688</v>
      </c>
      <c r="AH56" s="42">
        <f>P56*(AZ56-S56)</f>
        <v>0.37167529198910781</v>
      </c>
      <c r="AI56">
        <f>(((X56/10^6)*(Q56/1000))/(0.082056*H56))</f>
        <v>1.3088618069778561E-6</v>
      </c>
      <c r="AJ56">
        <f>(((K56/10^6)*AZ56)*(Q56/1000))/(0.082056*H56)</f>
        <v>1.0268777695659468E-6</v>
      </c>
      <c r="AK56">
        <f>(X56/10^6)*T56*(R56/1000)</f>
        <v>4.1397426148942499E-5</v>
      </c>
      <c r="AL56">
        <f>AI56+AK56</f>
        <v>4.2706287955920353E-5</v>
      </c>
      <c r="AM56" s="39">
        <f>((AL56-AJ56)/(R56/1000))*1000000</f>
        <v>36.560886128381057</v>
      </c>
      <c r="AN56" s="39">
        <f>AM56/(T56*AZ56)</f>
        <v>521.10371931361135</v>
      </c>
      <c r="AO56" s="39">
        <f>(K56*AZ56)*T56</f>
        <v>28.490065374522665</v>
      </c>
      <c r="AP56" s="39">
        <f>AM56-AO56</f>
        <v>8.070820753858392</v>
      </c>
      <c r="AQ56">
        <f>(((AH56/10^6)*(Q56/1000))/(0.082056*H56))</f>
        <v>9.9060299027169032E-10</v>
      </c>
      <c r="AR56">
        <f>(((M56/10^6)*AZ56)*(Q56/1000))/(0.082056*H56)</f>
        <v>8.3588867028141922E-10</v>
      </c>
      <c r="AS56">
        <f>(AH56/10^6)*V56*(R56/1000)</f>
        <v>2.3889324158355328E-8</v>
      </c>
      <c r="AT56">
        <f>AQ56+AS56</f>
        <v>2.4879927148627017E-8</v>
      </c>
      <c r="AU56" s="39">
        <f>((AT56-AR56)/(R56/1000))*1000000000</f>
        <v>21.091261823110173</v>
      </c>
      <c r="AV56" s="39">
        <f>(AU56/1000)/(V56*AZ56)</f>
        <v>0.39426237961094707</v>
      </c>
      <c r="AW56" s="39">
        <f>(M56*AZ56)*V56*1000</f>
        <v>17.682668953095263</v>
      </c>
      <c r="AX56" s="39">
        <f>AU56-AW56</f>
        <v>3.4085928700149104</v>
      </c>
      <c r="AY56" s="26">
        <f>VLOOKUP($E56,Water!$C$2:$G$90, 5, FALSE)</f>
        <v>721.1</v>
      </c>
      <c r="AZ56">
        <f>AY56/760</f>
        <v>0.94881578947368428</v>
      </c>
      <c r="BA56" s="3">
        <f>Assumptions!$B$3</f>
        <v>406.07</v>
      </c>
      <c r="BB56" s="3">
        <f>BA56*AZ56*T56</f>
        <v>28.490065374522665</v>
      </c>
      <c r="BC56" s="3">
        <f>Assumptions!$B$4</f>
        <v>1.8474300000000001</v>
      </c>
      <c r="BD56" s="45">
        <f>BC56*AZ56*U56*1/(0.0821*273.15)</f>
        <v>4.3282738236375459E-3</v>
      </c>
      <c r="BE56" s="3">
        <f>Assumptions!$B$2</f>
        <v>0.33054499999999998</v>
      </c>
      <c r="BF56" s="44">
        <f>BE56*AZ56*V56*1000</f>
        <v>17.682668953095263</v>
      </c>
      <c r="BG56">
        <f>1923.6+(-125.06*F56)+(4.3773*(F56^2))+(-0.085681*(F56^3))+(0.00070284*(F56^4))</f>
        <v>1779.6847126410237</v>
      </c>
      <c r="BH56">
        <f>1909.4+(-120.78*F56)+(4.1555*(F56^2))+(-0.080578*(F56^3))+(0.00065777*(F56^4))</f>
        <v>1770.310045167872</v>
      </c>
      <c r="BI56">
        <f>2141.2+(-152.56*F56)+(5.8963*(F56^2))+(-0.12411*(F56^3))+(0.0010655*(F56^4))</f>
        <v>1966.4064193407996</v>
      </c>
      <c r="BJ56" s="25">
        <f>VLOOKUP(E56,Wind!$C$2:$E$109,3, FALSE)</f>
        <v>5.7777777777777777</v>
      </c>
      <c r="BK56" s="44">
        <v>1.66</v>
      </c>
      <c r="BL56">
        <f>BK56/(1-(((1.3*10^-3)^0.5)/0.41)*LN(10/1.5))</f>
        <v>1.9923982880693825</v>
      </c>
      <c r="BM56">
        <f>BK56*1.22</f>
        <v>2.0251999999999999</v>
      </c>
      <c r="BN56">
        <f>2.07+0.215*(BM56^1.7)*(24/100)</f>
        <v>2.241255750541113</v>
      </c>
      <c r="BO56">
        <f>BN56*((600/BG56)^0.67)</f>
        <v>1.081740021625722</v>
      </c>
      <c r="BP56">
        <f>BN56*((600/BH56)^0.67)</f>
        <v>1.085574669536205</v>
      </c>
      <c r="BQ56">
        <f>BN56*((600/BI56)^0.67)</f>
        <v>1.0117929635648111</v>
      </c>
      <c r="BR56" s="39">
        <f>BO56*(AM56-BB56)</f>
        <v>8.7305298168161034</v>
      </c>
      <c r="BS56" s="39">
        <f>BP56*(AD56-BD56)</f>
        <v>3.4208512437242389</v>
      </c>
      <c r="BT56" s="39">
        <f>BQ56*(AU56-BF56)</f>
        <v>3.4487902815382712</v>
      </c>
      <c r="BU56">
        <f>(2.51+1.48*BM56)+(0.39*BM56*LOG10(0.0015))</f>
        <v>3.2768938069574309</v>
      </c>
      <c r="BV56">
        <f>BU56*((600/$BG56)^0.67)</f>
        <v>1.5815897747267385</v>
      </c>
      <c r="BW56">
        <f>BU56*((600/$BH56)^0.67)</f>
        <v>1.587196334347027</v>
      </c>
      <c r="BX56">
        <f>BU56*((600/$BI56)^0.67)</f>
        <v>1.4793216237942302</v>
      </c>
      <c r="BY56" s="39">
        <f>BV56*($AM56-$BB56)</f>
        <v>12.76472757795478</v>
      </c>
      <c r="BZ56" s="39">
        <f>BW56*($AD56-$BD56)</f>
        <v>5.0015560483787604</v>
      </c>
      <c r="CA56" s="39">
        <f>BX56*($AU56-$BF56)</f>
        <v>5.0424051393238924</v>
      </c>
      <c r="CB56" s="42">
        <f>AVERAGE(0.72,0.69,0.4,0.22)</f>
        <v>0.50750000000000006</v>
      </c>
      <c r="CC56">
        <f>CB56*((600/$BG56)^0.67)</f>
        <v>0.24494440709968571</v>
      </c>
      <c r="CD56">
        <f>CB56*((600/$BH56)^0.67)</f>
        <v>0.24581270774502714</v>
      </c>
      <c r="CE56">
        <f>CB56*((600/$BI56)^0.67)</f>
        <v>0.2291059058678018</v>
      </c>
      <c r="CF56" s="39">
        <f>CC56*($AM56-$BB56)</f>
        <v>1.9769024043616823</v>
      </c>
      <c r="CG56" s="39">
        <f>CD56*($AD56-$BD56)</f>
        <v>0.77460236555819384</v>
      </c>
      <c r="CH56" s="39">
        <f>CE56*($AU56-$BF56)</f>
        <v>0.78092875721929644</v>
      </c>
      <c r="CI56">
        <v>0.86263901889527161</v>
      </c>
      <c r="CJ56">
        <f>((BG56/BH56)^0.67)*CI56</f>
        <v>0.86569697815089419</v>
      </c>
      <c r="CK56">
        <f>((BH56/BH56)^0.67)*CI56</f>
        <v>0.86263901889527161</v>
      </c>
      <c r="CL56">
        <f>((BI56/BH56)^0.67)*CI56</f>
        <v>0.92554415931781175</v>
      </c>
      <c r="CM56" s="39">
        <f>CJ56*($AM56-$BB56)</f>
        <v>6.9868851378127319</v>
      </c>
      <c r="CN56" s="39">
        <f>CK56*($AD56-$BD56)</f>
        <v>2.718338814900406</v>
      </c>
      <c r="CO56" s="39">
        <f>CL56*($AU56-$BF56)</f>
        <v>3.1548032223346376</v>
      </c>
      <c r="CP56" s="27">
        <f>VLOOKUP(A56,Water!$A$2:$E$109, 5, FALSE)/1000</f>
        <v>1.4999999999999999E-4</v>
      </c>
      <c r="CQ56">
        <f>0.64*CP56</f>
        <v>9.5999999999999989E-5</v>
      </c>
      <c r="CR56" s="19">
        <f>CQ56*1000*(2.5*10^-5)</f>
        <v>2.3999999999999999E-6</v>
      </c>
      <c r="CS56" s="18">
        <f>(-0.0000009*F56^3)+(0.0002*F56^2)-(0.0134*F56)+6.579</f>
        <v>6.5632064447999996</v>
      </c>
      <c r="CT56" s="18">
        <f>CS56-(SQRT(CP56))/(1+1.4*SQRT(CP56))</f>
        <v>6.5511654560353865</v>
      </c>
      <c r="CU56" s="18">
        <f>10^(-CT56)</f>
        <v>2.8108297660174604E-7</v>
      </c>
      <c r="CV56" s="18">
        <f>(0.000001*F56^3)+(0.00006*F56^2)-(0.014*F56)+10.625</f>
        <v>10.608288128</v>
      </c>
      <c r="CW56" s="18">
        <f>CV56-(2*SQRT(CR56))/(1+1.4*SQRT(CR56))</f>
        <v>10.605196446779766</v>
      </c>
      <c r="CX56" s="18">
        <f>10^(-CW56)</f>
        <v>2.4820101502182624E-11</v>
      </c>
      <c r="CY56">
        <f>EXP(1246.98+-61900/H56-183*LN(H56))</f>
        <v>2.2875907665242637E-3</v>
      </c>
      <c r="CZ56">
        <f>12.225*(F56^2)+15.258*F56+1125.7</f>
        <v>1161.6136000000001</v>
      </c>
      <c r="DA56" s="15">
        <f>10^(-4470.99/H56+6.0875-0.01706*H56)</f>
        <v>1.289508341499302E-15</v>
      </c>
      <c r="DB56">
        <f>(10^-I56)</f>
        <v>5.4954087385762298E-9</v>
      </c>
      <c r="DC56">
        <f>DB56^2</f>
        <v>3.0199517204019989E-17</v>
      </c>
      <c r="DD56" s="20">
        <f>((14.6836*10^-9)*((H56/217.2056)-1)^1.997)*100*100</f>
        <v>1.0204166948053591E-5</v>
      </c>
      <c r="DE56">
        <f>CY56+CZ56*DA56/DB56</f>
        <v>2.5601656555009691E-3</v>
      </c>
      <c r="DF56">
        <f>1+DC56*(CU56*CX56+CU56*DB56)^-1</f>
        <v>1.0194629368863704</v>
      </c>
      <c r="DG56">
        <f>(DE56*DF56/DD56)^0.5</f>
        <v>15.993038275466857</v>
      </c>
      <c r="DH56">
        <f>DD56/(BO56/60/60)</f>
        <v>3.3959177139239745E-2</v>
      </c>
      <c r="DI56" s="16">
        <f>DF56/((DF56-1)+TANH(DG56*DH56)/(DG56*DH56))</f>
        <v>1.0944271798745326</v>
      </c>
      <c r="DJ56">
        <f>$DI56*BR56</f>
        <v>9.5549291262285685</v>
      </c>
      <c r="DK56">
        <f>$DI56*BY56</f>
        <v>13.970064805007723</v>
      </c>
      <c r="DL56">
        <f>$DI56*CF56</f>
        <v>2.1635757232927388</v>
      </c>
      <c r="DM56">
        <f>$DI56*CM56</f>
        <v>7.6466369974836734</v>
      </c>
    </row>
    <row r="57" spans="1:117" ht="15.75" x14ac:dyDescent="0.25">
      <c r="A57" s="52" t="s">
        <v>335</v>
      </c>
      <c r="B57" s="55" t="s">
        <v>342</v>
      </c>
      <c r="C57" t="s">
        <v>196</v>
      </c>
      <c r="D57" s="58">
        <v>43214</v>
      </c>
      <c r="E57" s="42" t="str">
        <f>A57&amp;D57</f>
        <v>4C43214</v>
      </c>
      <c r="F57" s="3">
        <f>VLOOKUP($E57,Water!$C$2:$E$90, 2, FALSE)</f>
        <v>1.2</v>
      </c>
      <c r="G57" s="3">
        <f>VLOOKUP($E57,Water!$C$2:$E$90, 3, FALSE)</f>
        <v>0.15</v>
      </c>
      <c r="H57" s="1">
        <f>F57+273.15</f>
        <v>274.34999999999997</v>
      </c>
      <c r="I57" s="3">
        <f>VLOOKUP($E57,Water!$C$2:$F$90, 4, FALSE)</f>
        <v>8.26</v>
      </c>
      <c r="J57">
        <f>10^(I57*-1)</f>
        <v>5.4954087385762298E-9</v>
      </c>
      <c r="K57" s="25">
        <v>406.07</v>
      </c>
      <c r="L57" s="25">
        <v>1.8474300000000001</v>
      </c>
      <c r="M57" s="25">
        <v>0.33054499999999998</v>
      </c>
      <c r="N57" s="21">
        <f>VLOOKUP($C57,Raw!$B$2:$F$353, 3, FALSE)</f>
        <v>527.12058915889691</v>
      </c>
      <c r="O57" s="21">
        <f>VLOOKUP($C57,Raw!$B$2:$F$353, 4, FALSE)</f>
        <v>717.17114266901842</v>
      </c>
      <c r="P57" s="21">
        <f>VLOOKUP($C57,Raw!$B$2:$F$353, 5, FALSE)</f>
        <v>0.39598399236884213</v>
      </c>
      <c r="Q57" s="14">
        <v>60</v>
      </c>
      <c r="R57" s="25">
        <v>1140</v>
      </c>
      <c r="S57">
        <f>EXP(24.4543-(100/H57*(67.4509))-(4.8489*LN(H57/100))-(0.000544*G57))</f>
        <v>6.5704671849752304E-3</v>
      </c>
      <c r="T57" s="8">
        <f>EXP(-58.0931+90.5069*(100/H57)+22.294*LN(H57/100)+G57*(0.027766-0.025888*(H57/100)+0.0050578*(H57/100)^2))</f>
        <v>7.3945310521070548E-2</v>
      </c>
      <c r="U57" s="9">
        <f>(EXP(-67.1962+99.1624*(100/H57)+27.9015*LN(H57/100)+G57*(-0.072909+0.041674*(H57/100)-0.0064603*(H57/100)^2)))</f>
        <v>5.5374420598261594E-2</v>
      </c>
      <c r="V57" s="9">
        <f>(EXP(-64.8539+100.252*(100/H57)+25.2049*LN(H57/100)+(-0.062544+0.035337*(H57/100)-0.0054699*(H57/100)^2)*G57))</f>
        <v>5.6381330583425898E-2</v>
      </c>
      <c r="W57" s="9">
        <f>(EXP(-68.8862+101.4956*(100/H57)+28.7314*LN(H57/100)+G57*(-0.076146+0.04397*(H57/100)-0.0068672*(H57/100)^2)))</f>
        <v>5.526434150871995E-2</v>
      </c>
      <c r="X57">
        <f>N57*(AZ57-S57)</f>
        <v>496.67690941703898</v>
      </c>
      <c r="Y57">
        <f>O57*(AZ57-S57)</f>
        <v>675.75115446033101</v>
      </c>
      <c r="Z57">
        <f>((Y57/10^6)*AZ57)/(0.082056*H57)</f>
        <v>2.8480879252092759E-5</v>
      </c>
      <c r="AA57">
        <f>(((L57/10^6)*AZ57)/(0.082056*H57))</f>
        <v>7.78636194838828E-8</v>
      </c>
      <c r="AB57">
        <f>((Y57/10^6)*U57*1)/(0.082056*H57)</f>
        <v>1.6621900733634748E-6</v>
      </c>
      <c r="AC57">
        <f>(Z57*(Q57/1000))+(AB57*(R57/1000))</f>
        <v>3.6037494387599265E-6</v>
      </c>
      <c r="AD57" s="39">
        <f>((AC57-(AA57*(Q57/1000)))/(R57/1000))*1000000</f>
        <v>3.1570856329744683</v>
      </c>
      <c r="AE57" s="39">
        <f>(AD57/((U57*AZ57*1))*(0.0821*273.15))</f>
        <v>1347.5336701374192</v>
      </c>
      <c r="AF57" s="39">
        <f>L57*U57*AZ57*1/(0.0821*273.15)</f>
        <v>4.3282738236375459E-3</v>
      </c>
      <c r="AG57" s="39">
        <f>AD57-AF57</f>
        <v>3.1527573591508307</v>
      </c>
      <c r="AH57" s="42">
        <f>P57*(AZ57-S57)</f>
        <v>0.37311406451074935</v>
      </c>
      <c r="AI57">
        <f>(((X57/10^6)*(Q57/1000))/(0.082056*H57))</f>
        <v>1.3237620102060454E-6</v>
      </c>
      <c r="AJ57">
        <f>(((K57/10^6)*AZ57)*(Q57/1000))/(0.082056*H57)</f>
        <v>1.0268777695659468E-6</v>
      </c>
      <c r="AK57">
        <f>(X57/10^6)*T57*(R57/1000)</f>
        <v>4.1868698256856977E-5</v>
      </c>
      <c r="AL57">
        <f>AI57+AK57</f>
        <v>4.3192460267063025E-5</v>
      </c>
      <c r="AM57" s="39">
        <f>((AL57-AJ57)/(R57/1000))*1000000</f>
        <v>36.987353067979889</v>
      </c>
      <c r="AN57" s="39">
        <f>AM57/(T57*AZ57)</f>
        <v>527.18216904289</v>
      </c>
      <c r="AO57" s="39">
        <f>(K57*AZ57)*T57</f>
        <v>28.490065374522665</v>
      </c>
      <c r="AP57" s="39">
        <f>AM57-AO57</f>
        <v>8.4972876934572241</v>
      </c>
      <c r="AQ57">
        <f>(((AH57/10^6)*(Q57/1000))/(0.082056*H57))</f>
        <v>9.9443766099901048E-10</v>
      </c>
      <c r="AR57">
        <f>(((M57/10^6)*AZ57)*(Q57/1000))/(0.082056*H57)</f>
        <v>8.3588867028141922E-10</v>
      </c>
      <c r="AS57">
        <f>(AH57/10^6)*V57*(R57/1000)</f>
        <v>2.3981800854817129E-8</v>
      </c>
      <c r="AT57">
        <f>AQ57+AS57</f>
        <v>2.497623851581614E-8</v>
      </c>
      <c r="AU57" s="39">
        <f>((AT57-AR57)/(R57/1000))*1000000000</f>
        <v>21.175745478539231</v>
      </c>
      <c r="AV57" s="39">
        <f>(AU57/1000)/(V57*AZ57)</f>
        <v>0.39584164629053448</v>
      </c>
      <c r="AW57" s="39">
        <f>(M57*AZ57)*V57*1000</f>
        <v>17.682668953095263</v>
      </c>
      <c r="AX57" s="39">
        <f>AU57-AW57</f>
        <v>3.4930765254439677</v>
      </c>
      <c r="AY57" s="26">
        <f>VLOOKUP($E57,Water!$C$2:$G$90, 5, FALSE)</f>
        <v>721.1</v>
      </c>
      <c r="AZ57">
        <f>AY57/760</f>
        <v>0.94881578947368428</v>
      </c>
      <c r="BA57" s="3">
        <f>Assumptions!$B$3</f>
        <v>406.07</v>
      </c>
      <c r="BB57" s="3">
        <f>BA57*AZ57*T57</f>
        <v>28.490065374522665</v>
      </c>
      <c r="BC57" s="3">
        <f>Assumptions!$B$4</f>
        <v>1.8474300000000001</v>
      </c>
      <c r="BD57" s="45">
        <f>BC57*AZ57*U57*1/(0.0821*273.15)</f>
        <v>4.3282738236375459E-3</v>
      </c>
      <c r="BE57" s="3">
        <f>Assumptions!$B$2</f>
        <v>0.33054499999999998</v>
      </c>
      <c r="BF57" s="44">
        <f>BE57*AZ57*V57*1000</f>
        <v>17.682668953095263</v>
      </c>
      <c r="BG57">
        <f>1923.6+(-125.06*F57)+(4.3773*(F57^2))+(-0.085681*(F57^3))+(0.00070284*(F57^4))</f>
        <v>1779.6847126410237</v>
      </c>
      <c r="BH57">
        <f>1909.4+(-120.78*F57)+(4.1555*(F57^2))+(-0.080578*(F57^3))+(0.00065777*(F57^4))</f>
        <v>1770.310045167872</v>
      </c>
      <c r="BI57">
        <f>2141.2+(-152.56*F57)+(5.8963*(F57^2))+(-0.12411*(F57^3))+(0.0010655*(F57^4))</f>
        <v>1966.4064193407996</v>
      </c>
      <c r="BJ57" s="25">
        <f>VLOOKUP(E57,Wind!$C$2:$E$109,3, FALSE)</f>
        <v>5.7777777777777777</v>
      </c>
      <c r="BK57" s="44">
        <v>1.66</v>
      </c>
      <c r="BL57">
        <f>BK57/(1-(((1.3*10^-3)^0.5)/0.41)*LN(10/1.5))</f>
        <v>1.9923982880693825</v>
      </c>
      <c r="BM57">
        <f>BK57*1.22</f>
        <v>2.0251999999999999</v>
      </c>
      <c r="BN57">
        <f>2.07+0.215*(BM57^1.7)*(24/100)</f>
        <v>2.241255750541113</v>
      </c>
      <c r="BO57">
        <f>BN57*((600/BG57)^0.67)</f>
        <v>1.081740021625722</v>
      </c>
      <c r="BP57">
        <f>BN57*((600/BH57)^0.67)</f>
        <v>1.085574669536205</v>
      </c>
      <c r="BQ57">
        <f>BN57*((600/BI57)^0.67)</f>
        <v>1.0117929635648111</v>
      </c>
      <c r="BR57" s="39">
        <f>BO57*(AM57-BB57)</f>
        <v>9.1918561732803994</v>
      </c>
      <c r="BS57" s="39">
        <f>BP57*(AD57-BD57)</f>
        <v>3.4225535282880011</v>
      </c>
      <c r="BT57" s="39">
        <f>BQ57*(AU57-BF57)</f>
        <v>3.5342702496376255</v>
      </c>
      <c r="BU57">
        <f>(2.51+1.48*BM57)+(0.39*BM57*LOG10(0.0015))</f>
        <v>3.2768938069574309</v>
      </c>
      <c r="BV57">
        <f>BU57*((600/$BG57)^0.67)</f>
        <v>1.5815897747267385</v>
      </c>
      <c r="BW57">
        <f>BU57*((600/$BH57)^0.67)</f>
        <v>1.587196334347027</v>
      </c>
      <c r="BX57">
        <f>BU57*((600/$BI57)^0.67)</f>
        <v>1.4793216237942302</v>
      </c>
      <c r="BY57" s="39">
        <f>BV57*($AM57-$BB57)</f>
        <v>13.439223328883298</v>
      </c>
      <c r="BZ57" s="39">
        <f>BW57*($AD57-$BD57)</f>
        <v>5.0040449235298121</v>
      </c>
      <c r="CA57" s="39">
        <f>BX57*($AU57-$BF57)</f>
        <v>5.1673836376572782</v>
      </c>
      <c r="CB57" s="42">
        <f>AVERAGE(0.72,0.69,0.4,0.22)</f>
        <v>0.50750000000000006</v>
      </c>
      <c r="CC57">
        <f>CB57*((600/$BG57)^0.67)</f>
        <v>0.24494440709968571</v>
      </c>
      <c r="CD57">
        <f>CB57*((600/$BH57)^0.67)</f>
        <v>0.24581270774502714</v>
      </c>
      <c r="CE57">
        <f>CB57*((600/$BI57)^0.67)</f>
        <v>0.2291059058678018</v>
      </c>
      <c r="CF57" s="39">
        <f>CC57*($AM57-$BB57)</f>
        <v>2.0813630960293357</v>
      </c>
      <c r="CG57" s="39">
        <f>CD57*($AD57-$BD57)</f>
        <v>0.77498782331592675</v>
      </c>
      <c r="CH57" s="39">
        <f>CE57*($AU57-$BF57)</f>
        <v>0.80028446162739386</v>
      </c>
      <c r="CI57">
        <v>0.86263901889527161</v>
      </c>
      <c r="CJ57">
        <f>((BG57/BH57)^0.67)*CI57</f>
        <v>0.86569697815089419</v>
      </c>
      <c r="CK57">
        <f>((BH57/BH57)^0.67)*CI57</f>
        <v>0.86263901889527161</v>
      </c>
      <c r="CL57">
        <f>((BI57/BH57)^0.67)*CI57</f>
        <v>0.92554415931781175</v>
      </c>
      <c r="CM57" s="39">
        <f>CJ57*($AM57-$BB57)</f>
        <v>7.3560762787047009</v>
      </c>
      <c r="CN57" s="39">
        <f>CK57*($AD57-$BD57)</f>
        <v>2.7196915151127201</v>
      </c>
      <c r="CO57" s="39">
        <f>CL57*($AU57-$BF57)</f>
        <v>3.2329965761748198</v>
      </c>
      <c r="CP57" s="27">
        <f>VLOOKUP(A57,Water!$A$2:$E$109, 5, FALSE)/1000</f>
        <v>1.4999999999999999E-4</v>
      </c>
      <c r="CQ57">
        <f>0.64*CP57</f>
        <v>9.5999999999999989E-5</v>
      </c>
      <c r="CR57" s="19">
        <f>CQ57*1000*(2.5*10^-5)</f>
        <v>2.3999999999999999E-6</v>
      </c>
      <c r="CS57" s="18">
        <f>(-0.0000009*F57^3)+(0.0002*F57^2)-(0.0134*F57)+6.579</f>
        <v>6.5632064447999996</v>
      </c>
      <c r="CT57" s="18">
        <f>CS57-(SQRT(CP57))/(1+1.4*SQRT(CP57))</f>
        <v>6.5511654560353865</v>
      </c>
      <c r="CU57" s="18">
        <f>10^(-CT57)</f>
        <v>2.8108297660174604E-7</v>
      </c>
      <c r="CV57" s="18">
        <f>(0.000001*F57^3)+(0.00006*F57^2)-(0.014*F57)+10.625</f>
        <v>10.608288128</v>
      </c>
      <c r="CW57" s="18">
        <f>CV57-(2*SQRT(CR57))/(1+1.4*SQRT(CR57))</f>
        <v>10.605196446779766</v>
      </c>
      <c r="CX57" s="18">
        <f>10^(-CW57)</f>
        <v>2.4820101502182624E-11</v>
      </c>
      <c r="CY57">
        <f>EXP(1246.98+-61900/H57-183*LN(H57))</f>
        <v>2.2875907665242637E-3</v>
      </c>
      <c r="CZ57">
        <f>12.225*(F57^2)+15.258*F57+1125.7</f>
        <v>1161.6136000000001</v>
      </c>
      <c r="DA57" s="15">
        <f>10^(-4470.99/H57+6.0875-0.01706*H57)</f>
        <v>1.289508341499302E-15</v>
      </c>
      <c r="DB57">
        <f>(10^-I57)</f>
        <v>5.4954087385762298E-9</v>
      </c>
      <c r="DC57">
        <f>DB57^2</f>
        <v>3.0199517204019989E-17</v>
      </c>
      <c r="DD57" s="20">
        <f>((14.6836*10^-9)*((H57/217.2056)-1)^1.997)*100*100</f>
        <v>1.0204166948053591E-5</v>
      </c>
      <c r="DE57">
        <f>CY57+CZ57*DA57/DB57</f>
        <v>2.5601656555009691E-3</v>
      </c>
      <c r="DF57">
        <f>1+DC57*(CU57*CX57+CU57*DB57)^-1</f>
        <v>1.0194629368863704</v>
      </c>
      <c r="DG57">
        <f>(DE57*DF57/DD57)^0.5</f>
        <v>15.993038275466857</v>
      </c>
      <c r="DH57">
        <f>DD57/(BO57/60/60)</f>
        <v>3.3959177139239745E-2</v>
      </c>
      <c r="DI57" s="16">
        <f>DF57/((DF57-1)+TANH(DG57*DH57)/(DG57*DH57))</f>
        <v>1.0944271798745326</v>
      </c>
      <c r="DJ57">
        <f>$DI57*BR57</f>
        <v>10.059817229535581</v>
      </c>
      <c r="DK57">
        <f>$DI57*BY57</f>
        <v>14.708251287533777</v>
      </c>
      <c r="DL57">
        <f>$DI57*CF57</f>
        <v>2.2779003434823117</v>
      </c>
      <c r="DM57">
        <f>$DI57*CM57</f>
        <v>8.0506898166447325</v>
      </c>
    </row>
    <row r="58" spans="1:117" ht="15.75" x14ac:dyDescent="0.25">
      <c r="A58" s="51" t="s">
        <v>58</v>
      </c>
      <c r="B58" s="54" t="s">
        <v>339</v>
      </c>
      <c r="C58" s="48" t="s">
        <v>198</v>
      </c>
      <c r="D58" s="57">
        <v>43216</v>
      </c>
      <c r="E58" s="42" t="str">
        <f>A58&amp;D58</f>
        <v>14A43216</v>
      </c>
      <c r="F58" s="3">
        <f>VLOOKUP($E58,Water!$C$2:$E$90, 2, FALSE)</f>
        <v>10.199999999999999</v>
      </c>
      <c r="G58" s="3">
        <f>VLOOKUP($E58,Water!$C$2:$E$90, 3, FALSE)</f>
        <v>0.91</v>
      </c>
      <c r="H58" s="1">
        <f>F58+273.15</f>
        <v>283.34999999999997</v>
      </c>
      <c r="I58" s="3">
        <f>VLOOKUP($E58,Water!$C$2:$F$90, 4, FALSE)</f>
        <v>7.81</v>
      </c>
      <c r="J58">
        <f>10^(I58*-1)</f>
        <v>1.5488166189124814E-8</v>
      </c>
      <c r="K58" s="25">
        <f>VLOOKUP($E58,Atm!$D$2:$G$45, 2, FALSE)</f>
        <v>442.41194651989929</v>
      </c>
      <c r="L58" s="25">
        <f>VLOOKUP($E58,Atm!$D$2:$G$45, 3, FALSE)</f>
        <v>2.704502505162409</v>
      </c>
      <c r="M58" s="25">
        <f>VLOOKUP($E58,Atm!$D$2:$G$45, 4, FALSE)</f>
        <v>0.32446855970781519</v>
      </c>
      <c r="N58" s="21">
        <f>VLOOKUP($C58,Raw!$B$2:$F$353, 3, FALSE)</f>
        <v>1586.12</v>
      </c>
      <c r="O58" s="21">
        <f>VLOOKUP($C58,Raw!$B$2:$F$353, 4, FALSE)</f>
        <v>22.462</v>
      </c>
      <c r="P58" s="21">
        <f>VLOOKUP($C58,Raw!$B$2:$F$353, 5, FALSE)</f>
        <v>2.1269999999999998</v>
      </c>
      <c r="Q58" s="14">
        <v>60</v>
      </c>
      <c r="R58" s="25">
        <v>1140</v>
      </c>
      <c r="S58">
        <f>EXP(24.4543-(100/H58*(67.4509))-(4.8489*LN(H58/100))-(0.000544*G58))</f>
        <v>1.2262791627173617E-2</v>
      </c>
      <c r="T58" s="8">
        <f>EXP(-58.0931+90.5069*(100/H58)+22.294*LN(H58/100)+G58*(0.027766-0.025888*(H58/100)+0.0050578*(H58/100)^2))</f>
        <v>5.305559882487431E-2</v>
      </c>
      <c r="U58" s="9">
        <f>(EXP(-67.1962+99.1624*(100/H58)+27.9015*LN(H58/100)+G58*(-0.072909+0.041674*(H58/100)-0.0064603*(H58/100)^2)))</f>
        <v>4.3020039549149319E-2</v>
      </c>
      <c r="V58" s="9">
        <f>(EXP(-64.8539+100.252*(100/H58)+25.2049*LN(H58/100)+(-0.062544+0.035337*(H58/100)-0.0054699*(H58/100)^2)*G58))</f>
        <v>3.9658023275342028E-2</v>
      </c>
      <c r="W58" s="9">
        <f>(EXP(-68.8862+101.4956*(100/H58)+28.7314*LN(H58/100)+G58*(-0.076146+0.04397*(H58/100)-0.0068672*(H58/100)^2)))</f>
        <v>4.2924940045530643E-2</v>
      </c>
      <c r="X58">
        <f>N58*(AZ58-S58)</f>
        <v>1466.2850409443072</v>
      </c>
      <c r="Y58">
        <f>O58*(AZ58-S58)</f>
        <v>20.764945016575687</v>
      </c>
      <c r="Z58">
        <f>((Y58/10^6)*AZ58)/(0.082056*H58)</f>
        <v>8.3657065539316318E-7</v>
      </c>
      <c r="AA58">
        <f>(((L58/10^6)*AZ58)/(0.082056*H58))</f>
        <v>1.0895802668632707E-7</v>
      </c>
      <c r="AB58">
        <f>((Y58/10^6)*U58*1)/(0.082056*H58)</f>
        <v>3.8420944005212038E-8</v>
      </c>
      <c r="AC58">
        <f>(Z58*(Q58/1000))+(AB58*(R58/1000))</f>
        <v>9.3994115489531503E-8</v>
      </c>
      <c r="AD58" s="39">
        <f>((AC58-(AA58*(Q58/1000)))/(R58/1000))*1000000</f>
        <v>7.6716345516098142E-2</v>
      </c>
      <c r="AE58" s="39">
        <f>(AD58/((U58*AZ58*1))*(0.0821*273.15))</f>
        <v>42.692939946177276</v>
      </c>
      <c r="AF58" s="39">
        <f>L58*U58*AZ58*1/(0.0821*273.15)</f>
        <v>4.8598093477928792E-3</v>
      </c>
      <c r="AG58" s="39">
        <f>AD58-AF58</f>
        <v>7.1856536168305257E-2</v>
      </c>
      <c r="AH58" s="42">
        <f>P58*(AZ58-S58)</f>
        <v>1.9663003316826857</v>
      </c>
      <c r="AI58">
        <f>(((X58/10^6)*(Q58/1000))/(0.082056*H58))</f>
        <v>3.7838690207570863E-6</v>
      </c>
      <c r="AJ58">
        <f>(((K58/10^6)*AZ58)*(Q58/1000))/(0.082056*H58)</f>
        <v>1.0694240271529056E-6</v>
      </c>
      <c r="AK58">
        <f>(X58/10^6)*T58*(R58/1000)</f>
        <v>8.8685879220591334E-5</v>
      </c>
      <c r="AL58">
        <f>AI58+AK58</f>
        <v>9.2469748241348423E-5</v>
      </c>
      <c r="AM58" s="39">
        <f>((AL58-AJ58)/(R58/1000))*1000000</f>
        <v>80.175722994908355</v>
      </c>
      <c r="AN58" s="39">
        <f>AM58/(T58*AZ58)</f>
        <v>1613.2670496481994</v>
      </c>
      <c r="AO58" s="39">
        <f>(K58*AZ58)*T58</f>
        <v>21.986872961641811</v>
      </c>
      <c r="AP58" s="39">
        <f>AM58-AO58</f>
        <v>58.188850033266547</v>
      </c>
      <c r="AQ58">
        <f>(((AH58/10^6)*(Q58/1000))/(0.082056*H58))</f>
        <v>5.0741995606576568E-9</v>
      </c>
      <c r="AR58">
        <f>(((M58/10^6)*AZ58)*(Q58/1000))/(0.082056*H58)</f>
        <v>7.8432437581480918E-10</v>
      </c>
      <c r="AS58">
        <f>(AH58/10^6)*V58*(R58/1000)</f>
        <v>8.8896726125010553E-8</v>
      </c>
      <c r="AT58">
        <f>AQ58+AS58</f>
        <v>9.3970925685668215E-8</v>
      </c>
      <c r="AU58" s="39">
        <f>((AT58-AR58)/(R58/1000))*1000000000</f>
        <v>81.742632727941597</v>
      </c>
      <c r="AV58" s="39">
        <f>(AU58/1000)/(V58*AZ58)</f>
        <v>2.2004533058942513</v>
      </c>
      <c r="AW58" s="39">
        <f>(M58*AZ58)*V58*1000</f>
        <v>12.053386562175364</v>
      </c>
      <c r="AX58" s="39">
        <f>AU58-AW58</f>
        <v>69.689246165766235</v>
      </c>
      <c r="AY58" s="26">
        <f>VLOOKUP($E58,Water!$C$2:$G$90, 5, FALSE)</f>
        <v>711.9</v>
      </c>
      <c r="AZ58">
        <f>AY58/760</f>
        <v>0.93671052631578944</v>
      </c>
      <c r="BA58" s="3">
        <f>Assumptions!$B$3</f>
        <v>406.07</v>
      </c>
      <c r="BB58" s="3">
        <f>BA58*AZ58*T58</f>
        <v>20.180760428747391</v>
      </c>
      <c r="BC58" s="3">
        <f>Assumptions!$B$4</f>
        <v>1.8474300000000001</v>
      </c>
      <c r="BD58" s="45">
        <f>BC58*AZ58*U58*1/(0.0821*273.15)</f>
        <v>3.3197076232154756E-3</v>
      </c>
      <c r="BE58" s="3">
        <f>Assumptions!$B$2</f>
        <v>0.33054499999999998</v>
      </c>
      <c r="BF58" s="44">
        <f>BE58*AZ58*V58*1000</f>
        <v>12.279114699994436</v>
      </c>
      <c r="BG58">
        <f>1923.6+(-125.06*F58)+(4.3773*(F58^2))+(-0.085681*(F58^3))+(0.00070284*(F58^4))</f>
        <v>1020.0846955453441</v>
      </c>
      <c r="BH58">
        <f>1909.4+(-120.78*F58)+(4.1555*(F58^2))+(-0.080578*(F58^3))+(0.00065777*(F58^4))</f>
        <v>1031.3921157948321</v>
      </c>
      <c r="BI58">
        <f>2141.2+(-152.56*F58)+(5.8963*(F58^2))+(-0.12411*(F58^3))+(0.0010655*(F58^4))</f>
        <v>1078.3658417848001</v>
      </c>
      <c r="BJ58" s="25">
        <f>VLOOKUP(E58,Wind!$C$2:$E$109,3, FALSE)</f>
        <v>12.416666666666666</v>
      </c>
      <c r="BK58" s="44">
        <v>1.66</v>
      </c>
      <c r="BL58">
        <f>BK58/(1-(((1.3*10^-3)^0.5)/0.41)*LN(10/1.5))</f>
        <v>1.9923982880693825</v>
      </c>
      <c r="BM58">
        <f>BK58*1.22</f>
        <v>2.0251999999999999</v>
      </c>
      <c r="BN58">
        <f>2.07+0.215*(BM58^1.7)*(24/100)</f>
        <v>2.241255750541113</v>
      </c>
      <c r="BO58">
        <f>BN58*((600/BG58)^0.67)</f>
        <v>1.5706032048108363</v>
      </c>
      <c r="BP58">
        <f>BN58*((600/BH58)^0.67)</f>
        <v>1.5590455492866107</v>
      </c>
      <c r="BQ58">
        <f>BN58*((600/BI58)^0.67)</f>
        <v>1.5132108701735385</v>
      </c>
      <c r="BR58" s="39">
        <f>BO58*(AM58-BB58)</f>
        <v>94.228280478918563</v>
      </c>
      <c r="BS58" s="39">
        <f>BP58*(AD58-BD58)</f>
        <v>0.11442870163949972</v>
      </c>
      <c r="BT58" s="39">
        <f>BQ58*(AU58-BF58)</f>
        <v>105.1129505603852</v>
      </c>
      <c r="BU58">
        <f>(2.51+1.48*BM58)+(0.39*BM58*LOG10(0.0015))</f>
        <v>3.2768938069574309</v>
      </c>
      <c r="BV58">
        <f>BU58*((600/$BG58)^0.67)</f>
        <v>2.2963465520566047</v>
      </c>
      <c r="BW58">
        <f>BU58*((600/$BH58)^0.67)</f>
        <v>2.2794483422913254</v>
      </c>
      <c r="BX58">
        <f>BU58*((600/$BI58)^0.67)</f>
        <v>2.212434403300541</v>
      </c>
      <c r="BY58" s="39">
        <f>BV58*($AM58-$BB58)</f>
        <v>137.76922542956879</v>
      </c>
      <c r="BZ58" s="39">
        <f>BW58*($AD58-$BD58)</f>
        <v>0.16730384457468808</v>
      </c>
      <c r="CA58" s="39">
        <f>BX58*($AU58-$BF58)</f>
        <v>153.68347705931765</v>
      </c>
      <c r="CB58" s="42">
        <f>AVERAGE(0.72,0.69,0.4,0.22)</f>
        <v>0.50750000000000006</v>
      </c>
      <c r="CC58">
        <f>CB58*((600/$BG58)^0.67)</f>
        <v>0.35564041553448678</v>
      </c>
      <c r="CD58">
        <f>CB58*((600/$BH58)^0.67)</f>
        <v>0.35302335133860979</v>
      </c>
      <c r="CE58">
        <f>CB58*((600/$BI58)^0.67)</f>
        <v>0.34264475012620105</v>
      </c>
      <c r="CF58" s="39">
        <f>CC58*($AM58-$BB58)</f>
        <v>21.336633417005466</v>
      </c>
      <c r="CG58" s="39">
        <f>CD58*($AD58-$BD58)</f>
        <v>2.5910727085931839E-2</v>
      </c>
      <c r="CH58" s="39">
        <f>CE58*($AU58-$BF58)</f>
        <v>23.801309777572815</v>
      </c>
      <c r="CI58">
        <v>0.86263901889527161</v>
      </c>
      <c r="CJ58">
        <f>((BG58/BH58)^0.67)*CI58</f>
        <v>0.85629108544422006</v>
      </c>
      <c r="CK58">
        <f>((BH58/BH58)^0.67)*CI58</f>
        <v>0.86263901889527161</v>
      </c>
      <c r="CL58">
        <f>((BI58/BH58)^0.67)*CI58</f>
        <v>0.88876808220086745</v>
      </c>
      <c r="CM58" s="39">
        <f>CJ58*($AM58-$BB58)</f>
        <v>51.37315161696332</v>
      </c>
      <c r="CN58" s="39">
        <f>CK58*($AD58-$BD58)</f>
        <v>6.3314803702127817E-2</v>
      </c>
      <c r="CO58" s="39">
        <f>CL58*($AU58-$BF58)</f>
        <v>61.736957700623982</v>
      </c>
      <c r="CP58" s="27">
        <f>VLOOKUP(A58,Water!$A$2:$E$109, 5, FALSE)/1000</f>
        <v>9.1E-4</v>
      </c>
      <c r="CQ58">
        <f>0.64*CP58</f>
        <v>5.8240000000000006E-4</v>
      </c>
      <c r="CR58" s="19">
        <f>CQ58*1000*(2.5*10^-5)</f>
        <v>1.4560000000000001E-5</v>
      </c>
      <c r="CS58" s="18">
        <f>(-0.0000009*F58^3)+(0.0002*F58^2)-(0.0134*F58)+6.579</f>
        <v>6.4621729127999998</v>
      </c>
      <c r="CT58" s="18">
        <f>CS58-(SQRT(CP58))/(1+1.4*SQRT(CP58))</f>
        <v>6.4332290823259699</v>
      </c>
      <c r="CU58" s="18">
        <f>10^(-CT58)</f>
        <v>3.687830210175123E-7</v>
      </c>
      <c r="CV58" s="18">
        <f>(0.000001*F58^3)+(0.00006*F58^2)-(0.014*F58)+10.625</f>
        <v>10.489503608</v>
      </c>
      <c r="CW58" s="18">
        <f>CV58-(2*SQRT(CR58))/(1+1.4*SQRT(CR58))</f>
        <v>10.48191264576082</v>
      </c>
      <c r="CX58" s="18">
        <f>10^(-CW58)</f>
        <v>3.2967601673053847E-11</v>
      </c>
      <c r="CY58">
        <f>EXP(1246.98+-61900/H58-183*LN(H58))</f>
        <v>8.0610996498128428E-3</v>
      </c>
      <c r="CZ58">
        <f>12.225*(F58^2)+15.258*F58+1125.7</f>
        <v>2553.2205999999996</v>
      </c>
      <c r="DA58" s="15">
        <f>10^(-4470.99/H58+6.0875-0.01706*H58)</f>
        <v>2.9820331893114446E-15</v>
      </c>
      <c r="DB58">
        <f>(10^-I58)</f>
        <v>1.5488166189124814E-8</v>
      </c>
      <c r="DC58">
        <f>DB58^2</f>
        <v>2.3988329190194908E-16</v>
      </c>
      <c r="DD58" s="20">
        <f>((14.6836*10^-9)*((H58/217.2056)-1)^1.997)*100*100</f>
        <v>1.3665508780862671E-5</v>
      </c>
      <c r="DE58">
        <f>CY58+CZ58*DA58/DB58</f>
        <v>8.5526871286571611E-3</v>
      </c>
      <c r="DF58">
        <f>1+DC58*(CU58*CX58+CU58*DB58)^-1</f>
        <v>1.0419088399718361</v>
      </c>
      <c r="DG58">
        <f>(DE58*DF58/DD58)^0.5</f>
        <v>25.53602243146528</v>
      </c>
      <c r="DH58">
        <f>DD58/(BO58/60/60)</f>
        <v>3.1322890122989895E-2</v>
      </c>
      <c r="DI58" s="16">
        <f>DF58/((DF58-1)+TANH(DG58*DH58)/(DG58*DH58))</f>
        <v>1.1948474775809257</v>
      </c>
      <c r="DJ58">
        <f>$DI58*BR58</f>
        <v>112.58842324702383</v>
      </c>
      <c r="DK58">
        <f>$DI58*BY58</f>
        <v>164.6132114927982</v>
      </c>
      <c r="DL58">
        <f>$DI58*CF58</f>
        <v>25.494022618377869</v>
      </c>
      <c r="DM58">
        <f>$DI58*CM58</f>
        <v>61.383080624911074</v>
      </c>
    </row>
    <row r="59" spans="1:117" ht="15.75" x14ac:dyDescent="0.25">
      <c r="A59" s="51" t="s">
        <v>58</v>
      </c>
      <c r="B59" s="54" t="s">
        <v>340</v>
      </c>
      <c r="C59" s="48" t="s">
        <v>199</v>
      </c>
      <c r="D59" s="57">
        <v>43216</v>
      </c>
      <c r="E59" s="42" t="str">
        <f>A59&amp;D59</f>
        <v>14A43216</v>
      </c>
      <c r="F59" s="3">
        <f>VLOOKUP($E59,Water!$C$2:$E$90, 2, FALSE)</f>
        <v>10.199999999999999</v>
      </c>
      <c r="G59" s="3">
        <f>VLOOKUP($E59,Water!$C$2:$E$90, 3, FALSE)</f>
        <v>0.91</v>
      </c>
      <c r="H59" s="1">
        <f>F59+273.15</f>
        <v>283.34999999999997</v>
      </c>
      <c r="I59" s="3">
        <f>VLOOKUP($E59,Water!$C$2:$F$90, 4, FALSE)</f>
        <v>7.81</v>
      </c>
      <c r="J59">
        <f>10^(I59*-1)</f>
        <v>1.5488166189124814E-8</v>
      </c>
      <c r="K59" s="25">
        <f>VLOOKUP($E59,Atm!$D$2:$G$45, 2, FALSE)</f>
        <v>442.41194651989929</v>
      </c>
      <c r="L59" s="25">
        <f>VLOOKUP($E59,Atm!$D$2:$G$45, 3, FALSE)</f>
        <v>2.704502505162409</v>
      </c>
      <c r="M59" s="25">
        <f>VLOOKUP($E59,Atm!$D$2:$G$45, 4, FALSE)</f>
        <v>0.32446855970781519</v>
      </c>
      <c r="N59" s="21">
        <f>VLOOKUP($C59,Raw!$B$2:$F$353, 3, FALSE)</f>
        <v>1583.684</v>
      </c>
      <c r="O59" s="21">
        <f>VLOOKUP($C59,Raw!$B$2:$F$353, 4, FALSE)</f>
        <v>22.056000000000001</v>
      </c>
      <c r="P59" s="21">
        <f>VLOOKUP($C59,Raw!$B$2:$F$353, 5, FALSE)</f>
        <v>2.0720000000000001</v>
      </c>
      <c r="Q59" s="14">
        <v>60</v>
      </c>
      <c r="R59" s="25">
        <v>1140</v>
      </c>
      <c r="S59">
        <f>EXP(24.4543-(100/H59*(67.4509))-(4.8489*LN(H59/100))-(0.000544*G59))</f>
        <v>1.2262791627173617E-2</v>
      </c>
      <c r="T59" s="8">
        <f>EXP(-58.0931+90.5069*(100/H59)+22.294*LN(H59/100)+G59*(0.027766-0.025888*(H59/100)+0.0050578*(H59/100)^2))</f>
        <v>5.305559882487431E-2</v>
      </c>
      <c r="U59" s="9">
        <f>(EXP(-67.1962+99.1624*(100/H59)+27.9015*LN(H59/100)+G59*(-0.072909+0.041674*(H59/100)-0.0064603*(H59/100)^2)))</f>
        <v>4.3020039549149319E-2</v>
      </c>
      <c r="V59" s="9">
        <f>(EXP(-64.8539+100.252*(100/H59)+25.2049*LN(H59/100)+(-0.062544+0.035337*(H59/100)-0.0054699*(H59/100)^2)*G59))</f>
        <v>3.9658023275342028E-2</v>
      </c>
      <c r="W59" s="9">
        <f>(EXP(-68.8862+101.4956*(100/H59)+28.7314*LN(H59/100)+G59*(-0.076146+0.04397*(H59/100)-0.0068672*(H59/100)^2)))</f>
        <v>4.2924940045530643E-2</v>
      </c>
      <c r="X59">
        <f>N59*(AZ59-S59)</f>
        <v>1464.0330862626058</v>
      </c>
      <c r="Y59">
        <f>O59*(AZ59-S59)</f>
        <v>20.389619236292113</v>
      </c>
      <c r="Z59">
        <f>((Y59/10^6)*AZ59)/(0.082056*H59)</f>
        <v>8.2144966500541396E-7</v>
      </c>
      <c r="AA59">
        <f>(((L59/10^6)*AZ59)/(0.082056*H59))</f>
        <v>1.0895802668632707E-7</v>
      </c>
      <c r="AB59">
        <f>((Y59/10^6)*U59*1)/(0.082056*H59)</f>
        <v>3.7726486554133956E-8</v>
      </c>
      <c r="AC59">
        <f>(Z59*(Q59/1000))+(AB59*(R59/1000))</f>
        <v>9.2295174572037549E-8</v>
      </c>
      <c r="AD59" s="39">
        <f>((AC59-(AA59*(Q59/1000)))/(R59/1000))*1000000</f>
        <v>7.5226046465664859E-2</v>
      </c>
      <c r="AE59" s="39">
        <f>(AD59/((U59*AZ59*1))*(0.0821*273.15))</f>
        <v>41.863582819818305</v>
      </c>
      <c r="AF59" s="39">
        <f>L59*U59*AZ59*1/(0.0821*273.15)</f>
        <v>4.8598093477928792E-3</v>
      </c>
      <c r="AG59" s="39">
        <f>AD59-AF59</f>
        <v>7.0366237117871974E-2</v>
      </c>
      <c r="AH59" s="42">
        <f>P59*(AZ59-S59)</f>
        <v>1.9154557062748121</v>
      </c>
      <c r="AI59">
        <f>(((X59/10^6)*(Q59/1000))/(0.082056*H59))</f>
        <v>3.7780576666763332E-6</v>
      </c>
      <c r="AJ59">
        <f>(((K59/10^6)*AZ59)*(Q59/1000))/(0.082056*H59)</f>
        <v>1.0694240271529056E-6</v>
      </c>
      <c r="AK59">
        <f>(X59/10^6)*T59*(R59/1000)</f>
        <v>8.8549673383844218E-5</v>
      </c>
      <c r="AL59">
        <f>AI59+AK59</f>
        <v>9.2327731050520547E-5</v>
      </c>
      <c r="AM59" s="39">
        <f>((AL59-AJ59)/(R59/1000))*1000000</f>
        <v>80.051146511726003</v>
      </c>
      <c r="AN59" s="39">
        <f>AM59/(T59*AZ59)</f>
        <v>1610.7603664781343</v>
      </c>
      <c r="AO59" s="39">
        <f>(K59*AZ59)*T59</f>
        <v>21.986872961641811</v>
      </c>
      <c r="AP59" s="39">
        <f>AM59-AO59</f>
        <v>58.064273550084195</v>
      </c>
      <c r="AQ59">
        <f>(((AH59/10^6)*(Q59/1000))/(0.082056*H59))</f>
        <v>4.9429908273073185E-9</v>
      </c>
      <c r="AR59">
        <f>(((M59/10^6)*AZ59)*(Q59/1000))/(0.082056*H59)</f>
        <v>7.8432437581480918E-10</v>
      </c>
      <c r="AS59">
        <f>(AH59/10^6)*V59*(R59/1000)</f>
        <v>8.6598033159859833E-8</v>
      </c>
      <c r="AT59">
        <f>AQ59+AS59</f>
        <v>9.1541023987167153E-8</v>
      </c>
      <c r="AU59" s="39">
        <f>((AT59-AR59)/(R59/1000))*1000000000</f>
        <v>79.611140009958206</v>
      </c>
      <c r="AV59" s="39">
        <f>(AU59/1000)/(V59*AZ59)</f>
        <v>2.1430750438876149</v>
      </c>
      <c r="AW59" s="39">
        <f>(M59*AZ59)*V59*1000</f>
        <v>12.053386562175364</v>
      </c>
      <c r="AX59" s="39">
        <f>AU59-AW59</f>
        <v>67.557753447782844</v>
      </c>
      <c r="AY59" s="26">
        <f>VLOOKUP($E59,Water!$C$2:$G$90, 5, FALSE)</f>
        <v>711.9</v>
      </c>
      <c r="AZ59">
        <f>AY59/760</f>
        <v>0.93671052631578944</v>
      </c>
      <c r="BA59" s="3">
        <f>Assumptions!$B$3</f>
        <v>406.07</v>
      </c>
      <c r="BB59" s="3">
        <f>BA59*AZ59*T59</f>
        <v>20.180760428747391</v>
      </c>
      <c r="BC59" s="3">
        <f>Assumptions!$B$4</f>
        <v>1.8474300000000001</v>
      </c>
      <c r="BD59" s="45">
        <f>BC59*AZ59*U59*1/(0.0821*273.15)</f>
        <v>3.3197076232154756E-3</v>
      </c>
      <c r="BE59" s="3">
        <f>Assumptions!$B$2</f>
        <v>0.33054499999999998</v>
      </c>
      <c r="BF59" s="44">
        <f>BE59*AZ59*V59*1000</f>
        <v>12.279114699994436</v>
      </c>
      <c r="BG59">
        <f>1923.6+(-125.06*F59)+(4.3773*(F59^2))+(-0.085681*(F59^3))+(0.00070284*(F59^4))</f>
        <v>1020.0846955453441</v>
      </c>
      <c r="BH59">
        <f>1909.4+(-120.78*F59)+(4.1555*(F59^2))+(-0.080578*(F59^3))+(0.00065777*(F59^4))</f>
        <v>1031.3921157948321</v>
      </c>
      <c r="BI59">
        <f>2141.2+(-152.56*F59)+(5.8963*(F59^2))+(-0.12411*(F59^3))+(0.0010655*(F59^4))</f>
        <v>1078.3658417848001</v>
      </c>
      <c r="BJ59" s="25">
        <f>VLOOKUP(E59,Wind!$C$2:$E$109,3, FALSE)</f>
        <v>12.416666666666666</v>
      </c>
      <c r="BK59" s="44">
        <v>1.66</v>
      </c>
      <c r="BL59">
        <f>BK59/(1-(((1.3*10^-3)^0.5)/0.41)*LN(10/1.5))</f>
        <v>1.9923982880693825</v>
      </c>
      <c r="BM59">
        <f>BK59*1.22</f>
        <v>2.0251999999999999</v>
      </c>
      <c r="BN59">
        <f>2.07+0.215*(BM59^1.7)*(24/100)</f>
        <v>2.241255750541113</v>
      </c>
      <c r="BO59">
        <f>BN59*((600/BG59)^0.67)</f>
        <v>1.5706032048108363</v>
      </c>
      <c r="BP59">
        <f>BN59*((600/BH59)^0.67)</f>
        <v>1.5590455492866107</v>
      </c>
      <c r="BQ59">
        <f>BN59*((600/BI59)^0.67)</f>
        <v>1.5132108701735385</v>
      </c>
      <c r="BR59" s="39">
        <f>BO59*(AM59-BB59)</f>
        <v>94.032620255188291</v>
      </c>
      <c r="BS59" s="39">
        <f>BP59*(AD59-BD59)</f>
        <v>0.11210525753781565</v>
      </c>
      <c r="BT59" s="39">
        <f>BQ59*(AU59-BF59)</f>
        <v>101.88755260983699</v>
      </c>
      <c r="BU59">
        <f>(2.51+1.48*BM59)+(0.39*BM59*LOG10(0.0015))</f>
        <v>3.2768938069574309</v>
      </c>
      <c r="BV59">
        <f>BU59*((600/$BG59)^0.67)</f>
        <v>2.2963465520566047</v>
      </c>
      <c r="BW59">
        <f>BU59*((600/$BH59)^0.67)</f>
        <v>2.2794483422913254</v>
      </c>
      <c r="BX59">
        <f>BU59*((600/$BI59)^0.67)</f>
        <v>2.212434403300541</v>
      </c>
      <c r="BY59" s="39">
        <f>BV59*($AM59-$BB59)</f>
        <v>137.48315465194565</v>
      </c>
      <c r="BZ59" s="39">
        <f>BW59*($AD59-$BD59)</f>
        <v>0.16390678487465959</v>
      </c>
      <c r="CA59" s="39">
        <f>BX59*($AU59-$BF59)</f>
        <v>148.96768923966661</v>
      </c>
      <c r="CB59" s="42">
        <f>AVERAGE(0.72,0.69,0.4,0.22)</f>
        <v>0.50750000000000006</v>
      </c>
      <c r="CC59">
        <f>CB59*((600/$BG59)^0.67)</f>
        <v>0.35564041553448678</v>
      </c>
      <c r="CD59">
        <f>CB59*((600/$BH59)^0.67)</f>
        <v>0.35302335133860979</v>
      </c>
      <c r="CE59">
        <f>CB59*((600/$BI59)^0.67)</f>
        <v>0.34264475012620105</v>
      </c>
      <c r="CF59" s="39">
        <f>CC59*($AM59-$BB59)</f>
        <v>21.292328984760669</v>
      </c>
      <c r="CG59" s="39">
        <f>CD59*($AD59-$BD59)</f>
        <v>2.5384616720651135E-2</v>
      </c>
      <c r="CH59" s="39">
        <f>CE59*($AU59-$BF59)</f>
        <v>23.070964987823579</v>
      </c>
      <c r="CI59">
        <v>0.86263901889527161</v>
      </c>
      <c r="CJ59">
        <f>((BG59/BH59)^0.67)*CI59</f>
        <v>0.85629108544422006</v>
      </c>
      <c r="CK59">
        <f>((BH59/BH59)^0.67)*CI59</f>
        <v>0.86263901889527161</v>
      </c>
      <c r="CL59">
        <f>((BI59/BH59)^0.67)*CI59</f>
        <v>0.88876808220086745</v>
      </c>
      <c r="CM59" s="39">
        <f>CJ59*($AM59-$BB59)</f>
        <v>51.266477884958285</v>
      </c>
      <c r="CN59" s="39">
        <f>CK59*($AD59-$BD59)</f>
        <v>6.2029213591401504E-2</v>
      </c>
      <c r="CO59" s="39">
        <f>CL59*($AU59-$BF59)</f>
        <v>59.842555005436765</v>
      </c>
      <c r="CP59" s="27">
        <f>VLOOKUP(A59,Water!$A$2:$E$109, 5, FALSE)/1000</f>
        <v>9.1E-4</v>
      </c>
      <c r="CQ59">
        <f>0.64*CP59</f>
        <v>5.8240000000000006E-4</v>
      </c>
      <c r="CR59" s="19">
        <f>CQ59*1000*(2.5*10^-5)</f>
        <v>1.4560000000000001E-5</v>
      </c>
      <c r="CS59" s="18">
        <f>(-0.0000009*F59^3)+(0.0002*F59^2)-(0.0134*F59)+6.579</f>
        <v>6.4621729127999998</v>
      </c>
      <c r="CT59" s="18">
        <f>CS59-(SQRT(CP59))/(1+1.4*SQRT(CP59))</f>
        <v>6.4332290823259699</v>
      </c>
      <c r="CU59" s="18">
        <f>10^(-CT59)</f>
        <v>3.687830210175123E-7</v>
      </c>
      <c r="CV59" s="18">
        <f>(0.000001*F59^3)+(0.00006*F59^2)-(0.014*F59)+10.625</f>
        <v>10.489503608</v>
      </c>
      <c r="CW59" s="18">
        <f>CV59-(2*SQRT(CR59))/(1+1.4*SQRT(CR59))</f>
        <v>10.48191264576082</v>
      </c>
      <c r="CX59" s="18">
        <f>10^(-CW59)</f>
        <v>3.2967601673053847E-11</v>
      </c>
      <c r="CY59">
        <f>EXP(1246.98+-61900/H59-183*LN(H59))</f>
        <v>8.0610996498128428E-3</v>
      </c>
      <c r="CZ59">
        <f>12.225*(F59^2)+15.258*F59+1125.7</f>
        <v>2553.2205999999996</v>
      </c>
      <c r="DA59" s="15">
        <f>10^(-4470.99/H59+6.0875-0.01706*H59)</f>
        <v>2.9820331893114446E-15</v>
      </c>
      <c r="DB59">
        <f>(10^-I59)</f>
        <v>1.5488166189124814E-8</v>
      </c>
      <c r="DC59">
        <f>DB59^2</f>
        <v>2.3988329190194908E-16</v>
      </c>
      <c r="DD59" s="20">
        <f>((14.6836*10^-9)*((H59/217.2056)-1)^1.997)*100*100</f>
        <v>1.3665508780862671E-5</v>
      </c>
      <c r="DE59">
        <f>CY59+CZ59*DA59/DB59</f>
        <v>8.5526871286571611E-3</v>
      </c>
      <c r="DF59">
        <f>1+DC59*(CU59*CX59+CU59*DB59)^-1</f>
        <v>1.0419088399718361</v>
      </c>
      <c r="DG59">
        <f>(DE59*DF59/DD59)^0.5</f>
        <v>25.53602243146528</v>
      </c>
      <c r="DH59">
        <f>DD59/(BO59/60/60)</f>
        <v>3.1322890122989895E-2</v>
      </c>
      <c r="DI59" s="16">
        <f>DF59/((DF59-1)+TANH(DG59*DH59)/(DG59*DH59))</f>
        <v>1.1948474775809257</v>
      </c>
      <c r="DJ59">
        <f>$DI59*BR59</f>
        <v>112.35463912223679</v>
      </c>
      <c r="DK59">
        <f>$DI59*BY59</f>
        <v>164.27140054574556</v>
      </c>
      <c r="DL59">
        <f>$DI59*CF59</f>
        <v>25.441085579264517</v>
      </c>
      <c r="DM59">
        <f>$DI59*CM59</f>
        <v>61.255621785300718</v>
      </c>
    </row>
    <row r="60" spans="1:117" ht="15.75" x14ac:dyDescent="0.25">
      <c r="A60" s="52" t="s">
        <v>58</v>
      </c>
      <c r="B60" s="55" t="s">
        <v>341</v>
      </c>
      <c r="C60" t="s">
        <v>200</v>
      </c>
      <c r="D60" s="57">
        <v>43216</v>
      </c>
      <c r="E60" s="42" t="str">
        <f>A60&amp;D60</f>
        <v>14A43216</v>
      </c>
      <c r="F60" s="3">
        <f>VLOOKUP($E60,Water!$C$2:$E$90, 2, FALSE)</f>
        <v>10.199999999999999</v>
      </c>
      <c r="G60" s="3">
        <f>VLOOKUP($E60,Water!$C$2:$E$90, 3, FALSE)</f>
        <v>0.91</v>
      </c>
      <c r="H60" s="1">
        <f>F60+273.15</f>
        <v>283.34999999999997</v>
      </c>
      <c r="I60" s="3">
        <f>VLOOKUP($E60,Water!$C$2:$F$90, 4, FALSE)</f>
        <v>7.81</v>
      </c>
      <c r="J60">
        <f>10^(I60*-1)</f>
        <v>1.5488166189124814E-8</v>
      </c>
      <c r="K60" s="25">
        <f>VLOOKUP($E60,Atm!$D$2:$G$45, 2, FALSE)</f>
        <v>442.41194651989929</v>
      </c>
      <c r="L60" s="25">
        <f>VLOOKUP($E60,Atm!$D$2:$G$45, 3, FALSE)</f>
        <v>2.704502505162409</v>
      </c>
      <c r="M60" s="25">
        <f>VLOOKUP($E60,Atm!$D$2:$G$45, 4, FALSE)</f>
        <v>0.32446855970781519</v>
      </c>
      <c r="N60" s="21">
        <f>VLOOKUP($C60,Raw!$B$2:$F$353, 3, FALSE)</f>
        <v>1599.0021626225459</v>
      </c>
      <c r="O60" s="21">
        <f>VLOOKUP($C60,Raw!$B$2:$F$353, 4, FALSE)</f>
        <v>22.194043403557949</v>
      </c>
      <c r="P60" s="21">
        <f>VLOOKUP($C60,Raw!$B$2:$F$353, 5, FALSE)</f>
        <v>2.2980388144502193</v>
      </c>
      <c r="Q60" s="14">
        <v>60</v>
      </c>
      <c r="R60" s="25">
        <v>1140</v>
      </c>
      <c r="S60">
        <f>EXP(24.4543-(100/H60*(67.4509))-(4.8489*LN(H60/100))-(0.000544*G60))</f>
        <v>1.2262791627173617E-2</v>
      </c>
      <c r="T60" s="8">
        <f>EXP(-58.0931+90.5069*(100/H60)+22.294*LN(H60/100)+G60*(0.027766-0.025888*(H60/100)+0.0050578*(H60/100)^2))</f>
        <v>5.305559882487431E-2</v>
      </c>
      <c r="U60" s="9">
        <f>(EXP(-67.1962+99.1624*(100/H60)+27.9015*LN(H60/100)+G60*(-0.072909+0.041674*(H60/100)-0.0064603*(H60/100)^2)))</f>
        <v>4.3020039549149319E-2</v>
      </c>
      <c r="V60" s="9">
        <f>(EXP(-64.8539+100.252*(100/H60)+25.2049*LN(H60/100)+(-0.062544+0.035337*(H60/100)-0.0054699*(H60/100)^2)*G60))</f>
        <v>3.9658023275342028E-2</v>
      </c>
      <c r="W60" s="9">
        <f>(EXP(-68.8862+101.4956*(100/H60)+28.7314*LN(H60/100)+G60*(-0.076146+0.04397*(H60/100)-0.0068672*(H60/100)^2)))</f>
        <v>4.2924940045530643E-2</v>
      </c>
      <c r="X60">
        <f>N60*(AZ60-S60)</f>
        <v>1478.1939269986103</v>
      </c>
      <c r="Y60">
        <f>O60*(AZ60-S60)</f>
        <v>20.517233147999963</v>
      </c>
      <c r="Z60">
        <f>((Y60/10^6)*AZ60)/(0.082056*H60)</f>
        <v>8.2659092849874388E-7</v>
      </c>
      <c r="AA60">
        <f>(((L60/10^6)*AZ60)/(0.082056*H60))</f>
        <v>1.0895802668632707E-7</v>
      </c>
      <c r="AB60">
        <f>((Y60/10^6)*U60*1)/(0.082056*H60)</f>
        <v>3.7962607909239859E-8</v>
      </c>
      <c r="AC60">
        <f>(Z60*(Q60/1000))+(AB60*(R60/1000))</f>
        <v>9.2872828726458071E-8</v>
      </c>
      <c r="AD60" s="39">
        <f>((AC60-(AA60*(Q60/1000)))/(R60/1000))*1000000</f>
        <v>7.5732760636209165E-2</v>
      </c>
      <c r="AE60" s="39">
        <f>(AD60/((U60*AZ60*1))*(0.0821*273.15))</f>
        <v>42.145571195403605</v>
      </c>
      <c r="AF60" s="39">
        <f>L60*U60*AZ60*1/(0.0821*273.15)</f>
        <v>4.8598093477928792E-3</v>
      </c>
      <c r="AG60" s="39">
        <f>AD60-AF60</f>
        <v>7.087295128841628E-2</v>
      </c>
      <c r="AH60" s="42">
        <f>P60*(AZ60-S60)</f>
        <v>2.1244167762450177</v>
      </c>
      <c r="AI60">
        <f>(((X60/10^6)*(Q60/1000))/(0.082056*H60))</f>
        <v>3.8146008796755839E-6</v>
      </c>
      <c r="AJ60">
        <f>(((K60/10^6)*AZ60)*(Q60/1000))/(0.082056*H60)</f>
        <v>1.0694240271529056E-6</v>
      </c>
      <c r="AK60">
        <f>(X60/10^6)*T60*(R60/1000)</f>
        <v>8.9406168932872334E-5</v>
      </c>
      <c r="AL60">
        <f>AI60+AK60</f>
        <v>9.3220769812547914E-5</v>
      </c>
      <c r="AM60" s="39">
        <f>((AL60-AJ60)/(R60/1000))*1000000</f>
        <v>80.834513846837723</v>
      </c>
      <c r="AN60" s="39">
        <f>AM60/(T60*AZ60)</f>
        <v>1626.5230021276652</v>
      </c>
      <c r="AO60" s="39">
        <f>(K60*AZ60)*T60</f>
        <v>21.986872961641811</v>
      </c>
      <c r="AP60" s="39">
        <f>AM60-AO60</f>
        <v>58.847640885195915</v>
      </c>
      <c r="AQ60">
        <f>(((AH60/10^6)*(Q60/1000))/(0.082056*H60))</f>
        <v>5.4822320369805116E-9</v>
      </c>
      <c r="AR60">
        <f>(((M60/10^6)*AZ60)*(Q60/1000))/(0.082056*H60)</f>
        <v>7.8432437581480918E-10</v>
      </c>
      <c r="AS60">
        <f>(AH60/10^6)*V60*(R60/1000)</f>
        <v>9.6045193753091259E-8</v>
      </c>
      <c r="AT60">
        <f>AQ60+AS60</f>
        <v>1.0152742579007177E-7</v>
      </c>
      <c r="AU60" s="39">
        <f>((AT60-AR60)/(R60/1000))*1000000000</f>
        <v>88.371141591453494</v>
      </c>
      <c r="AV60" s="39">
        <f>(AU60/1000)/(V60*AZ60)</f>
        <v>2.3788880315093262</v>
      </c>
      <c r="AW60" s="39">
        <f>(M60*AZ60)*V60*1000</f>
        <v>12.053386562175364</v>
      </c>
      <c r="AX60" s="39">
        <f>AU60-AW60</f>
        <v>76.317755029278132</v>
      </c>
      <c r="AY60" s="26">
        <f>VLOOKUP($E60,Water!$C$2:$G$90, 5, FALSE)</f>
        <v>711.9</v>
      </c>
      <c r="AZ60">
        <f>AY60/760</f>
        <v>0.93671052631578944</v>
      </c>
      <c r="BA60" s="3">
        <f>Assumptions!$B$3</f>
        <v>406.07</v>
      </c>
      <c r="BB60" s="3">
        <f>BA60*AZ60*T60</f>
        <v>20.180760428747391</v>
      </c>
      <c r="BC60" s="3">
        <f>Assumptions!$B$4</f>
        <v>1.8474300000000001</v>
      </c>
      <c r="BD60" s="45">
        <f>BC60*AZ60*U60*1/(0.0821*273.15)</f>
        <v>3.3197076232154756E-3</v>
      </c>
      <c r="BE60" s="3">
        <f>Assumptions!$B$2</f>
        <v>0.33054499999999998</v>
      </c>
      <c r="BF60" s="44">
        <f>BE60*AZ60*V60*1000</f>
        <v>12.279114699994436</v>
      </c>
      <c r="BG60">
        <f>1923.6+(-125.06*F60)+(4.3773*(F60^2))+(-0.085681*(F60^3))+(0.00070284*(F60^4))</f>
        <v>1020.0846955453441</v>
      </c>
      <c r="BH60">
        <f>1909.4+(-120.78*F60)+(4.1555*(F60^2))+(-0.080578*(F60^3))+(0.00065777*(F60^4))</f>
        <v>1031.3921157948321</v>
      </c>
      <c r="BI60">
        <f>2141.2+(-152.56*F60)+(5.8963*(F60^2))+(-0.12411*(F60^3))+(0.0010655*(F60^4))</f>
        <v>1078.3658417848001</v>
      </c>
      <c r="BJ60" s="25">
        <f>VLOOKUP(E60,Wind!$C$2:$E$109,3, FALSE)</f>
        <v>12.416666666666666</v>
      </c>
      <c r="BK60" s="44">
        <v>1.66</v>
      </c>
      <c r="BL60">
        <f>BK60/(1-(((1.3*10^-3)^0.5)/0.41)*LN(10/1.5))</f>
        <v>1.9923982880693825</v>
      </c>
      <c r="BM60">
        <f>BK60*1.22</f>
        <v>2.0251999999999999</v>
      </c>
      <c r="BN60">
        <f>2.07+0.215*(BM60^1.7)*(24/100)</f>
        <v>2.241255750541113</v>
      </c>
      <c r="BO60">
        <f>BN60*((600/BG60)^0.67)</f>
        <v>1.5706032048108363</v>
      </c>
      <c r="BP60">
        <f>BN60*((600/BH60)^0.67)</f>
        <v>1.5590455492866107</v>
      </c>
      <c r="BQ60">
        <f>BN60*((600/BI60)^0.67)</f>
        <v>1.5132108701735385</v>
      </c>
      <c r="BR60" s="39">
        <f>BO60*(AM60-BB60)</f>
        <v>95.262979502258887</v>
      </c>
      <c r="BS60" s="39">
        <f>BP60*(AD60-BD60)</f>
        <v>0.11289524801016321</v>
      </c>
      <c r="BT60" s="39">
        <f>BQ60*(AU60-BF60)</f>
        <v>115.14328222569306</v>
      </c>
      <c r="BU60">
        <f>(2.51+1.48*BM60)+(0.39*BM60*LOG10(0.0015))</f>
        <v>3.2768938069574309</v>
      </c>
      <c r="BV60">
        <f>BU60*((600/$BG60)^0.67)</f>
        <v>2.2963465520566047</v>
      </c>
      <c r="BW60">
        <f>BU60*((600/$BH60)^0.67)</f>
        <v>2.2794483422913254</v>
      </c>
      <c r="BX60">
        <f>BU60*((600/$BI60)^0.67)</f>
        <v>2.212434403300541</v>
      </c>
      <c r="BY60" s="39">
        <f>BV60*($AM60-$BB60)</f>
        <v>139.28203753092322</v>
      </c>
      <c r="BZ60" s="39">
        <f>BW60*($AD60-$BD60)</f>
        <v>0.16506181365072234</v>
      </c>
      <c r="CA60" s="39">
        <f>BX60*($AU60-$BF60)</f>
        <v>168.34861811153394</v>
      </c>
      <c r="CB60" s="42">
        <f>AVERAGE(0.72,0.69,0.4,0.22)</f>
        <v>0.50750000000000006</v>
      </c>
      <c r="CC60">
        <f>CB60*((600/$BG60)^0.67)</f>
        <v>0.35564041553448678</v>
      </c>
      <c r="CD60">
        <f>CB60*((600/$BH60)^0.67)</f>
        <v>0.35302335133860979</v>
      </c>
      <c r="CE60">
        <f>CB60*((600/$BI60)^0.67)</f>
        <v>0.34264475012620105</v>
      </c>
      <c r="CF60" s="39">
        <f>CC60*($AM60-$BB60)</f>
        <v>21.570926069335943</v>
      </c>
      <c r="CG60" s="39">
        <f>CD60*($AD60-$BD60)</f>
        <v>2.5563498655307448E-2</v>
      </c>
      <c r="CH60" s="39">
        <f>CE60*($AU60-$BF60)</f>
        <v>26.07253354082016</v>
      </c>
      <c r="CI60">
        <v>0.86263901889527161</v>
      </c>
      <c r="CJ60">
        <f>((BG60/BH60)^0.67)*CI60</f>
        <v>0.85629108544422006</v>
      </c>
      <c r="CK60">
        <f>((BH60/BH60)^0.67)*CI60</f>
        <v>0.86263901889527161</v>
      </c>
      <c r="CL60">
        <f>((BI60/BH60)^0.67)*CI60</f>
        <v>0.88876808220086745</v>
      </c>
      <c r="CM60" s="39">
        <f>CJ60*($AM60-$BB60)</f>
        <v>51.93726835064264</v>
      </c>
      <c r="CN60" s="39">
        <f>CK60*($AD60-$BD60)</f>
        <v>6.2466325006340175E-2</v>
      </c>
      <c r="CO60" s="39">
        <f>CL60*($AU60-$BF60)</f>
        <v>67.628164811098898</v>
      </c>
      <c r="CP60" s="27">
        <f>VLOOKUP(A60,Water!$A$2:$E$109, 5, FALSE)/1000</f>
        <v>9.1E-4</v>
      </c>
      <c r="CQ60">
        <f>0.64*CP60</f>
        <v>5.8240000000000006E-4</v>
      </c>
      <c r="CR60" s="19">
        <f>CQ60*1000*(2.5*10^-5)</f>
        <v>1.4560000000000001E-5</v>
      </c>
      <c r="CS60" s="18">
        <f>(-0.0000009*F60^3)+(0.0002*F60^2)-(0.0134*F60)+6.579</f>
        <v>6.4621729127999998</v>
      </c>
      <c r="CT60" s="18">
        <f>CS60-(SQRT(CP60))/(1+1.4*SQRT(CP60))</f>
        <v>6.4332290823259699</v>
      </c>
      <c r="CU60" s="18">
        <f>10^(-CT60)</f>
        <v>3.687830210175123E-7</v>
      </c>
      <c r="CV60" s="18">
        <f>(0.000001*F60^3)+(0.00006*F60^2)-(0.014*F60)+10.625</f>
        <v>10.489503608</v>
      </c>
      <c r="CW60" s="18">
        <f>CV60-(2*SQRT(CR60))/(1+1.4*SQRT(CR60))</f>
        <v>10.48191264576082</v>
      </c>
      <c r="CX60" s="18">
        <f>10^(-CW60)</f>
        <v>3.2967601673053847E-11</v>
      </c>
      <c r="CY60">
        <f>EXP(1246.98+-61900/H60-183*LN(H60))</f>
        <v>8.0610996498128428E-3</v>
      </c>
      <c r="CZ60">
        <f>12.225*(F60^2)+15.258*F60+1125.7</f>
        <v>2553.2205999999996</v>
      </c>
      <c r="DA60" s="15">
        <f>10^(-4470.99/H60+6.0875-0.01706*H60)</f>
        <v>2.9820331893114446E-15</v>
      </c>
      <c r="DB60">
        <f>(10^-I60)</f>
        <v>1.5488166189124814E-8</v>
      </c>
      <c r="DC60">
        <f>DB60^2</f>
        <v>2.3988329190194908E-16</v>
      </c>
      <c r="DD60" s="20">
        <f>((14.6836*10^-9)*((H60/217.2056)-1)^1.997)*100*100</f>
        <v>1.3665508780862671E-5</v>
      </c>
      <c r="DE60">
        <f>CY60+CZ60*DA60/DB60</f>
        <v>8.5526871286571611E-3</v>
      </c>
      <c r="DF60">
        <f>1+DC60*(CU60*CX60+CU60*DB60)^-1</f>
        <v>1.0419088399718361</v>
      </c>
      <c r="DG60">
        <f>(DE60*DF60/DD60)^0.5</f>
        <v>25.53602243146528</v>
      </c>
      <c r="DH60">
        <f>DD60/(BO60/60/60)</f>
        <v>3.1322890122989895E-2</v>
      </c>
      <c r="DI60" s="16">
        <f>DF60/((DF60-1)+TANH(DG60*DH60)/(DG60*DH60))</f>
        <v>1.1948474775809257</v>
      </c>
      <c r="DJ60">
        <f>$DI60*BR60</f>
        <v>113.82473076511747</v>
      </c>
      <c r="DK60">
        <f>$DI60*BY60</f>
        <v>166.42079121615544</v>
      </c>
      <c r="DL60">
        <f>$DI60*CF60</f>
        <v>25.773966603030683</v>
      </c>
      <c r="DM60">
        <f>$DI60*CM60</f>
        <v>62.057114081209001</v>
      </c>
    </row>
    <row r="61" spans="1:117" ht="15.75" x14ac:dyDescent="0.25">
      <c r="A61" s="51" t="s">
        <v>58</v>
      </c>
      <c r="B61" s="54" t="s">
        <v>342</v>
      </c>
      <c r="C61" s="48" t="s">
        <v>201</v>
      </c>
      <c r="D61" s="57">
        <v>43216</v>
      </c>
      <c r="E61" s="42" t="str">
        <f>A61&amp;D61</f>
        <v>14A43216</v>
      </c>
      <c r="F61" s="3">
        <f>VLOOKUP($E61,Water!$C$2:$E$90, 2, FALSE)</f>
        <v>10.199999999999999</v>
      </c>
      <c r="G61" s="3">
        <f>VLOOKUP($E61,Water!$C$2:$E$90, 3, FALSE)</f>
        <v>0.91</v>
      </c>
      <c r="H61" s="1">
        <f>F61+273.15</f>
        <v>283.34999999999997</v>
      </c>
      <c r="I61" s="3">
        <f>VLOOKUP($E61,Water!$C$2:$F$90, 4, FALSE)</f>
        <v>7.81</v>
      </c>
      <c r="J61">
        <f>10^(I61*-1)</f>
        <v>1.5488166189124814E-8</v>
      </c>
      <c r="K61" s="25">
        <f>VLOOKUP($E61,Atm!$D$2:$G$45, 2, FALSE)</f>
        <v>442.41194651989929</v>
      </c>
      <c r="L61" s="25">
        <f>VLOOKUP($E61,Atm!$D$2:$G$45, 3, FALSE)</f>
        <v>2.704502505162409</v>
      </c>
      <c r="M61" s="25">
        <f>VLOOKUP($E61,Atm!$D$2:$G$45, 4, FALSE)</f>
        <v>0.32446855970781519</v>
      </c>
      <c r="N61" s="21">
        <f>VLOOKUP($C61,Raw!$B$2:$F$353, 3, FALSE)</f>
        <v>1555.0730000000001</v>
      </c>
      <c r="O61" s="21">
        <f>VLOOKUP($C61,Raw!$B$2:$F$353, 4, FALSE)</f>
        <v>21.074999999999999</v>
      </c>
      <c r="P61" s="21">
        <f>VLOOKUP($C61,Raw!$B$2:$F$353, 5, FALSE)</f>
        <v>2.0539999999999998</v>
      </c>
      <c r="Q61" s="14">
        <v>60</v>
      </c>
      <c r="R61" s="25">
        <v>1140</v>
      </c>
      <c r="S61">
        <f>EXP(24.4543-(100/H61*(67.4509))-(4.8489*LN(H61/100))-(0.000544*G61))</f>
        <v>1.2262791627173617E-2</v>
      </c>
      <c r="T61" s="8">
        <f>EXP(-58.0931+90.5069*(100/H61)+22.294*LN(H61/100)+G61*(0.027766-0.025888*(H61/100)+0.0050578*(H61/100)^2))</f>
        <v>5.305559882487431E-2</v>
      </c>
      <c r="U61" s="9">
        <f>(EXP(-67.1962+99.1624*(100/H61)+27.9015*LN(H61/100)+G61*(-0.072909+0.041674*(H61/100)-0.0064603*(H61/100)^2)))</f>
        <v>4.3020039549149319E-2</v>
      </c>
      <c r="V61" s="9">
        <f>(EXP(-64.8539+100.252*(100/H61)+25.2049*LN(H61/100)+(-0.062544+0.035337*(H61/100)-0.0054699*(H61/100)^2)*G61))</f>
        <v>3.9658023275342028E-2</v>
      </c>
      <c r="W61" s="9">
        <f>(EXP(-68.8862+101.4956*(100/H61)+28.7314*LN(H61/100)+G61*(-0.076146+0.04397*(H61/100)-0.0068672*(H61/100)^2)))</f>
        <v>4.2924940045530643E-2</v>
      </c>
      <c r="X61">
        <f>N61*(AZ61-S61)</f>
        <v>1437.5837121254301</v>
      </c>
      <c r="Y61">
        <f>O61*(AZ61-S61)</f>
        <v>19.482736008562579</v>
      </c>
      <c r="Z61">
        <f>((Y61/10^6)*AZ61)/(0.082056*H61)</f>
        <v>7.8491347887146802E-7</v>
      </c>
      <c r="AA61">
        <f>(((L61/10^6)*AZ61)/(0.082056*H61))</f>
        <v>1.0895802668632707E-7</v>
      </c>
      <c r="AB61">
        <f>((Y61/10^6)*U61*1)/(0.082056*H61)</f>
        <v>3.6048499461750684E-8</v>
      </c>
      <c r="AC61">
        <f>(Z61*(Q61/1000))+(AB61*(R61/1000))</f>
        <v>8.8190098118683857E-8</v>
      </c>
      <c r="AD61" s="39">
        <f>((AC61-(AA61*(Q61/1000)))/(R61/1000))*1000000</f>
        <v>7.1625102208337052E-2</v>
      </c>
      <c r="AE61" s="39">
        <f>(AD61/((U61*AZ61*1))*(0.0821*273.15))</f>
        <v>39.859643556374529</v>
      </c>
      <c r="AF61" s="39">
        <f>L61*U61*AZ61*1/(0.0821*273.15)</f>
        <v>4.8598093477928792E-3</v>
      </c>
      <c r="AG61" s="39">
        <f>AD61-AF61</f>
        <v>6.6765292860544168E-2</v>
      </c>
      <c r="AH61" s="42">
        <f>P61*(AZ61-S61)</f>
        <v>1.8988156470504167</v>
      </c>
      <c r="AI61">
        <f>(((X61/10^6)*(Q61/1000))/(0.082056*H61))</f>
        <v>3.7098028835874877E-6</v>
      </c>
      <c r="AJ61">
        <f>(((K61/10^6)*AZ61)*(Q61/1000))/(0.082056*H61)</f>
        <v>1.0694240271529056E-6</v>
      </c>
      <c r="AK61">
        <f>(X61/10^6)*T61*(R61/1000)</f>
        <v>8.6949925766778474E-5</v>
      </c>
      <c r="AL61">
        <f>AI61+AK61</f>
        <v>9.0659728650365956E-5</v>
      </c>
      <c r="AM61" s="39">
        <f>((AL61-AJ61)/(R61/1000))*1000000</f>
        <v>78.587986511590401</v>
      </c>
      <c r="AN61" s="39">
        <f>AM61/(T61*AZ61)</f>
        <v>1581.3191874228244</v>
      </c>
      <c r="AO61" s="39">
        <f>(K61*AZ61)*T61</f>
        <v>21.986872961641811</v>
      </c>
      <c r="AP61" s="39">
        <f>AM61-AO61</f>
        <v>56.601113549948593</v>
      </c>
      <c r="AQ61">
        <f>(((AH61/10^6)*(Q61/1000))/(0.082056*H61))</f>
        <v>4.9000497873017529E-9</v>
      </c>
      <c r="AR61">
        <f>(((M61/10^6)*AZ61)*(Q61/1000))/(0.082056*H61)</f>
        <v>7.8432437581480918E-10</v>
      </c>
      <c r="AS61">
        <f>(AH61/10^6)*V61*(R61/1000)</f>
        <v>8.5845733643992331E-8</v>
      </c>
      <c r="AT61">
        <f>AQ61+AS61</f>
        <v>9.074578343129408E-8</v>
      </c>
      <c r="AU61" s="39">
        <f>((AT61-AR61)/(R61/1000))*1000000000</f>
        <v>78.91356057498183</v>
      </c>
      <c r="AV61" s="39">
        <f>(AU61/1000)/(V61*AZ61)</f>
        <v>2.1242967035945344</v>
      </c>
      <c r="AW61" s="39">
        <f>(M61*AZ61)*V61*1000</f>
        <v>12.053386562175364</v>
      </c>
      <c r="AX61" s="39">
        <f>AU61-AW61</f>
        <v>66.860174012806468</v>
      </c>
      <c r="AY61" s="26">
        <f>VLOOKUP($E61,Water!$C$2:$G$90, 5, FALSE)</f>
        <v>711.9</v>
      </c>
      <c r="AZ61">
        <f>AY61/760</f>
        <v>0.93671052631578944</v>
      </c>
      <c r="BA61" s="3">
        <f>Assumptions!$B$3</f>
        <v>406.07</v>
      </c>
      <c r="BB61" s="3">
        <f>BA61*AZ61*T61</f>
        <v>20.180760428747391</v>
      </c>
      <c r="BC61" s="3">
        <f>Assumptions!$B$4</f>
        <v>1.8474300000000001</v>
      </c>
      <c r="BD61" s="45">
        <f>BC61*AZ61*U61*1/(0.0821*273.15)</f>
        <v>3.3197076232154756E-3</v>
      </c>
      <c r="BE61" s="3">
        <f>Assumptions!$B$2</f>
        <v>0.33054499999999998</v>
      </c>
      <c r="BF61" s="44">
        <f>BE61*AZ61*V61*1000</f>
        <v>12.279114699994436</v>
      </c>
      <c r="BG61">
        <f>1923.6+(-125.06*F61)+(4.3773*(F61^2))+(-0.085681*(F61^3))+(0.00070284*(F61^4))</f>
        <v>1020.0846955453441</v>
      </c>
      <c r="BH61">
        <f>1909.4+(-120.78*F61)+(4.1555*(F61^2))+(-0.080578*(F61^3))+(0.00065777*(F61^4))</f>
        <v>1031.3921157948321</v>
      </c>
      <c r="BI61">
        <f>2141.2+(-152.56*F61)+(5.8963*(F61^2))+(-0.12411*(F61^3))+(0.0010655*(F61^4))</f>
        <v>1078.3658417848001</v>
      </c>
      <c r="BJ61" s="25">
        <f>VLOOKUP(E61,Wind!$C$2:$E$109,3, FALSE)</f>
        <v>12.416666666666666</v>
      </c>
      <c r="BK61" s="44">
        <v>1.66</v>
      </c>
      <c r="BL61">
        <f>BK61/(1-(((1.3*10^-3)^0.5)/0.41)*LN(10/1.5))</f>
        <v>1.9923982880693825</v>
      </c>
      <c r="BM61">
        <f>BK61*1.22</f>
        <v>2.0251999999999999</v>
      </c>
      <c r="BN61">
        <f>2.07+0.215*(BM61^1.7)*(24/100)</f>
        <v>2.241255750541113</v>
      </c>
      <c r="BO61">
        <f>BN61*((600/BG61)^0.67)</f>
        <v>1.5706032048108363</v>
      </c>
      <c r="BP61">
        <f>BN61*((600/BH61)^0.67)</f>
        <v>1.5590455492866107</v>
      </c>
      <c r="BQ61">
        <f>BN61*((600/BI61)^0.67)</f>
        <v>1.5132108701735385</v>
      </c>
      <c r="BR61" s="39">
        <f>BO61*(AM61-BB61)</f>
        <v>91.734576469824304</v>
      </c>
      <c r="BS61" s="39">
        <f>BP61*(AD61-BD61)</f>
        <v>0.10649122142019955</v>
      </c>
      <c r="BT61" s="39">
        <f>BQ61*(AU61-BF61)</f>
        <v>100.83196782602123</v>
      </c>
      <c r="BU61">
        <f>(2.51+1.48*BM61)+(0.39*BM61*LOG10(0.0015))</f>
        <v>3.2768938069574309</v>
      </c>
      <c r="BV61">
        <f>BU61*((600/$BG61)^0.67)</f>
        <v>2.2963465520566047</v>
      </c>
      <c r="BW61">
        <f>BU61*((600/$BH61)^0.67)</f>
        <v>2.2794483422913254</v>
      </c>
      <c r="BX61">
        <f>BU61*((600/$BI61)^0.67)</f>
        <v>2.212434403300541</v>
      </c>
      <c r="BY61" s="39">
        <f>BV61*($AM61-$BB61)</f>
        <v>134.12323223052712</v>
      </c>
      <c r="BZ61" s="39">
        <f>BW61*($AD61-$BD61)</f>
        <v>0.15569861845661026</v>
      </c>
      <c r="CA61" s="39">
        <f>BX61*($AU61-$BF61)</f>
        <v>147.42434049868993</v>
      </c>
      <c r="CB61" s="42">
        <f>AVERAGE(0.72,0.69,0.4,0.22)</f>
        <v>0.50750000000000006</v>
      </c>
      <c r="CC61">
        <f>CB61*((600/$BG61)^0.67)</f>
        <v>0.35564041553448678</v>
      </c>
      <c r="CD61">
        <f>CB61*((600/$BH61)^0.67)</f>
        <v>0.35302335133860979</v>
      </c>
      <c r="CE61">
        <f>CB61*((600/$BI61)^0.67)</f>
        <v>0.34264475012620105</v>
      </c>
      <c r="CF61" s="39">
        <f>CC61*($AM61-$BB61)</f>
        <v>20.771970154319003</v>
      </c>
      <c r="CG61" s="39">
        <f>CD61*($AD61-$BD61)</f>
        <v>2.4113399310945752E-2</v>
      </c>
      <c r="CH61" s="39">
        <f>CE61*($AU61-$BF61)</f>
        <v>22.831943056632923</v>
      </c>
      <c r="CI61">
        <v>0.86263901889527161</v>
      </c>
      <c r="CJ61">
        <f>((BG61/BH61)^0.67)*CI61</f>
        <v>0.85629108544422006</v>
      </c>
      <c r="CK61">
        <f>((BH61/BH61)^0.67)*CI61</f>
        <v>0.86263901889527161</v>
      </c>
      <c r="CL61">
        <f>((BI61/BH61)^0.67)*CI61</f>
        <v>0.88876808220086745</v>
      </c>
      <c r="CM61" s="39">
        <f>CJ61*($AM61-$BB61)</f>
        <v>50.0135870202636</v>
      </c>
      <c r="CN61" s="39">
        <f>CK61*($AD61-$BD61)</f>
        <v>5.8922898570163681E-2</v>
      </c>
      <c r="CO61" s="39">
        <f>CL61*($AU61-$BF61)</f>
        <v>59.22256866883005</v>
      </c>
      <c r="CP61" s="27">
        <f>VLOOKUP(A61,Water!$A$2:$E$109, 5, FALSE)/1000</f>
        <v>9.1E-4</v>
      </c>
      <c r="CQ61">
        <f>0.64*CP61</f>
        <v>5.8240000000000006E-4</v>
      </c>
      <c r="CR61" s="19">
        <f>CQ61*1000*(2.5*10^-5)</f>
        <v>1.4560000000000001E-5</v>
      </c>
      <c r="CS61" s="18">
        <f>(-0.0000009*F61^3)+(0.0002*F61^2)-(0.0134*F61)+6.579</f>
        <v>6.4621729127999998</v>
      </c>
      <c r="CT61" s="18">
        <f>CS61-(SQRT(CP61))/(1+1.4*SQRT(CP61))</f>
        <v>6.4332290823259699</v>
      </c>
      <c r="CU61" s="18">
        <f>10^(-CT61)</f>
        <v>3.687830210175123E-7</v>
      </c>
      <c r="CV61" s="18">
        <f>(0.000001*F61^3)+(0.00006*F61^2)-(0.014*F61)+10.625</f>
        <v>10.489503608</v>
      </c>
      <c r="CW61" s="18">
        <f>CV61-(2*SQRT(CR61))/(1+1.4*SQRT(CR61))</f>
        <v>10.48191264576082</v>
      </c>
      <c r="CX61" s="18">
        <f>10^(-CW61)</f>
        <v>3.2967601673053847E-11</v>
      </c>
      <c r="CY61">
        <f>EXP(1246.98+-61900/H61-183*LN(H61))</f>
        <v>8.0610996498128428E-3</v>
      </c>
      <c r="CZ61">
        <f>12.225*(F61^2)+15.258*F61+1125.7</f>
        <v>2553.2205999999996</v>
      </c>
      <c r="DA61" s="15">
        <f>10^(-4470.99/H61+6.0875-0.01706*H61)</f>
        <v>2.9820331893114446E-15</v>
      </c>
      <c r="DB61">
        <f>(10^-I61)</f>
        <v>1.5488166189124814E-8</v>
      </c>
      <c r="DC61">
        <f>DB61^2</f>
        <v>2.3988329190194908E-16</v>
      </c>
      <c r="DD61" s="20">
        <f>((14.6836*10^-9)*((H61/217.2056)-1)^1.997)*100*100</f>
        <v>1.3665508780862671E-5</v>
      </c>
      <c r="DE61">
        <f>CY61+CZ61*DA61/DB61</f>
        <v>8.5526871286571611E-3</v>
      </c>
      <c r="DF61">
        <f>1+DC61*(CU61*CX61+CU61*DB61)^-1</f>
        <v>1.0419088399718361</v>
      </c>
      <c r="DG61">
        <f>(DE61*DF61/DD61)^0.5</f>
        <v>25.53602243146528</v>
      </c>
      <c r="DH61">
        <f>DD61/(BO61/60/60)</f>
        <v>3.1322890122989895E-2</v>
      </c>
      <c r="DI61" s="16">
        <f>DF61/((DF61-1)+TANH(DG61*DH61)/(DG61*DH61))</f>
        <v>1.1948474775809257</v>
      </c>
      <c r="DJ61">
        <f>$DI61*BR61</f>
        <v>109.60882730192411</v>
      </c>
      <c r="DK61">
        <f>$DI61*BY61</f>
        <v>160.25680571564604</v>
      </c>
      <c r="DL61">
        <f>$DI61*CF61</f>
        <v>24.819336143274334</v>
      </c>
      <c r="DM61">
        <f>$DI61*CM61</f>
        <v>59.758608295936085</v>
      </c>
    </row>
    <row r="62" spans="1:117" ht="15.75" x14ac:dyDescent="0.25">
      <c r="A62" s="52" t="s">
        <v>336</v>
      </c>
      <c r="B62" s="55" t="s">
        <v>339</v>
      </c>
      <c r="C62" t="s">
        <v>203</v>
      </c>
      <c r="D62" s="57">
        <v>43214</v>
      </c>
      <c r="E62" s="42" t="str">
        <f>A62&amp;D62</f>
        <v>4D43214</v>
      </c>
      <c r="F62" s="3">
        <f>VLOOKUP($E62,Water!$C$2:$E$90, 2, FALSE)</f>
        <v>2.7</v>
      </c>
      <c r="G62" s="3">
        <f>VLOOKUP($E62,Water!$C$2:$E$90, 3, FALSE)</f>
        <v>0.04</v>
      </c>
      <c r="H62" s="1">
        <f>F62+273.15</f>
        <v>275.84999999999997</v>
      </c>
      <c r="I62" s="3">
        <f>VLOOKUP($E62,Water!$C$2:$F$90, 4, FALSE)</f>
        <v>6.91</v>
      </c>
      <c r="J62">
        <f>10^(I62*-1)</f>
        <v>1.2302687708123796E-7</v>
      </c>
      <c r="K62" s="25">
        <f>VLOOKUP($E62,Atm!$D$2:$G$45, 2, FALSE)</f>
        <v>449.14695713428227</v>
      </c>
      <c r="L62" s="25">
        <f>VLOOKUP($E62,Atm!$D$2:$G$45, 3, FALSE)</f>
        <v>4.5678493928170054</v>
      </c>
      <c r="M62" s="25">
        <f>VLOOKUP($E62,Atm!$D$2:$G$45, 4, FALSE)</f>
        <v>0.32688556097329385</v>
      </c>
      <c r="N62" s="21">
        <f>VLOOKUP($C62,Raw!$B$2:$F$353, 3, FALSE)</f>
        <v>738.06047818292677</v>
      </c>
      <c r="O62" s="21">
        <f>VLOOKUP($C62,Raw!$B$2:$F$353, 4, FALSE)</f>
        <v>518.23865979823813</v>
      </c>
      <c r="P62" s="21">
        <f>VLOOKUP($C62,Raw!$B$2:$F$353, 5, FALSE)</f>
        <v>1.5116106602867789</v>
      </c>
      <c r="Q62" s="14">
        <v>60</v>
      </c>
      <c r="R62" s="25">
        <v>1140</v>
      </c>
      <c r="S62">
        <f>EXP(24.4543-(100/H62*(67.4509))-(4.8489*LN(H62/100))-(0.000544*G62))</f>
        <v>7.3147761919068691E-3</v>
      </c>
      <c r="T62" s="8">
        <f>EXP(-58.0931+90.5069*(100/H62)+22.294*LN(H62/100)+G62*(0.027766-0.025888*(H62/100)+0.0050578*(H62/100)^2))</f>
        <v>6.9830352568339402E-2</v>
      </c>
      <c r="U62" s="9">
        <f>(EXP(-67.1962+99.1624*(100/H62)+27.9015*LN(H62/100)+G62*(-0.072909+0.041674*(H62/100)-0.0064603*(H62/100)^2)))</f>
        <v>5.3011265104713323E-2</v>
      </c>
      <c r="V62" s="9">
        <f>(EXP(-64.8539+100.252*(100/H62)+25.2049*LN(H62/100)+(-0.062544+0.035337*(H62/100)-0.0054699*(H62/100)^2)*G62))</f>
        <v>5.307008712214728E-2</v>
      </c>
      <c r="W62" s="9">
        <f>(EXP(-68.8862+101.4956*(100/H62)+28.7314*LN(H62/100)+G62*(-0.076146+0.04397*(H62/100)-0.0068672*(H62/100)^2)))</f>
        <v>5.290062968104995E-2</v>
      </c>
      <c r="X62">
        <f>N62*(AZ62-S62)</f>
        <v>693.13665009781482</v>
      </c>
      <c r="Y62">
        <f>O62*(AZ62-S62)</f>
        <v>486.69481596967773</v>
      </c>
      <c r="Z62">
        <f>((Y62/10^6)*AZ62)/(0.082056*H62)</f>
        <v>2.0350255096135089E-5</v>
      </c>
      <c r="AA62">
        <f>(((L62/10^6)*AZ62)/(0.082056*H62))</f>
        <v>1.909962821349289E-7</v>
      </c>
      <c r="AB62">
        <f>((Y62/10^6)*U62*1)/(0.082056*H62)</f>
        <v>1.1398338712162075E-6</v>
      </c>
      <c r="AC62">
        <f>(Z62*(Q62/1000))+(AB62*(R62/1000))</f>
        <v>2.5204259189545818E-6</v>
      </c>
      <c r="AD62" s="39">
        <f>((AC62-(AA62*(Q62/1000)))/(R62/1000))*1000000</f>
        <v>2.20084749300569</v>
      </c>
      <c r="AE62" s="39">
        <f>(AD62/((U62*AZ62*1))*(0.0821*273.15))</f>
        <v>983.71586263881238</v>
      </c>
      <c r="AF62" s="39">
        <f>L62*U62*AZ62*1/(0.0821*273.15)</f>
        <v>1.0219556547193797E-2</v>
      </c>
      <c r="AG62" s="39">
        <f>AD62-AF62</f>
        <v>2.1906279364584962</v>
      </c>
      <c r="AH62" s="42">
        <f>P62*(AZ62-S62)</f>
        <v>1.4196028378363332</v>
      </c>
      <c r="AI62">
        <f>(((X62/10^6)*(Q62/1000))/(0.082056*H62))</f>
        <v>1.837328377123942E-6</v>
      </c>
      <c r="AJ62">
        <f>(((K62/10^6)*AZ62)*(Q62/1000))/(0.082056*H62)</f>
        <v>1.1268155961502937E-6</v>
      </c>
      <c r="AK62">
        <f>(X62/10^6)*T62*(R62/1000)</f>
        <v>5.5178253385979637E-5</v>
      </c>
      <c r="AL62">
        <f>AI62+AK62</f>
        <v>5.7015581763103581E-5</v>
      </c>
      <c r="AM62" s="39">
        <f>((AL62-AJ62)/(R62/1000))*1000000</f>
        <v>49.025233479783594</v>
      </c>
      <c r="AN62" s="39">
        <f>AM62/(T62*AZ62)</f>
        <v>741.78657285238603</v>
      </c>
      <c r="AO62" s="39">
        <f>(K62*AZ62)*T62</f>
        <v>29.684460795200163</v>
      </c>
      <c r="AP62" s="39">
        <f>AM62-AO62</f>
        <v>19.340772684583431</v>
      </c>
      <c r="AQ62">
        <f>(((AH62/10^6)*(Q62/1000))/(0.082056*H62))</f>
        <v>3.7630048531329203E-9</v>
      </c>
      <c r="AR62">
        <f>(((M62/10^6)*AZ62)*(Q62/1000))/(0.082056*H62)</f>
        <v>8.2008737320894759E-10</v>
      </c>
      <c r="AS62">
        <f>(AH62/10^6)*V62*(R62/1000)</f>
        <v>8.5885828762416755E-8</v>
      </c>
      <c r="AT62">
        <f>AQ62+AS62</f>
        <v>8.964883361554967E-8</v>
      </c>
      <c r="AU62" s="39">
        <f>((AT62-AR62)/(R62/1000))*1000000000</f>
        <v>77.919952844158544</v>
      </c>
      <c r="AV62" s="39">
        <f>(AU62/1000)/(V62*AZ62)</f>
        <v>1.5513236466242488</v>
      </c>
      <c r="AW62" s="39">
        <f>(M62*AZ62)*V62*1000</f>
        <v>16.418822437149867</v>
      </c>
      <c r="AX62" s="39">
        <f>AU62-AW62</f>
        <v>61.501130407008674</v>
      </c>
      <c r="AY62" s="26">
        <f>VLOOKUP($E62,Water!$C$2:$G$90, 5, FALSE)</f>
        <v>719.3</v>
      </c>
      <c r="AZ62">
        <f>AY62/760</f>
        <v>0.94644736842105259</v>
      </c>
      <c r="BA62" s="3">
        <f>Assumptions!$B$3</f>
        <v>406.07</v>
      </c>
      <c r="BB62" s="3">
        <f>BA62*AZ62*T62</f>
        <v>26.837472242972655</v>
      </c>
      <c r="BC62" s="3">
        <f>Assumptions!$B$4</f>
        <v>1.8474300000000001</v>
      </c>
      <c r="BD62" s="45">
        <f>BC62*AZ62*U62*1/(0.0821*273.15)</f>
        <v>4.1332175666017176E-3</v>
      </c>
      <c r="BE62" s="3">
        <f>Assumptions!$B$2</f>
        <v>0.33054499999999998</v>
      </c>
      <c r="BF62" s="44">
        <f>BE62*AZ62*V62*1000</f>
        <v>16.602628902691407</v>
      </c>
      <c r="BG62">
        <f>1923.6+(-125.06*F62)+(4.3773*(F62^2))+(-0.085681*(F62^3))+(0.00070284*(F62^4))</f>
        <v>1616.1994096762439</v>
      </c>
      <c r="BH62">
        <f>1909.4+(-120.78*F62)+(4.1555*(F62^2))+(-0.080578*(F62^3))+(0.00065777*(F62^4))</f>
        <v>1612.0365348206572</v>
      </c>
      <c r="BI62">
        <f>2141.2+(-152.56*F62)+(5.8963*(F62^2))+(-0.12411*(F62^3))+(0.0010655*(F62^4))</f>
        <v>1769.8857949085498</v>
      </c>
      <c r="BJ62" s="25">
        <f>VLOOKUP(E62,Wind!$C$2:$E$109,3, FALSE)</f>
        <v>2.6666666666666665</v>
      </c>
      <c r="BK62" s="44">
        <v>1.66</v>
      </c>
      <c r="BL62">
        <f>BK62/(1-(((1.3*10^-3)^0.5)/0.41)*LN(10/1.5))</f>
        <v>1.9923982880693825</v>
      </c>
      <c r="BM62">
        <f>BK62*1.22</f>
        <v>2.0251999999999999</v>
      </c>
      <c r="BN62">
        <f>2.07+0.215*(BM62^1.7)*(24/100)</f>
        <v>2.241255750541113</v>
      </c>
      <c r="BO62">
        <f>BN62*((600/BG62)^0.67)</f>
        <v>1.1538813189245505</v>
      </c>
      <c r="BP62">
        <f>BN62*((600/BH62)^0.67)</f>
        <v>1.1558769007645562</v>
      </c>
      <c r="BQ62">
        <f>BN62*((600/BI62)^0.67)</f>
        <v>1.0857490083959487</v>
      </c>
      <c r="BR62" s="39">
        <f>BO62*(AM62-BB62)</f>
        <v>25.602043199914423</v>
      </c>
      <c r="BS62" s="39">
        <f>BP62*(AD62-BD62)</f>
        <v>2.5391312885597914</v>
      </c>
      <c r="BT62" s="39">
        <f>BQ62*(AU62-BF62)</f>
        <v>66.575223666941113</v>
      </c>
      <c r="BU62">
        <f>(2.51+1.48*BM62)+(0.39*BM62*LOG10(0.0015))</f>
        <v>3.2768938069574309</v>
      </c>
      <c r="BV62">
        <f>BU62*((600/$BG62)^0.67)</f>
        <v>1.687066077592813</v>
      </c>
      <c r="BW62">
        <f>BU62*((600/$BH62)^0.67)</f>
        <v>1.6899837766422019</v>
      </c>
      <c r="BX62">
        <f>BU62*((600/$BI62)^0.67)</f>
        <v>1.5874512315981189</v>
      </c>
      <c r="BY62" s="39">
        <f>BV62*($AM62-$BB62)</f>
        <v>37.432219320352495</v>
      </c>
      <c r="BZ62" s="39">
        <f>BW62*($AD62-$BD62)</f>
        <v>3.7124114874103888</v>
      </c>
      <c r="CA62" s="39">
        <f>BX62*($AU62-$BF62)</f>
        <v>97.33826140918282</v>
      </c>
      <c r="CB62" s="42">
        <f>AVERAGE(0.72,0.69,0.4,0.22)</f>
        <v>0.50750000000000006</v>
      </c>
      <c r="CC62">
        <f>CB62*((600/$BG62)^0.67)</f>
        <v>0.26127976212122495</v>
      </c>
      <c r="CD62">
        <f>CB62*((600/$BH62)^0.67)</f>
        <v>0.26173163281182255</v>
      </c>
      <c r="CE62">
        <f>CB62*((600/$BI62)^0.67)</f>
        <v>0.245852184262287</v>
      </c>
      <c r="CF62" s="39">
        <f>CC62*($AM62-$BB62)</f>
        <v>5.797212977956498</v>
      </c>
      <c r="CG62" s="39">
        <f>CD62*($AD62-$BD62)</f>
        <v>0.57494961413171231</v>
      </c>
      <c r="CH62" s="39">
        <f>CE62*($AU62-$BF62)</f>
        <v>15.07499802412792</v>
      </c>
      <c r="CI62">
        <v>0.86263901889527161</v>
      </c>
      <c r="CJ62">
        <f>((BG62/BH62)^0.67)*CI62</f>
        <v>0.86413091128693631</v>
      </c>
      <c r="CK62">
        <f>((BH62/BH62)^0.67)*CI62</f>
        <v>0.86263901889527161</v>
      </c>
      <c r="CL62">
        <f>((BI62/BH62)^0.67)*CI62</f>
        <v>0.91835636775053053</v>
      </c>
      <c r="CM62" s="39">
        <f>CJ62*($AM62-$BB62)</f>
        <v>19.173130336982396</v>
      </c>
      <c r="CN62" s="39">
        <f>CK62*($AD62-$BD62)</f>
        <v>1.8949714473580128</v>
      </c>
      <c r="CO62" s="39">
        <f>CL62*($AU62-$BF62)</f>
        <v>56.311154895068405</v>
      </c>
      <c r="CP62" s="27">
        <f>VLOOKUP(A62,Water!$A$2:$E$109, 5, FALSE)/1000</f>
        <v>4.0000000000000003E-5</v>
      </c>
      <c r="CQ62">
        <f>0.64*CP62</f>
        <v>2.5600000000000002E-5</v>
      </c>
      <c r="CR62" s="19">
        <f>CQ62*1000*(2.5*10^-5)</f>
        <v>6.4000000000000001E-7</v>
      </c>
      <c r="CS62" s="18">
        <f>(-0.0000009*F62^3)+(0.0002*F62^2)-(0.0134*F62)+6.579</f>
        <v>6.5442602853</v>
      </c>
      <c r="CT62" s="18">
        <f>CS62-(SQRT(CP62))/(1+1.4*SQRT(CP62))</f>
        <v>6.5379912384863932</v>
      </c>
      <c r="CU62" s="18">
        <f>10^(-CT62)</f>
        <v>2.8974020396789253E-7</v>
      </c>
      <c r="CV62" s="18">
        <f>(0.000001*F62^3)+(0.00006*F62^2)-(0.014*F62)+10.625</f>
        <v>10.587657083</v>
      </c>
      <c r="CW62" s="18">
        <f>CV62-(2*SQRT(CR62))/(1+1.4*SQRT(CR62))</f>
        <v>10.586058872995205</v>
      </c>
      <c r="CX62" s="18">
        <f>10^(-CW62)</f>
        <v>2.5938277187889317E-11</v>
      </c>
      <c r="CY62">
        <f>EXP(1246.98+-61900/H62-183*LN(H62))</f>
        <v>2.8764676411418108E-3</v>
      </c>
      <c r="CZ62">
        <f>12.225*(F62^2)+15.258*F62+1125.7</f>
        <v>1256.01685</v>
      </c>
      <c r="DA62" s="15">
        <f>10^(-4470.99/H62+6.0875-0.01706*H62)</f>
        <v>1.4909090394732712E-15</v>
      </c>
      <c r="DB62">
        <f>(10^-I62)</f>
        <v>1.2302687708123796E-7</v>
      </c>
      <c r="DC62">
        <f>DB62^2</f>
        <v>1.5135612484362035E-14</v>
      </c>
      <c r="DD62" s="20">
        <f>((14.6836*10^-9)*((H62/217.2056)-1)^1.997)*100*100</f>
        <v>1.0746066831399178E-5</v>
      </c>
      <c r="DE62">
        <f>CY62+CZ62*DA62/DB62</f>
        <v>2.8916887612728146E-3</v>
      </c>
      <c r="DF62">
        <f>1+DC62*(CU62*CX62+CU62*DB62)^-1</f>
        <v>1.4245214940388611</v>
      </c>
      <c r="DG62">
        <f>(DE62*DF62/DD62)^0.5</f>
        <v>19.578774671970688</v>
      </c>
      <c r="DH62">
        <f>DD62/(BO62/60/60)</f>
        <v>3.3526706740597316E-2</v>
      </c>
      <c r="DI62" s="16">
        <f>DF62/((DF62-1)+TANH(DG62*DH62)/(DG62*DH62))</f>
        <v>1.0941239449175104</v>
      </c>
      <c r="DJ62">
        <f>$DI62*BR62</f>
        <v>28.011808503838889</v>
      </c>
      <c r="DK62">
        <f>$DI62*BY62</f>
        <v>40.955487469801525</v>
      </c>
      <c r="DL62">
        <f>$DI62*CF62</f>
        <v>6.3428695329687521</v>
      </c>
      <c r="DM62">
        <f>$DI62*CM62</f>
        <v>20.977781000716774</v>
      </c>
    </row>
    <row r="63" spans="1:117" ht="15.75" x14ac:dyDescent="0.25">
      <c r="A63" s="52" t="s">
        <v>336</v>
      </c>
      <c r="B63" s="55" t="s">
        <v>340</v>
      </c>
      <c r="C63" t="s">
        <v>204</v>
      </c>
      <c r="D63" s="57">
        <v>43214</v>
      </c>
      <c r="E63" s="42" t="str">
        <f>A63&amp;D63</f>
        <v>4D43214</v>
      </c>
      <c r="F63" s="3">
        <f>VLOOKUP($E63,Water!$C$2:$E$90, 2, FALSE)</f>
        <v>2.7</v>
      </c>
      <c r="G63" s="3">
        <f>VLOOKUP($E63,Water!$C$2:$E$90, 3, FALSE)</f>
        <v>0.04</v>
      </c>
      <c r="H63" s="1">
        <f>F63+273.15</f>
        <v>275.84999999999997</v>
      </c>
      <c r="I63" s="3">
        <f>VLOOKUP($E63,Water!$C$2:$F$90, 4, FALSE)</f>
        <v>6.91</v>
      </c>
      <c r="J63">
        <f>10^(I63*-1)</f>
        <v>1.2302687708123796E-7</v>
      </c>
      <c r="K63" s="25">
        <f>VLOOKUP($E63,Atm!$D$2:$G$45, 2, FALSE)</f>
        <v>449.14695713428227</v>
      </c>
      <c r="L63" s="25">
        <f>VLOOKUP($E63,Atm!$D$2:$G$45, 3, FALSE)</f>
        <v>4.5678493928170054</v>
      </c>
      <c r="M63" s="25">
        <f>VLOOKUP($E63,Atm!$D$2:$G$45, 4, FALSE)</f>
        <v>0.32688556097329385</v>
      </c>
      <c r="N63" s="21">
        <f>VLOOKUP($C63,Raw!$B$2:$F$353, 3, FALSE)</f>
        <v>727.596505138667</v>
      </c>
      <c r="O63" s="21">
        <f>VLOOKUP($C63,Raw!$B$2:$F$353, 4, FALSE)</f>
        <v>508.14898834593828</v>
      </c>
      <c r="P63" s="21">
        <f>VLOOKUP($C63,Raw!$B$2:$F$353, 5, FALSE)</f>
        <v>1.483851227621364</v>
      </c>
      <c r="Q63" s="14">
        <v>60</v>
      </c>
      <c r="R63" s="25">
        <v>1140</v>
      </c>
      <c r="S63">
        <f>EXP(24.4543-(100/H63*(67.4509))-(4.8489*LN(H63/100))-(0.000544*G63))</f>
        <v>7.3147761919068691E-3</v>
      </c>
      <c r="T63" s="8">
        <f>EXP(-58.0931+90.5069*(100/H63)+22.294*LN(H63/100)+G63*(0.027766-0.025888*(H63/100)+0.0050578*(H63/100)^2))</f>
        <v>6.9830352568339402E-2</v>
      </c>
      <c r="U63" s="9">
        <f>(EXP(-67.1962+99.1624*(100/H63)+27.9015*LN(H63/100)+G63*(-0.072909+0.041674*(H63/100)-0.0064603*(H63/100)^2)))</f>
        <v>5.3011265104713323E-2</v>
      </c>
      <c r="V63" s="9">
        <f>(EXP(-64.8539+100.252*(100/H63)+25.2049*LN(H63/100)+(-0.062544+0.035337*(H63/100)-0.0054699*(H63/100)^2)*G63))</f>
        <v>5.307008712214728E-2</v>
      </c>
      <c r="W63" s="9">
        <f>(EXP(-68.8862+101.4956*(100/H63)+28.7314*LN(H63/100)+G63*(-0.076146+0.04397*(H63/100)-0.0068672*(H63/100)^2)))</f>
        <v>5.290062968104995E-2</v>
      </c>
      <c r="X63">
        <f>N63*(AZ63-S63)</f>
        <v>683.30959196774324</v>
      </c>
      <c r="Y63">
        <f>O63*(AZ63-S63)</f>
        <v>477.21927666393896</v>
      </c>
      <c r="Z63">
        <f>((Y63/10^6)*AZ63)/(0.082056*H63)</f>
        <v>1.9954052721016198E-5</v>
      </c>
      <c r="AA63">
        <f>(((L63/10^6)*AZ63)/(0.082056*H63))</f>
        <v>1.909962821349289E-7</v>
      </c>
      <c r="AB63">
        <f>((Y63/10^6)*U63*1)/(0.082056*H63)</f>
        <v>1.1176422630578119E-6</v>
      </c>
      <c r="AC63">
        <f>(Z63*(Q63/1000))+(AB63*(R63/1000))</f>
        <v>2.4713553431468773E-6</v>
      </c>
      <c r="AD63" s="39">
        <f>((AC63-(AA63*(Q63/1000)))/(R63/1000))*1000000</f>
        <v>2.1578031282620893</v>
      </c>
      <c r="AE63" s="39">
        <f>(AD63/((U63*AZ63*1))*(0.0821*273.15))</f>
        <v>964.47626310724183</v>
      </c>
      <c r="AF63" s="39">
        <f>L63*U63*AZ63*1/(0.0821*273.15)</f>
        <v>1.0219556547193797E-2</v>
      </c>
      <c r="AG63" s="39">
        <f>AD63-AF63</f>
        <v>2.1475835717148954</v>
      </c>
      <c r="AH63" s="42">
        <f>P63*(AZ63-S63)</f>
        <v>1.3935330498784517</v>
      </c>
      <c r="AI63">
        <f>(((X63/10^6)*(Q63/1000))/(0.082056*H63))</f>
        <v>1.8112793537986293E-6</v>
      </c>
      <c r="AJ63">
        <f>(((K63/10^6)*AZ63)*(Q63/1000))/(0.082056*H63)</f>
        <v>1.1268155961502937E-6</v>
      </c>
      <c r="AK63">
        <f>(X63/10^6)*T63*(R63/1000)</f>
        <v>5.4395954681296633E-5</v>
      </c>
      <c r="AL63">
        <f>AI63+AK63</f>
        <v>5.6207234035095264E-5</v>
      </c>
      <c r="AM63" s="39">
        <f>((AL63-AJ63)/(R63/1000))*1000000</f>
        <v>48.316156525390326</v>
      </c>
      <c r="AN63" s="39">
        <f>AM63/(T63*AZ63)</f>
        <v>731.05773534251693</v>
      </c>
      <c r="AO63" s="39">
        <f>(K63*AZ63)*T63</f>
        <v>29.684460795200163</v>
      </c>
      <c r="AP63" s="39">
        <f>AM63-AO63</f>
        <v>18.631695730190163</v>
      </c>
      <c r="AQ63">
        <f>(((AH63/10^6)*(Q63/1000))/(0.082056*H63))</f>
        <v>3.693900498033735E-9</v>
      </c>
      <c r="AR63">
        <f>(((M63/10^6)*AZ63)*(Q63/1000))/(0.082056*H63)</f>
        <v>8.2008737320894759E-10</v>
      </c>
      <c r="AS63">
        <f>(AH63/10^6)*V63*(R63/1000)</f>
        <v>8.4308609215690788E-8</v>
      </c>
      <c r="AT63">
        <f>AQ63+AS63</f>
        <v>8.8002509713724523E-8</v>
      </c>
      <c r="AU63" s="39">
        <f>((AT63-AR63)/(R63/1000))*1000000000</f>
        <v>76.47580907062769</v>
      </c>
      <c r="AV63" s="39">
        <f>(AU63/1000)/(V63*AZ63)</f>
        <v>1.5225719045706532</v>
      </c>
      <c r="AW63" s="39">
        <f>(M63*AZ63)*V63*1000</f>
        <v>16.418822437149867</v>
      </c>
      <c r="AX63" s="39">
        <f>AU63-AW63</f>
        <v>60.05698663347782</v>
      </c>
      <c r="AY63" s="26">
        <f>VLOOKUP($E63,Water!$C$2:$G$90, 5, FALSE)</f>
        <v>719.3</v>
      </c>
      <c r="AZ63">
        <f>AY63/760</f>
        <v>0.94644736842105259</v>
      </c>
      <c r="BA63" s="3">
        <f>Assumptions!$B$3</f>
        <v>406.07</v>
      </c>
      <c r="BB63" s="3">
        <f>BA63*AZ63*T63</f>
        <v>26.837472242972655</v>
      </c>
      <c r="BC63" s="3">
        <f>Assumptions!$B$4</f>
        <v>1.8474300000000001</v>
      </c>
      <c r="BD63" s="45">
        <f>BC63*AZ63*U63*1/(0.0821*273.15)</f>
        <v>4.1332175666017176E-3</v>
      </c>
      <c r="BE63" s="3">
        <f>Assumptions!$B$2</f>
        <v>0.33054499999999998</v>
      </c>
      <c r="BF63" s="44">
        <f>BE63*AZ63*V63*1000</f>
        <v>16.602628902691407</v>
      </c>
      <c r="BG63">
        <f>1923.6+(-125.06*F63)+(4.3773*(F63^2))+(-0.085681*(F63^3))+(0.00070284*(F63^4))</f>
        <v>1616.1994096762439</v>
      </c>
      <c r="BH63">
        <f>1909.4+(-120.78*F63)+(4.1555*(F63^2))+(-0.080578*(F63^3))+(0.00065777*(F63^4))</f>
        <v>1612.0365348206572</v>
      </c>
      <c r="BI63">
        <f>2141.2+(-152.56*F63)+(5.8963*(F63^2))+(-0.12411*(F63^3))+(0.0010655*(F63^4))</f>
        <v>1769.8857949085498</v>
      </c>
      <c r="BJ63" s="25">
        <f>VLOOKUP(E63,Wind!$C$2:$E$109,3, FALSE)</f>
        <v>2.6666666666666665</v>
      </c>
      <c r="BK63" s="44">
        <v>1.66</v>
      </c>
      <c r="BL63">
        <f>BK63/(1-(((1.3*10^-3)^0.5)/0.41)*LN(10/1.5))</f>
        <v>1.9923982880693825</v>
      </c>
      <c r="BM63">
        <f>BK63*1.22</f>
        <v>2.0251999999999999</v>
      </c>
      <c r="BN63">
        <f>2.07+0.215*(BM63^1.7)*(24/100)</f>
        <v>2.241255750541113</v>
      </c>
      <c r="BO63">
        <f>BN63*((600/BG63)^0.67)</f>
        <v>1.1538813189245505</v>
      </c>
      <c r="BP63">
        <f>BN63*((600/BH63)^0.67)</f>
        <v>1.1558769007645562</v>
      </c>
      <c r="BQ63">
        <f>BN63*((600/BI63)^0.67)</f>
        <v>1.0857490083959487</v>
      </c>
      <c r="BR63" s="39">
        <f>BO63*(AM63-BB63)</f>
        <v>24.783852548560116</v>
      </c>
      <c r="BS63" s="39">
        <f>BP63*(AD63-BD63)</f>
        <v>2.4893773016445788</v>
      </c>
      <c r="BT63" s="39">
        <f>BQ63*(AU63-BF63)</f>
        <v>65.007245996848795</v>
      </c>
      <c r="BU63">
        <f>(2.51+1.48*BM63)+(0.39*BM63*LOG10(0.0015))</f>
        <v>3.2768938069574309</v>
      </c>
      <c r="BV63">
        <f>BU63*((600/$BG63)^0.67)</f>
        <v>1.687066077592813</v>
      </c>
      <c r="BW63">
        <f>BU63*((600/$BH63)^0.67)</f>
        <v>1.6899837766422019</v>
      </c>
      <c r="BX63">
        <f>BU63*((600/$BI63)^0.67)</f>
        <v>1.5874512315981189</v>
      </c>
      <c r="BY63" s="39">
        <f>BV63*($AM63-$BB63)</f>
        <v>36.235959644192782</v>
      </c>
      <c r="BZ63" s="39">
        <f>BW63*($AD63-$BD63)</f>
        <v>3.6396672093178339</v>
      </c>
      <c r="CA63" s="39">
        <f>BX63*($AU63-$BF63)</f>
        <v>95.04575359728652</v>
      </c>
      <c r="CB63" s="42">
        <f>AVERAGE(0.72,0.69,0.4,0.22)</f>
        <v>0.50750000000000006</v>
      </c>
      <c r="CC63">
        <f>CB63*((600/$BG63)^0.67)</f>
        <v>0.26127976212122495</v>
      </c>
      <c r="CD63">
        <f>CB63*((600/$BH63)^0.67)</f>
        <v>0.26173163281182255</v>
      </c>
      <c r="CE63">
        <f>CB63*((600/$BI63)^0.67)</f>
        <v>0.245852184262287</v>
      </c>
      <c r="CF63" s="39">
        <f>CC63*($AM63-$BB63)</f>
        <v>5.6119455199869819</v>
      </c>
      <c r="CG63" s="39">
        <f>CD63*($AD63-$BD63)</f>
        <v>0.56368354226402206</v>
      </c>
      <c r="CH63" s="39">
        <f>CE63*($AU63-$BF63)</f>
        <v>14.719952123016579</v>
      </c>
      <c r="CI63">
        <v>0.86263901889527161</v>
      </c>
      <c r="CJ63">
        <f>((BG63/BH63)^0.67)*CI63</f>
        <v>0.86413091128693631</v>
      </c>
      <c r="CK63">
        <f>((BH63/BH63)^0.67)*CI63</f>
        <v>0.86263901889527161</v>
      </c>
      <c r="CL63">
        <f>((BI63/BH63)^0.67)*CI63</f>
        <v>0.91835636775053053</v>
      </c>
      <c r="CM63" s="39">
        <f>CJ63*($AM63-$BB63)</f>
        <v>18.560395022209978</v>
      </c>
      <c r="CN63" s="39">
        <f>CK63*($AD63-$BD63)</f>
        <v>1.8578396987866228</v>
      </c>
      <c r="CO63" s="39">
        <f>CL63*($AU63-$BF63)</f>
        <v>54.984916264699066</v>
      </c>
      <c r="CP63" s="27">
        <f>VLOOKUP(A63,Water!$A$2:$E$109, 5, FALSE)/1000</f>
        <v>4.0000000000000003E-5</v>
      </c>
      <c r="CQ63">
        <f>0.64*CP63</f>
        <v>2.5600000000000002E-5</v>
      </c>
      <c r="CR63" s="19">
        <f>CQ63*1000*(2.5*10^-5)</f>
        <v>6.4000000000000001E-7</v>
      </c>
      <c r="CS63" s="18">
        <f>(-0.0000009*F63^3)+(0.0002*F63^2)-(0.0134*F63)+6.579</f>
        <v>6.5442602853</v>
      </c>
      <c r="CT63" s="18">
        <f>CS63-(SQRT(CP63))/(1+1.4*SQRT(CP63))</f>
        <v>6.5379912384863932</v>
      </c>
      <c r="CU63" s="18">
        <f>10^(-CT63)</f>
        <v>2.8974020396789253E-7</v>
      </c>
      <c r="CV63" s="18">
        <f>(0.000001*F63^3)+(0.00006*F63^2)-(0.014*F63)+10.625</f>
        <v>10.587657083</v>
      </c>
      <c r="CW63" s="18">
        <f>CV63-(2*SQRT(CR63))/(1+1.4*SQRT(CR63))</f>
        <v>10.586058872995205</v>
      </c>
      <c r="CX63" s="18">
        <f>10^(-CW63)</f>
        <v>2.5938277187889317E-11</v>
      </c>
      <c r="CY63">
        <f>EXP(1246.98+-61900/H63-183*LN(H63))</f>
        <v>2.8764676411418108E-3</v>
      </c>
      <c r="CZ63">
        <f>12.225*(F63^2)+15.258*F63+1125.7</f>
        <v>1256.01685</v>
      </c>
      <c r="DA63" s="15">
        <f>10^(-4470.99/H63+6.0875-0.01706*H63)</f>
        <v>1.4909090394732712E-15</v>
      </c>
      <c r="DB63">
        <f>(10^-I63)</f>
        <v>1.2302687708123796E-7</v>
      </c>
      <c r="DC63">
        <f>DB63^2</f>
        <v>1.5135612484362035E-14</v>
      </c>
      <c r="DD63" s="20">
        <f>((14.6836*10^-9)*((H63/217.2056)-1)^1.997)*100*100</f>
        <v>1.0746066831399178E-5</v>
      </c>
      <c r="DE63">
        <f>CY63+CZ63*DA63/DB63</f>
        <v>2.8916887612728146E-3</v>
      </c>
      <c r="DF63">
        <f>1+DC63*(CU63*CX63+CU63*DB63)^-1</f>
        <v>1.4245214940388611</v>
      </c>
      <c r="DG63">
        <f>(DE63*DF63/DD63)^0.5</f>
        <v>19.578774671970688</v>
      </c>
      <c r="DH63">
        <f>DD63/(BO63/60/60)</f>
        <v>3.3526706740597316E-2</v>
      </c>
      <c r="DI63" s="16">
        <f>DF63/((DF63-1)+TANH(DG63*DH63)/(DG63*DH63))</f>
        <v>1.0941239449175104</v>
      </c>
      <c r="DJ63">
        <f>$DI63*BR63</f>
        <v>27.116606520684488</v>
      </c>
      <c r="DK63">
        <f>$DI63*BY63</f>
        <v>39.646631113775911</v>
      </c>
      <c r="DL63">
        <f>$DI63*CF63</f>
        <v>6.1401639709903062</v>
      </c>
      <c r="DM63">
        <f>$DI63*CM63</f>
        <v>20.307372620927705</v>
      </c>
    </row>
    <row r="64" spans="1:117" ht="15.75" x14ac:dyDescent="0.25">
      <c r="A64" s="51" t="s">
        <v>336</v>
      </c>
      <c r="B64" s="54" t="s">
        <v>341</v>
      </c>
      <c r="C64" s="48" t="s">
        <v>205</v>
      </c>
      <c r="D64" s="57">
        <v>43214</v>
      </c>
      <c r="E64" s="42" t="str">
        <f>A64&amp;D64</f>
        <v>4D43214</v>
      </c>
      <c r="F64" s="3">
        <f>VLOOKUP($E64,Water!$C$2:$E$90, 2, FALSE)</f>
        <v>2.7</v>
      </c>
      <c r="G64" s="3">
        <f>VLOOKUP($E64,Water!$C$2:$E$90, 3, FALSE)</f>
        <v>0.04</v>
      </c>
      <c r="H64" s="1">
        <f>F64+273.15</f>
        <v>275.84999999999997</v>
      </c>
      <c r="I64" s="3">
        <f>VLOOKUP($E64,Water!$C$2:$F$90, 4, FALSE)</f>
        <v>6.91</v>
      </c>
      <c r="J64">
        <f>10^(I64*-1)</f>
        <v>1.2302687708123796E-7</v>
      </c>
      <c r="K64" s="25">
        <f>VLOOKUP($E64,Atm!$D$2:$G$45, 2, FALSE)</f>
        <v>449.14695713428227</v>
      </c>
      <c r="L64" s="25">
        <f>VLOOKUP($E64,Atm!$D$2:$G$45, 3, FALSE)</f>
        <v>4.5678493928170054</v>
      </c>
      <c r="M64" s="25">
        <f>VLOOKUP($E64,Atm!$D$2:$G$45, 4, FALSE)</f>
        <v>0.32688556097329385</v>
      </c>
      <c r="N64" s="21">
        <f>VLOOKUP($C64,Raw!$B$2:$F$353, 3, FALSE)</f>
        <v>709.71500000000003</v>
      </c>
      <c r="O64" s="21">
        <f>VLOOKUP($C64,Raw!$B$2:$F$353, 4, FALSE)</f>
        <v>509.44900000000001</v>
      </c>
      <c r="P64" s="21">
        <f>VLOOKUP($C64,Raw!$B$2:$F$353, 5, FALSE)</f>
        <v>1.2629999999999999</v>
      </c>
      <c r="Q64" s="14">
        <v>60</v>
      </c>
      <c r="R64" s="25">
        <v>1140</v>
      </c>
      <c r="S64">
        <f>EXP(24.4543-(100/H64*(67.4509))-(4.8489*LN(H64/100))-(0.000544*G64))</f>
        <v>7.3147761919068691E-3</v>
      </c>
      <c r="T64" s="8">
        <f>EXP(-58.0931+90.5069*(100/H64)+22.294*LN(H64/100)+G64*(0.027766-0.025888*(H64/100)+0.0050578*(H64/100)^2))</f>
        <v>6.9830352568339402E-2</v>
      </c>
      <c r="U64" s="9">
        <f>(EXP(-67.1962+99.1624*(100/H64)+27.9015*LN(H64/100)+G64*(-0.072909+0.041674*(H64/100)-0.0064603*(H64/100)^2)))</f>
        <v>5.3011265104713323E-2</v>
      </c>
      <c r="V64" s="9">
        <f>(EXP(-64.8539+100.252*(100/H64)+25.2049*LN(H64/100)+(-0.062544+0.035337*(H64/100)-0.0054699*(H64/100)^2)*G64))</f>
        <v>5.307008712214728E-2</v>
      </c>
      <c r="W64" s="9">
        <f>(EXP(-68.8862+101.4956*(100/H64)+28.7314*LN(H64/100)+G64*(-0.076146+0.04397*(H64/100)-0.0068672*(H64/100)^2)))</f>
        <v>5.290062968104995E-2</v>
      </c>
      <c r="X64">
        <f>N64*(AZ64-S64)</f>
        <v>666.51648769390818</v>
      </c>
      <c r="Y64">
        <f>O64*(AZ64-S64)</f>
        <v>478.44015997854603</v>
      </c>
      <c r="Z64">
        <f>((Y64/10^6)*AZ64)/(0.082056*H64)</f>
        <v>2.0005101727661907E-5</v>
      </c>
      <c r="AA64">
        <f>(((L64/10^6)*AZ64)/(0.082056*H64))</f>
        <v>1.909962821349289E-7</v>
      </c>
      <c r="AB64">
        <f>((Y64/10^6)*U64*1)/(0.082056*H64)</f>
        <v>1.1205015582652601E-6</v>
      </c>
      <c r="AC64">
        <f>(Z64*(Q64/1000))+(AB64*(R64/1000))</f>
        <v>2.4776778800821108E-6</v>
      </c>
      <c r="AD64" s="39">
        <f>((AC64-(AA64*(Q64/1000)))/(R64/1000))*1000000</f>
        <v>2.1633492132929959</v>
      </c>
      <c r="AE64" s="39">
        <f>(AD64/((U64*AZ64*1))*(0.0821*273.15))</f>
        <v>966.95520444133467</v>
      </c>
      <c r="AF64" s="39">
        <f>L64*U64*AZ64*1/(0.0821*273.15)</f>
        <v>1.0219556547193797E-2</v>
      </c>
      <c r="AG64" s="39">
        <f>AD64-AF64</f>
        <v>2.153129656745802</v>
      </c>
      <c r="AH64" s="42">
        <f>P64*(AZ64-S64)</f>
        <v>1.1861244639854109</v>
      </c>
      <c r="AI64">
        <f>(((X64/10^6)*(Q64/1000))/(0.082056*H64))</f>
        <v>1.7667651198189885E-6</v>
      </c>
      <c r="AJ64">
        <f>(((K64/10^6)*AZ64)*(Q64/1000))/(0.082056*H64)</f>
        <v>1.1268155961502937E-6</v>
      </c>
      <c r="AK64">
        <f>(X64/10^6)*T64*(R64/1000)</f>
        <v>5.3059112714235618E-5</v>
      </c>
      <c r="AL64">
        <f>AI64+AK64</f>
        <v>5.4825877834054604E-5</v>
      </c>
      <c r="AM64" s="39">
        <f>((AL64-AJ64)/(R64/1000))*1000000</f>
        <v>47.104440559565191</v>
      </c>
      <c r="AN64" s="39">
        <f>AM64/(T64*AZ64)</f>
        <v>712.72361289656067</v>
      </c>
      <c r="AO64" s="39">
        <f>(K64*AZ64)*T64</f>
        <v>29.684460795200163</v>
      </c>
      <c r="AP64" s="39">
        <f>AM64-AO64</f>
        <v>17.419979764365028</v>
      </c>
      <c r="AQ64">
        <f>(((AH64/10^6)*(Q64/1000))/(0.082056*H64))</f>
        <v>3.144113265650835E-9</v>
      </c>
      <c r="AR64">
        <f>(((M64/10^6)*AZ64)*(Q64/1000))/(0.082056*H64)</f>
        <v>8.2008737320894759E-10</v>
      </c>
      <c r="AS64">
        <f>(AH64/10^6)*V64*(R64/1000)</f>
        <v>7.1760410651214236E-8</v>
      </c>
      <c r="AT64">
        <f>AQ64+AS64</f>
        <v>7.4904523916865068E-8</v>
      </c>
      <c r="AU64" s="39">
        <f>((AT64-AR64)/(R64/1000))*1000000000</f>
        <v>64.98634784531238</v>
      </c>
      <c r="AV64" s="39">
        <f>(AU64/1000)/(V64*AZ64)</f>
        <v>1.2938259642150145</v>
      </c>
      <c r="AW64" s="39">
        <f>(M64*AZ64)*V64*1000</f>
        <v>16.418822437149867</v>
      </c>
      <c r="AX64" s="39">
        <f>AU64-AW64</f>
        <v>48.56752540816251</v>
      </c>
      <c r="AY64" s="26">
        <f>VLOOKUP($E64,Water!$C$2:$G$90, 5, FALSE)</f>
        <v>719.3</v>
      </c>
      <c r="AZ64">
        <f>AY64/760</f>
        <v>0.94644736842105259</v>
      </c>
      <c r="BA64" s="3">
        <f>Assumptions!$B$3</f>
        <v>406.07</v>
      </c>
      <c r="BB64" s="3">
        <f>BA64*AZ64*T64</f>
        <v>26.837472242972655</v>
      </c>
      <c r="BC64" s="3">
        <f>Assumptions!$B$4</f>
        <v>1.8474300000000001</v>
      </c>
      <c r="BD64" s="45">
        <f>BC64*AZ64*U64*1/(0.0821*273.15)</f>
        <v>4.1332175666017176E-3</v>
      </c>
      <c r="BE64" s="3">
        <f>Assumptions!$B$2</f>
        <v>0.33054499999999998</v>
      </c>
      <c r="BF64" s="44">
        <f>BE64*AZ64*V64*1000</f>
        <v>16.602628902691407</v>
      </c>
      <c r="BG64">
        <f>1923.6+(-125.06*F64)+(4.3773*(F64^2))+(-0.085681*(F64^3))+(0.00070284*(F64^4))</f>
        <v>1616.1994096762439</v>
      </c>
      <c r="BH64">
        <f>1909.4+(-120.78*F64)+(4.1555*(F64^2))+(-0.080578*(F64^3))+(0.00065777*(F64^4))</f>
        <v>1612.0365348206572</v>
      </c>
      <c r="BI64">
        <f>2141.2+(-152.56*F64)+(5.8963*(F64^2))+(-0.12411*(F64^3))+(0.0010655*(F64^4))</f>
        <v>1769.8857949085498</v>
      </c>
      <c r="BJ64" s="25">
        <f>VLOOKUP(E64,Wind!$C$2:$E$109,3, FALSE)</f>
        <v>2.6666666666666665</v>
      </c>
      <c r="BK64" s="44">
        <v>1.66</v>
      </c>
      <c r="BL64">
        <f>BK64/(1-(((1.3*10^-3)^0.5)/0.41)*LN(10/1.5))</f>
        <v>1.9923982880693825</v>
      </c>
      <c r="BM64">
        <f>BK64*1.22</f>
        <v>2.0251999999999999</v>
      </c>
      <c r="BN64">
        <f>2.07+0.215*(BM64^1.7)*(24/100)</f>
        <v>2.241255750541113</v>
      </c>
      <c r="BO64">
        <f>BN64*((600/BG64)^0.67)</f>
        <v>1.1538813189245505</v>
      </c>
      <c r="BP64">
        <f>BN64*((600/BH64)^0.67)</f>
        <v>1.1558769007645562</v>
      </c>
      <c r="BQ64">
        <f>BN64*((600/BI64)^0.67)</f>
        <v>1.0857490083959487</v>
      </c>
      <c r="BR64" s="39">
        <f>BO64*(AM64-BB64)</f>
        <v>23.385676131751872</v>
      </c>
      <c r="BS64" s="39">
        <f>BP64*(AD64-BD64)</f>
        <v>2.4957878932214799</v>
      </c>
      <c r="BT64" s="39">
        <f>BQ64*(AU64-BF64)</f>
        <v>52.532574864459001</v>
      </c>
      <c r="BU64">
        <f>(2.51+1.48*BM64)+(0.39*BM64*LOG10(0.0015))</f>
        <v>3.2768938069574309</v>
      </c>
      <c r="BV64">
        <f>BU64*((600/$BG64)^0.67)</f>
        <v>1.687066077592813</v>
      </c>
      <c r="BW64">
        <f>BU64*((600/$BH64)^0.67)</f>
        <v>1.6899837766422019</v>
      </c>
      <c r="BX64">
        <f>BU64*((600/$BI64)^0.67)</f>
        <v>1.5874512315981189</v>
      </c>
      <c r="BY64" s="39">
        <f>BV64*($AM64-$BB64)</f>
        <v>34.191714742571584</v>
      </c>
      <c r="BZ64" s="39">
        <f>BW64*($AD64-$BD64)</f>
        <v>3.6490400030439445</v>
      </c>
      <c r="CA64" s="39">
        <f>BX64*($AU64-$BF64)</f>
        <v>76.806794224760893</v>
      </c>
      <c r="CB64" s="42">
        <f>AVERAGE(0.72,0.69,0.4,0.22)</f>
        <v>0.50750000000000006</v>
      </c>
      <c r="CC64">
        <f>CB64*((600/$BG64)^0.67)</f>
        <v>0.26127976212122495</v>
      </c>
      <c r="CD64">
        <f>CB64*((600/$BH64)^0.67)</f>
        <v>0.26173163281182255</v>
      </c>
      <c r="CE64">
        <f>CB64*((600/$BI64)^0.67)</f>
        <v>0.245852184262287</v>
      </c>
      <c r="CF64" s="39">
        <f>CC64*($AM64-$BB64)</f>
        <v>5.2953486606777007</v>
      </c>
      <c r="CG64" s="39">
        <f>CD64*($AD64-$BD64)</f>
        <v>0.56513512815487443</v>
      </c>
      <c r="CH64" s="39">
        <f>CE64*($AU64-$BF64)</f>
        <v>11.895242984775958</v>
      </c>
      <c r="CI64">
        <v>0.86263901889527161</v>
      </c>
      <c r="CJ64">
        <f>((BG64/BH64)^0.67)*CI64</f>
        <v>0.86413091128693631</v>
      </c>
      <c r="CK64">
        <f>((BH64/BH64)^0.67)*CI64</f>
        <v>0.86263901889527161</v>
      </c>
      <c r="CL64">
        <f>((BI64/BH64)^0.67)*CI64</f>
        <v>0.91835636775053053</v>
      </c>
      <c r="CM64" s="39">
        <f>CJ64*($AM64-$BB64)</f>
        <v>17.513313800440574</v>
      </c>
      <c r="CN64" s="39">
        <f>CK64*($AD64-$BD64)</f>
        <v>1.8626239681363939</v>
      </c>
      <c r="CO64" s="39">
        <f>CL64*($AU64-$BF64)</f>
        <v>44.433496386407938</v>
      </c>
      <c r="CP64" s="27">
        <f>VLOOKUP(A64,Water!$A$2:$E$109, 5, FALSE)/1000</f>
        <v>4.0000000000000003E-5</v>
      </c>
      <c r="CQ64">
        <f>0.64*CP64</f>
        <v>2.5600000000000002E-5</v>
      </c>
      <c r="CR64" s="19">
        <f>CQ64*1000*(2.5*10^-5)</f>
        <v>6.4000000000000001E-7</v>
      </c>
      <c r="CS64" s="18">
        <f>(-0.0000009*F64^3)+(0.0002*F64^2)-(0.0134*F64)+6.579</f>
        <v>6.5442602853</v>
      </c>
      <c r="CT64" s="18">
        <f>CS64-(SQRT(CP64))/(1+1.4*SQRT(CP64))</f>
        <v>6.5379912384863932</v>
      </c>
      <c r="CU64" s="18">
        <f>10^(-CT64)</f>
        <v>2.8974020396789253E-7</v>
      </c>
      <c r="CV64" s="18">
        <f>(0.000001*F64^3)+(0.00006*F64^2)-(0.014*F64)+10.625</f>
        <v>10.587657083</v>
      </c>
      <c r="CW64" s="18">
        <f>CV64-(2*SQRT(CR64))/(1+1.4*SQRT(CR64))</f>
        <v>10.586058872995205</v>
      </c>
      <c r="CX64" s="18">
        <f>10^(-CW64)</f>
        <v>2.5938277187889317E-11</v>
      </c>
      <c r="CY64">
        <f>EXP(1246.98+-61900/H64-183*LN(H64))</f>
        <v>2.8764676411418108E-3</v>
      </c>
      <c r="CZ64">
        <f>12.225*(F64^2)+15.258*F64+1125.7</f>
        <v>1256.01685</v>
      </c>
      <c r="DA64" s="15">
        <f>10^(-4470.99/H64+6.0875-0.01706*H64)</f>
        <v>1.4909090394732712E-15</v>
      </c>
      <c r="DB64">
        <f>(10^-I64)</f>
        <v>1.2302687708123796E-7</v>
      </c>
      <c r="DC64">
        <f>DB64^2</f>
        <v>1.5135612484362035E-14</v>
      </c>
      <c r="DD64" s="20">
        <f>((14.6836*10^-9)*((H64/217.2056)-1)^1.997)*100*100</f>
        <v>1.0746066831399178E-5</v>
      </c>
      <c r="DE64">
        <f>CY64+CZ64*DA64/DB64</f>
        <v>2.8916887612728146E-3</v>
      </c>
      <c r="DF64">
        <f>1+DC64*(CU64*CX64+CU64*DB64)^-1</f>
        <v>1.4245214940388611</v>
      </c>
      <c r="DG64">
        <f>(DE64*DF64/DD64)^0.5</f>
        <v>19.578774671970688</v>
      </c>
      <c r="DH64">
        <f>DD64/(BO64/60/60)</f>
        <v>3.3526706740597316E-2</v>
      </c>
      <c r="DI64" s="16">
        <f>DF64/((DF64-1)+TANH(DG64*DH64)/(DG64*DH64))</f>
        <v>1.0941239449175104</v>
      </c>
      <c r="DJ64">
        <f>$DI64*BR64</f>
        <v>25.586828223835624</v>
      </c>
      <c r="DK64">
        <f>$DI64*BY64</f>
        <v>37.409973817636619</v>
      </c>
      <c r="DL64">
        <f>$DI64*CF64</f>
        <v>5.7937677663343408</v>
      </c>
      <c r="DM64">
        <f>$DI64*CM64</f>
        <v>19.161735983916319</v>
      </c>
    </row>
    <row r="65" spans="1:117" ht="15.75" x14ac:dyDescent="0.25">
      <c r="A65" s="51" t="s">
        <v>336</v>
      </c>
      <c r="B65" s="54" t="s">
        <v>342</v>
      </c>
      <c r="C65" s="48" t="s">
        <v>206</v>
      </c>
      <c r="D65" s="57">
        <v>43214</v>
      </c>
      <c r="E65" s="42" t="str">
        <f>A65&amp;D65</f>
        <v>4D43214</v>
      </c>
      <c r="F65" s="3">
        <f>VLOOKUP($E65,Water!$C$2:$E$90, 2, FALSE)</f>
        <v>2.7</v>
      </c>
      <c r="G65" s="3">
        <f>VLOOKUP($E65,Water!$C$2:$E$90, 3, FALSE)</f>
        <v>0.04</v>
      </c>
      <c r="H65" s="1">
        <f>F65+273.15</f>
        <v>275.84999999999997</v>
      </c>
      <c r="I65" s="3">
        <f>VLOOKUP($E65,Water!$C$2:$F$90, 4, FALSE)</f>
        <v>6.91</v>
      </c>
      <c r="J65">
        <f>10^(I65*-1)</f>
        <v>1.2302687708123796E-7</v>
      </c>
      <c r="K65" s="25">
        <f>VLOOKUP($E65,Atm!$D$2:$G$45, 2, FALSE)</f>
        <v>449.14695713428227</v>
      </c>
      <c r="L65" s="25">
        <f>VLOOKUP($E65,Atm!$D$2:$G$45, 3, FALSE)</f>
        <v>4.5678493928170054</v>
      </c>
      <c r="M65" s="25">
        <f>VLOOKUP($E65,Atm!$D$2:$G$45, 4, FALSE)</f>
        <v>0.32688556097329385</v>
      </c>
      <c r="N65" s="21">
        <f>VLOOKUP($C65,Raw!$B$2:$F$353, 3, FALSE)</f>
        <v>653.01099999999997</v>
      </c>
      <c r="O65" s="21">
        <f>VLOOKUP($C65,Raw!$B$2:$F$353, 4, FALSE)</f>
        <v>512.03399999999999</v>
      </c>
      <c r="P65" s="21">
        <f>VLOOKUP($C65,Raw!$B$2:$F$353, 5, FALSE)</f>
        <v>1.1919999999999999</v>
      </c>
      <c r="Q65" s="14">
        <v>60</v>
      </c>
      <c r="R65" s="25">
        <v>1140</v>
      </c>
      <c r="S65">
        <f>EXP(24.4543-(100/H65*(67.4509))-(4.8489*LN(H65/100))-(0.000544*G65))</f>
        <v>7.3147761919068691E-3</v>
      </c>
      <c r="T65" s="8">
        <f>EXP(-58.0931+90.5069*(100/H65)+22.294*LN(H65/100)+G65*(0.027766-0.025888*(H65/100)+0.0050578*(H65/100)^2))</f>
        <v>6.9830352568339402E-2</v>
      </c>
      <c r="U65" s="9">
        <f>(EXP(-67.1962+99.1624*(100/H65)+27.9015*LN(H65/100)+G65*(-0.072909+0.041674*(H65/100)-0.0064603*(H65/100)^2)))</f>
        <v>5.3011265104713323E-2</v>
      </c>
      <c r="V65" s="9">
        <f>(EXP(-64.8539+100.252*(100/H65)+25.2049*LN(H65/100)+(-0.062544+0.035337*(H65/100)-0.0054699*(H65/100)^2)*G65))</f>
        <v>5.307008712214728E-2</v>
      </c>
      <c r="W65" s="9">
        <f>(EXP(-68.8862+101.4956*(100/H65)+28.7314*LN(H65/100)+G65*(-0.076146+0.04397*(H65/100)-0.0068672*(H65/100)^2)))</f>
        <v>5.290062968104995E-2</v>
      </c>
      <c r="X65">
        <f>N65*(AZ65-S65)</f>
        <v>613.26391318414665</v>
      </c>
      <c r="Y65">
        <f>O65*(AZ65-S65)</f>
        <v>480.86781772945835</v>
      </c>
      <c r="Z65">
        <f>((Y65/10^6)*AZ65)/(0.082056*H65)</f>
        <v>2.0106609803967891E-5</v>
      </c>
      <c r="AA65">
        <f>(((L65/10^6)*AZ65)/(0.082056*H65))</f>
        <v>1.909962821349289E-7</v>
      </c>
      <c r="AB65">
        <f>((Y65/10^6)*U65*1)/(0.082056*H65)</f>
        <v>1.1261871058433605E-6</v>
      </c>
      <c r="AC65">
        <f>(Z65*(Q65/1000))+(AB65*(R65/1000))</f>
        <v>2.4902498888995041E-6</v>
      </c>
      <c r="AD65" s="39">
        <f>((AC65-(AA65*(Q65/1000)))/(R65/1000))*1000000</f>
        <v>2.1743772912029899</v>
      </c>
      <c r="AE65" s="39">
        <f>(AD65/((U65*AZ65*1))*(0.0821*273.15))</f>
        <v>971.88443975134783</v>
      </c>
      <c r="AF65" s="39">
        <f>L65*U65*AZ65*1/(0.0821*273.15)</f>
        <v>1.0219556547193797E-2</v>
      </c>
      <c r="AG65" s="39">
        <f>AD65-AF65</f>
        <v>2.1641577346557961</v>
      </c>
      <c r="AH65" s="42">
        <f>P65*(AZ65-S65)</f>
        <v>1.1194460499371417</v>
      </c>
      <c r="AI65">
        <f>(((X65/10^6)*(Q65/1000))/(0.082056*H65))</f>
        <v>1.6256061343752313E-6</v>
      </c>
      <c r="AJ65">
        <f>(((K65/10^6)*AZ65)*(Q65/1000))/(0.082056*H65)</f>
        <v>1.1268155961502937E-6</v>
      </c>
      <c r="AK65">
        <f>(X65/10^6)*T65*(R65/1000)</f>
        <v>4.8819856213600828E-5</v>
      </c>
      <c r="AL65">
        <f>AI65+AK65</f>
        <v>5.0445462347976062E-5</v>
      </c>
      <c r="AM65" s="39">
        <f>((AL65-AJ65)/(R65/1000))*1000000</f>
        <v>43.261970834934885</v>
      </c>
      <c r="AN65" s="39">
        <f>AM65/(T65*AZ65)</f>
        <v>654.58431918982228</v>
      </c>
      <c r="AO65" s="39">
        <f>(K65*AZ65)*T65</f>
        <v>29.684460795200163</v>
      </c>
      <c r="AP65" s="39">
        <f>AM65-AO65</f>
        <v>13.577510039734722</v>
      </c>
      <c r="AQ65">
        <f>(((AH65/10^6)*(Q65/1000))/(0.082056*H65))</f>
        <v>2.9673658057448895E-9</v>
      </c>
      <c r="AR65">
        <f>(((M65/10^6)*AZ65)*(Q65/1000))/(0.082056*H65)</f>
        <v>8.2008737320894759E-10</v>
      </c>
      <c r="AS65">
        <f>(AH65/10^6)*V65*(R65/1000)</f>
        <v>6.7726373314526822E-8</v>
      </c>
      <c r="AT65">
        <f>AQ65+AS65</f>
        <v>7.0693739120271707E-8</v>
      </c>
      <c r="AU65" s="39">
        <f>((AT65-AR65)/(R65/1000))*1000000000</f>
        <v>61.292676971107689</v>
      </c>
      <c r="AV65" s="39">
        <f>(AU65/1000)/(V65*AZ65)</f>
        <v>1.2202879452500741</v>
      </c>
      <c r="AW65" s="39">
        <f>(M65*AZ65)*V65*1000</f>
        <v>16.418822437149867</v>
      </c>
      <c r="AX65" s="39">
        <f>AU65-AW65</f>
        <v>44.873854533957825</v>
      </c>
      <c r="AY65" s="26">
        <f>VLOOKUP($E65,Water!$C$2:$G$90, 5, FALSE)</f>
        <v>719.3</v>
      </c>
      <c r="AZ65">
        <f>AY65/760</f>
        <v>0.94644736842105259</v>
      </c>
      <c r="BA65" s="3">
        <f>Assumptions!$B$3</f>
        <v>406.07</v>
      </c>
      <c r="BB65" s="3">
        <f>BA65*AZ65*T65</f>
        <v>26.837472242972655</v>
      </c>
      <c r="BC65" s="3">
        <f>Assumptions!$B$4</f>
        <v>1.8474300000000001</v>
      </c>
      <c r="BD65" s="45">
        <f>BC65*AZ65*U65*1/(0.0821*273.15)</f>
        <v>4.1332175666017176E-3</v>
      </c>
      <c r="BE65" s="3">
        <f>Assumptions!$B$2</f>
        <v>0.33054499999999998</v>
      </c>
      <c r="BF65" s="44">
        <f>BE65*AZ65*V65*1000</f>
        <v>16.602628902691407</v>
      </c>
      <c r="BG65">
        <f>1923.6+(-125.06*F65)+(4.3773*(F65^2))+(-0.085681*(F65^3))+(0.00070284*(F65^4))</f>
        <v>1616.1994096762439</v>
      </c>
      <c r="BH65">
        <f>1909.4+(-120.78*F65)+(4.1555*(F65^2))+(-0.080578*(F65^3))+(0.00065777*(F65^4))</f>
        <v>1612.0365348206572</v>
      </c>
      <c r="BI65">
        <f>2141.2+(-152.56*F65)+(5.8963*(F65^2))+(-0.12411*(F65^3))+(0.0010655*(F65^4))</f>
        <v>1769.8857949085498</v>
      </c>
      <c r="BJ65" s="25">
        <f>VLOOKUP(E65,Wind!$C$2:$E$109,3, FALSE)</f>
        <v>2.6666666666666665</v>
      </c>
      <c r="BK65" s="44">
        <v>1.66</v>
      </c>
      <c r="BL65">
        <f>BK65/(1-(((1.3*10^-3)^0.5)/0.41)*LN(10/1.5))</f>
        <v>1.9923982880693825</v>
      </c>
      <c r="BM65">
        <f>BK65*1.22</f>
        <v>2.0251999999999999</v>
      </c>
      <c r="BN65">
        <f>2.07+0.215*(BM65^1.7)*(24/100)</f>
        <v>2.241255750541113</v>
      </c>
      <c r="BO65">
        <f>BN65*((600/BG65)^0.67)</f>
        <v>1.1538813189245505</v>
      </c>
      <c r="BP65">
        <f>BN65*((600/BH65)^0.67)</f>
        <v>1.1558769007645562</v>
      </c>
      <c r="BQ65">
        <f>BN65*((600/BI65)^0.67)</f>
        <v>1.0857490083959487</v>
      </c>
      <c r="BR65" s="39">
        <f>BO65*(AM65-BB65)</f>
        <v>18.951922097967799</v>
      </c>
      <c r="BS65" s="39">
        <f>BP65*(AD65-BD65)</f>
        <v>2.5085349937374737</v>
      </c>
      <c r="BT65" s="39">
        <f>BQ65*(AU65-BF65)</f>
        <v>48.52217537545026</v>
      </c>
      <c r="BU65">
        <f>(2.51+1.48*BM65)+(0.39*BM65*LOG10(0.0015))</f>
        <v>3.2768938069574309</v>
      </c>
      <c r="BV65">
        <f>BU65*((600/$BG65)^0.67)</f>
        <v>1.687066077592813</v>
      </c>
      <c r="BW65">
        <f>BU65*((600/$BH65)^0.67)</f>
        <v>1.6899837766422019</v>
      </c>
      <c r="BX65">
        <f>BU65*((600/$BI65)^0.67)</f>
        <v>1.5874512315981189</v>
      </c>
      <c r="BY65" s="39">
        <f>BV65*($AM65-$BB65)</f>
        <v>27.709214415970401</v>
      </c>
      <c r="BZ65" s="39">
        <f>BW65*($AD65-$BD65)</f>
        <v>3.6676772757993805</v>
      </c>
      <c r="CA65" s="39">
        <f>BX65*($AU65-$BF65)</f>
        <v>70.943271846386565</v>
      </c>
      <c r="CB65" s="42">
        <f>AVERAGE(0.72,0.69,0.4,0.22)</f>
        <v>0.50750000000000006</v>
      </c>
      <c r="CC65">
        <f>CB65*((600/$BG65)^0.67)</f>
        <v>0.26127976212122495</v>
      </c>
      <c r="CD65">
        <f>CB65*((600/$BH65)^0.67)</f>
        <v>0.26173163281182255</v>
      </c>
      <c r="CE65">
        <f>CB65*((600/$BI65)^0.67)</f>
        <v>0.245852184262287</v>
      </c>
      <c r="CF65" s="39">
        <f>CC65*($AM65-$BB65)</f>
        <v>4.2913890850682854</v>
      </c>
      <c r="CG65" s="39">
        <f>CD65*($AD65-$BD65)</f>
        <v>0.56802152499303316</v>
      </c>
      <c r="CH65" s="39">
        <f>CE65*($AU65-$BF65)</f>
        <v>10.987145932406742</v>
      </c>
      <c r="CI65">
        <v>0.86263901889527161</v>
      </c>
      <c r="CJ65">
        <f>((BG65/BH65)^0.67)*CI65</f>
        <v>0.86413091128693631</v>
      </c>
      <c r="CK65">
        <f>((BH65/BH65)^0.67)*CI65</f>
        <v>0.86263901889527161</v>
      </c>
      <c r="CL65">
        <f>((BI65/BH65)^0.67)*CI65</f>
        <v>0.91835636775053053</v>
      </c>
      <c r="CM65" s="39">
        <f>CJ65*($AM65-$BB65)</f>
        <v>14.192916935703325</v>
      </c>
      <c r="CN65" s="39">
        <f>CK65*($AD65-$BD65)</f>
        <v>1.8721372184449716</v>
      </c>
      <c r="CO65" s="39">
        <f>CL65*($AU65-$BF65)</f>
        <v>41.041390218707392</v>
      </c>
      <c r="CP65" s="27">
        <f>VLOOKUP(A65,Water!$A$2:$E$109, 5, FALSE)/1000</f>
        <v>4.0000000000000003E-5</v>
      </c>
      <c r="CQ65">
        <f>0.64*CP65</f>
        <v>2.5600000000000002E-5</v>
      </c>
      <c r="CR65" s="19">
        <f>CQ65*1000*(2.5*10^-5)</f>
        <v>6.4000000000000001E-7</v>
      </c>
      <c r="CS65" s="18">
        <f>(-0.0000009*F65^3)+(0.0002*F65^2)-(0.0134*F65)+6.579</f>
        <v>6.5442602853</v>
      </c>
      <c r="CT65" s="18">
        <f>CS65-(SQRT(CP65))/(1+1.4*SQRT(CP65))</f>
        <v>6.5379912384863932</v>
      </c>
      <c r="CU65" s="18">
        <f>10^(-CT65)</f>
        <v>2.8974020396789253E-7</v>
      </c>
      <c r="CV65" s="18">
        <f>(0.000001*F65^3)+(0.00006*F65^2)-(0.014*F65)+10.625</f>
        <v>10.587657083</v>
      </c>
      <c r="CW65" s="18">
        <f>CV65-(2*SQRT(CR65))/(1+1.4*SQRT(CR65))</f>
        <v>10.586058872995205</v>
      </c>
      <c r="CX65" s="18">
        <f>10^(-CW65)</f>
        <v>2.5938277187889317E-11</v>
      </c>
      <c r="CY65">
        <f>EXP(1246.98+-61900/H65-183*LN(H65))</f>
        <v>2.8764676411418108E-3</v>
      </c>
      <c r="CZ65">
        <f>12.225*(F65^2)+15.258*F65+1125.7</f>
        <v>1256.01685</v>
      </c>
      <c r="DA65" s="15">
        <f>10^(-4470.99/H65+6.0875-0.01706*H65)</f>
        <v>1.4909090394732712E-15</v>
      </c>
      <c r="DB65">
        <f>(10^-I65)</f>
        <v>1.2302687708123796E-7</v>
      </c>
      <c r="DC65">
        <f>DB65^2</f>
        <v>1.5135612484362035E-14</v>
      </c>
      <c r="DD65" s="20">
        <f>((14.6836*10^-9)*((H65/217.2056)-1)^1.997)*100*100</f>
        <v>1.0746066831399178E-5</v>
      </c>
      <c r="DE65">
        <f>CY65+CZ65*DA65/DB65</f>
        <v>2.8916887612728146E-3</v>
      </c>
      <c r="DF65">
        <f>1+DC65*(CU65*CX65+CU65*DB65)^-1</f>
        <v>1.4245214940388611</v>
      </c>
      <c r="DG65">
        <f>(DE65*DF65/DD65)^0.5</f>
        <v>19.578774671970688</v>
      </c>
      <c r="DH65">
        <f>DD65/(BO65/60/60)</f>
        <v>3.3526706740597316E-2</v>
      </c>
      <c r="DI65" s="16">
        <f>DF65/((DF65-1)+TANH(DG65*DH65)/(DG65*DH65))</f>
        <v>1.0941239449175104</v>
      </c>
      <c r="DJ65">
        <f>$DI65*BR65</f>
        <v>20.735751769597869</v>
      </c>
      <c r="DK65">
        <f>$DI65*BY65</f>
        <v>30.317314987366686</v>
      </c>
      <c r="DL65">
        <f>$DI65*CF65</f>
        <v>4.6953115549308579</v>
      </c>
      <c r="DM65">
        <f>$DI65*CM65</f>
        <v>15.528810267578265</v>
      </c>
    </row>
    <row r="66" spans="1:117" ht="15.75" x14ac:dyDescent="0.25">
      <c r="A66" s="53" t="s">
        <v>337</v>
      </c>
      <c r="B66" s="56" t="s">
        <v>339</v>
      </c>
      <c r="C66" s="49" t="s">
        <v>208</v>
      </c>
      <c r="D66" s="57">
        <v>43216</v>
      </c>
      <c r="E66" s="42" t="str">
        <f>A66&amp;D66</f>
        <v>14B43216</v>
      </c>
      <c r="F66" s="3">
        <f>VLOOKUP($E66,Water!$C$2:$E$90, 2, FALSE)</f>
        <v>5.3</v>
      </c>
      <c r="G66" s="3">
        <f>VLOOKUP($E66,Water!$C$2:$E$90, 3, FALSE)</f>
        <v>0.38</v>
      </c>
      <c r="H66" s="1">
        <f>F66+273.15</f>
        <v>278.45</v>
      </c>
      <c r="I66" s="3">
        <f>VLOOKUP($E66,Water!$C$2:$F$90, 4, FALSE)</f>
        <v>7.9</v>
      </c>
      <c r="J66">
        <f>10^(I66*-1)</f>
        <v>1.2589254117941638E-8</v>
      </c>
      <c r="K66" s="25">
        <f>VLOOKUP($E66,Atm!$D$2:$G$45, 2, FALSE)</f>
        <v>437.09186215702118</v>
      </c>
      <c r="L66" s="25">
        <f>VLOOKUP($E66,Atm!$D$2:$G$45, 3, FALSE)</f>
        <v>1.9722847137845281</v>
      </c>
      <c r="M66" s="25">
        <f>VLOOKUP($E66,Atm!$D$2:$G$45, 4, FALSE)</f>
        <v>0.32508895019405104</v>
      </c>
      <c r="N66" s="21" t="str">
        <f>VLOOKUP($C66,Raw!$B$2:$F$353, 3, FALSE)</f>
        <v>NA</v>
      </c>
      <c r="O66" s="21" t="str">
        <f>VLOOKUP($C66,Raw!$B$2:$F$353, 4, FALSE)</f>
        <v>NA</v>
      </c>
      <c r="P66" s="21" t="str">
        <f>VLOOKUP($C66,Raw!$B$2:$F$353, 5, FALSE)</f>
        <v>NA</v>
      </c>
      <c r="Q66" s="14">
        <v>60</v>
      </c>
      <c r="R66" s="25">
        <v>1140</v>
      </c>
      <c r="S66">
        <f>EXP(24.4543-(100/H66*(67.4509))-(4.8489*LN(H66/100))-(0.000544*G66))</f>
        <v>8.7805673402121948E-3</v>
      </c>
      <c r="T66" s="8">
        <f>EXP(-58.0931+90.5069*(100/H66)+22.294*LN(H66/100)+G66*(0.027766-0.025888*(H66/100)+0.0050578*(H66/100)^2))</f>
        <v>6.3251560597082965E-2</v>
      </c>
      <c r="U66" s="9">
        <f>(EXP(-67.1962+99.1624*(100/H66)+27.9015*LN(H66/100)+G66*(-0.072909+0.041674*(H66/100)-0.0064603*(H66/100)^2)))</f>
        <v>4.9118518689326346E-2</v>
      </c>
      <c r="V66" s="9">
        <f>(EXP(-64.8539+100.252*(100/H66)+25.2049*LN(H66/100)+(-0.062544+0.035337*(H66/100)-0.0054699*(H66/100)^2)*G66))</f>
        <v>4.7774594175649776E-2</v>
      </c>
      <c r="W66" s="9">
        <f>(EXP(-68.8862+101.4956*(100/H66)+28.7314*LN(H66/100)+G66*(-0.076146+0.04397*(H66/100)-0.0068672*(H66/100)^2)))</f>
        <v>4.9010529365486562E-2</v>
      </c>
      <c r="X66" t="e">
        <f>N66*(AZ66-S66)</f>
        <v>#VALUE!</v>
      </c>
      <c r="Y66" t="e">
        <f>O66*(AZ66-S66)</f>
        <v>#VALUE!</v>
      </c>
      <c r="Z66" t="e">
        <f>((Y66/10^6)*AZ66)/(0.082056*H66)</f>
        <v>#VALUE!</v>
      </c>
      <c r="AA66">
        <f>(((L66/10^6)*AZ66)/(0.082056*H66))</f>
        <v>8.0709313793547391E-8</v>
      </c>
      <c r="AB66" t="e">
        <f>((Y66/10^6)*U66*1)/(0.082056*H66)</f>
        <v>#VALUE!</v>
      </c>
      <c r="AC66" t="e">
        <f>(Z66*(Q66/1000))+(AB66*(R66/1000))</f>
        <v>#VALUE!</v>
      </c>
      <c r="AD66" s="39" t="e">
        <f>((AC66-(AA66*(Q66/1000)))/(R66/1000))*1000000</f>
        <v>#VALUE!</v>
      </c>
      <c r="AE66" s="39" t="e">
        <f>(AD66/((U66*AZ66*1))*(0.0821*273.15))</f>
        <v>#VALUE!</v>
      </c>
      <c r="AF66" s="39">
        <f>L66*U66*AZ66*1/(0.0821*273.15)</f>
        <v>4.0390768700141614E-3</v>
      </c>
      <c r="AG66" s="39" t="e">
        <f>AD66-AF66</f>
        <v>#VALUE!</v>
      </c>
      <c r="AH66" s="42" t="e">
        <f>P66*(AZ66-S66)</f>
        <v>#VALUE!</v>
      </c>
      <c r="AI66" t="e">
        <f>(((X66/10^6)*(Q66/1000))/(0.082056*H66))</f>
        <v>#VALUE!</v>
      </c>
      <c r="AJ66">
        <f>(((K66/10^6)*AZ66)*(Q66/1000))/(0.082056*H66)</f>
        <v>1.0731934597336551E-6</v>
      </c>
      <c r="AK66" t="e">
        <f>(X66/10^6)*T66*(R66/1000)</f>
        <v>#VALUE!</v>
      </c>
      <c r="AL66" t="e">
        <f>AI66+AK66</f>
        <v>#VALUE!</v>
      </c>
      <c r="AM66" s="39" t="e">
        <f>((AL66-AJ66)/(R66/1000))*1000000</f>
        <v>#VALUE!</v>
      </c>
      <c r="AN66" s="39" t="e">
        <f>AM66/(T66*AZ66)</f>
        <v>#VALUE!</v>
      </c>
      <c r="AO66" s="39">
        <f>(K66*AZ66)*T66</f>
        <v>25.849704149345079</v>
      </c>
      <c r="AP66" s="39" t="e">
        <f>AM66-AO66</f>
        <v>#VALUE!</v>
      </c>
      <c r="AQ66" t="e">
        <f>(((AH66/10^6)*(Q66/1000))/(0.082056*H66))</f>
        <v>#VALUE!</v>
      </c>
      <c r="AR66">
        <f>(((M66/10^6)*AZ66)*(Q66/1000))/(0.082056*H66)</f>
        <v>7.9819224603775017E-10</v>
      </c>
      <c r="AS66" t="e">
        <f>(AH66/10^6)*V66*(R66/1000)</f>
        <v>#VALUE!</v>
      </c>
      <c r="AT66" t="e">
        <f>AQ66+AS66</f>
        <v>#VALUE!</v>
      </c>
      <c r="AU66" s="39" t="e">
        <f>((AT66-AR66)/(R66/1000))*1000000000</f>
        <v>#VALUE!</v>
      </c>
      <c r="AV66" s="39" t="e">
        <f>(AU66/1000)/(V66*AZ66)</f>
        <v>#VALUE!</v>
      </c>
      <c r="AW66" s="39">
        <f>(M66*AZ66)*V66*1000</f>
        <v>14.521478143185741</v>
      </c>
      <c r="AX66" s="39" t="e">
        <f>AU66-AW66</f>
        <v>#VALUE!</v>
      </c>
      <c r="AY66" s="26">
        <f>VLOOKUP($E66,Water!$C$2:$G$90, 5, FALSE)</f>
        <v>710.6</v>
      </c>
      <c r="AZ66">
        <f>AY66/760</f>
        <v>0.93500000000000005</v>
      </c>
      <c r="BA66" s="3">
        <f>Assumptions!$B$3</f>
        <v>406.07</v>
      </c>
      <c r="BB66" s="3">
        <f>BA66*AZ66*T66</f>
        <v>24.015064732899745</v>
      </c>
      <c r="BC66" s="3">
        <f>Assumptions!$B$4</f>
        <v>1.8474300000000001</v>
      </c>
      <c r="BD66" s="45">
        <f>BC66*AZ66*U66*1/(0.0821*273.15)</f>
        <v>3.7833846856988205E-3</v>
      </c>
      <c r="BE66" s="3">
        <f>Assumptions!$B$2</f>
        <v>0.33054499999999998</v>
      </c>
      <c r="BF66" s="44">
        <f>BE66*AZ66*V66*1000</f>
        <v>14.765195771723794</v>
      </c>
      <c r="BG66">
        <f>1923.6+(-125.06*F66)+(4.3773*(F66^2))+(-0.085681*(F66^3))+(0.00070284*(F66^4))</f>
        <v>1371.5390013296039</v>
      </c>
      <c r="BH66">
        <f>1909.4+(-120.78*F66)+(4.1555*(F66^2))+(-0.080578*(F66^3))+(0.00065777*(F66^4))</f>
        <v>1374.516796262737</v>
      </c>
      <c r="BI66">
        <f>2141.2+(-152.56*F66)+(5.8963*(F66^2))+(-0.12411*(F66^3))+(0.0010655*(F66^4))</f>
        <v>1480.6226732805499</v>
      </c>
      <c r="BJ66" s="25">
        <f>VLOOKUP(E66,Wind!$C$2:$E$109,3, FALSE)</f>
        <v>8.0555555555555554</v>
      </c>
      <c r="BK66" s="44">
        <v>1.66</v>
      </c>
      <c r="BL66">
        <f>BK66/(1-(((1.3*10^-3)^0.5)/0.41)*LN(10/1.5))</f>
        <v>1.9923982880693825</v>
      </c>
      <c r="BM66">
        <f>BK66*1.22</f>
        <v>2.0251999999999999</v>
      </c>
      <c r="BN66">
        <f>2.07+0.215*(BM66^1.7)*(24/100)</f>
        <v>2.241255750541113</v>
      </c>
      <c r="BO66">
        <f>BN66*((600/BG66)^0.67)</f>
        <v>1.2880220154006148</v>
      </c>
      <c r="BP66">
        <f>BN66*((600/BH66)^0.67)</f>
        <v>1.286151771749209</v>
      </c>
      <c r="BQ66">
        <f>BN66*((600/BI66)^0.67)</f>
        <v>1.2236437874132557</v>
      </c>
      <c r="BR66" s="39" t="e">
        <f>BO66*(AM66-BB66)</f>
        <v>#VALUE!</v>
      </c>
      <c r="BS66" s="39" t="e">
        <f>BP66*(AD66-BD66)</f>
        <v>#VALUE!</v>
      </c>
      <c r="BT66" s="39" t="e">
        <f>BQ66*(AU66-BF66)</f>
        <v>#VALUE!</v>
      </c>
      <c r="BU66">
        <f>(2.51+1.48*BM66)+(0.39*BM66*LOG10(0.0015))</f>
        <v>3.2768938069574309</v>
      </c>
      <c r="BV66">
        <f>BU66*((600/$BG66)^0.67)</f>
        <v>1.8831904232580705</v>
      </c>
      <c r="BW66">
        <f>BU66*((600/$BH66)^0.67)</f>
        <v>1.880455978589133</v>
      </c>
      <c r="BX66">
        <f>BU66*((600/$BI66)^0.67)</f>
        <v>1.78906434391896</v>
      </c>
      <c r="BY66" s="39" t="e">
        <f>BV66*($AM66-$BB66)</f>
        <v>#VALUE!</v>
      </c>
      <c r="BZ66" s="39" t="e">
        <f>BW66*($AD66-$BD66)</f>
        <v>#VALUE!</v>
      </c>
      <c r="CA66" s="39" t="e">
        <f>BX66*($AU66-$BF66)</f>
        <v>#VALUE!</v>
      </c>
      <c r="CB66" s="42">
        <f>AVERAGE(0.72,0.69,0.4,0.22)</f>
        <v>0.50750000000000006</v>
      </c>
      <c r="CC66">
        <f>CB66*((600/$BG66)^0.67)</f>
        <v>0.29165398578809865</v>
      </c>
      <c r="CD66">
        <f>CB66*((600/$BH66)^0.67)</f>
        <v>0.29123049612037138</v>
      </c>
      <c r="CE66">
        <f>CB66*((600/$BI66)^0.67)</f>
        <v>0.27707646571003675</v>
      </c>
      <c r="CF66" s="39" t="e">
        <f>CC66*($AM66-$BB66)</f>
        <v>#VALUE!</v>
      </c>
      <c r="CG66" s="39" t="e">
        <f>CD66*($AD66-$BD66)</f>
        <v>#VALUE!</v>
      </c>
      <c r="CH66" s="39" t="e">
        <f>CE66*($AU66-$BF66)</f>
        <v>#VALUE!</v>
      </c>
      <c r="CI66">
        <v>0.86263901889527161</v>
      </c>
      <c r="CJ66">
        <f>((BG66/BH66)^0.67)*CI66</f>
        <v>0.86138644314015789</v>
      </c>
      <c r="CK66">
        <f>((BH66/BH66)^0.67)*CI66</f>
        <v>0.86263901889527161</v>
      </c>
      <c r="CL66">
        <f>((BI66/BH66)^0.67)*CI66</f>
        <v>0.90670562294731916</v>
      </c>
      <c r="CM66" s="39" t="e">
        <f>CJ66*($AM66-$BB66)</f>
        <v>#VALUE!</v>
      </c>
      <c r="CN66" s="39" t="e">
        <f>CK66*($AD66-$BD66)</f>
        <v>#VALUE!</v>
      </c>
      <c r="CO66" s="39" t="e">
        <f>CL66*($AU66-$BF66)</f>
        <v>#VALUE!</v>
      </c>
      <c r="CP66" s="27">
        <f>VLOOKUP(A66,Water!$A$2:$E$109, 5, FALSE)/1000</f>
        <v>3.8000000000000002E-4</v>
      </c>
      <c r="CQ66">
        <f>0.64*CP66</f>
        <v>2.4320000000000003E-4</v>
      </c>
      <c r="CR66" s="19">
        <f>CQ66*1000*(2.5*10^-5)</f>
        <v>6.0800000000000011E-6</v>
      </c>
      <c r="CS66" s="18">
        <f>(-0.0000009*F66^3)+(0.0002*F66^2)-(0.0134*F66)+6.579</f>
        <v>6.5134640106999999</v>
      </c>
      <c r="CT66" s="18">
        <f>CS66-(SQRT(CP66))/(1+1.4*SQRT(CP66))</f>
        <v>6.4944882888927804</v>
      </c>
      <c r="CU66" s="18">
        <f>10^(-CT66)</f>
        <v>3.2026664559946893E-7</v>
      </c>
      <c r="CV66" s="18">
        <f>(0.000001*F66^3)+(0.00006*F66^2)-(0.014*F66)+10.625</f>
        <v>10.552634276999999</v>
      </c>
      <c r="CW66" s="18">
        <f>CV66-(2*SQRT(CR66))/(1+1.4*SQRT(CR66))</f>
        <v>10.547719711231727</v>
      </c>
      <c r="CX66" s="18">
        <f>10^(-CW66)</f>
        <v>2.8332199341126997E-11</v>
      </c>
      <c r="CY66">
        <f>EXP(1246.98+-61900/H66-183*LN(H66))</f>
        <v>4.1999761758219891E-3</v>
      </c>
      <c r="CZ66">
        <f>12.225*(F66^2)+15.258*F66+1125.7</f>
        <v>1549.96765</v>
      </c>
      <c r="DA66" s="15">
        <f>10^(-4470.99/H66+6.0875-0.01706*H66)</f>
        <v>1.9073756339817331E-15</v>
      </c>
      <c r="DB66">
        <f>(10^-I66)</f>
        <v>1.2589254117941638E-8</v>
      </c>
      <c r="DC66">
        <f>DB66^2</f>
        <v>1.5848931924611049E-16</v>
      </c>
      <c r="DD66" s="20">
        <f>((14.6836*10^-9)*((H66/217.2056)-1)^1.997)*100*100</f>
        <v>1.1718518005370601E-5</v>
      </c>
      <c r="DE66">
        <f>CY66+CZ66*DA66/DB66</f>
        <v>4.4348090341766906E-3</v>
      </c>
      <c r="DF66">
        <f>1+DC66*(CU66*CX66+CU66*DB66)^-1</f>
        <v>1.0392203987203108</v>
      </c>
      <c r="DG66">
        <f>(DE66*DF66/DD66)^0.5</f>
        <v>19.831471830064881</v>
      </c>
      <c r="DH66">
        <f>DD66/(BO66/60/60)</f>
        <v>3.2753061915803357E-2</v>
      </c>
      <c r="DI66" s="16">
        <f>DF66/((DF66-1)+TANH(DG66*DH66)/(DG66*DH66))</f>
        <v>1.1309910773373062</v>
      </c>
      <c r="DJ66" t="e">
        <f>$DI66*BR66</f>
        <v>#VALUE!</v>
      </c>
      <c r="DK66" t="e">
        <f>$DI66*BY66</f>
        <v>#VALUE!</v>
      </c>
      <c r="DL66" t="e">
        <f>$DI66*CF66</f>
        <v>#VALUE!</v>
      </c>
      <c r="DM66" t="e">
        <f>$DI66*CM66</f>
        <v>#VALUE!</v>
      </c>
    </row>
    <row r="67" spans="1:117" ht="15.75" x14ac:dyDescent="0.25">
      <c r="A67" s="52" t="s">
        <v>337</v>
      </c>
      <c r="B67" s="55" t="s">
        <v>340</v>
      </c>
      <c r="C67" t="s">
        <v>209</v>
      </c>
      <c r="D67" s="57">
        <v>43216</v>
      </c>
      <c r="E67" s="42" t="str">
        <f>A67&amp;D67</f>
        <v>14B43216</v>
      </c>
      <c r="F67" s="3">
        <f>VLOOKUP($E67,Water!$C$2:$E$90, 2, FALSE)</f>
        <v>5.3</v>
      </c>
      <c r="G67" s="3">
        <f>VLOOKUP($E67,Water!$C$2:$E$90, 3, FALSE)</f>
        <v>0.38</v>
      </c>
      <c r="H67" s="1">
        <f>F67+273.15</f>
        <v>278.45</v>
      </c>
      <c r="I67" s="3">
        <f>VLOOKUP($E67,Water!$C$2:$F$90, 4, FALSE)</f>
        <v>7.9</v>
      </c>
      <c r="J67">
        <f>10^(I67*-1)</f>
        <v>1.2589254117941638E-8</v>
      </c>
      <c r="K67" s="25">
        <f>VLOOKUP($E67,Atm!$D$2:$G$45, 2, FALSE)</f>
        <v>437.09186215702118</v>
      </c>
      <c r="L67" s="25">
        <f>VLOOKUP($E67,Atm!$D$2:$G$45, 3, FALSE)</f>
        <v>1.9722847137845281</v>
      </c>
      <c r="M67" s="25">
        <f>VLOOKUP($E67,Atm!$D$2:$G$45, 4, FALSE)</f>
        <v>0.32508895019405104</v>
      </c>
      <c r="N67" s="21">
        <f>VLOOKUP($C67,Raw!$B$2:$F$353, 3, FALSE)</f>
        <v>1446.993832114623</v>
      </c>
      <c r="O67" s="21">
        <f>VLOOKUP($C67,Raw!$B$2:$F$353, 4, FALSE)</f>
        <v>74.68211345970289</v>
      </c>
      <c r="P67" s="21">
        <f>VLOOKUP($C67,Raw!$B$2:$F$353, 5, FALSE)</f>
        <v>0.6433595472655953</v>
      </c>
      <c r="Q67" s="14">
        <v>60</v>
      </c>
      <c r="R67" s="25">
        <v>1140</v>
      </c>
      <c r="S67">
        <f>EXP(24.4543-(100/H67*(67.4509))-(4.8489*LN(H67/100))-(0.000544*G67))</f>
        <v>8.7805673402121948E-3</v>
      </c>
      <c r="T67" s="8">
        <f>EXP(-58.0931+90.5069*(100/H67)+22.294*LN(H67/100)+G67*(0.027766-0.025888*(H67/100)+0.0050578*(H67/100)^2))</f>
        <v>6.3251560597082965E-2</v>
      </c>
      <c r="U67" s="9">
        <f>(EXP(-67.1962+99.1624*(100/H67)+27.9015*LN(H67/100)+G67*(-0.072909+0.041674*(H67/100)-0.0064603*(H67/100)^2)))</f>
        <v>4.9118518689326346E-2</v>
      </c>
      <c r="V67" s="9">
        <f>(EXP(-64.8539+100.252*(100/H67)+25.2049*LN(H67/100)+(-0.062544+0.035337*(H67/100)-0.0054699*(H67/100)^2)*G67))</f>
        <v>4.7774594175649776E-2</v>
      </c>
      <c r="W67" s="9">
        <f>(EXP(-68.8862+101.4956*(100/H67)+28.7314*LN(H67/100)+G67*(-0.076146+0.04397*(H67/100)-0.0068672*(H67/100)^2)))</f>
        <v>4.9010529365486562E-2</v>
      </c>
      <c r="X67">
        <f>N67*(AZ67-S67)</f>
        <v>1340.2338062434185</v>
      </c>
      <c r="Y67">
        <f>O67*(AZ67-S67)</f>
        <v>69.172024758479921</v>
      </c>
      <c r="Z67">
        <f>((Y67/10^6)*AZ67)/(0.082056*H67)</f>
        <v>2.8306393153828949E-6</v>
      </c>
      <c r="AA67">
        <f>(((L67/10^6)*AZ67)/(0.082056*H67))</f>
        <v>8.0709313793547391E-8</v>
      </c>
      <c r="AB67">
        <f>((Y67/10^6)*U67*1)/(0.082056*H67)</f>
        <v>1.4870247071163276E-7</v>
      </c>
      <c r="AC67">
        <f>(Z67*(Q67/1000))+(AB67*(R67/1000))</f>
        <v>3.3935917553423502E-7</v>
      </c>
      <c r="AD67" s="39">
        <f>((AC67-(AA67*(Q67/1000)))/(R67/1000))*1000000</f>
        <v>0.29343562869001949</v>
      </c>
      <c r="AE67" s="39">
        <f>(AD67/((U67*AZ67*1))*(0.0821*273.15))</f>
        <v>143.28487017456763</v>
      </c>
      <c r="AF67" s="39">
        <f>L67*U67*AZ67*1/(0.0821*273.15)</f>
        <v>4.0390768700141614E-3</v>
      </c>
      <c r="AG67" s="39">
        <f>AD67-AF67</f>
        <v>0.28939655182000534</v>
      </c>
      <c r="AH67" s="42">
        <f>P67*(AZ67-S67)</f>
        <v>0.5958921148645977</v>
      </c>
      <c r="AI67">
        <f>(((X67/10^6)*(Q67/1000))/(0.082056*H67))</f>
        <v>3.5194455787835106E-6</v>
      </c>
      <c r="AJ67">
        <f>(((K67/10^6)*AZ67)*(Q67/1000))/(0.082056*H67)</f>
        <v>1.0731934597336551E-6</v>
      </c>
      <c r="AK67">
        <f>(X67/10^6)*T67*(R67/1000)</f>
        <v>9.663994298324579E-5</v>
      </c>
      <c r="AL67">
        <f>AI67+AK67</f>
        <v>1.001593885620293E-4</v>
      </c>
      <c r="AM67" s="39">
        <f>((AL67-AJ67)/(R67/1000))*1000000</f>
        <v>86.917715002013722</v>
      </c>
      <c r="AN67" s="39">
        <f>AM67/(T67*AZ67)</f>
        <v>1469.6890024416766</v>
      </c>
      <c r="AO67" s="39">
        <f>(K67*AZ67)*T67</f>
        <v>25.849704149345079</v>
      </c>
      <c r="AP67" s="39">
        <f>AM67-AO67</f>
        <v>61.068010852668642</v>
      </c>
      <c r="AQ67">
        <f>(((AH67/10^6)*(Q67/1000))/(0.082056*H67))</f>
        <v>1.5648089604384006E-9</v>
      </c>
      <c r="AR67">
        <f>(((M67/10^6)*AZ67)*(Q67/1000))/(0.082056*H67)</f>
        <v>7.9819224603775017E-10</v>
      </c>
      <c r="AS67">
        <f>(AH67/10^6)*V67*(R67/1000)</f>
        <v>3.2454094514543449E-8</v>
      </c>
      <c r="AT67">
        <f>AQ67+AS67</f>
        <v>3.4018903474981852E-8</v>
      </c>
      <c r="AU67" s="39">
        <f>((AT67-AR67)/(R67/1000))*1000000000</f>
        <v>29.140974762231668</v>
      </c>
      <c r="AV67" s="39">
        <f>(AU67/1000)/(V67*AZ67)</f>
        <v>0.65237221718580096</v>
      </c>
      <c r="AW67" s="39">
        <f>(M67*AZ67)*V67*1000</f>
        <v>14.521478143185741</v>
      </c>
      <c r="AX67" s="39">
        <f>AU67-AW67</f>
        <v>14.619496619045927</v>
      </c>
      <c r="AY67" s="26">
        <f>VLOOKUP($E67,Water!$C$2:$G$90, 5, FALSE)</f>
        <v>710.6</v>
      </c>
      <c r="AZ67">
        <f>AY67/760</f>
        <v>0.93500000000000005</v>
      </c>
      <c r="BA67" s="3">
        <f>Assumptions!$B$3</f>
        <v>406.07</v>
      </c>
      <c r="BB67" s="3">
        <f>BA67*AZ67*T67</f>
        <v>24.015064732899745</v>
      </c>
      <c r="BC67" s="3">
        <f>Assumptions!$B$4</f>
        <v>1.8474300000000001</v>
      </c>
      <c r="BD67" s="45">
        <f>BC67*AZ67*U67*1/(0.0821*273.15)</f>
        <v>3.7833846856988205E-3</v>
      </c>
      <c r="BE67" s="3">
        <f>Assumptions!$B$2</f>
        <v>0.33054499999999998</v>
      </c>
      <c r="BF67" s="44">
        <f>BE67*AZ67*V67*1000</f>
        <v>14.765195771723794</v>
      </c>
      <c r="BG67">
        <f>1923.6+(-125.06*F67)+(4.3773*(F67^2))+(-0.085681*(F67^3))+(0.00070284*(F67^4))</f>
        <v>1371.5390013296039</v>
      </c>
      <c r="BH67">
        <f>1909.4+(-120.78*F67)+(4.1555*(F67^2))+(-0.080578*(F67^3))+(0.00065777*(F67^4))</f>
        <v>1374.516796262737</v>
      </c>
      <c r="BI67">
        <f>2141.2+(-152.56*F67)+(5.8963*(F67^2))+(-0.12411*(F67^3))+(0.0010655*(F67^4))</f>
        <v>1480.6226732805499</v>
      </c>
      <c r="BJ67" s="25">
        <f>VLOOKUP(E67,Wind!$C$2:$E$109,3, FALSE)</f>
        <v>8.0555555555555554</v>
      </c>
      <c r="BK67" s="44">
        <v>1.66</v>
      </c>
      <c r="BL67">
        <f>BK67/(1-(((1.3*10^-3)^0.5)/0.41)*LN(10/1.5))</f>
        <v>1.9923982880693825</v>
      </c>
      <c r="BM67">
        <f>BK67*1.22</f>
        <v>2.0251999999999999</v>
      </c>
      <c r="BN67">
        <f>2.07+0.215*(BM67^1.7)*(24/100)</f>
        <v>2.241255750541113</v>
      </c>
      <c r="BO67">
        <f>BN67*((600/BG67)^0.67)</f>
        <v>1.2880220154006148</v>
      </c>
      <c r="BP67">
        <f>BN67*((600/BH67)^0.67)</f>
        <v>1.286151771749209</v>
      </c>
      <c r="BQ67">
        <f>BN67*((600/BI67)^0.67)</f>
        <v>1.2236437874132557</v>
      </c>
      <c r="BR67" s="39">
        <f>BO67*(AM67-BB67)</f>
        <v>81.019998373664208</v>
      </c>
      <c r="BS67" s="39">
        <f>BP67*(AD67-BD67)</f>
        <v>0.37253674681729121</v>
      </c>
      <c r="BT67" s="39">
        <f>BQ67*(AU67-BF67)</f>
        <v>17.590832650960966</v>
      </c>
      <c r="BU67">
        <f>(2.51+1.48*BM67)+(0.39*BM67*LOG10(0.0015))</f>
        <v>3.2768938069574309</v>
      </c>
      <c r="BV67">
        <f>BU67*((600/$BG67)^0.67)</f>
        <v>1.8831904232580705</v>
      </c>
      <c r="BW67">
        <f>BU67*((600/$BH67)^0.67)</f>
        <v>1.880455978589133</v>
      </c>
      <c r="BX67">
        <f>BU67*((600/$BI67)^0.67)</f>
        <v>1.78906434391896</v>
      </c>
      <c r="BY67" s="39">
        <f>BV67*($AM67-$BB67)</f>
        <v>118.45766858434713</v>
      </c>
      <c r="BZ67" s="39">
        <f>BW67*($AD67-$BD67)</f>
        <v>0.54467829394968315</v>
      </c>
      <c r="CA67" s="39">
        <f>BX67*($AU67-$BF67)</f>
        <v>25.719193607976937</v>
      </c>
      <c r="CB67" s="42">
        <f>AVERAGE(0.72,0.69,0.4,0.22)</f>
        <v>0.50750000000000006</v>
      </c>
      <c r="CC67">
        <f>CB67*((600/$BG67)^0.67)</f>
        <v>0.29165398578809865</v>
      </c>
      <c r="CD67">
        <f>CB67*((600/$BH67)^0.67)</f>
        <v>0.29123049612037138</v>
      </c>
      <c r="CE67">
        <f>CB67*((600/$BI67)^0.67)</f>
        <v>0.27707646571003675</v>
      </c>
      <c r="CF67" s="39">
        <f>CC67*($AM67-$BB67)</f>
        <v>18.345808667621906</v>
      </c>
      <c r="CG67" s="39">
        <f>CD67*($AD67-$BD67)</f>
        <v>8.4355566723757172E-2</v>
      </c>
      <c r="CH67" s="39">
        <f>CE67*($AU67-$BF67)</f>
        <v>3.9831900345185214</v>
      </c>
      <c r="CI67">
        <v>0.86263901889527161</v>
      </c>
      <c r="CJ67">
        <f>((BG67/BH67)^0.67)*CI67</f>
        <v>0.86138644314015789</v>
      </c>
      <c r="CK67">
        <f>((BH67/BH67)^0.67)*CI67</f>
        <v>0.86263901889527161</v>
      </c>
      <c r="CL67">
        <f>((BI67/BH67)^0.67)*CI67</f>
        <v>0.90670562294731916</v>
      </c>
      <c r="CM67" s="39">
        <f>CJ67*($AM67-$BB67)</f>
        <v>54.183490179401382</v>
      </c>
      <c r="CN67" s="39">
        <f>CK67*($AD67-$BD67)</f>
        <v>0.249865327588701</v>
      </c>
      <c r="CO67" s="39">
        <f>CL67*($AU67-$BF67)</f>
        <v>13.034599644941425</v>
      </c>
      <c r="CP67" s="27">
        <f>VLOOKUP(A67,Water!$A$2:$E$109, 5, FALSE)/1000</f>
        <v>3.8000000000000002E-4</v>
      </c>
      <c r="CQ67">
        <f>0.64*CP67</f>
        <v>2.4320000000000003E-4</v>
      </c>
      <c r="CR67" s="19">
        <f>CQ67*1000*(2.5*10^-5)</f>
        <v>6.0800000000000011E-6</v>
      </c>
      <c r="CS67" s="18">
        <f>(-0.0000009*F67^3)+(0.0002*F67^2)-(0.0134*F67)+6.579</f>
        <v>6.5134640106999999</v>
      </c>
      <c r="CT67" s="18">
        <f>CS67-(SQRT(CP67))/(1+1.4*SQRT(CP67))</f>
        <v>6.4944882888927804</v>
      </c>
      <c r="CU67" s="18">
        <f>10^(-CT67)</f>
        <v>3.2026664559946893E-7</v>
      </c>
      <c r="CV67" s="18">
        <f>(0.000001*F67^3)+(0.00006*F67^2)-(0.014*F67)+10.625</f>
        <v>10.552634276999999</v>
      </c>
      <c r="CW67" s="18">
        <f>CV67-(2*SQRT(CR67))/(1+1.4*SQRT(CR67))</f>
        <v>10.547719711231727</v>
      </c>
      <c r="CX67" s="18">
        <f>10^(-CW67)</f>
        <v>2.8332199341126997E-11</v>
      </c>
      <c r="CY67">
        <f>EXP(1246.98+-61900/H67-183*LN(H67))</f>
        <v>4.1999761758219891E-3</v>
      </c>
      <c r="CZ67">
        <f>12.225*(F67^2)+15.258*F67+1125.7</f>
        <v>1549.96765</v>
      </c>
      <c r="DA67" s="15">
        <f>10^(-4470.99/H67+6.0875-0.01706*H67)</f>
        <v>1.9073756339817331E-15</v>
      </c>
      <c r="DB67">
        <f>(10^-I67)</f>
        <v>1.2589254117941638E-8</v>
      </c>
      <c r="DC67">
        <f>DB67^2</f>
        <v>1.5848931924611049E-16</v>
      </c>
      <c r="DD67" s="20">
        <f>((14.6836*10^-9)*((H67/217.2056)-1)^1.997)*100*100</f>
        <v>1.1718518005370601E-5</v>
      </c>
      <c r="DE67">
        <f>CY67+CZ67*DA67/DB67</f>
        <v>4.4348090341766906E-3</v>
      </c>
      <c r="DF67">
        <f>1+DC67*(CU67*CX67+CU67*DB67)^-1</f>
        <v>1.0392203987203108</v>
      </c>
      <c r="DG67">
        <f>(DE67*DF67/DD67)^0.5</f>
        <v>19.831471830064881</v>
      </c>
      <c r="DH67">
        <f>DD67/(BO67/60/60)</f>
        <v>3.2753061915803357E-2</v>
      </c>
      <c r="DI67" s="16">
        <f>DF67/((DF67-1)+TANH(DG67*DH67)/(DG67*DH67))</f>
        <v>1.1309910773373062</v>
      </c>
      <c r="DJ67">
        <f>$DI67*BR67</f>
        <v>91.632895246497284</v>
      </c>
      <c r="DK67">
        <f>$DI67*BY67</f>
        <v>133.97456621107634</v>
      </c>
      <c r="DL67">
        <f>$DI67*CF67</f>
        <v>20.748945909617788</v>
      </c>
      <c r="DM67">
        <f>$DI67*CM67</f>
        <v>61.281043931896519</v>
      </c>
    </row>
    <row r="68" spans="1:117" ht="15.75" x14ac:dyDescent="0.25">
      <c r="A68" s="52" t="s">
        <v>337</v>
      </c>
      <c r="B68" s="55" t="s">
        <v>341</v>
      </c>
      <c r="C68" t="s">
        <v>210</v>
      </c>
      <c r="D68" s="57">
        <v>43216</v>
      </c>
      <c r="E68" s="42" t="str">
        <f>A68&amp;D68</f>
        <v>14B43216</v>
      </c>
      <c r="F68" s="3">
        <f>VLOOKUP($E68,Water!$C$2:$E$90, 2, FALSE)</f>
        <v>5.3</v>
      </c>
      <c r="G68" s="3">
        <f>VLOOKUP($E68,Water!$C$2:$E$90, 3, FALSE)</f>
        <v>0.38</v>
      </c>
      <c r="H68" s="1">
        <f>F68+273.15</f>
        <v>278.45</v>
      </c>
      <c r="I68" s="3">
        <f>VLOOKUP($E68,Water!$C$2:$F$90, 4, FALSE)</f>
        <v>7.9</v>
      </c>
      <c r="J68">
        <f>10^(I68*-1)</f>
        <v>1.2589254117941638E-8</v>
      </c>
      <c r="K68" s="25">
        <f>VLOOKUP($E68,Atm!$D$2:$G$45, 2, FALSE)</f>
        <v>437.09186215702118</v>
      </c>
      <c r="L68" s="25">
        <f>VLOOKUP($E68,Atm!$D$2:$G$45, 3, FALSE)</f>
        <v>1.9722847137845281</v>
      </c>
      <c r="M68" s="25">
        <f>VLOOKUP($E68,Atm!$D$2:$G$45, 4, FALSE)</f>
        <v>0.32508895019405104</v>
      </c>
      <c r="N68" s="21">
        <f>VLOOKUP($C68,Raw!$B$2:$F$353, 3, FALSE)</f>
        <v>1438.178603155912</v>
      </c>
      <c r="O68" s="21">
        <f>VLOOKUP($C68,Raw!$B$2:$F$353, 4, FALSE)</f>
        <v>74.812248674545444</v>
      </c>
      <c r="P68" s="21">
        <f>VLOOKUP($C68,Raw!$B$2:$F$353, 5, FALSE)</f>
        <v>0.63455988132248664</v>
      </c>
      <c r="Q68" s="14">
        <v>60</v>
      </c>
      <c r="R68" s="25">
        <v>1140</v>
      </c>
      <c r="S68">
        <f>EXP(24.4543-(100/H68*(67.4509))-(4.8489*LN(H68/100))-(0.000544*G68))</f>
        <v>8.7805673402121948E-3</v>
      </c>
      <c r="T68" s="8">
        <f>EXP(-58.0931+90.5069*(100/H68)+22.294*LN(H68/100)+G68*(0.027766-0.025888*(H68/100)+0.0050578*(H68/100)^2))</f>
        <v>6.3251560597082965E-2</v>
      </c>
      <c r="U68" s="9">
        <f>(EXP(-67.1962+99.1624*(100/H68)+27.9015*LN(H68/100)+G68*(-0.072909+0.041674*(H68/100)-0.0064603*(H68/100)^2)))</f>
        <v>4.9118518689326346E-2</v>
      </c>
      <c r="V68" s="9">
        <f>(EXP(-64.8539+100.252*(100/H68)+25.2049*LN(H68/100)+(-0.062544+0.035337*(H68/100)-0.0054699*(H68/100)^2)*G68))</f>
        <v>4.7774594175649776E-2</v>
      </c>
      <c r="W68" s="9">
        <f>(EXP(-68.8862+101.4956*(100/H68)+28.7314*LN(H68/100)+G68*(-0.076146+0.04397*(H68/100)-0.0068672*(H68/100)^2)))</f>
        <v>4.9010529365486562E-2</v>
      </c>
      <c r="X68">
        <f>N68*(AZ68-S68)</f>
        <v>1332.068969878515</v>
      </c>
      <c r="Y68">
        <f>O68*(AZ68-S68)</f>
        <v>69.292558523340446</v>
      </c>
      <c r="Z68">
        <f>((Y68/10^6)*AZ68)/(0.082056*H68)</f>
        <v>2.8355717662521103E-6</v>
      </c>
      <c r="AA68">
        <f>(((L68/10^6)*AZ68)/(0.082056*H68))</f>
        <v>8.0709313793547391E-8</v>
      </c>
      <c r="AB68">
        <f>((Y68/10^6)*U68*1)/(0.082056*H68)</f>
        <v>1.4896158801666352E-7</v>
      </c>
      <c r="AC68">
        <f>(Z68*(Q68/1000))+(AB68*(R68/1000))</f>
        <v>3.39950516314123E-7</v>
      </c>
      <c r="AD68" s="39">
        <f>((AC68-(AA68*(Q68/1000)))/(R68/1000))*1000000</f>
        <v>0.29395434867237735</v>
      </c>
      <c r="AE68" s="39">
        <f>(AD68/((U68*AZ68*1))*(0.0821*273.15))</f>
        <v>143.53816158863657</v>
      </c>
      <c r="AF68" s="39">
        <f>L68*U68*AZ68*1/(0.0821*273.15)</f>
        <v>4.0390768700141614E-3</v>
      </c>
      <c r="AG68" s="39">
        <f>AD68-AF68</f>
        <v>0.28991527180236321</v>
      </c>
      <c r="AH68" s="42">
        <f>P68*(AZ68-S68)</f>
        <v>0.58774169326717596</v>
      </c>
      <c r="AI68">
        <f>(((X68/10^6)*(Q68/1000))/(0.082056*H68))</f>
        <v>3.4980047696410414E-6</v>
      </c>
      <c r="AJ68">
        <f>(((K68/10^6)*AZ68)*(Q68/1000))/(0.082056*H68)</f>
        <v>1.0731934597336551E-6</v>
      </c>
      <c r="AK68">
        <f>(X68/10^6)*T68*(R68/1000)</f>
        <v>9.6051202931251846E-5</v>
      </c>
      <c r="AL68">
        <f>AI68+AK68</f>
        <v>9.954920770089288E-5</v>
      </c>
      <c r="AM68" s="39">
        <f>((AL68-AJ68)/(R68/1000))*1000000</f>
        <v>86.382468632595817</v>
      </c>
      <c r="AN68" s="39">
        <f>AM68/(T68*AZ68)</f>
        <v>1460.6385378417717</v>
      </c>
      <c r="AO68" s="39">
        <f>(K68*AZ68)*T68</f>
        <v>25.849704149345079</v>
      </c>
      <c r="AP68" s="39">
        <f>AM68-AO68</f>
        <v>60.532764483250737</v>
      </c>
      <c r="AQ68">
        <f>(((AH68/10^6)*(Q68/1000))/(0.082056*H68))</f>
        <v>1.5434060043850312E-9</v>
      </c>
      <c r="AR68">
        <f>(((M68/10^6)*AZ68)*(Q68/1000))/(0.082056*H68)</f>
        <v>7.9819224603775017E-10</v>
      </c>
      <c r="AS68">
        <f>(AH68/10^6)*V68*(R68/1000)</f>
        <v>3.2010197798581359E-8</v>
      </c>
      <c r="AT68">
        <f>AQ68+AS68</f>
        <v>3.3553603802966389E-8</v>
      </c>
      <c r="AU68" s="39">
        <f>((AT68-AR68)/(R68/1000))*1000000000</f>
        <v>28.732817155200561</v>
      </c>
      <c r="AV68" s="39">
        <f>(AU68/1000)/(V68*AZ68)</f>
        <v>0.64323488786745453</v>
      </c>
      <c r="AW68" s="39">
        <f>(M68*AZ68)*V68*1000</f>
        <v>14.521478143185741</v>
      </c>
      <c r="AX68" s="39">
        <f>AU68-AW68</f>
        <v>14.21133901201482</v>
      </c>
      <c r="AY68" s="26">
        <f>VLOOKUP($E68,Water!$C$2:$G$90, 5, FALSE)</f>
        <v>710.6</v>
      </c>
      <c r="AZ68">
        <f>AY68/760</f>
        <v>0.93500000000000005</v>
      </c>
      <c r="BA68" s="3">
        <f>Assumptions!$B$3</f>
        <v>406.07</v>
      </c>
      <c r="BB68" s="3">
        <f>BA68*AZ68*T68</f>
        <v>24.015064732899745</v>
      </c>
      <c r="BC68" s="3">
        <f>Assumptions!$B$4</f>
        <v>1.8474300000000001</v>
      </c>
      <c r="BD68" s="45">
        <f>BC68*AZ68*U68*1/(0.0821*273.15)</f>
        <v>3.7833846856988205E-3</v>
      </c>
      <c r="BE68" s="3">
        <f>Assumptions!$B$2</f>
        <v>0.33054499999999998</v>
      </c>
      <c r="BF68" s="44">
        <f>BE68*AZ68*V68*1000</f>
        <v>14.765195771723794</v>
      </c>
      <c r="BG68">
        <f>1923.6+(-125.06*F68)+(4.3773*(F68^2))+(-0.085681*(F68^3))+(0.00070284*(F68^4))</f>
        <v>1371.5390013296039</v>
      </c>
      <c r="BH68">
        <f>1909.4+(-120.78*F68)+(4.1555*(F68^2))+(-0.080578*(F68^3))+(0.00065777*(F68^4))</f>
        <v>1374.516796262737</v>
      </c>
      <c r="BI68">
        <f>2141.2+(-152.56*F68)+(5.8963*(F68^2))+(-0.12411*(F68^3))+(0.0010655*(F68^4))</f>
        <v>1480.6226732805499</v>
      </c>
      <c r="BJ68" s="25">
        <f>VLOOKUP(E68,Wind!$C$2:$E$109,3, FALSE)</f>
        <v>8.0555555555555554</v>
      </c>
      <c r="BK68" s="44">
        <v>1.66</v>
      </c>
      <c r="BL68">
        <f>BK68/(1-(((1.3*10^-3)^0.5)/0.41)*LN(10/1.5))</f>
        <v>1.9923982880693825</v>
      </c>
      <c r="BM68">
        <f>BK68*1.22</f>
        <v>2.0251999999999999</v>
      </c>
      <c r="BN68">
        <f>2.07+0.215*(BM68^1.7)*(24/100)</f>
        <v>2.241255750541113</v>
      </c>
      <c r="BO68">
        <f>BN68*((600/BG68)^0.67)</f>
        <v>1.2880220154006148</v>
      </c>
      <c r="BP68">
        <f>BN68*((600/BH68)^0.67)</f>
        <v>1.286151771749209</v>
      </c>
      <c r="BQ68">
        <f>BN68*((600/BI68)^0.67)</f>
        <v>1.2236437874132557</v>
      </c>
      <c r="BR68" s="39">
        <f>BO68*(AM68-BB68)</f>
        <v>80.3305892661907</v>
      </c>
      <c r="BS68" s="39">
        <f>BP68*(AD68-BD68)</f>
        <v>0.37320389944164251</v>
      </c>
      <c r="BT68" s="39">
        <f>BQ68*(AU68-BF68)</f>
        <v>17.091393130831889</v>
      </c>
      <c r="BU68">
        <f>(2.51+1.48*BM68)+(0.39*BM68*LOG10(0.0015))</f>
        <v>3.2768938069574309</v>
      </c>
      <c r="BV68">
        <f>BU68*((600/$BG68)^0.67)</f>
        <v>1.8831904232580705</v>
      </c>
      <c r="BW68">
        <f>BU68*((600/$BH68)^0.67)</f>
        <v>1.880455978589133</v>
      </c>
      <c r="BX68">
        <f>BU68*((600/$BI68)^0.67)</f>
        <v>1.78906434391896</v>
      </c>
      <c r="BY68" s="39">
        <f>BV68*($AM68-$BB68)</f>
        <v>117.44969774737568</v>
      </c>
      <c r="BZ68" s="39">
        <f>BW68*($AD68-$BD68)</f>
        <v>0.54565372404172163</v>
      </c>
      <c r="CA68" s="39">
        <f>BX68*($AU68-$BF68)</f>
        <v>24.988973386538298</v>
      </c>
      <c r="CB68" s="42">
        <f>AVERAGE(0.72,0.69,0.4,0.22)</f>
        <v>0.50750000000000006</v>
      </c>
      <c r="CC68">
        <f>CB68*((600/$BG68)^0.67)</f>
        <v>0.29165398578809865</v>
      </c>
      <c r="CD68">
        <f>CB68*((600/$BH68)^0.67)</f>
        <v>0.29123049612037138</v>
      </c>
      <c r="CE68">
        <f>CB68*((600/$BI68)^0.67)</f>
        <v>0.27707646571003675</v>
      </c>
      <c r="CF68" s="39">
        <f>CC68*($AM68-$BB68)</f>
        <v>18.189701930602567</v>
      </c>
      <c r="CG68" s="39">
        <f>CD68*($AD68-$BD68)</f>
        <v>8.4506633801566811E-2</v>
      </c>
      <c r="CH68" s="39">
        <f>CE68*($AU68-$BF68)</f>
        <v>3.8700991673096761</v>
      </c>
      <c r="CI68">
        <v>0.86263901889527161</v>
      </c>
      <c r="CJ68">
        <f>((BG68/BH68)^0.67)*CI68</f>
        <v>0.86138644314015789</v>
      </c>
      <c r="CK68">
        <f>((BH68/BH68)^0.67)*CI68</f>
        <v>0.86263901889527161</v>
      </c>
      <c r="CL68">
        <f>((BI68/BH68)^0.67)*CI68</f>
        <v>0.90670562294731916</v>
      </c>
      <c r="CM68" s="39">
        <f>CJ68*($AM68-$BB68)</f>
        <v>53.722436213044809</v>
      </c>
      <c r="CN68" s="39">
        <f>CK68*($AD68-$BD68)</f>
        <v>0.25031279568536358</v>
      </c>
      <c r="CO68" s="39">
        <f>CL68*($AU68-$BF68)</f>
        <v>12.664520847597597</v>
      </c>
      <c r="CP68" s="27">
        <f>VLOOKUP(A68,Water!$A$2:$E$109, 5, FALSE)/1000</f>
        <v>3.8000000000000002E-4</v>
      </c>
      <c r="CQ68">
        <f>0.64*CP68</f>
        <v>2.4320000000000003E-4</v>
      </c>
      <c r="CR68" s="19">
        <f>CQ68*1000*(2.5*10^-5)</f>
        <v>6.0800000000000011E-6</v>
      </c>
      <c r="CS68" s="18">
        <f>(-0.0000009*F68^3)+(0.0002*F68^2)-(0.0134*F68)+6.579</f>
        <v>6.5134640106999999</v>
      </c>
      <c r="CT68" s="18">
        <f>CS68-(SQRT(CP68))/(1+1.4*SQRT(CP68))</f>
        <v>6.4944882888927804</v>
      </c>
      <c r="CU68" s="18">
        <f>10^(-CT68)</f>
        <v>3.2026664559946893E-7</v>
      </c>
      <c r="CV68" s="18">
        <f>(0.000001*F68^3)+(0.00006*F68^2)-(0.014*F68)+10.625</f>
        <v>10.552634276999999</v>
      </c>
      <c r="CW68" s="18">
        <f>CV68-(2*SQRT(CR68))/(1+1.4*SQRT(CR68))</f>
        <v>10.547719711231727</v>
      </c>
      <c r="CX68" s="18">
        <f>10^(-CW68)</f>
        <v>2.8332199341126997E-11</v>
      </c>
      <c r="CY68">
        <f>EXP(1246.98+-61900/H68-183*LN(H68))</f>
        <v>4.1999761758219891E-3</v>
      </c>
      <c r="CZ68">
        <f>12.225*(F68^2)+15.258*F68+1125.7</f>
        <v>1549.96765</v>
      </c>
      <c r="DA68" s="15">
        <f>10^(-4470.99/H68+6.0875-0.01706*H68)</f>
        <v>1.9073756339817331E-15</v>
      </c>
      <c r="DB68">
        <f>(10^-I68)</f>
        <v>1.2589254117941638E-8</v>
      </c>
      <c r="DC68">
        <f>DB68^2</f>
        <v>1.5848931924611049E-16</v>
      </c>
      <c r="DD68" s="20">
        <f>((14.6836*10^-9)*((H68/217.2056)-1)^1.997)*100*100</f>
        <v>1.1718518005370601E-5</v>
      </c>
      <c r="DE68">
        <f>CY68+CZ68*DA68/DB68</f>
        <v>4.4348090341766906E-3</v>
      </c>
      <c r="DF68">
        <f>1+DC68*(CU68*CX68+CU68*DB68)^-1</f>
        <v>1.0392203987203108</v>
      </c>
      <c r="DG68">
        <f>(DE68*DF68/DD68)^0.5</f>
        <v>19.831471830064881</v>
      </c>
      <c r="DH68">
        <f>DD68/(BO68/60/60)</f>
        <v>3.2753061915803357E-2</v>
      </c>
      <c r="DI68" s="16">
        <f>DF68/((DF68-1)+TANH(DG68*DH68)/(DG68*DH68))</f>
        <v>1.1309910773373062</v>
      </c>
      <c r="DJ68">
        <f>$DI68*BR68</f>
        <v>90.85317969730967</v>
      </c>
      <c r="DK68">
        <f>$DI68*BY68</f>
        <v>132.8345601882454</v>
      </c>
      <c r="DL68">
        <f>$DI68*CF68</f>
        <v>20.572390582936677</v>
      </c>
      <c r="DM68">
        <f>$DI68*CM68</f>
        <v>60.75959600977626</v>
      </c>
    </row>
    <row r="69" spans="1:117" ht="15.75" x14ac:dyDescent="0.25">
      <c r="A69" s="51" t="s">
        <v>337</v>
      </c>
      <c r="B69" s="54" t="s">
        <v>342</v>
      </c>
      <c r="C69" s="48" t="s">
        <v>211</v>
      </c>
      <c r="D69" s="57">
        <v>43216</v>
      </c>
      <c r="E69" s="42" t="str">
        <f>A69&amp;D69</f>
        <v>14B43216</v>
      </c>
      <c r="F69" s="3">
        <f>VLOOKUP($E69,Water!$C$2:$E$90, 2, FALSE)</f>
        <v>5.3</v>
      </c>
      <c r="G69" s="3">
        <f>VLOOKUP($E69,Water!$C$2:$E$90, 3, FALSE)</f>
        <v>0.38</v>
      </c>
      <c r="H69" s="1">
        <f>F69+273.15</f>
        <v>278.45</v>
      </c>
      <c r="I69" s="3">
        <f>VLOOKUP($E69,Water!$C$2:$F$90, 4, FALSE)</f>
        <v>7.9</v>
      </c>
      <c r="J69">
        <f>10^(I69*-1)</f>
        <v>1.2589254117941638E-8</v>
      </c>
      <c r="K69" s="25">
        <f>VLOOKUP($E69,Atm!$D$2:$G$45, 2, FALSE)</f>
        <v>437.09186215702118</v>
      </c>
      <c r="L69" s="25">
        <f>VLOOKUP($E69,Atm!$D$2:$G$45, 3, FALSE)</f>
        <v>1.9722847137845281</v>
      </c>
      <c r="M69" s="25">
        <f>VLOOKUP($E69,Atm!$D$2:$G$45, 4, FALSE)</f>
        <v>0.32508895019405104</v>
      </c>
      <c r="N69" s="21">
        <f>VLOOKUP($C69,Raw!$B$2:$F$353, 3, FALSE)</f>
        <v>1405.6130000000001</v>
      </c>
      <c r="O69" s="21">
        <f>VLOOKUP($C69,Raw!$B$2:$F$353, 4, FALSE)</f>
        <v>78.893000000000001</v>
      </c>
      <c r="P69" s="21">
        <f>VLOOKUP($C69,Raw!$B$2:$F$353, 5, FALSE)</f>
        <v>0.57199999999999995</v>
      </c>
      <c r="Q69" s="14">
        <v>60</v>
      </c>
      <c r="R69" s="25">
        <v>1140</v>
      </c>
      <c r="S69">
        <f>EXP(24.4543-(100/H69*(67.4509))-(4.8489*LN(H69/100))-(0.000544*G69))</f>
        <v>8.7805673402121948E-3</v>
      </c>
      <c r="T69" s="8">
        <f>EXP(-58.0931+90.5069*(100/H69)+22.294*LN(H69/100)+G69*(0.027766-0.025888*(H69/100)+0.0050578*(H69/100)^2))</f>
        <v>6.3251560597082965E-2</v>
      </c>
      <c r="U69" s="9">
        <f>(EXP(-67.1962+99.1624*(100/H69)+27.9015*LN(H69/100)+G69*(-0.072909+0.041674*(H69/100)-0.0064603*(H69/100)^2)))</f>
        <v>4.9118518689326346E-2</v>
      </c>
      <c r="V69" s="9">
        <f>(EXP(-64.8539+100.252*(100/H69)+25.2049*LN(H69/100)+(-0.062544+0.035337*(H69/100)-0.0054699*(H69/100)^2)*G69))</f>
        <v>4.7774594175649776E-2</v>
      </c>
      <c r="W69" s="9">
        <f>(EXP(-68.8862+101.4956*(100/H69)+28.7314*LN(H69/100)+G69*(-0.076146+0.04397*(H69/100)-0.0068672*(H69/100)^2)))</f>
        <v>4.9010529365486562E-2</v>
      </c>
      <c r="X69">
        <f>N69*(AZ69-S69)</f>
        <v>1301.9060753992226</v>
      </c>
      <c r="Y69">
        <f>O69*(AZ69-S69)</f>
        <v>73.072229700828643</v>
      </c>
      <c r="Z69">
        <f>((Y69/10^6)*AZ69)/(0.082056*H69)</f>
        <v>2.9902424712310907E-6</v>
      </c>
      <c r="AA69">
        <f>(((L69/10^6)*AZ69)/(0.082056*H69))</f>
        <v>8.0709313793547391E-8</v>
      </c>
      <c r="AB69">
        <f>((Y69/10^6)*U69*1)/(0.082056*H69)</f>
        <v>1.5708693123933876E-7</v>
      </c>
      <c r="AC69">
        <f>(Z69*(Q69/1000))+(AB69*(R69/1000))</f>
        <v>3.5849364988671165E-7</v>
      </c>
      <c r="AD69" s="39">
        <f>((AC69-(AA69*(Q69/1000)))/(R69/1000))*1000000</f>
        <v>0.31022025531499897</v>
      </c>
      <c r="AE69" s="39">
        <f>(AD69/((U69*AZ69*1))*(0.0821*273.15))</f>
        <v>151.48081780923391</v>
      </c>
      <c r="AF69" s="39">
        <f>L69*U69*AZ69*1/(0.0821*273.15)</f>
        <v>4.0390768700141614E-3</v>
      </c>
      <c r="AG69" s="39">
        <f>AD69-AF69</f>
        <v>0.30618117844498483</v>
      </c>
      <c r="AH69" s="42">
        <f>P69*(AZ69-S69)</f>
        <v>0.52979751548139864</v>
      </c>
      <c r="AI69">
        <f>(((X69/10^6)*(Q69/1000))/(0.082056*H69))</f>
        <v>3.4187971977055074E-6</v>
      </c>
      <c r="AJ69">
        <f>(((K69/10^6)*AZ69)*(Q69/1000))/(0.082056*H69)</f>
        <v>1.0731934597336551E-6</v>
      </c>
      <c r="AK69">
        <f>(X69/10^6)*T69*(R69/1000)</f>
        <v>9.3876253762599781E-5</v>
      </c>
      <c r="AL69">
        <f>AI69+AK69</f>
        <v>9.7295050960305294E-5</v>
      </c>
      <c r="AM69" s="39">
        <f>((AL69-AJ69)/(R69/1000))*1000000</f>
        <v>84.40513815839617</v>
      </c>
      <c r="AN69" s="39">
        <f>AM69/(T69*AZ69)</f>
        <v>1427.2039169240834</v>
      </c>
      <c r="AO69" s="39">
        <f>(K69*AZ69)*T69</f>
        <v>25.849704149345079</v>
      </c>
      <c r="AP69" s="39">
        <f>AM69-AO69</f>
        <v>58.555434009051091</v>
      </c>
      <c r="AQ69">
        <f>(((AH69/10^6)*(Q69/1000))/(0.082056*H69))</f>
        <v>1.391244956533235E-9</v>
      </c>
      <c r="AR69">
        <f>(((M69/10^6)*AZ69)*(Q69/1000))/(0.082056*H69)</f>
        <v>7.9819224603775017E-10</v>
      </c>
      <c r="AS69">
        <f>(AH69/10^6)*V69*(R69/1000)</f>
        <v>2.885438187902614E-8</v>
      </c>
      <c r="AT69">
        <f>AQ69+AS69</f>
        <v>3.0245626835559375E-8</v>
      </c>
      <c r="AU69" s="39">
        <f>((AT69-AR69)/(R69/1000))*1000000000</f>
        <v>25.831082973264586</v>
      </c>
      <c r="AV69" s="39">
        <f>(AU69/1000)/(V69*AZ69)</f>
        <v>0.57827444033956854</v>
      </c>
      <c r="AW69" s="39">
        <f>(M69*AZ69)*V69*1000</f>
        <v>14.521478143185741</v>
      </c>
      <c r="AX69" s="39">
        <f>AU69-AW69</f>
        <v>11.309604830078845</v>
      </c>
      <c r="AY69" s="26">
        <f>VLOOKUP($E69,Water!$C$2:$G$90, 5, FALSE)</f>
        <v>710.6</v>
      </c>
      <c r="AZ69">
        <f>AY69/760</f>
        <v>0.93500000000000005</v>
      </c>
      <c r="BA69" s="3">
        <f>Assumptions!$B$3</f>
        <v>406.07</v>
      </c>
      <c r="BB69" s="3">
        <f>BA69*AZ69*T69</f>
        <v>24.015064732899745</v>
      </c>
      <c r="BC69" s="3">
        <f>Assumptions!$B$4</f>
        <v>1.8474300000000001</v>
      </c>
      <c r="BD69" s="45">
        <f>BC69*AZ69*U69*1/(0.0821*273.15)</f>
        <v>3.7833846856988205E-3</v>
      </c>
      <c r="BE69" s="3">
        <f>Assumptions!$B$2</f>
        <v>0.33054499999999998</v>
      </c>
      <c r="BF69" s="44">
        <f>BE69*AZ69*V69*1000</f>
        <v>14.765195771723794</v>
      </c>
      <c r="BG69">
        <f>1923.6+(-125.06*F69)+(4.3773*(F69^2))+(-0.085681*(F69^3))+(0.00070284*(F69^4))</f>
        <v>1371.5390013296039</v>
      </c>
      <c r="BH69">
        <f>1909.4+(-120.78*F69)+(4.1555*(F69^2))+(-0.080578*(F69^3))+(0.00065777*(F69^4))</f>
        <v>1374.516796262737</v>
      </c>
      <c r="BI69">
        <f>2141.2+(-152.56*F69)+(5.8963*(F69^2))+(-0.12411*(F69^3))+(0.0010655*(F69^4))</f>
        <v>1480.6226732805499</v>
      </c>
      <c r="BJ69" s="25">
        <f>VLOOKUP(E69,Wind!$C$2:$E$109,3, FALSE)</f>
        <v>8.0555555555555554</v>
      </c>
      <c r="BK69" s="44">
        <v>1.66</v>
      </c>
      <c r="BL69">
        <f>BK69/(1-(((1.3*10^-3)^0.5)/0.41)*LN(10/1.5))</f>
        <v>1.9923982880693825</v>
      </c>
      <c r="BM69">
        <f>BK69*1.22</f>
        <v>2.0251999999999999</v>
      </c>
      <c r="BN69">
        <f>2.07+0.215*(BM69^1.7)*(24/100)</f>
        <v>2.241255750541113</v>
      </c>
      <c r="BO69">
        <f>BN69*((600/BG69)^0.67)</f>
        <v>1.2880220154006148</v>
      </c>
      <c r="BP69">
        <f>BN69*((600/BH69)^0.67)</f>
        <v>1.286151771749209</v>
      </c>
      <c r="BQ69">
        <f>BN69*((600/BI69)^0.67)</f>
        <v>1.2236437874132557</v>
      </c>
      <c r="BR69" s="39">
        <f>BO69*(AM69-BB69)</f>
        <v>77.78374408369902</v>
      </c>
      <c r="BS69" s="39">
        <f>BP69*(AD69-BD69)</f>
        <v>0.39412432408915754</v>
      </c>
      <c r="BT69" s="39">
        <f>BQ69*(AU69-BF69)</f>
        <v>13.540704126381247</v>
      </c>
      <c r="BU69">
        <f>(2.51+1.48*BM69)+(0.39*BM69*LOG10(0.0015))</f>
        <v>3.2768938069574309</v>
      </c>
      <c r="BV69">
        <f>BU69*((600/$BG69)^0.67)</f>
        <v>1.8831904232580705</v>
      </c>
      <c r="BW69">
        <f>BU69*((600/$BH69)^0.67)</f>
        <v>1.880455978589133</v>
      </c>
      <c r="BX69">
        <f>BU69*((600/$BI69)^0.67)</f>
        <v>1.78906434391896</v>
      </c>
      <c r="BY69" s="39">
        <f>BV69*($AM69-$BB69)</f>
        <v>113.72600793474656</v>
      </c>
      <c r="BZ69" s="39">
        <f>BW69*($AD69-$BD69)</f>
        <v>0.5762410454350122</v>
      </c>
      <c r="CA69" s="39">
        <f>BX69*($AU69-$BF69)</f>
        <v>19.797584226105791</v>
      </c>
      <c r="CB69" s="42">
        <f>AVERAGE(0.72,0.69,0.4,0.22)</f>
        <v>0.50750000000000006</v>
      </c>
      <c r="CC69">
        <f>CB69*((600/$BG69)^0.67)</f>
        <v>0.29165398578809865</v>
      </c>
      <c r="CD69">
        <f>CB69*((600/$BH69)^0.67)</f>
        <v>0.29123049612037138</v>
      </c>
      <c r="CE69">
        <f>CB69*((600/$BI69)^0.67)</f>
        <v>0.27707646571003675</v>
      </c>
      <c r="CF69" s="39">
        <f>CC69*($AM69-$BB69)</f>
        <v>17.613005616581969</v>
      </c>
      <c r="CG69" s="39">
        <f>CD69*($AD69-$BD69)</f>
        <v>8.9243761862945137E-2</v>
      </c>
      <c r="CH69" s="39">
        <f>CE69*($AU69-$BF69)</f>
        <v>3.0660969157488513</v>
      </c>
      <c r="CI69">
        <v>0.86263901889527161</v>
      </c>
      <c r="CJ69">
        <f>((BG69/BH69)^0.67)*CI69</f>
        <v>0.86138644314015789</v>
      </c>
      <c r="CK69">
        <f>((BH69/BH69)^0.67)*CI69</f>
        <v>0.86263901889527161</v>
      </c>
      <c r="CL69">
        <f>((BI69/BH69)^0.67)*CI69</f>
        <v>0.90670562294731916</v>
      </c>
      <c r="CM69" s="39">
        <f>CJ69*($AM69-$BB69)</f>
        <v>52.019190548961333</v>
      </c>
      <c r="CN69" s="39">
        <f>CK69*($AD69-$BD69)</f>
        <v>0.26434440143299676</v>
      </c>
      <c r="CO69" s="39">
        <f>CL69*($AU69-$BF69)</f>
        <v>10.03350214853781</v>
      </c>
      <c r="CP69" s="27">
        <f>VLOOKUP(A69,Water!$A$2:$E$109, 5, FALSE)/1000</f>
        <v>3.8000000000000002E-4</v>
      </c>
      <c r="CQ69">
        <f>0.64*CP69</f>
        <v>2.4320000000000003E-4</v>
      </c>
      <c r="CR69" s="19">
        <f>CQ69*1000*(2.5*10^-5)</f>
        <v>6.0800000000000011E-6</v>
      </c>
      <c r="CS69" s="18">
        <f>(-0.0000009*F69^3)+(0.0002*F69^2)-(0.0134*F69)+6.579</f>
        <v>6.5134640106999999</v>
      </c>
      <c r="CT69" s="18">
        <f>CS69-(SQRT(CP69))/(1+1.4*SQRT(CP69))</f>
        <v>6.4944882888927804</v>
      </c>
      <c r="CU69" s="18">
        <f>10^(-CT69)</f>
        <v>3.2026664559946893E-7</v>
      </c>
      <c r="CV69" s="18">
        <f>(0.000001*F69^3)+(0.00006*F69^2)-(0.014*F69)+10.625</f>
        <v>10.552634276999999</v>
      </c>
      <c r="CW69" s="18">
        <f>CV69-(2*SQRT(CR69))/(1+1.4*SQRT(CR69))</f>
        <v>10.547719711231727</v>
      </c>
      <c r="CX69" s="18">
        <f>10^(-CW69)</f>
        <v>2.8332199341126997E-11</v>
      </c>
      <c r="CY69">
        <f>EXP(1246.98+-61900/H69-183*LN(H69))</f>
        <v>4.1999761758219891E-3</v>
      </c>
      <c r="CZ69">
        <f>12.225*(F69^2)+15.258*F69+1125.7</f>
        <v>1549.96765</v>
      </c>
      <c r="DA69" s="15">
        <f>10^(-4470.99/H69+6.0875-0.01706*H69)</f>
        <v>1.9073756339817331E-15</v>
      </c>
      <c r="DB69">
        <f>(10^-I69)</f>
        <v>1.2589254117941638E-8</v>
      </c>
      <c r="DC69">
        <f>DB69^2</f>
        <v>1.5848931924611049E-16</v>
      </c>
      <c r="DD69" s="20">
        <f>((14.6836*10^-9)*((H69/217.2056)-1)^1.997)*100*100</f>
        <v>1.1718518005370601E-5</v>
      </c>
      <c r="DE69">
        <f>CY69+CZ69*DA69/DB69</f>
        <v>4.4348090341766906E-3</v>
      </c>
      <c r="DF69">
        <f>1+DC69*(CU69*CX69+CU69*DB69)^-1</f>
        <v>1.0392203987203108</v>
      </c>
      <c r="DG69">
        <f>(DE69*DF69/DD69)^0.5</f>
        <v>19.831471830064881</v>
      </c>
      <c r="DH69">
        <f>DD69/(BO69/60/60)</f>
        <v>3.2753061915803357E-2</v>
      </c>
      <c r="DI69" s="16">
        <f>DF69/((DF69-1)+TANH(DG69*DH69)/(DG69*DH69))</f>
        <v>1.1309910773373062</v>
      </c>
      <c r="DJ69">
        <f>$DI69*BR69</f>
        <v>87.972720520552073</v>
      </c>
      <c r="DK69">
        <f>$DI69*BY69</f>
        <v>128.62310023539004</v>
      </c>
      <c r="DL69">
        <f>$DI69*CF69</f>
        <v>19.920152197446065</v>
      </c>
      <c r="DM69">
        <f>$DI69*CM69</f>
        <v>58.833240361184394</v>
      </c>
    </row>
    <row r="70" spans="1:117" ht="15.75" x14ac:dyDescent="0.25">
      <c r="A70" s="52" t="s">
        <v>477</v>
      </c>
      <c r="B70" s="55" t="s">
        <v>339</v>
      </c>
      <c r="C70" t="s">
        <v>213</v>
      </c>
      <c r="D70" s="57">
        <v>43216</v>
      </c>
      <c r="E70" s="42" t="str">
        <f>A70&amp;D70</f>
        <v>68A43216</v>
      </c>
      <c r="F70" s="3">
        <f>VLOOKUP($E70,Water!$C$2:$E$90, 2, FALSE)</f>
        <v>9.6</v>
      </c>
      <c r="G70" s="3">
        <f>VLOOKUP($E70,Water!$C$2:$E$90, 3, FALSE)</f>
        <v>0.28999999999999998</v>
      </c>
      <c r="H70" s="1">
        <f>F70+273.15</f>
        <v>282.75</v>
      </c>
      <c r="I70" s="3">
        <f>VLOOKUP($E70,Water!$C$2:$F$90, 4, FALSE)</f>
        <v>8.48</v>
      </c>
      <c r="J70">
        <f>10^(I70*-1)</f>
        <v>3.3113112148258966E-9</v>
      </c>
      <c r="K70" s="25">
        <v>439.52751160265137</v>
      </c>
      <c r="L70" s="25">
        <v>2.8430237635924795</v>
      </c>
      <c r="M70" s="25">
        <v>0.32236441181786135</v>
      </c>
      <c r="N70" s="21">
        <f>VLOOKUP($C70,Raw!$B$2:$F$353, 3, FALSE)</f>
        <v>616.17535125381073</v>
      </c>
      <c r="O70" s="21">
        <f>VLOOKUP($C70,Raw!$B$2:$F$353, 4, FALSE)</f>
        <v>1699.5011102524491</v>
      </c>
      <c r="P70" s="21">
        <f>VLOOKUP($C70,Raw!$B$2:$F$353, 5, FALSE)</f>
        <v>6.4320123502443121</v>
      </c>
      <c r="Q70" s="14">
        <v>60</v>
      </c>
      <c r="R70" s="25">
        <v>1140</v>
      </c>
      <c r="S70">
        <f>EXP(24.4543-(100/H70*(67.4509))-(4.8489*LN(H70/100))-(0.000544*G70))</f>
        <v>1.1783158473726746E-2</v>
      </c>
      <c r="T70" s="8">
        <f>EXP(-58.0931+90.5069*(100/H70)+22.294*LN(H70/100)+G70*(0.027766-0.025888*(H70/100)+0.0050578*(H70/100)^2))</f>
        <v>5.4322905740994194E-2</v>
      </c>
      <c r="U70" s="9">
        <f>(EXP(-67.1962+99.1624*(100/H70)+27.9015*LN(H70/100)+G70*(-0.072909+0.041674*(H70/100)-0.0064603*(H70/100)^2)))</f>
        <v>4.3856614045097747E-2</v>
      </c>
      <c r="V70" s="9">
        <f>(EXP(-64.8539+100.252*(100/H70)+25.2049*LN(H70/100)+(-0.062544+0.035337*(H70/100)-0.0054699*(H70/100)^2)*G70))</f>
        <v>4.0685125101090118E-2</v>
      </c>
      <c r="W70" s="9">
        <f>(EXP(-68.8862+101.4956*(100/H70)+28.7314*LN(H70/100)+G70*(-0.076146+0.04397*(H70/100)-0.0068672*(H70/100)^2)))</f>
        <v>4.3759097390146946E-2</v>
      </c>
      <c r="X70">
        <f>N70*(AZ70-S70)</f>
        <v>569.18776442733451</v>
      </c>
      <c r="Y70">
        <f>O70*(AZ70-S70)</f>
        <v>1569.9025214462145</v>
      </c>
      <c r="Z70">
        <f>((Y70/10^6)*AZ70)/(0.082056*H70)</f>
        <v>6.3301753340440765E-5</v>
      </c>
      <c r="AA70">
        <f>(((L70/10^6)*AZ70)/(0.082056*H70))</f>
        <v>1.1463666473900146E-7</v>
      </c>
      <c r="AB70">
        <f>((Y70/10^6)*U70*1)/(0.082056*H70)</f>
        <v>2.9675280297026201E-6</v>
      </c>
      <c r="AC70">
        <f>(Z70*(Q70/1000))+(AB70*(R70/1000))</f>
        <v>7.1810871542874325E-6</v>
      </c>
      <c r="AD70" s="39">
        <f>((AC70-(AA70*(Q70/1000)))/(R70/1000))*1000000</f>
        <v>6.2931657494763975</v>
      </c>
      <c r="AE70" s="39">
        <f>(AD70/((U70*AZ70*1))*(0.0821*273.15))</f>
        <v>3439.7147204456874</v>
      </c>
      <c r="AF70" s="39">
        <f>L70*U70*AZ70*1/(0.0821*273.15)</f>
        <v>5.2014836194524414E-3</v>
      </c>
      <c r="AG70" s="39">
        <f>AD70-AF70</f>
        <v>6.287964265856945</v>
      </c>
      <c r="AH70" s="42">
        <f>P70*(AZ70-S70)</f>
        <v>5.9415273963085582</v>
      </c>
      <c r="AI70">
        <f>(((X70/10^6)*(Q70/1000))/(0.082056*H70))</f>
        <v>1.4719526845154707E-6</v>
      </c>
      <c r="AJ70">
        <f>(((K70/10^6)*AZ70)*(Q70/1000))/(0.082056*H70)</f>
        <v>1.0633601161495545E-6</v>
      </c>
      <c r="AK70">
        <f>(X70/10^6)*T70*(R70/1000)</f>
        <v>3.5248723934541164E-5</v>
      </c>
      <c r="AL70">
        <f>AI70+AK70</f>
        <v>3.6720676619056635E-5</v>
      </c>
      <c r="AM70" s="39">
        <f>((AL70-AJ70)/(R70/1000))*1000000</f>
        <v>31.27834780956762</v>
      </c>
      <c r="AN70" s="39">
        <f>AM70/(T70*AZ70)</f>
        <v>615.46704509633162</v>
      </c>
      <c r="AO70" s="39">
        <f>(K70*AZ70)*T70</f>
        <v>22.337011362858163</v>
      </c>
      <c r="AP70" s="39">
        <f>AM70-AO70</f>
        <v>8.9413364467094567</v>
      </c>
      <c r="AQ70">
        <f>(((AH70/10^6)*(Q70/1000))/(0.082056*H70))</f>
        <v>1.5365135633085298E-8</v>
      </c>
      <c r="AR70">
        <f>(((M70/10^6)*AZ70)*(Q70/1000))/(0.082056*H70)</f>
        <v>7.799044413470477E-10</v>
      </c>
      <c r="AS70">
        <f>(AH70/10^6)*V70*(R70/1000)</f>
        <v>2.7557423536781943E-7</v>
      </c>
      <c r="AT70">
        <f>AQ70+AS70</f>
        <v>2.9093937100090472E-7</v>
      </c>
      <c r="AU70" s="39">
        <f>((AT70-AR70)/(R70/1000))*1000000000</f>
        <v>254.52584785926115</v>
      </c>
      <c r="AV70" s="39">
        <f>(AU70/1000)/(V70*AZ70)</f>
        <v>6.6871371218338931</v>
      </c>
      <c r="AW70" s="39">
        <f>(M70*AZ70)*V70*1000</f>
        <v>12.269835916732573</v>
      </c>
      <c r="AX70" s="39">
        <f>AU70-AW70</f>
        <v>242.25601194252857</v>
      </c>
      <c r="AY70" s="26">
        <f>VLOOKUP($E70,Water!$C$2:$G$90, 5, FALSE)</f>
        <v>711</v>
      </c>
      <c r="AZ70">
        <f>AY70/760</f>
        <v>0.93552631578947365</v>
      </c>
      <c r="BA70" s="3">
        <f>Assumptions!$B$3</f>
        <v>406.07</v>
      </c>
      <c r="BB70" s="3">
        <f>BA70*AZ70*T70</f>
        <v>20.636683631116526</v>
      </c>
      <c r="BC70" s="3">
        <f>Assumptions!$B$4</f>
        <v>1.8474300000000001</v>
      </c>
      <c r="BD70" s="45">
        <f>BC70*AZ70*U70*1/(0.0821*273.15)</f>
        <v>3.3799847212471062E-3</v>
      </c>
      <c r="BE70" s="3">
        <f>Assumptions!$B$2</f>
        <v>0.33054499999999998</v>
      </c>
      <c r="BF70" s="44">
        <f>BE70*AZ70*V70*1000</f>
        <v>12.581205506605027</v>
      </c>
      <c r="BG70">
        <f>1923.6+(-125.06*F70)+(4.3773*(F70^2))+(-0.085681*(F70^3))+(0.00070284*(F70^4))</f>
        <v>1056.6004501463037</v>
      </c>
      <c r="BH70">
        <f>1909.4+(-120.78*F70)+(4.1555*(F70^2))+(-0.080578*(F70^3))+(0.00065777*(F70^4))</f>
        <v>1067.1793694597122</v>
      </c>
      <c r="BI70">
        <f>2141.2+(-152.56*F70)+(5.8963*(F70^2))+(-0.12411*(F70^3))+(0.0010655*(F70^4))</f>
        <v>1119.2722106367996</v>
      </c>
      <c r="BJ70" s="25">
        <f>VLOOKUP(E70,Wind!$C$2:$E$109,3, FALSE)</f>
        <v>2.25</v>
      </c>
      <c r="BK70" s="44">
        <v>1.66</v>
      </c>
      <c r="BL70">
        <f>BK70/(1-(((1.3*10^-3)^0.5)/0.41)*LN(10/1.5))</f>
        <v>1.9923982880693825</v>
      </c>
      <c r="BM70">
        <f>BK70*1.22</f>
        <v>2.0251999999999999</v>
      </c>
      <c r="BN70">
        <f>2.07+0.215*(BM70^1.7)*(24/100)</f>
        <v>2.241255750541113</v>
      </c>
      <c r="BO70">
        <f>BN70*((600/BG70)^0.67)</f>
        <v>1.5340253074451449</v>
      </c>
      <c r="BP70">
        <f>BN70*((600/BH70)^0.67)</f>
        <v>1.5238200464754155</v>
      </c>
      <c r="BQ70">
        <f>BN70*((600/BI70)^0.67)</f>
        <v>1.4759302074576812</v>
      </c>
      <c r="BR70" s="39">
        <f>BO70*(AM70-BB70)</f>
        <v>16.324582163076425</v>
      </c>
      <c r="BS70" s="39">
        <f>BP70*(AD70-BD70)</f>
        <v>9.5845016363696001</v>
      </c>
      <c r="BT70" s="39">
        <f>BQ70*(AU70-BF70)</f>
        <v>357.09340618083024</v>
      </c>
      <c r="BU70">
        <f>(2.51+1.48*BM70)+(0.39*BM70*LOG10(0.0015))</f>
        <v>3.2768938069574309</v>
      </c>
      <c r="BV70">
        <f>BU70*((600/$BG70)^0.67)</f>
        <v>2.2428667627375054</v>
      </c>
      <c r="BW70">
        <f>BU70*((600/$BH70)^0.67)</f>
        <v>2.2279458611572118</v>
      </c>
      <c r="BX70">
        <f>BU70*((600/$BI70)^0.67)</f>
        <v>2.1579271152575021</v>
      </c>
      <c r="BY70" s="39">
        <f>BV70*($AM70-$BB70)</f>
        <v>23.86783488606228</v>
      </c>
      <c r="BZ70" s="39">
        <f>BW70*($AD70-$BD70)</f>
        <v>14.013302162151785</v>
      </c>
      <c r="CA70" s="39">
        <f>BX70*($AU70-$BF70)</f>
        <v>522.09890412407537</v>
      </c>
      <c r="CB70" s="42">
        <f>AVERAGE(0.72,0.69,0.4,0.22)</f>
        <v>0.50750000000000006</v>
      </c>
      <c r="CC70">
        <f>CB70*((600/$BG70)^0.67)</f>
        <v>0.3473578788768088</v>
      </c>
      <c r="CD70">
        <f>CB70*((600/$BH70)^0.67)</f>
        <v>0.34504704489863058</v>
      </c>
      <c r="CE70">
        <f>CB70*((600/$BI70)^0.67)</f>
        <v>0.334203082403216</v>
      </c>
      <c r="CF70" s="39">
        <f>CC70*($AM70-$BB70)</f>
        <v>3.6964658967460902</v>
      </c>
      <c r="CG70" s="39">
        <f>CD70*($AD70-$BD70)</f>
        <v>2.1702719911742379</v>
      </c>
      <c r="CH70" s="39">
        <f>CE70*($AU70-$BF70)</f>
        <v>80.858645245201359</v>
      </c>
      <c r="CI70">
        <v>0.86263901889527161</v>
      </c>
      <c r="CJ70">
        <f>((BG70/BH70)^0.67)*CI70</f>
        <v>0.85690022419105683</v>
      </c>
      <c r="CK70">
        <f>((BH70/BH70)^0.67)*CI70</f>
        <v>0.86263901889527161</v>
      </c>
      <c r="CL70">
        <f>((BI70/BH70)^0.67)*CI70</f>
        <v>0.89062926093826822</v>
      </c>
      <c r="CM70" s="39">
        <f>CJ70*($AM70-$BB70)</f>
        <v>9.1188444202806807</v>
      </c>
      <c r="CN70" s="39">
        <f>CK70*($AD70-$BD70)</f>
        <v>5.4258146211698284</v>
      </c>
      <c r="CO70" s="39">
        <f>CL70*($AU70-$BF70)</f>
        <v>215.48297800651977</v>
      </c>
      <c r="CP70" s="27">
        <f>VLOOKUP(A70,Water!$A$2:$E$109, 5, FALSE)/1000</f>
        <v>2.9E-4</v>
      </c>
      <c r="CQ70">
        <f>0.64*CP70</f>
        <v>1.8560000000000001E-4</v>
      </c>
      <c r="CR70" s="19">
        <f>CQ70*1000*(2.5*10^-5)</f>
        <v>4.6400000000000005E-6</v>
      </c>
      <c r="CS70" s="18">
        <f>(-0.0000009*F70^3)+(0.0002*F70^2)-(0.0134*F70)+6.579</f>
        <v>6.4679957375999999</v>
      </c>
      <c r="CT70" s="18">
        <f>CS70-(SQRT(CP70))/(1+1.4*SQRT(CP70))</f>
        <v>6.4513628971275487</v>
      </c>
      <c r="CU70" s="18">
        <f>10^(-CT70)</f>
        <v>3.5370166391984686E-7</v>
      </c>
      <c r="CV70" s="18">
        <f>(0.000001*F70^3)+(0.00006*F70^2)-(0.014*F70)+10.625</f>
        <v>10.497014335999999</v>
      </c>
      <c r="CW70" s="18">
        <f>CV70-(2*SQRT(CR70))/(1+1.4*SQRT(CR70))</f>
        <v>10.492719157092218</v>
      </c>
      <c r="CX70" s="18">
        <f>10^(-CW70)</f>
        <v>3.2157393715271964E-11</v>
      </c>
      <c r="CY70">
        <f>EXP(1246.98+-61900/H70-183*LN(H70))</f>
        <v>7.4737483331904549E-3</v>
      </c>
      <c r="CZ70">
        <f>12.225*(F70^2)+15.258*F70+1125.7</f>
        <v>2398.8328000000001</v>
      </c>
      <c r="DA70" s="15">
        <f>10^(-4470.99/H70+6.0875-0.01706*H70)</f>
        <v>2.8266048909950204E-15</v>
      </c>
      <c r="DB70">
        <f>(10^-I70)</f>
        <v>3.3113112148258966E-9</v>
      </c>
      <c r="DC70">
        <f>DB70^2</f>
        <v>1.0964781961431755E-17</v>
      </c>
      <c r="DD70" s="20">
        <f>((14.6836*10^-9)*((H70/217.2056)-1)^1.997)*100*100</f>
        <v>1.3419078699177964E-5</v>
      </c>
      <c r="DE70">
        <f>CY70+CZ70*DA70/DB70</f>
        <v>9.5214424595535634E-3</v>
      </c>
      <c r="DF70">
        <f>1+DC70*(CU70*CX70+CU70*DB70)^-1</f>
        <v>1.0092718339906546</v>
      </c>
      <c r="DG70">
        <f>(DE70*DF70/DD70)^0.5</f>
        <v>26.760492404365344</v>
      </c>
      <c r="DH70">
        <f>DD70/(BO70/60/60)</f>
        <v>3.1491451335634593E-2</v>
      </c>
      <c r="DI70" s="16">
        <f>DF70/((DF70-1)+TANH(DG70*DH70)/(DG70*DH70))</f>
        <v>1.2236859658377224</v>
      </c>
      <c r="DJ70">
        <f>$DI70*BR70</f>
        <v>19.976162091121431</v>
      </c>
      <c r="DK70">
        <f>$DI70*BY70</f>
        <v>29.206734585006405</v>
      </c>
      <c r="DL70">
        <f>$DI70*CF70</f>
        <v>4.5233134410459419</v>
      </c>
      <c r="DM70">
        <f>$DI70*CM70</f>
        <v>11.158601941755091</v>
      </c>
    </row>
    <row r="71" spans="1:117" ht="15.75" x14ac:dyDescent="0.25">
      <c r="A71" s="52" t="s">
        <v>477</v>
      </c>
      <c r="B71" s="55" t="s">
        <v>340</v>
      </c>
      <c r="C71" t="s">
        <v>214</v>
      </c>
      <c r="D71" s="57">
        <v>43216</v>
      </c>
      <c r="E71" s="42" t="str">
        <f>A71&amp;D71</f>
        <v>68A43216</v>
      </c>
      <c r="F71" s="3">
        <f>VLOOKUP($E71,Water!$C$2:$E$90, 2, FALSE)</f>
        <v>9.6</v>
      </c>
      <c r="G71" s="3">
        <f>VLOOKUP($E71,Water!$C$2:$E$90, 3, FALSE)</f>
        <v>0.28999999999999998</v>
      </c>
      <c r="H71" s="1">
        <f>F71+273.15</f>
        <v>282.75</v>
      </c>
      <c r="I71" s="3">
        <f>VLOOKUP($E71,Water!$C$2:$F$90, 4, FALSE)</f>
        <v>8.48</v>
      </c>
      <c r="J71">
        <f>10^(I71*-1)</f>
        <v>3.3113112148258966E-9</v>
      </c>
      <c r="K71" s="25">
        <v>439.52751160265137</v>
      </c>
      <c r="L71" s="25">
        <v>2.8430237635924795</v>
      </c>
      <c r="M71" s="25">
        <v>0.32236441181786135</v>
      </c>
      <c r="N71" s="21">
        <f>VLOOKUP($C71,Raw!$B$2:$F$353, 3, FALSE)</f>
        <v>650.2947795780459</v>
      </c>
      <c r="O71" s="21">
        <f>VLOOKUP($C71,Raw!$B$2:$F$353, 4, FALSE)</f>
        <v>1737.482542589521</v>
      </c>
      <c r="P71" s="21">
        <f>VLOOKUP($C71,Raw!$B$2:$F$353, 5, FALSE)</f>
        <v>6.7315081132822439</v>
      </c>
      <c r="Q71" s="14">
        <v>60</v>
      </c>
      <c r="R71" s="25">
        <v>1140</v>
      </c>
      <c r="S71">
        <f>EXP(24.4543-(100/H71*(67.4509))-(4.8489*LN(H71/100))-(0.000544*G71))</f>
        <v>1.1783158473726746E-2</v>
      </c>
      <c r="T71" s="8">
        <f>EXP(-58.0931+90.5069*(100/H71)+22.294*LN(H71/100)+G71*(0.027766-0.025888*(H71/100)+0.0050578*(H71/100)^2))</f>
        <v>5.4322905740994194E-2</v>
      </c>
      <c r="U71" s="9">
        <f>(EXP(-67.1962+99.1624*(100/H71)+27.9015*LN(H71/100)+G71*(-0.072909+0.041674*(H71/100)-0.0064603*(H71/100)^2)))</f>
        <v>4.3856614045097747E-2</v>
      </c>
      <c r="V71" s="9">
        <f>(EXP(-64.8539+100.252*(100/H71)+25.2049*LN(H71/100)+(-0.062544+0.035337*(H71/100)-0.0054699*(H71/100)^2)*G71))</f>
        <v>4.0685125101090118E-2</v>
      </c>
      <c r="W71" s="9">
        <f>(EXP(-68.8862+101.4956*(100/H71)+28.7314*LN(H71/100)+G71*(-0.076146+0.04397*(H71/100)-0.0068672*(H71/100)^2)))</f>
        <v>4.3759097390146946E-2</v>
      </c>
      <c r="X71">
        <f>N71*(AZ71-S71)</f>
        <v>600.70535287337179</v>
      </c>
      <c r="Y71">
        <f>O71*(AZ71-S71)</f>
        <v>1604.9876096726357</v>
      </c>
      <c r="Z71">
        <f>((Y71/10^6)*AZ71)/(0.082056*H71)</f>
        <v>6.4716457483211722E-5</v>
      </c>
      <c r="AA71">
        <f>(((L71/10^6)*AZ71)/(0.082056*H71))</f>
        <v>1.1463666473900146E-7</v>
      </c>
      <c r="AB71">
        <f>((Y71/10^6)*U71*1)/(0.082056*H71)</f>
        <v>3.0338480599683095E-6</v>
      </c>
      <c r="AC71">
        <f>(Z71*(Q71/1000))+(AB71*(R71/1000))</f>
        <v>7.3415742373565752E-6</v>
      </c>
      <c r="AD71" s="39">
        <f>((AC71-(AA71*(Q71/1000)))/(R71/1000))*1000000</f>
        <v>6.4339438925195056</v>
      </c>
      <c r="AE71" s="39">
        <f>(AD71/((U71*AZ71*1))*(0.0821*273.15))</f>
        <v>3516.6611525307908</v>
      </c>
      <c r="AF71" s="39">
        <f>L71*U71*AZ71*1/(0.0821*273.15)</f>
        <v>5.2014836194524414E-3</v>
      </c>
      <c r="AG71" s="39">
        <f>AD71-AF71</f>
        <v>6.4287424089000531</v>
      </c>
      <c r="AH71" s="42">
        <f>P71*(AZ71-S71)</f>
        <v>6.2181845580599058</v>
      </c>
      <c r="AI71">
        <f>(((X71/10^6)*(Q71/1000))/(0.082056*H71))</f>
        <v>1.5534590025040068E-6</v>
      </c>
      <c r="AJ71">
        <f>(((K71/10^6)*AZ71)*(Q71/1000))/(0.082056*H71)</f>
        <v>1.0633601161495545E-6</v>
      </c>
      <c r="AK71">
        <f>(X71/10^6)*T71*(R71/1000)</f>
        <v>3.7200548698965945E-5</v>
      </c>
      <c r="AL71">
        <f>AI71+AK71</f>
        <v>3.875400770146995E-5</v>
      </c>
      <c r="AM71" s="39">
        <f>((AL71-AJ71)/(R71/1000))*1000000</f>
        <v>33.061971566070525</v>
      </c>
      <c r="AN71" s="39">
        <f>AM71/(T71*AZ71)</f>
        <v>650.56358055472538</v>
      </c>
      <c r="AO71" s="39">
        <f>(K71*AZ71)*T71</f>
        <v>22.337011362858163</v>
      </c>
      <c r="AP71" s="39">
        <f>AM71-AO71</f>
        <v>10.724960203212362</v>
      </c>
      <c r="AQ71">
        <f>(((AH71/10^6)*(Q71/1000))/(0.082056*H71))</f>
        <v>1.6080587154324586E-8</v>
      </c>
      <c r="AR71">
        <f>(((M71/10^6)*AZ71)*(Q71/1000))/(0.082056*H71)</f>
        <v>7.799044413470477E-10</v>
      </c>
      <c r="AS71">
        <f>(AH71/10^6)*V71*(R71/1000)</f>
        <v>2.8840588297682075E-7</v>
      </c>
      <c r="AT71">
        <f>AQ71+AS71</f>
        <v>3.0448647013114532E-7</v>
      </c>
      <c r="AU71" s="39">
        <f>((AT71-AR71)/(R71/1000))*1000000000</f>
        <v>266.4092681489459</v>
      </c>
      <c r="AV71" s="39">
        <f>(AU71/1000)/(V71*AZ71)</f>
        <v>6.9993492669730593</v>
      </c>
      <c r="AW71" s="39">
        <f>(M71*AZ71)*V71*1000</f>
        <v>12.269835916732573</v>
      </c>
      <c r="AX71" s="39">
        <f>AU71-AW71</f>
        <v>254.13943223221332</v>
      </c>
      <c r="AY71" s="26">
        <f>VLOOKUP($E71,Water!$C$2:$G$90, 5, FALSE)</f>
        <v>711</v>
      </c>
      <c r="AZ71">
        <f>AY71/760</f>
        <v>0.93552631578947365</v>
      </c>
      <c r="BA71" s="3">
        <f>Assumptions!$B$3</f>
        <v>406.07</v>
      </c>
      <c r="BB71" s="3">
        <f>BA71*AZ71*T71</f>
        <v>20.636683631116526</v>
      </c>
      <c r="BC71" s="3">
        <f>Assumptions!$B$4</f>
        <v>1.8474300000000001</v>
      </c>
      <c r="BD71" s="45">
        <f>BC71*AZ71*U71*1/(0.0821*273.15)</f>
        <v>3.3799847212471062E-3</v>
      </c>
      <c r="BE71" s="3">
        <f>Assumptions!$B$2</f>
        <v>0.33054499999999998</v>
      </c>
      <c r="BF71" s="44">
        <f>BE71*AZ71*V71*1000</f>
        <v>12.581205506605027</v>
      </c>
      <c r="BG71">
        <f>1923.6+(-125.06*F71)+(4.3773*(F71^2))+(-0.085681*(F71^3))+(0.00070284*(F71^4))</f>
        <v>1056.6004501463037</v>
      </c>
      <c r="BH71">
        <f>1909.4+(-120.78*F71)+(4.1555*(F71^2))+(-0.080578*(F71^3))+(0.00065777*(F71^4))</f>
        <v>1067.1793694597122</v>
      </c>
      <c r="BI71">
        <f>2141.2+(-152.56*F71)+(5.8963*(F71^2))+(-0.12411*(F71^3))+(0.0010655*(F71^4))</f>
        <v>1119.2722106367996</v>
      </c>
      <c r="BJ71" s="25">
        <f>VLOOKUP(E71,Wind!$C$2:$E$109,3, FALSE)</f>
        <v>2.25</v>
      </c>
      <c r="BK71" s="44">
        <v>1.66</v>
      </c>
      <c r="BL71">
        <f>BK71/(1-(((1.3*10^-3)^0.5)/0.41)*LN(10/1.5))</f>
        <v>1.9923982880693825</v>
      </c>
      <c r="BM71">
        <f>BK71*1.22</f>
        <v>2.0251999999999999</v>
      </c>
      <c r="BN71">
        <f>2.07+0.215*(BM71^1.7)*(24/100)</f>
        <v>2.241255750541113</v>
      </c>
      <c r="BO71">
        <f>BN71*((600/BG71)^0.67)</f>
        <v>1.5340253074451449</v>
      </c>
      <c r="BP71">
        <f>BN71*((600/BH71)^0.67)</f>
        <v>1.5238200464754155</v>
      </c>
      <c r="BQ71">
        <f>BN71*((600/BI71)^0.67)</f>
        <v>1.4759302074576812</v>
      </c>
      <c r="BR71" s="39">
        <f>BO71*(AM71-BB71)</f>
        <v>19.06070614451226</v>
      </c>
      <c r="BS71" s="39">
        <f>BP71*(AD71-BD71)</f>
        <v>9.7990221928442711</v>
      </c>
      <c r="BT71" s="39">
        <f>BQ71*(AU71-BF71)</f>
        <v>374.63250515429149</v>
      </c>
      <c r="BU71">
        <f>(2.51+1.48*BM71)+(0.39*BM71*LOG10(0.0015))</f>
        <v>3.2768938069574309</v>
      </c>
      <c r="BV71">
        <f>BU71*((600/$BG71)^0.67)</f>
        <v>2.2428667627375054</v>
      </c>
      <c r="BW71">
        <f>BU71*((600/$BH71)^0.67)</f>
        <v>2.2279458611572118</v>
      </c>
      <c r="BX71">
        <f>BU71*((600/$BI71)^0.67)</f>
        <v>2.1579271152575021</v>
      </c>
      <c r="BY71" s="39">
        <f>BV71*($AM71-$BB71)</f>
        <v>27.868265326751661</v>
      </c>
      <c r="BZ71" s="39">
        <f>BW71*($AD71-$BD71)</f>
        <v>14.326948243286076</v>
      </c>
      <c r="CA71" s="39">
        <f>BX71*($AU71-$BF71)</f>
        <v>547.74245898918718</v>
      </c>
      <c r="CB71" s="42">
        <f>AVERAGE(0.72,0.69,0.4,0.22)</f>
        <v>0.50750000000000006</v>
      </c>
      <c r="CC71">
        <f>CB71*((600/$BG71)^0.67)</f>
        <v>0.3473578788768088</v>
      </c>
      <c r="CD71">
        <f>CB71*((600/$BH71)^0.67)</f>
        <v>0.34504704489863058</v>
      </c>
      <c r="CE71">
        <f>CB71*((600/$BI71)^0.67)</f>
        <v>0.334203082403216</v>
      </c>
      <c r="CF71" s="39">
        <f>CC71*($AM71-$BB71)</f>
        <v>4.3160216615192253</v>
      </c>
      <c r="CG71" s="39">
        <f>CD71*($AD71-$BD71)</f>
        <v>2.2188470734175789</v>
      </c>
      <c r="CH71" s="39">
        <f>CE71*($AU71-$BF71)</f>
        <v>84.830120935506926</v>
      </c>
      <c r="CI71">
        <v>0.86263901889527161</v>
      </c>
      <c r="CJ71">
        <f>((BG71/BH71)^0.67)*CI71</f>
        <v>0.85690022419105683</v>
      </c>
      <c r="CK71">
        <f>((BH71/BH71)^0.67)*CI71</f>
        <v>0.86263901889527161</v>
      </c>
      <c r="CL71">
        <f>((BI71/BH71)^0.67)*CI71</f>
        <v>0.89062926093826822</v>
      </c>
      <c r="CM71" s="39">
        <f>CJ71*($AM71-$BB71)</f>
        <v>10.647232017100515</v>
      </c>
      <c r="CN71" s="39">
        <f>CK71*($AD71-$BD71)</f>
        <v>5.5472553403664335</v>
      </c>
      <c r="CO71" s="39">
        <f>CL71*($AU71-$BF71)</f>
        <v>226.06669983654052</v>
      </c>
      <c r="CP71" s="27">
        <f>VLOOKUP(A71,Water!$A$2:$E$109, 5, FALSE)/1000</f>
        <v>2.9E-4</v>
      </c>
      <c r="CQ71">
        <f>0.64*CP71</f>
        <v>1.8560000000000001E-4</v>
      </c>
      <c r="CR71" s="19">
        <f>CQ71*1000*(2.5*10^-5)</f>
        <v>4.6400000000000005E-6</v>
      </c>
      <c r="CS71" s="18">
        <f>(-0.0000009*F71^3)+(0.0002*F71^2)-(0.0134*F71)+6.579</f>
        <v>6.4679957375999999</v>
      </c>
      <c r="CT71" s="18">
        <f>CS71-(SQRT(CP71))/(1+1.4*SQRT(CP71))</f>
        <v>6.4513628971275487</v>
      </c>
      <c r="CU71" s="18">
        <f>10^(-CT71)</f>
        <v>3.5370166391984686E-7</v>
      </c>
      <c r="CV71" s="18">
        <f>(0.000001*F71^3)+(0.00006*F71^2)-(0.014*F71)+10.625</f>
        <v>10.497014335999999</v>
      </c>
      <c r="CW71" s="18">
        <f>CV71-(2*SQRT(CR71))/(1+1.4*SQRT(CR71))</f>
        <v>10.492719157092218</v>
      </c>
      <c r="CX71" s="18">
        <f>10^(-CW71)</f>
        <v>3.2157393715271964E-11</v>
      </c>
      <c r="CY71">
        <f>EXP(1246.98+-61900/H71-183*LN(H71))</f>
        <v>7.4737483331904549E-3</v>
      </c>
      <c r="CZ71">
        <f>12.225*(F71^2)+15.258*F71+1125.7</f>
        <v>2398.8328000000001</v>
      </c>
      <c r="DA71" s="15">
        <f>10^(-4470.99/H71+6.0875-0.01706*H71)</f>
        <v>2.8266048909950204E-15</v>
      </c>
      <c r="DB71">
        <f>(10^-I71)</f>
        <v>3.3113112148258966E-9</v>
      </c>
      <c r="DC71">
        <f>DB71^2</f>
        <v>1.0964781961431755E-17</v>
      </c>
      <c r="DD71" s="20">
        <f>((14.6836*10^-9)*((H71/217.2056)-1)^1.997)*100*100</f>
        <v>1.3419078699177964E-5</v>
      </c>
      <c r="DE71">
        <f>CY71+CZ71*DA71/DB71</f>
        <v>9.5214424595535634E-3</v>
      </c>
      <c r="DF71">
        <f>1+DC71*(CU71*CX71+CU71*DB71)^-1</f>
        <v>1.0092718339906546</v>
      </c>
      <c r="DG71">
        <f>(DE71*DF71/DD71)^0.5</f>
        <v>26.760492404365344</v>
      </c>
      <c r="DH71">
        <f>DD71/(BO71/60/60)</f>
        <v>3.1491451335634593E-2</v>
      </c>
      <c r="DI71" s="16">
        <f>DF71/((DF71-1)+TANH(DG71*DH71)/(DG71*DH71))</f>
        <v>1.2236859658377224</v>
      </c>
      <c r="DJ71">
        <f>$DI71*BR71</f>
        <v>23.324318607996496</v>
      </c>
      <c r="DK71">
        <f>$DI71*BY71</f>
        <v>34.102005172588015</v>
      </c>
      <c r="DL71">
        <f>$DI71*CF71</f>
        <v>5.2814551354526849</v>
      </c>
      <c r="DM71">
        <f>$DI71*CM71</f>
        <v>13.028868394343965</v>
      </c>
    </row>
    <row r="72" spans="1:117" ht="15.75" x14ac:dyDescent="0.25">
      <c r="A72" s="52" t="s">
        <v>477</v>
      </c>
      <c r="B72" s="55" t="s">
        <v>341</v>
      </c>
      <c r="C72" t="s">
        <v>215</v>
      </c>
      <c r="D72" s="57">
        <v>43216</v>
      </c>
      <c r="E72" s="42" t="str">
        <f>A72&amp;D72</f>
        <v>68A43216</v>
      </c>
      <c r="F72" s="3">
        <f>VLOOKUP($E72,Water!$C$2:$E$90, 2, FALSE)</f>
        <v>9.6</v>
      </c>
      <c r="G72" s="3">
        <f>VLOOKUP($E72,Water!$C$2:$E$90, 3, FALSE)</f>
        <v>0.28999999999999998</v>
      </c>
      <c r="H72" s="1">
        <f>F72+273.15</f>
        <v>282.75</v>
      </c>
      <c r="I72" s="3">
        <f>VLOOKUP($E72,Water!$C$2:$F$90, 4, FALSE)</f>
        <v>8.48</v>
      </c>
      <c r="J72">
        <f>10^(I72*-1)</f>
        <v>3.3113112148258966E-9</v>
      </c>
      <c r="K72" s="25">
        <v>439.52751160265137</v>
      </c>
      <c r="L72" s="25">
        <v>2.8430237635924795</v>
      </c>
      <c r="M72" s="25">
        <v>0.32236441181786135</v>
      </c>
      <c r="N72" s="21">
        <f>VLOOKUP($C72,Raw!$B$2:$F$353, 3, FALSE)</f>
        <v>503.21451537294081</v>
      </c>
      <c r="O72" s="21">
        <f>VLOOKUP($C72,Raw!$B$2:$F$353, 4, FALSE)</f>
        <v>1416.211180862563</v>
      </c>
      <c r="P72" s="21">
        <f>VLOOKUP($C72,Raw!$B$2:$F$353, 5, FALSE)</f>
        <v>5.2955005236462451</v>
      </c>
      <c r="Q72" s="14">
        <v>60</v>
      </c>
      <c r="R72" s="25">
        <v>1140</v>
      </c>
      <c r="S72">
        <f>EXP(24.4543-(100/H72*(67.4509))-(4.8489*LN(H72/100))-(0.000544*G72))</f>
        <v>1.1783158473726746E-2</v>
      </c>
      <c r="T72" s="8">
        <f>EXP(-58.0931+90.5069*(100/H72)+22.294*LN(H72/100)+G72*(0.027766-0.025888*(H72/100)+0.0050578*(H72/100)^2))</f>
        <v>5.4322905740994194E-2</v>
      </c>
      <c r="U72" s="9">
        <f>(EXP(-67.1962+99.1624*(100/H72)+27.9015*LN(H72/100)+G72*(-0.072909+0.041674*(H72/100)-0.0064603*(H72/100)^2)))</f>
        <v>4.3856614045097747E-2</v>
      </c>
      <c r="V72" s="9">
        <f>(EXP(-64.8539+100.252*(100/H72)+25.2049*LN(H72/100)+(-0.062544+0.035337*(H72/100)-0.0054699*(H72/100)^2)*G72))</f>
        <v>4.0685125101090118E-2</v>
      </c>
      <c r="W72" s="9">
        <f>(EXP(-68.8862+101.4956*(100/H72)+28.7314*LN(H72/100)+G72*(-0.076146+0.04397*(H72/100)-0.0068672*(H72/100)^2)))</f>
        <v>4.3759097390146946E-2</v>
      </c>
      <c r="X72">
        <f>N72*(AZ72-S72)</f>
        <v>464.84096523771376</v>
      </c>
      <c r="Y72">
        <f>O72*(AZ72-S72)</f>
        <v>1308.2153876358461</v>
      </c>
      <c r="Z72">
        <f>((Y72/10^6)*AZ72)/(0.082056*H72)</f>
        <v>5.2749980749126801E-5</v>
      </c>
      <c r="AA72">
        <f>(((L72/10^6)*AZ72)/(0.082056*H72))</f>
        <v>1.1463666473900146E-7</v>
      </c>
      <c r="AB72">
        <f>((Y72/10^6)*U72*1)/(0.082056*H72)</f>
        <v>2.47287062646498E-6</v>
      </c>
      <c r="AC72">
        <f>(Z72*(Q72/1000))+(AB72*(R72/1000))</f>
        <v>5.9840713591176851E-6</v>
      </c>
      <c r="AD72" s="39">
        <f>((AC72-(AA72*(Q72/1000)))/(R72/1000))*1000000</f>
        <v>5.2431518940643382</v>
      </c>
      <c r="AE72" s="39">
        <f>(AD72/((U72*AZ72*1))*(0.0821*273.15))</f>
        <v>2865.7987838706345</v>
      </c>
      <c r="AF72" s="39">
        <f>L72*U72*AZ72*1/(0.0821*273.15)</f>
        <v>5.2014836194524414E-3</v>
      </c>
      <c r="AG72" s="39">
        <f>AD72-AF72</f>
        <v>5.2379504104448857</v>
      </c>
      <c r="AH72" s="42">
        <f>P72*(AZ72-S72)</f>
        <v>4.8916823732801733</v>
      </c>
      <c r="AI72">
        <f>(((X72/10^6)*(Q72/1000))/(0.082056*H72))</f>
        <v>1.202105789014667E-6</v>
      </c>
      <c r="AJ72">
        <f>(((K72/10^6)*AZ72)*(Q72/1000))/(0.082056*H72)</f>
        <v>1.0633601161495545E-6</v>
      </c>
      <c r="AK72">
        <f>(X72/10^6)*T72*(R72/1000)</f>
        <v>2.8786723610643632E-5</v>
      </c>
      <c r="AL72">
        <f>AI72+AK72</f>
        <v>2.9988829399658299E-5</v>
      </c>
      <c r="AM72" s="39">
        <f>((AL72-AJ72)/(R72/1000))*1000000</f>
        <v>25.373218669744514</v>
      </c>
      <c r="AN72" s="39">
        <f>AM72/(T72*AZ72)</f>
        <v>499.27125353065782</v>
      </c>
      <c r="AO72" s="39">
        <f>(K72*AZ72)*T72</f>
        <v>22.337011362858163</v>
      </c>
      <c r="AP72" s="39">
        <f>AM72-AO72</f>
        <v>3.0362073068863502</v>
      </c>
      <c r="AQ72">
        <f>(((AH72/10^6)*(Q72/1000))/(0.082056*H72))</f>
        <v>1.2650175304437682E-8</v>
      </c>
      <c r="AR72">
        <f>(((M72/10^6)*AZ72)*(Q72/1000))/(0.082056*H72)</f>
        <v>7.799044413470477E-10</v>
      </c>
      <c r="AS72">
        <f>(AH72/10^6)*V72*(R72/1000)</f>
        <v>2.2688132861533942E-7</v>
      </c>
      <c r="AT72">
        <f>AQ72+AS72</f>
        <v>2.3953150391977712E-7</v>
      </c>
      <c r="AU72" s="39">
        <f>((AT72-AR72)/(R72/1000))*1000000000</f>
        <v>209.43122761265798</v>
      </c>
      <c r="AV72" s="39">
        <f>(AU72/1000)/(V72*AZ72)</f>
        <v>5.5023697923766308</v>
      </c>
      <c r="AW72" s="39">
        <f>(M72*AZ72)*V72*1000</f>
        <v>12.269835916732573</v>
      </c>
      <c r="AX72" s="39">
        <f>AU72-AW72</f>
        <v>197.1613916959254</v>
      </c>
      <c r="AY72" s="26">
        <f>VLOOKUP($E72,Water!$C$2:$G$90, 5, FALSE)</f>
        <v>711</v>
      </c>
      <c r="AZ72">
        <f>AY72/760</f>
        <v>0.93552631578947365</v>
      </c>
      <c r="BA72" s="3">
        <f>Assumptions!$B$3</f>
        <v>406.07</v>
      </c>
      <c r="BB72" s="3">
        <f>BA72*AZ72*T72</f>
        <v>20.636683631116526</v>
      </c>
      <c r="BC72" s="3">
        <f>Assumptions!$B$4</f>
        <v>1.8474300000000001</v>
      </c>
      <c r="BD72" s="45">
        <f>BC72*AZ72*U72*1/(0.0821*273.15)</f>
        <v>3.3799847212471062E-3</v>
      </c>
      <c r="BE72" s="3">
        <f>Assumptions!$B$2</f>
        <v>0.33054499999999998</v>
      </c>
      <c r="BF72" s="44">
        <f>BE72*AZ72*V72*1000</f>
        <v>12.581205506605027</v>
      </c>
      <c r="BG72">
        <f>1923.6+(-125.06*F72)+(4.3773*(F72^2))+(-0.085681*(F72^3))+(0.00070284*(F72^4))</f>
        <v>1056.6004501463037</v>
      </c>
      <c r="BH72">
        <f>1909.4+(-120.78*F72)+(4.1555*(F72^2))+(-0.080578*(F72^3))+(0.00065777*(F72^4))</f>
        <v>1067.1793694597122</v>
      </c>
      <c r="BI72">
        <f>2141.2+(-152.56*F72)+(5.8963*(F72^2))+(-0.12411*(F72^3))+(0.0010655*(F72^4))</f>
        <v>1119.2722106367996</v>
      </c>
      <c r="BJ72" s="25">
        <f>VLOOKUP(E72,Wind!$C$2:$E$109,3, FALSE)</f>
        <v>2.25</v>
      </c>
      <c r="BK72" s="44">
        <v>1.66</v>
      </c>
      <c r="BL72">
        <f>BK72/(1-(((1.3*10^-3)^0.5)/0.41)*LN(10/1.5))</f>
        <v>1.9923982880693825</v>
      </c>
      <c r="BM72">
        <f>BK72*1.22</f>
        <v>2.0251999999999999</v>
      </c>
      <c r="BN72">
        <f>2.07+0.215*(BM72^1.7)*(24/100)</f>
        <v>2.241255750541113</v>
      </c>
      <c r="BO72">
        <f>BN72*((600/BG72)^0.67)</f>
        <v>1.5340253074451449</v>
      </c>
      <c r="BP72">
        <f>BN72*((600/BH72)^0.67)</f>
        <v>1.5238200464754155</v>
      </c>
      <c r="BQ72">
        <f>BN72*((600/BI72)^0.67)</f>
        <v>1.4759302074576812</v>
      </c>
      <c r="BR72" s="39">
        <f>BO72*(AM72-BB72)</f>
        <v>7.2659646188560005</v>
      </c>
      <c r="BS72" s="39">
        <f>BP72*(AD72-BD72)</f>
        <v>7.9844694744157652</v>
      </c>
      <c r="BT72" s="39">
        <f>BQ72*(AU72-BF72)</f>
        <v>290.53689396503586</v>
      </c>
      <c r="BU72">
        <f>(2.51+1.48*BM72)+(0.39*BM72*LOG10(0.0015))</f>
        <v>3.2768938069574309</v>
      </c>
      <c r="BV72">
        <f>BU72*((600/$BG72)^0.67)</f>
        <v>2.2428667627375054</v>
      </c>
      <c r="BW72">
        <f>BU72*((600/$BH72)^0.67)</f>
        <v>2.2279458611572118</v>
      </c>
      <c r="BX72">
        <f>BU72*((600/$BI72)^0.67)</f>
        <v>2.1579271152575021</v>
      </c>
      <c r="BY72" s="39">
        <f>BV72*($AM72-$BB72)</f>
        <v>10.62341700868032</v>
      </c>
      <c r="BZ72" s="39">
        <f>BW72*($AD72-$BD72)</f>
        <v>11.67392813882876</v>
      </c>
      <c r="CA72" s="39">
        <f>BX72*($AU72-$BF72)</f>
        <v>424.78800034169041</v>
      </c>
      <c r="CB72" s="42">
        <f>AVERAGE(0.72,0.69,0.4,0.22)</f>
        <v>0.50750000000000006</v>
      </c>
      <c r="CC72">
        <f>CB72*((600/$BG72)^0.67)</f>
        <v>0.3473578788768088</v>
      </c>
      <c r="CD72">
        <f>CB72*((600/$BH72)^0.67)</f>
        <v>0.34504704489863058</v>
      </c>
      <c r="CE72">
        <f>CB72*((600/$BI72)^0.67)</f>
        <v>0.334203082403216</v>
      </c>
      <c r="CF72" s="39">
        <f>CC72*($AM72-$BB72)</f>
        <v>1.6452727642435014</v>
      </c>
      <c r="CG72" s="39">
        <f>CD72*($AD72-$BD72)</f>
        <v>1.8079678132616888</v>
      </c>
      <c r="CH72" s="39">
        <f>CE72*($AU72-$BF72)</f>
        <v>65.787884158984113</v>
      </c>
      <c r="CI72">
        <v>0.86263901889527161</v>
      </c>
      <c r="CJ72">
        <f>((BG72/BH72)^0.67)*CI72</f>
        <v>0.85690022419105683</v>
      </c>
      <c r="CK72">
        <f>((BH72/BH72)^0.67)*CI72</f>
        <v>0.86263901889527161</v>
      </c>
      <c r="CL72">
        <f>((BI72/BH72)^0.67)*CI72</f>
        <v>0.89062926093826822</v>
      </c>
      <c r="CM72" s="39">
        <f>CJ72*($AM72-$BB72)</f>
        <v>4.058737936489119</v>
      </c>
      <c r="CN72" s="39">
        <f>CK72*($AD72-$BD72)</f>
        <v>4.5200316991107279</v>
      </c>
      <c r="CO72" s="39">
        <f>CL72*($AU72-$BF72)</f>
        <v>175.32038970399572</v>
      </c>
      <c r="CP72" s="27">
        <f>VLOOKUP(A72,Water!$A$2:$E$109, 5, FALSE)/1000</f>
        <v>2.9E-4</v>
      </c>
      <c r="CQ72">
        <f>0.64*CP72</f>
        <v>1.8560000000000001E-4</v>
      </c>
      <c r="CR72" s="19">
        <f>CQ72*1000*(2.5*10^-5)</f>
        <v>4.6400000000000005E-6</v>
      </c>
      <c r="CS72" s="18">
        <f>(-0.0000009*F72^3)+(0.0002*F72^2)-(0.0134*F72)+6.579</f>
        <v>6.4679957375999999</v>
      </c>
      <c r="CT72" s="18">
        <f>CS72-(SQRT(CP72))/(1+1.4*SQRT(CP72))</f>
        <v>6.4513628971275487</v>
      </c>
      <c r="CU72" s="18">
        <f>10^(-CT72)</f>
        <v>3.5370166391984686E-7</v>
      </c>
      <c r="CV72" s="18">
        <f>(0.000001*F72^3)+(0.00006*F72^2)-(0.014*F72)+10.625</f>
        <v>10.497014335999999</v>
      </c>
      <c r="CW72" s="18">
        <f>CV72-(2*SQRT(CR72))/(1+1.4*SQRT(CR72))</f>
        <v>10.492719157092218</v>
      </c>
      <c r="CX72" s="18">
        <f>10^(-CW72)</f>
        <v>3.2157393715271964E-11</v>
      </c>
      <c r="CY72">
        <f>EXP(1246.98+-61900/H72-183*LN(H72))</f>
        <v>7.4737483331904549E-3</v>
      </c>
      <c r="CZ72">
        <f>12.225*(F72^2)+15.258*F72+1125.7</f>
        <v>2398.8328000000001</v>
      </c>
      <c r="DA72" s="15">
        <f>10^(-4470.99/H72+6.0875-0.01706*H72)</f>
        <v>2.8266048909950204E-15</v>
      </c>
      <c r="DB72">
        <f>(10^-I72)</f>
        <v>3.3113112148258966E-9</v>
      </c>
      <c r="DC72">
        <f>DB72^2</f>
        <v>1.0964781961431755E-17</v>
      </c>
      <c r="DD72" s="20">
        <f>((14.6836*10^-9)*((H72/217.2056)-1)^1.997)*100*100</f>
        <v>1.3419078699177964E-5</v>
      </c>
      <c r="DE72">
        <f>CY72+CZ72*DA72/DB72</f>
        <v>9.5214424595535634E-3</v>
      </c>
      <c r="DF72">
        <f>1+DC72*(CU72*CX72+CU72*DB72)^-1</f>
        <v>1.0092718339906546</v>
      </c>
      <c r="DG72">
        <f>(DE72*DF72/DD72)^0.5</f>
        <v>26.760492404365344</v>
      </c>
      <c r="DH72">
        <f>DD72/(BO72/60/60)</f>
        <v>3.1491451335634593E-2</v>
      </c>
      <c r="DI72" s="16">
        <f>DF72/((DF72-1)+TANH(DG72*DH72)/(DG72*DH72))</f>
        <v>1.2236859658377224</v>
      </c>
      <c r="DJ72">
        <f>$DI72*BR72</f>
        <v>8.8912589323675242</v>
      </c>
      <c r="DK72">
        <f>$DI72*BY72</f>
        <v>12.999726302763865</v>
      </c>
      <c r="DL72">
        <f>$DI72*CF72</f>
        <v>2.0132971915798086</v>
      </c>
      <c r="DM72">
        <f>$DI72*CM72</f>
        <v>4.9666206518948917</v>
      </c>
    </row>
    <row r="73" spans="1:117" ht="15.75" x14ac:dyDescent="0.25">
      <c r="A73" s="52" t="s">
        <v>477</v>
      </c>
      <c r="B73" s="54" t="s">
        <v>342</v>
      </c>
      <c r="C73" s="48" t="s">
        <v>216</v>
      </c>
      <c r="D73" s="57">
        <v>43216</v>
      </c>
      <c r="E73" s="42" t="str">
        <f>A73&amp;D73</f>
        <v>68A43216</v>
      </c>
      <c r="F73" s="3">
        <f>VLOOKUP($E73,Water!$C$2:$E$90, 2, FALSE)</f>
        <v>9.6</v>
      </c>
      <c r="G73" s="3">
        <f>VLOOKUP($E73,Water!$C$2:$E$90, 3, FALSE)</f>
        <v>0.28999999999999998</v>
      </c>
      <c r="H73" s="1">
        <f>F73+273.15</f>
        <v>282.75</v>
      </c>
      <c r="I73" s="3">
        <f>VLOOKUP($E73,Water!$C$2:$F$90, 4, FALSE)</f>
        <v>8.48</v>
      </c>
      <c r="J73">
        <f>10^(I73*-1)</f>
        <v>3.3113112148258966E-9</v>
      </c>
      <c r="K73" s="25">
        <v>439.52751160265137</v>
      </c>
      <c r="L73" s="25">
        <v>2.8430237635924795</v>
      </c>
      <c r="M73" s="25">
        <v>0.32236441181786135</v>
      </c>
      <c r="N73" s="21">
        <f>VLOOKUP($C73,Raw!$B$2:$F$353, 3, FALSE)</f>
        <v>485.50099999999998</v>
      </c>
      <c r="O73" s="21">
        <f>VLOOKUP($C73,Raw!$B$2:$F$353, 4, FALSE)</f>
        <v>1437.402</v>
      </c>
      <c r="P73" s="21">
        <f>VLOOKUP($C73,Raw!$B$2:$F$353, 5, FALSE)</f>
        <v>4.4820000000000002</v>
      </c>
      <c r="Q73" s="14">
        <v>60</v>
      </c>
      <c r="R73" s="25">
        <v>1140</v>
      </c>
      <c r="S73">
        <f>EXP(24.4543-(100/H73*(67.4509))-(4.8489*LN(H73/100))-(0.000544*G73))</f>
        <v>1.1783158473726746E-2</v>
      </c>
      <c r="T73" s="8">
        <f>EXP(-58.0931+90.5069*(100/H73)+22.294*LN(H73/100)+G73*(0.027766-0.025888*(H73/100)+0.0050578*(H73/100)^2))</f>
        <v>5.4322905740994194E-2</v>
      </c>
      <c r="U73" s="9">
        <f>(EXP(-67.1962+99.1624*(100/H73)+27.9015*LN(H73/100)+G73*(-0.072909+0.041674*(H73/100)-0.0064603*(H73/100)^2)))</f>
        <v>4.3856614045097747E-2</v>
      </c>
      <c r="V73" s="9">
        <f>(EXP(-64.8539+100.252*(100/H73)+25.2049*LN(H73/100)+(-0.062544+0.035337*(H73/100)-0.0054699*(H73/100)^2)*G73))</f>
        <v>4.0685125101090118E-2</v>
      </c>
      <c r="W73" s="9">
        <f>(EXP(-68.8862+101.4956*(100/H73)+28.7314*LN(H73/100)+G73*(-0.076146+0.04397*(H73/100)-0.0068672*(H73/100)^2)))</f>
        <v>4.3759097390146946E-2</v>
      </c>
      <c r="X73">
        <f>N73*(AZ73-S73)</f>
        <v>448.47822661995241</v>
      </c>
      <c r="Y73">
        <f>O73*(AZ73-S73)</f>
        <v>1327.7902618119692</v>
      </c>
      <c r="Z73">
        <f>((Y73/10^6)*AZ73)/(0.082056*H73)</f>
        <v>5.3539280619557997E-5</v>
      </c>
      <c r="AA73">
        <f>(((L73/10^6)*AZ73)/(0.082056*H73))</f>
        <v>1.1463666473900146E-7</v>
      </c>
      <c r="AB73">
        <f>((Y73/10^6)*U73*1)/(0.082056*H73)</f>
        <v>2.5098722791166583E-6</v>
      </c>
      <c r="AC73">
        <f>(Z73*(Q73/1000))+(AB73*(R73/1000))</f>
        <v>6.0736112353664696E-6</v>
      </c>
      <c r="AD73" s="39">
        <f>((AC73-(AA73*(Q73/1000)))/(R73/1000))*1000000</f>
        <v>5.3216956451597639</v>
      </c>
      <c r="AE73" s="39">
        <f>(AD73/((U73*AZ73*1))*(0.0821*273.15))</f>
        <v>2908.7291797313246</v>
      </c>
      <c r="AF73" s="39">
        <f>L73*U73*AZ73*1/(0.0821*273.15)</f>
        <v>5.2014836194524414E-3</v>
      </c>
      <c r="AG73" s="39">
        <f>AD73-AF73</f>
        <v>5.3164941615403114</v>
      </c>
      <c r="AH73" s="42">
        <f>P73*(AZ73-S73)</f>
        <v>4.1402168310891776</v>
      </c>
      <c r="AI73">
        <f>(((X73/10^6)*(Q73/1000))/(0.082056*H73))</f>
        <v>1.1597907946671144E-6</v>
      </c>
      <c r="AJ73">
        <f>(((K73/10^6)*AZ73)*(Q73/1000))/(0.082056*H73)</f>
        <v>1.0633601161495545E-6</v>
      </c>
      <c r="AK73">
        <f>(X73/10^6)*T73*(R73/1000)</f>
        <v>2.777341009198285E-5</v>
      </c>
      <c r="AL73">
        <f>AI73+AK73</f>
        <v>2.8933200886649965E-5</v>
      </c>
      <c r="AM73" s="39">
        <f>((AL73-AJ73)/(R73/1000))*1000000</f>
        <v>24.447228746052996</v>
      </c>
      <c r="AN73" s="39">
        <f>AM73/(T73*AZ73)</f>
        <v>481.0504611284112</v>
      </c>
      <c r="AO73" s="39">
        <f>(K73*AZ73)*T73</f>
        <v>22.337011362858163</v>
      </c>
      <c r="AP73" s="39">
        <f>AM73-AO73</f>
        <v>2.1102173831948328</v>
      </c>
      <c r="AQ73">
        <f>(((AH73/10^6)*(Q73/1000))/(0.082056*H73))</f>
        <v>1.0706841678385847E-8</v>
      </c>
      <c r="AR73">
        <f>(((M73/10^6)*AZ73)*(Q73/1000))/(0.082056*H73)</f>
        <v>7.799044413470477E-10</v>
      </c>
      <c r="AS73">
        <f>(AH73/10^6)*V73*(R73/1000)</f>
        <v>1.9202757327909237E-7</v>
      </c>
      <c r="AT73">
        <f>AQ73+AS73</f>
        <v>2.0273441495747822E-7</v>
      </c>
      <c r="AU73" s="39">
        <f>((AT73-AR73)/(R73/1000))*1000000000</f>
        <v>177.15307940011508</v>
      </c>
      <c r="AV73" s="39">
        <f>(AU73/1000)/(V73*AZ73)</f>
        <v>4.6543286014658181</v>
      </c>
      <c r="AW73" s="39">
        <f>(M73*AZ73)*V73*1000</f>
        <v>12.269835916732573</v>
      </c>
      <c r="AX73" s="39">
        <f>AU73-AW73</f>
        <v>164.8832434833825</v>
      </c>
      <c r="AY73" s="26">
        <f>VLOOKUP($E73,Water!$C$2:$G$90, 5, FALSE)</f>
        <v>711</v>
      </c>
      <c r="AZ73">
        <f>AY73/760</f>
        <v>0.93552631578947365</v>
      </c>
      <c r="BA73" s="3">
        <f>Assumptions!$B$3</f>
        <v>406.07</v>
      </c>
      <c r="BB73" s="3">
        <f>BA73*AZ73*T73</f>
        <v>20.636683631116526</v>
      </c>
      <c r="BC73" s="3">
        <f>Assumptions!$B$4</f>
        <v>1.8474300000000001</v>
      </c>
      <c r="BD73" s="45">
        <f>BC73*AZ73*U73*1/(0.0821*273.15)</f>
        <v>3.3799847212471062E-3</v>
      </c>
      <c r="BE73" s="3">
        <f>Assumptions!$B$2</f>
        <v>0.33054499999999998</v>
      </c>
      <c r="BF73" s="44">
        <f>BE73*AZ73*V73*1000</f>
        <v>12.581205506605027</v>
      </c>
      <c r="BG73">
        <f>1923.6+(-125.06*F73)+(4.3773*(F73^2))+(-0.085681*(F73^3))+(0.00070284*(F73^4))</f>
        <v>1056.6004501463037</v>
      </c>
      <c r="BH73">
        <f>1909.4+(-120.78*F73)+(4.1555*(F73^2))+(-0.080578*(F73^3))+(0.00065777*(F73^4))</f>
        <v>1067.1793694597122</v>
      </c>
      <c r="BI73">
        <f>2141.2+(-152.56*F73)+(5.8963*(F73^2))+(-0.12411*(F73^3))+(0.0010655*(F73^4))</f>
        <v>1119.2722106367996</v>
      </c>
      <c r="BJ73" s="25">
        <f>VLOOKUP(E73,Wind!$C$2:$E$109,3, FALSE)</f>
        <v>2.25</v>
      </c>
      <c r="BK73" s="44">
        <v>1.66</v>
      </c>
      <c r="BL73">
        <f>BK73/(1-(((1.3*10^-3)^0.5)/0.41)*LN(10/1.5))</f>
        <v>1.9923982880693825</v>
      </c>
      <c r="BM73">
        <f>BK73*1.22</f>
        <v>2.0251999999999999</v>
      </c>
      <c r="BN73">
        <f>2.07+0.215*(BM73^1.7)*(24/100)</f>
        <v>2.241255750541113</v>
      </c>
      <c r="BO73">
        <f>BN73*((600/BG73)^0.67)</f>
        <v>1.5340253074451449</v>
      </c>
      <c r="BP73">
        <f>BN73*((600/BH73)^0.67)</f>
        <v>1.5238200464754155</v>
      </c>
      <c r="BQ73">
        <f>BN73*((600/BI73)^0.67)</f>
        <v>1.4759302074576812</v>
      </c>
      <c r="BR73" s="39">
        <f>BO73*(AM73-BB73)</f>
        <v>5.8454726414740144</v>
      </c>
      <c r="BS73" s="39">
        <f>BP73*(AD73-BD73)</f>
        <v>8.1041560168603493</v>
      </c>
      <c r="BT73" s="39">
        <f>BQ73*(AU73-BF73)</f>
        <v>242.89659997734765</v>
      </c>
      <c r="BU73">
        <f>(2.51+1.48*BM73)+(0.39*BM73*LOG10(0.0015))</f>
        <v>3.2768938069574309</v>
      </c>
      <c r="BV73">
        <f>BU73*((600/$BG73)^0.67)</f>
        <v>2.2428667627375054</v>
      </c>
      <c r="BW73">
        <f>BU73*((600/$BH73)^0.67)</f>
        <v>2.2279458611572118</v>
      </c>
      <c r="BX73">
        <f>BU73*((600/$BI73)^0.67)</f>
        <v>2.1579271152575021</v>
      </c>
      <c r="BY73" s="39">
        <f>BV73*($AM73-$BB73)</f>
        <v>8.5465449862027771</v>
      </c>
      <c r="BZ73" s="39">
        <f>BW73*($AD73-$BD73)</f>
        <v>11.848919364001576</v>
      </c>
      <c r="CA73" s="39">
        <f>BX73*($AU73-$BF73)</f>
        <v>355.13410908354359</v>
      </c>
      <c r="CB73" s="42">
        <f>AVERAGE(0.72,0.69,0.4,0.22)</f>
        <v>0.50750000000000006</v>
      </c>
      <c r="CC73">
        <f>CB73*((600/$BG73)^0.67)</f>
        <v>0.3473578788768088</v>
      </c>
      <c r="CD73">
        <f>CB73*((600/$BH73)^0.67)</f>
        <v>0.34504704489863058</v>
      </c>
      <c r="CE73">
        <f>CB73*((600/$BI73)^0.67)</f>
        <v>0.334203082403216</v>
      </c>
      <c r="CF73" s="39">
        <f>CC73*($AM73-$BB73)</f>
        <v>1.3236228684887179</v>
      </c>
      <c r="CG73" s="39">
        <f>CD73*($AD73-$BD73)</f>
        <v>1.8350691024724191</v>
      </c>
      <c r="CH73" s="39">
        <f>CE73*($AU73-$BF73)</f>
        <v>55.000427532084416</v>
      </c>
      <c r="CI73">
        <v>0.86263901889527161</v>
      </c>
      <c r="CJ73">
        <f>((BG73/BH73)^0.67)*CI73</f>
        <v>0.85690022419105683</v>
      </c>
      <c r="CK73">
        <f>((BH73/BH73)^0.67)*CI73</f>
        <v>0.86263901889527161</v>
      </c>
      <c r="CL73">
        <f>((BI73/BH73)^0.67)*CI73</f>
        <v>0.89062926093826822</v>
      </c>
      <c r="CM73" s="39">
        <f>CJ73*($AM73-$BB73)</f>
        <v>3.2652569632791977</v>
      </c>
      <c r="CN73" s="39">
        <f>CK73*($AD73-$BD73)</f>
        <v>4.5877866034960402</v>
      </c>
      <c r="CO73" s="39">
        <f>CL73*($AU73-$BF73)</f>
        <v>146.57252641700273</v>
      </c>
      <c r="CP73" s="27">
        <f>VLOOKUP(A73,Water!$A$2:$E$109, 5, FALSE)/1000</f>
        <v>2.9E-4</v>
      </c>
      <c r="CQ73">
        <f>0.64*CP73</f>
        <v>1.8560000000000001E-4</v>
      </c>
      <c r="CR73" s="19">
        <f>CQ73*1000*(2.5*10^-5)</f>
        <v>4.6400000000000005E-6</v>
      </c>
      <c r="CS73" s="18">
        <f>(-0.0000009*F73^3)+(0.0002*F73^2)-(0.0134*F73)+6.579</f>
        <v>6.4679957375999999</v>
      </c>
      <c r="CT73" s="18">
        <f>CS73-(SQRT(CP73))/(1+1.4*SQRT(CP73))</f>
        <v>6.4513628971275487</v>
      </c>
      <c r="CU73" s="18">
        <f>10^(-CT73)</f>
        <v>3.5370166391984686E-7</v>
      </c>
      <c r="CV73" s="18">
        <f>(0.000001*F73^3)+(0.00006*F73^2)-(0.014*F73)+10.625</f>
        <v>10.497014335999999</v>
      </c>
      <c r="CW73" s="18">
        <f>CV73-(2*SQRT(CR73))/(1+1.4*SQRT(CR73))</f>
        <v>10.492719157092218</v>
      </c>
      <c r="CX73" s="18">
        <f>10^(-CW73)</f>
        <v>3.2157393715271964E-11</v>
      </c>
      <c r="CY73">
        <f>EXP(1246.98+-61900/H73-183*LN(H73))</f>
        <v>7.4737483331904549E-3</v>
      </c>
      <c r="CZ73">
        <f>12.225*(F73^2)+15.258*F73+1125.7</f>
        <v>2398.8328000000001</v>
      </c>
      <c r="DA73" s="15">
        <f>10^(-4470.99/H73+6.0875-0.01706*H73)</f>
        <v>2.8266048909950204E-15</v>
      </c>
      <c r="DB73">
        <f>(10^-I73)</f>
        <v>3.3113112148258966E-9</v>
      </c>
      <c r="DC73">
        <f>DB73^2</f>
        <v>1.0964781961431755E-17</v>
      </c>
      <c r="DD73" s="20">
        <f>((14.6836*10^-9)*((H73/217.2056)-1)^1.997)*100*100</f>
        <v>1.3419078699177964E-5</v>
      </c>
      <c r="DE73">
        <f>CY73+CZ73*DA73/DB73</f>
        <v>9.5214424595535634E-3</v>
      </c>
      <c r="DF73">
        <f>1+DC73*(CU73*CX73+CU73*DB73)^-1</f>
        <v>1.0092718339906546</v>
      </c>
      <c r="DG73">
        <f>(DE73*DF73/DD73)^0.5</f>
        <v>26.760492404365344</v>
      </c>
      <c r="DH73">
        <f>DD73/(BO73/60/60)</f>
        <v>3.1491451335634593E-2</v>
      </c>
      <c r="DI73" s="16">
        <f>DF73/((DF73-1)+TANH(DG73*DH73)/(DG73*DH73))</f>
        <v>1.2236859658377224</v>
      </c>
      <c r="DJ73">
        <f>$DI73*BR73</f>
        <v>7.1530228350601117</v>
      </c>
      <c r="DK73">
        <f>$DI73*BY73</f>
        <v>10.458287156017089</v>
      </c>
      <c r="DL73">
        <f>$DI73*CF73</f>
        <v>1.6196987282315134</v>
      </c>
      <c r="DM73">
        <f>$DI73*CM73</f>
        <v>3.9956491208186535</v>
      </c>
    </row>
    <row r="74" spans="1:117" ht="15.75" x14ac:dyDescent="0.25">
      <c r="A74" s="51" t="s">
        <v>478</v>
      </c>
      <c r="B74" s="54" t="s">
        <v>339</v>
      </c>
      <c r="C74" s="48" t="s">
        <v>218</v>
      </c>
      <c r="D74" s="57">
        <v>43214</v>
      </c>
      <c r="E74" s="42" t="str">
        <f>A74&amp;D74</f>
        <v>23A43214</v>
      </c>
      <c r="F74" s="3">
        <f>VLOOKUP($E74,Water!$C$2:$E$90, 2, FALSE)</f>
        <v>0.9</v>
      </c>
      <c r="G74" s="3">
        <f>VLOOKUP($E74,Water!$C$2:$E$90, 3, FALSE)</f>
        <v>0.1</v>
      </c>
      <c r="H74" s="1">
        <f>F74+273.15</f>
        <v>274.04999999999995</v>
      </c>
      <c r="I74" s="3">
        <f>VLOOKUP($E74,Water!$C$2:$F$90, 4, FALSE)</f>
        <v>7.17</v>
      </c>
      <c r="J74">
        <f>10^(I74*-1)</f>
        <v>6.7608297539197998E-8</v>
      </c>
      <c r="K74" s="25">
        <v>439.52751160265137</v>
      </c>
      <c r="L74" s="25">
        <v>2.8430237635924795</v>
      </c>
      <c r="M74" s="25">
        <v>0.32236441181786135</v>
      </c>
      <c r="N74" s="21">
        <f>VLOOKUP($C74,Raw!$B$2:$F$353, 3, FALSE)</f>
        <v>1953.799</v>
      </c>
      <c r="O74" s="21">
        <f>VLOOKUP($C74,Raw!$B$2:$F$353, 4, FALSE)</f>
        <v>21586.963</v>
      </c>
      <c r="P74" s="21">
        <f>VLOOKUP($C74,Raw!$B$2:$F$353, 5, FALSE)</f>
        <v>0.438</v>
      </c>
      <c r="Q74" s="14">
        <v>60</v>
      </c>
      <c r="R74" s="25">
        <v>1140</v>
      </c>
      <c r="S74">
        <f>EXP(24.4543-(100/H74*(67.4509))-(4.8489*LN(H74/100))-(0.000544*G74))</f>
        <v>6.4301864222076101E-3</v>
      </c>
      <c r="T74" s="8">
        <f>EXP(-58.0931+90.5069*(100/H74)+22.294*LN(H74/100)+G74*(0.027766-0.025888*(H74/100)+0.0050578*(H74/100)^2))</f>
        <v>7.4836546095825601E-2</v>
      </c>
      <c r="U74" s="9">
        <f>(EXP(-67.1962+99.1624*(100/H74)+27.9015*LN(H74/100)+G74*(-0.072909+0.041674*(H74/100)-0.0064603*(H74/100)^2)))</f>
        <v>5.5897307042893439E-2</v>
      </c>
      <c r="V74" s="9">
        <f>(EXP(-64.8539+100.252*(100/H74)+25.2049*LN(H74/100)+(-0.062544+0.035337*(H74/100)-0.0054699*(H74/100)^2)*G74))</f>
        <v>5.7105486079875173E-2</v>
      </c>
      <c r="W74" s="9">
        <f>(EXP(-68.8862+101.4956*(100/H74)+28.7314*LN(H74/100)+G74*(-0.076146+0.04397*(H74/100)-0.0068672*(H74/100)^2)))</f>
        <v>5.5787471511829029E-2</v>
      </c>
      <c r="X74">
        <f>N74*(AZ74-S74)</f>
        <v>1828.6351868826878</v>
      </c>
      <c r="Y74">
        <f>O74*(AZ74-S74)</f>
        <v>20204.064041252281</v>
      </c>
      <c r="Z74">
        <f>((Y74/10^6)*AZ74)/(0.082056*H74)</f>
        <v>8.4668002102404811E-4</v>
      </c>
      <c r="AA74">
        <f>(((L74/10^6)*AZ74)/(0.082056*H74))</f>
        <v>1.1914095179145707E-7</v>
      </c>
      <c r="AB74">
        <f>((Y74/10^6)*U74*1)/(0.082056*H74)</f>
        <v>5.0221476064955549E-5</v>
      </c>
      <c r="AC74">
        <f>(Z74*(Q74/1000))+(AB74*(R74/1000))</f>
        <v>1.080532839754922E-4</v>
      </c>
      <c r="AD74" s="39">
        <f>((AC74-(AA74*(Q74/1000)))/(R74/1000))*1000000</f>
        <v>94.77731185823221</v>
      </c>
      <c r="AE74" s="39">
        <f>(AD74/((U74*AZ74*1))*(0.0821*273.15))</f>
        <v>40349.4053701058</v>
      </c>
      <c r="AF74" s="39">
        <f>L74*U74*AZ74*1/(0.0821*273.15)</f>
        <v>6.6780203423271152E-3</v>
      </c>
      <c r="AG74" s="39">
        <f>AD74-AF74</f>
        <v>94.770633837889889</v>
      </c>
      <c r="AH74" s="42">
        <f>P74*(AZ74-S74)</f>
        <v>0.4099409467681257</v>
      </c>
      <c r="AI74">
        <f>(((X74/10^6)*(Q74/1000))/(0.082056*H74))</f>
        <v>4.8790826361381889E-6</v>
      </c>
      <c r="AJ74">
        <f>(((K74/10^6)*AZ74)*(Q74/1000))/(0.082056*H74)</f>
        <v>1.1051415061976253E-6</v>
      </c>
      <c r="AK74">
        <f>(X74/10^6)*T74*(R74/1000)</f>
        <v>1.560075652593782E-4</v>
      </c>
      <c r="AL74">
        <f>AI74+AK74</f>
        <v>1.608866478955164E-4</v>
      </c>
      <c r="AM74" s="39">
        <f>((AL74-AJ74)/(R74/1000))*1000000</f>
        <v>140.15921613098138</v>
      </c>
      <c r="AN74" s="39">
        <f>AM74/(T74*AZ74)</f>
        <v>1987.4087616107884</v>
      </c>
      <c r="AO74" s="39">
        <f>(K74*AZ74)*T74</f>
        <v>30.997061442105515</v>
      </c>
      <c r="AP74" s="39">
        <f>AM74-AO74</f>
        <v>109.16215468887586</v>
      </c>
      <c r="AQ74">
        <f>(((AH74/10^6)*(Q74/1000))/(0.082056*H74))</f>
        <v>1.0937861031910277E-9</v>
      </c>
      <c r="AR74">
        <f>(((M74/10^6)*AZ74)*(Q74/1000))/(0.082056*H74)</f>
        <v>8.1054833250796164E-10</v>
      </c>
      <c r="AS74">
        <f>(AH74/10^6)*V74*(R74/1000)</f>
        <v>2.6687259813331378E-8</v>
      </c>
      <c r="AT74">
        <f>AQ74+AS74</f>
        <v>2.7781045916522405E-8</v>
      </c>
      <c r="AU74" s="39">
        <f>((AT74-AR74)/(R74/1000))*1000000000</f>
        <v>23.65833121404776</v>
      </c>
      <c r="AV74" s="39">
        <f>(AU74/1000)/(V74*AZ74)</f>
        <v>0.43962820818074999</v>
      </c>
      <c r="AW74" s="39">
        <f>(M74*AZ74)*V74*1000</f>
        <v>17.347849579463364</v>
      </c>
      <c r="AX74" s="39">
        <f>AU74-AW74</f>
        <v>6.310481634584395</v>
      </c>
      <c r="AY74" s="26">
        <f>VLOOKUP($E74,Water!$C$2:$G$90, 5, FALSE)</f>
        <v>716.2</v>
      </c>
      <c r="AZ74">
        <f>AY74/760</f>
        <v>0.94236842105263163</v>
      </c>
      <c r="BA74" s="3">
        <f>Assumptions!$B$3</f>
        <v>406.07</v>
      </c>
      <c r="BB74" s="3">
        <f>BA74*AZ74*T74</f>
        <v>28.63751735107509</v>
      </c>
      <c r="BC74" s="3">
        <f>Assumptions!$B$4</f>
        <v>1.8474300000000001</v>
      </c>
      <c r="BD74" s="45">
        <f>BC74*AZ74*U74*1/(0.0821*273.15)</f>
        <v>4.3394555047390733E-3</v>
      </c>
      <c r="BE74" s="3">
        <f>Assumptions!$B$2</f>
        <v>0.33054499999999998</v>
      </c>
      <c r="BF74" s="44">
        <f>BE74*AZ74*V74*1000</f>
        <v>17.788083079355591</v>
      </c>
      <c r="BG74">
        <f>1923.6+(-125.06*F74)+(4.3773*(F74^2))+(-0.085681*(F74^3))+(0.00070284*(F74^4))</f>
        <v>1814.5296126843239</v>
      </c>
      <c r="BH74">
        <f>1909.4+(-120.78*F74)+(4.1555*(F74^2))+(-0.080578*(F74^3))+(0.00065777*(F74^4))</f>
        <v>1804.0056452008969</v>
      </c>
      <c r="BI74">
        <f>2141.2+(-152.56*F74)+(5.8963*(F74^2))+(-0.12411*(F74^3))+(0.0010655*(F74^4))</f>
        <v>2008.5822258845499</v>
      </c>
      <c r="BJ74" s="25">
        <f>VLOOKUP(E74,Wind!$C$2:$E$109,3, FALSE)</f>
        <v>2.5833333333333335</v>
      </c>
      <c r="BK74" s="44">
        <v>1.66</v>
      </c>
      <c r="BL74">
        <f>BK74/(1-(((1.3*10^-3)^0.5)/0.41)*LN(10/1.5))</f>
        <v>1.9923982880693825</v>
      </c>
      <c r="BM74">
        <f>BK74*1.22</f>
        <v>2.0251999999999999</v>
      </c>
      <c r="BN74">
        <f>2.07+0.215*(BM74^1.7)*(24/100)</f>
        <v>2.241255750541113</v>
      </c>
      <c r="BO74">
        <f>BN74*((600/BG74)^0.67)</f>
        <v>1.0677776697956316</v>
      </c>
      <c r="BP74">
        <f>BN74*((600/BH74)^0.67)</f>
        <v>1.0719471324401015</v>
      </c>
      <c r="BQ74">
        <f>BN74*((600/BI74)^0.67)</f>
        <v>0.99750874645663801</v>
      </c>
      <c r="BR74" s="39">
        <f>BO74*(AM74-BB74)</f>
        <v>119.08037965485867</v>
      </c>
      <c r="BS74" s="39">
        <f>BP74*(AD74-BD74)</f>
        <v>101.59161599992859</v>
      </c>
      <c r="BT74" s="39">
        <f>BQ74*(AU74-BF74)</f>
        <v>5.8556238582262026</v>
      </c>
      <c r="BU74">
        <f>(2.51+1.48*BM74)+(0.39*BM74*LOG10(0.0015))</f>
        <v>3.2768938069574309</v>
      </c>
      <c r="BV74">
        <f>BU74*((600/$BG74)^0.67)</f>
        <v>1.561175708089525</v>
      </c>
      <c r="BW74">
        <f>BU74*((600/$BH74)^0.67)</f>
        <v>1.5672717934268208</v>
      </c>
      <c r="BX74">
        <f>BU74*((600/$BI74)^0.67)</f>
        <v>1.4584369645724047</v>
      </c>
      <c r="BY74" s="39">
        <f>BV74*($AM74-$BB74)</f>
        <v>174.10496706006691</v>
      </c>
      <c r="BZ74" s="39">
        <f>BW74*($AD74-$BD74)</f>
        <v>148.53500642601327</v>
      </c>
      <c r="CA74" s="39">
        <f>BX74*($AU74-$BF74)</f>
        <v>8.5613868708472669</v>
      </c>
      <c r="CB74" s="42">
        <f>AVERAGE(0.72,0.69,0.4,0.22)</f>
        <v>0.50750000000000006</v>
      </c>
      <c r="CC74">
        <f>CB74*((600/$BG74)^0.67)</f>
        <v>0.24178283415020857</v>
      </c>
      <c r="CD74">
        <f>CB74*((600/$BH74)^0.67)</f>
        <v>0.24272694875719061</v>
      </c>
      <c r="CE74">
        <f>CB74*((600/$BI74)^0.67)</f>
        <v>0.22587145117397775</v>
      </c>
      <c r="CF74" s="39">
        <f>CC74*($AM74-$BB74)</f>
        <v>26.9640324002516</v>
      </c>
      <c r="CG74" s="39">
        <f>CD74*($AD74-$BD74)</f>
        <v>23.003954415963474</v>
      </c>
      <c r="CH74" s="39">
        <f>CE74*($AU74-$BF74)</f>
        <v>1.3259214649342561</v>
      </c>
      <c r="CI74">
        <v>0.86263901889527161</v>
      </c>
      <c r="CJ74">
        <f>((BG74/BH74)^0.67)*CI74</f>
        <v>0.8660074552904945</v>
      </c>
      <c r="CK74">
        <f>((BH74/BH74)^0.67)*CI74</f>
        <v>0.86263901889527161</v>
      </c>
      <c r="CL74">
        <f>((BI74/BH74)^0.67)*CI74</f>
        <v>0.92701284667474948</v>
      </c>
      <c r="CM74" s="39">
        <f>CJ74*($AM74-$BB74)</f>
        <v>96.578622570059693</v>
      </c>
      <c r="CN74" s="39">
        <f>CK74*($AD74-$BD74)</f>
        <v>81.754863931277484</v>
      </c>
      <c r="CO74" s="39">
        <f>CL74*($AU74-$BF74)</f>
        <v>5.4417954340281254</v>
      </c>
      <c r="CP74" s="27">
        <f>VLOOKUP(A74,Water!$A$2:$E$109, 5, FALSE)/1000</f>
        <v>1E-4</v>
      </c>
      <c r="CQ74">
        <f>0.64*CP74</f>
        <v>6.4000000000000011E-5</v>
      </c>
      <c r="CR74" s="19">
        <f>CQ74*1000*(2.5*10^-5)</f>
        <v>1.6000000000000004E-6</v>
      </c>
      <c r="CS74" s="18">
        <f>(-0.0000009*F74^3)+(0.0002*F74^2)-(0.0134*F74)+6.579</f>
        <v>6.5671013439000001</v>
      </c>
      <c r="CT74" s="18">
        <f>CS74-(SQRT(CP74))/(1+1.4*SQRT(CP74))</f>
        <v>6.5572394109611443</v>
      </c>
      <c r="CU74" s="18">
        <f>10^(-CT74)</f>
        <v>2.7717916941296027E-7</v>
      </c>
      <c r="CV74" s="18">
        <f>(0.000001*F74^3)+(0.00006*F74^2)-(0.014*F74)+10.625</f>
        <v>10.612449329</v>
      </c>
      <c r="CW74" s="18">
        <f>CV74-(2*SQRT(CR74))/(1+1.4*SQRT(CR74))</f>
        <v>10.609923978952368</v>
      </c>
      <c r="CX74" s="18">
        <f>10^(-CW74)</f>
        <v>2.4551386376470997E-11</v>
      </c>
      <c r="CY74">
        <f>EXP(1246.98+-61900/H74-183*LN(H74))</f>
        <v>2.1830638098535105E-3</v>
      </c>
      <c r="CZ74">
        <f>12.225*(F74^2)+15.258*F74+1125.7</f>
        <v>1149.3344500000001</v>
      </c>
      <c r="DA74" s="15">
        <f>10^(-4470.99/H74+6.0875-0.01706*H74)</f>
        <v>1.2522826037506242E-15</v>
      </c>
      <c r="DB74">
        <f>(10^-I74)</f>
        <v>6.7608297539197998E-8</v>
      </c>
      <c r="DC74">
        <f>DB74^2</f>
        <v>4.5708818961487261E-15</v>
      </c>
      <c r="DD74" s="20">
        <f>((14.6836*10^-9)*((H74/217.2056)-1)^1.997)*100*100</f>
        <v>1.0097466773527052E-5</v>
      </c>
      <c r="DE74">
        <f>CY74+CZ74*DA74/DB74</f>
        <v>2.204352491716736E-3</v>
      </c>
      <c r="DF74">
        <f>1+DC74*(CU74*CX74+CU74*DB74)^-1</f>
        <v>1.2438269629292535</v>
      </c>
      <c r="DG74">
        <f>(DE74*DF74/DD74)^0.5</f>
        <v>16.478371450039578</v>
      </c>
      <c r="DH74">
        <f>DD74/(BO74/60/60)</f>
        <v>3.4043491836324692E-2</v>
      </c>
      <c r="DI74" s="16">
        <f>DF74/((DF74-1)+TANH(DG74*DH74)/(DG74*DH74))</f>
        <v>1.0809870753646178</v>
      </c>
      <c r="DJ74">
        <f>$DI74*BR74</f>
        <v>128.724351336414</v>
      </c>
      <c r="DK74">
        <f>$DI74*BY74</f>
        <v>188.20521914871486</v>
      </c>
      <c r="DL74">
        <f>$DI74*CF74</f>
        <v>29.147770524384772</v>
      </c>
      <c r="DM74">
        <f>$DI74*CM74</f>
        <v>104.4002427547521</v>
      </c>
    </row>
    <row r="75" spans="1:117" ht="15.75" x14ac:dyDescent="0.25">
      <c r="A75" s="51" t="s">
        <v>478</v>
      </c>
      <c r="B75" s="55" t="s">
        <v>340</v>
      </c>
      <c r="C75" t="s">
        <v>219</v>
      </c>
      <c r="D75" s="57">
        <v>43214</v>
      </c>
      <c r="E75" s="42" t="str">
        <f>A75&amp;D75</f>
        <v>23A43214</v>
      </c>
      <c r="F75" s="3">
        <f>VLOOKUP($E75,Water!$C$2:$E$90, 2, FALSE)</f>
        <v>0.9</v>
      </c>
      <c r="G75" s="3">
        <f>VLOOKUP($E75,Water!$C$2:$E$90, 3, FALSE)</f>
        <v>0.1</v>
      </c>
      <c r="H75" s="1">
        <f>F75+273.15</f>
        <v>274.04999999999995</v>
      </c>
      <c r="I75" s="3">
        <f>VLOOKUP($E75,Water!$C$2:$F$90, 4, FALSE)</f>
        <v>7.17</v>
      </c>
      <c r="J75">
        <f>10^(I75*-1)</f>
        <v>6.7608297539197998E-8</v>
      </c>
      <c r="K75" s="25">
        <v>439.52751160265137</v>
      </c>
      <c r="L75" s="25">
        <v>2.8430237635924795</v>
      </c>
      <c r="M75" s="25">
        <v>0.32236441181786135</v>
      </c>
      <c r="N75" s="21">
        <f>VLOOKUP($C75,Raw!$B$2:$F$353, 3, FALSE)</f>
        <v>1985.6567448933331</v>
      </c>
      <c r="O75" s="21">
        <f>VLOOKUP($C75,Raw!$B$2:$F$353, 4, FALSE)</f>
        <v>21198.172158921701</v>
      </c>
      <c r="P75" s="21">
        <f>VLOOKUP($C75,Raw!$B$2:$F$353, 5, FALSE)</f>
        <v>0.46894713962052026</v>
      </c>
      <c r="Q75" s="14">
        <v>60</v>
      </c>
      <c r="R75" s="25">
        <v>1140</v>
      </c>
      <c r="S75">
        <f>EXP(24.4543-(100/H75*(67.4509))-(4.8489*LN(H75/100))-(0.000544*G75))</f>
        <v>6.4301864222076101E-3</v>
      </c>
      <c r="T75" s="8">
        <f>EXP(-58.0931+90.5069*(100/H75)+22.294*LN(H75/100)+G75*(0.027766-0.025888*(H75/100)+0.0050578*(H75/100)^2))</f>
        <v>7.4836546095825601E-2</v>
      </c>
      <c r="U75" s="9">
        <f>(EXP(-67.1962+99.1624*(100/H75)+27.9015*LN(H75/100)+G75*(-0.072909+0.041674*(H75/100)-0.0064603*(H75/100)^2)))</f>
        <v>5.5897307042893439E-2</v>
      </c>
      <c r="V75" s="9">
        <f>(EXP(-64.8539+100.252*(100/H75)+25.2049*LN(H75/100)+(-0.062544+0.035337*(H75/100)-0.0054699*(H75/100)^2)*G75))</f>
        <v>5.7105486079875173E-2</v>
      </c>
      <c r="W75" s="9">
        <f>(EXP(-68.8862+101.4956*(100/H75)+28.7314*LN(H75/100)+G75*(-0.076146+0.04397*(H75/100)-0.0068672*(H75/100)^2)))</f>
        <v>5.5787471511829029E-2</v>
      </c>
      <c r="X75">
        <f>N75*(AZ75-S75)</f>
        <v>1858.4520683974604</v>
      </c>
      <c r="Y75">
        <f>O75*(AZ75-S75)</f>
        <v>19840.179827812983</v>
      </c>
      <c r="Z75">
        <f>((Y75/10^6)*AZ75)/(0.082056*H75)</f>
        <v>8.3143093584712329E-4</v>
      </c>
      <c r="AA75">
        <f>(((L75/10^6)*AZ75)/(0.082056*H75))</f>
        <v>1.1914095179145707E-7</v>
      </c>
      <c r="AB75">
        <f>((Y75/10^6)*U75*1)/(0.082056*H75)</f>
        <v>4.931696485976715E-5</v>
      </c>
      <c r="AC75">
        <f>(Z75*(Q75/1000))+(AB75*(R75/1000))</f>
        <v>1.0610719609096194E-4</v>
      </c>
      <c r="AD75" s="39">
        <f>((AC75-(AA75*(Q75/1000)))/(R75/1000))*1000000</f>
        <v>93.070217222679346</v>
      </c>
      <c r="AE75" s="39">
        <f>(AD75/((U75*AZ75*1))*(0.0821*273.15))</f>
        <v>39622.646485468023</v>
      </c>
      <c r="AF75" s="39">
        <f>L75*U75*AZ75*1/(0.0821*273.15)</f>
        <v>6.6780203423271152E-3</v>
      </c>
      <c r="AG75" s="39">
        <f>AD75-AF75</f>
        <v>93.063539202337026</v>
      </c>
      <c r="AH75" s="42">
        <f>P75*(AZ75-S75)</f>
        <v>0.43890555799141673</v>
      </c>
      <c r="AI75">
        <f>(((X75/10^6)*(Q75/1000))/(0.082056*H75))</f>
        <v>4.9586387061001361E-6</v>
      </c>
      <c r="AJ75">
        <f>(((K75/10^6)*AZ75)*(Q75/1000))/(0.082056*H75)</f>
        <v>1.1051415061976253E-6</v>
      </c>
      <c r="AK75">
        <f>(X75/10^6)*T75*(R75/1000)</f>
        <v>1.5855135262720025E-4</v>
      </c>
      <c r="AL75">
        <f>AI75+AK75</f>
        <v>1.6350999133330038E-4</v>
      </c>
      <c r="AM75" s="39">
        <f>((AL75-AJ75)/(R75/1000))*1000000</f>
        <v>142.46039458517785</v>
      </c>
      <c r="AN75" s="39">
        <f>AM75/(T75*AZ75)</f>
        <v>2020.0386688558897</v>
      </c>
      <c r="AO75" s="39">
        <f>(K75*AZ75)*T75</f>
        <v>30.997061442105515</v>
      </c>
      <c r="AP75" s="39">
        <f>AM75-AO75</f>
        <v>111.46333314307233</v>
      </c>
      <c r="AQ75">
        <f>(((AH75/10^6)*(Q75/1000))/(0.082056*H75))</f>
        <v>1.1710681836714787E-9</v>
      </c>
      <c r="AR75">
        <f>(((M75/10^6)*AZ75)*(Q75/1000))/(0.082056*H75)</f>
        <v>8.1054833250796164E-10</v>
      </c>
      <c r="AS75">
        <f>(AH75/10^6)*V75*(R75/1000)</f>
        <v>2.8572863364774911E-8</v>
      </c>
      <c r="AT75">
        <f>AQ75+AS75</f>
        <v>2.9743931548446388E-8</v>
      </c>
      <c r="AU75" s="39">
        <f>((AT75-AR75)/(R75/1000))*1000000000</f>
        <v>25.380160715735464</v>
      </c>
      <c r="AV75" s="39">
        <f>(AU75/1000)/(V75*AZ75)</f>
        <v>0.47162390609245436</v>
      </c>
      <c r="AW75" s="39">
        <f>(M75*AZ75)*V75*1000</f>
        <v>17.347849579463364</v>
      </c>
      <c r="AX75" s="39">
        <f>AU75-AW75</f>
        <v>8.0323111362720994</v>
      </c>
      <c r="AY75" s="26">
        <f>VLOOKUP($E75,Water!$C$2:$G$90, 5, FALSE)</f>
        <v>716.2</v>
      </c>
      <c r="AZ75">
        <f>AY75/760</f>
        <v>0.94236842105263163</v>
      </c>
      <c r="BA75" s="3">
        <f>Assumptions!$B$3</f>
        <v>406.07</v>
      </c>
      <c r="BB75" s="3">
        <f>BA75*AZ75*T75</f>
        <v>28.63751735107509</v>
      </c>
      <c r="BC75" s="3">
        <f>Assumptions!$B$4</f>
        <v>1.8474300000000001</v>
      </c>
      <c r="BD75" s="45">
        <f>BC75*AZ75*U75*1/(0.0821*273.15)</f>
        <v>4.3394555047390733E-3</v>
      </c>
      <c r="BE75" s="3">
        <f>Assumptions!$B$2</f>
        <v>0.33054499999999998</v>
      </c>
      <c r="BF75" s="44">
        <f>BE75*AZ75*V75*1000</f>
        <v>17.788083079355591</v>
      </c>
      <c r="BG75">
        <f>1923.6+(-125.06*F75)+(4.3773*(F75^2))+(-0.085681*(F75^3))+(0.00070284*(F75^4))</f>
        <v>1814.5296126843239</v>
      </c>
      <c r="BH75">
        <f>1909.4+(-120.78*F75)+(4.1555*(F75^2))+(-0.080578*(F75^3))+(0.00065777*(F75^4))</f>
        <v>1804.0056452008969</v>
      </c>
      <c r="BI75">
        <f>2141.2+(-152.56*F75)+(5.8963*(F75^2))+(-0.12411*(F75^3))+(0.0010655*(F75^4))</f>
        <v>2008.5822258845499</v>
      </c>
      <c r="BJ75" s="25">
        <f>VLOOKUP(E75,Wind!$C$2:$E$109,3, FALSE)</f>
        <v>2.5833333333333335</v>
      </c>
      <c r="BK75" s="44">
        <v>1.66</v>
      </c>
      <c r="BL75">
        <f>BK75/(1-(((1.3*10^-3)^0.5)/0.41)*LN(10/1.5))</f>
        <v>1.9923982880693825</v>
      </c>
      <c r="BM75">
        <f>BK75*1.22</f>
        <v>2.0251999999999999</v>
      </c>
      <c r="BN75">
        <f>2.07+0.215*(BM75^1.7)*(24/100)</f>
        <v>2.241255750541113</v>
      </c>
      <c r="BO75">
        <f>BN75*((600/BG75)^0.67)</f>
        <v>1.0677776697956316</v>
      </c>
      <c r="BP75">
        <f>BN75*((600/BH75)^0.67)</f>
        <v>1.0719471324401015</v>
      </c>
      <c r="BQ75">
        <f>BN75*((600/BI75)^0.67)</f>
        <v>0.99750874645663801</v>
      </c>
      <c r="BR75" s="39">
        <f>BO75*(AM75-BB75)</f>
        <v>121.5375266224645</v>
      </c>
      <c r="BS75" s="39">
        <f>BP75*(AD75-BD75)</f>
        <v>99.761700800543821</v>
      </c>
      <c r="BT75" s="39">
        <f>BQ75*(AU75-BF75)</f>
        <v>7.5731638460667625</v>
      </c>
      <c r="BU75">
        <f>(2.51+1.48*BM75)+(0.39*BM75*LOG10(0.0015))</f>
        <v>3.2768938069574309</v>
      </c>
      <c r="BV75">
        <f>BU75*((600/$BG75)^0.67)</f>
        <v>1.561175708089525</v>
      </c>
      <c r="BW75">
        <f>BU75*((600/$BH75)^0.67)</f>
        <v>1.5672717934268208</v>
      </c>
      <c r="BX75">
        <f>BU75*((600/$BI75)^0.67)</f>
        <v>1.4584369645724047</v>
      </c>
      <c r="BY75" s="39">
        <f>BV75*($AM75-$BB75)</f>
        <v>177.69751096273745</v>
      </c>
      <c r="BZ75" s="39">
        <f>BW75*($AD75-$BD75)</f>
        <v>145.85952515500105</v>
      </c>
      <c r="CA75" s="39">
        <f>BX75*($AU75-$BF75)</f>
        <v>11.072566662799899</v>
      </c>
      <c r="CB75" s="42">
        <f>AVERAGE(0.72,0.69,0.4,0.22)</f>
        <v>0.50750000000000006</v>
      </c>
      <c r="CC75">
        <f>CB75*((600/$BG75)^0.67)</f>
        <v>0.24178283415020857</v>
      </c>
      <c r="CD75">
        <f>CB75*((600/$BH75)^0.67)</f>
        <v>0.24272694875719061</v>
      </c>
      <c r="CE75">
        <f>CB75*((600/$BI75)^0.67)</f>
        <v>0.22587145117397775</v>
      </c>
      <c r="CF75" s="39">
        <f>CC75*($AM75-$BB75)</f>
        <v>27.520417848792619</v>
      </c>
      <c r="CG75" s="39">
        <f>CD75*($AD75-$BD75)</f>
        <v>22.589596543835956</v>
      </c>
      <c r="CH75" s="39">
        <f>CE75*($AU75-$BF75)</f>
        <v>1.7148335931546248</v>
      </c>
      <c r="CI75">
        <v>0.86263901889527161</v>
      </c>
      <c r="CJ75">
        <f>((BG75/BH75)^0.67)*CI75</f>
        <v>0.8660074552904945</v>
      </c>
      <c r="CK75">
        <f>((BH75/BH75)^0.67)*CI75</f>
        <v>0.86263901889527161</v>
      </c>
      <c r="CL75">
        <f>((BI75/BH75)^0.67)*CI75</f>
        <v>0.92701284667474948</v>
      </c>
      <c r="CM75" s="39">
        <f>CJ75*($AM75-$BB75)</f>
        <v>98.571460267347689</v>
      </c>
      <c r="CN75" s="39">
        <f>CK75*($AD75-$BD75)</f>
        <v>80.282257489702772</v>
      </c>
      <c r="CO75" s="39">
        <f>CL75*($AU75-$BF75)</f>
        <v>7.0379535018762098</v>
      </c>
      <c r="CP75" s="27">
        <f>VLOOKUP(A75,Water!$A$2:$E$109, 5, FALSE)/1000</f>
        <v>1E-4</v>
      </c>
      <c r="CQ75">
        <f>0.64*CP75</f>
        <v>6.4000000000000011E-5</v>
      </c>
      <c r="CR75" s="19">
        <f>CQ75*1000*(2.5*10^-5)</f>
        <v>1.6000000000000004E-6</v>
      </c>
      <c r="CS75" s="18">
        <f>(-0.0000009*F75^3)+(0.0002*F75^2)-(0.0134*F75)+6.579</f>
        <v>6.5671013439000001</v>
      </c>
      <c r="CT75" s="18">
        <f>CS75-(SQRT(CP75))/(1+1.4*SQRT(CP75))</f>
        <v>6.5572394109611443</v>
      </c>
      <c r="CU75" s="18">
        <f>10^(-CT75)</f>
        <v>2.7717916941296027E-7</v>
      </c>
      <c r="CV75" s="18">
        <f>(0.000001*F75^3)+(0.00006*F75^2)-(0.014*F75)+10.625</f>
        <v>10.612449329</v>
      </c>
      <c r="CW75" s="18">
        <f>CV75-(2*SQRT(CR75))/(1+1.4*SQRT(CR75))</f>
        <v>10.609923978952368</v>
      </c>
      <c r="CX75" s="18">
        <f>10^(-CW75)</f>
        <v>2.4551386376470997E-11</v>
      </c>
      <c r="CY75">
        <f>EXP(1246.98+-61900/H75-183*LN(H75))</f>
        <v>2.1830638098535105E-3</v>
      </c>
      <c r="CZ75">
        <f>12.225*(F75^2)+15.258*F75+1125.7</f>
        <v>1149.3344500000001</v>
      </c>
      <c r="DA75" s="15">
        <f>10^(-4470.99/H75+6.0875-0.01706*H75)</f>
        <v>1.2522826037506242E-15</v>
      </c>
      <c r="DB75">
        <f>(10^-I75)</f>
        <v>6.7608297539197998E-8</v>
      </c>
      <c r="DC75">
        <f>DB75^2</f>
        <v>4.5708818961487261E-15</v>
      </c>
      <c r="DD75" s="20">
        <f>((14.6836*10^-9)*((H75/217.2056)-1)^1.997)*100*100</f>
        <v>1.0097466773527052E-5</v>
      </c>
      <c r="DE75">
        <f>CY75+CZ75*DA75/DB75</f>
        <v>2.204352491716736E-3</v>
      </c>
      <c r="DF75">
        <f>1+DC75*(CU75*CX75+CU75*DB75)^-1</f>
        <v>1.2438269629292535</v>
      </c>
      <c r="DG75">
        <f>(DE75*DF75/DD75)^0.5</f>
        <v>16.478371450039578</v>
      </c>
      <c r="DH75">
        <f>DD75/(BO75/60/60)</f>
        <v>3.4043491836324692E-2</v>
      </c>
      <c r="DI75" s="16">
        <f>DF75/((DF75-1)+TANH(DG75*DH75)/(DG75*DH75))</f>
        <v>1.0809870753646178</v>
      </c>
      <c r="DJ75">
        <f>$DI75*BR75</f>
        <v>131.38049545066727</v>
      </c>
      <c r="DK75">
        <f>$DI75*BY75</f>
        <v>192.08871267518168</v>
      </c>
      <c r="DL75">
        <f>$DI75*CF75</f>
        <v>29.74921600317856</v>
      </c>
      <c r="DM75">
        <f>$DI75*CM75</f>
        <v>106.55447454881981</v>
      </c>
    </row>
    <row r="76" spans="1:117" ht="15.75" x14ac:dyDescent="0.25">
      <c r="A76" s="51" t="s">
        <v>478</v>
      </c>
      <c r="B76" s="55" t="s">
        <v>341</v>
      </c>
      <c r="C76" t="s">
        <v>220</v>
      </c>
      <c r="D76" s="57">
        <v>43214</v>
      </c>
      <c r="E76" s="42" t="str">
        <f>A76&amp;D76</f>
        <v>23A43214</v>
      </c>
      <c r="F76" s="3">
        <f>VLOOKUP($E76,Water!$C$2:$E$90, 2, FALSE)</f>
        <v>0.9</v>
      </c>
      <c r="G76" s="3">
        <f>VLOOKUP($E76,Water!$C$2:$E$90, 3, FALSE)</f>
        <v>0.1</v>
      </c>
      <c r="H76" s="1">
        <f>F76+273.15</f>
        <v>274.04999999999995</v>
      </c>
      <c r="I76" s="3">
        <f>VLOOKUP($E76,Water!$C$2:$F$90, 4, FALSE)</f>
        <v>7.17</v>
      </c>
      <c r="J76">
        <f>10^(I76*-1)</f>
        <v>6.7608297539197998E-8</v>
      </c>
      <c r="K76" s="25">
        <v>439.52751160265137</v>
      </c>
      <c r="L76" s="25">
        <v>2.8430237635924795</v>
      </c>
      <c r="M76" s="25">
        <v>0.32236441181786135</v>
      </c>
      <c r="N76" s="21">
        <f>VLOOKUP($C76,Raw!$B$2:$F$353, 3, FALSE)</f>
        <v>2012.8092936703461</v>
      </c>
      <c r="O76" s="21">
        <f>VLOOKUP($C76,Raw!$B$2:$F$353, 4, FALSE)</f>
        <v>19904.689934753369</v>
      </c>
      <c r="P76" s="21">
        <f>VLOOKUP($C76,Raw!$B$2:$F$353, 5, FALSE)</f>
        <v>0.48545866241357738</v>
      </c>
      <c r="Q76" s="14">
        <v>60</v>
      </c>
      <c r="R76" s="25">
        <v>1140</v>
      </c>
      <c r="S76">
        <f>EXP(24.4543-(100/H76*(67.4509))-(4.8489*LN(H76/100))-(0.000544*G76))</f>
        <v>6.4301864222076101E-3</v>
      </c>
      <c r="T76" s="8">
        <f>EXP(-58.0931+90.5069*(100/H76)+22.294*LN(H76/100)+G76*(0.027766-0.025888*(H76/100)+0.0050578*(H76/100)^2))</f>
        <v>7.4836546095825601E-2</v>
      </c>
      <c r="U76" s="9">
        <f>(EXP(-67.1962+99.1624*(100/H76)+27.9015*LN(H76/100)+G76*(-0.072909+0.041674*(H76/100)-0.0064603*(H76/100)^2)))</f>
        <v>5.5897307042893439E-2</v>
      </c>
      <c r="V76" s="9">
        <f>(EXP(-64.8539+100.252*(100/H76)+25.2049*LN(H76/100)+(-0.062544+0.035337*(H76/100)-0.0054699*(H76/100)^2)*G76))</f>
        <v>5.7105486079875173E-2</v>
      </c>
      <c r="W76" s="9">
        <f>(EXP(-68.8862+101.4956*(100/H76)+28.7314*LN(H76/100)+G76*(-0.076146+0.04397*(H76/100)-0.0068672*(H76/100)^2)))</f>
        <v>5.5787471511829029E-2</v>
      </c>
      <c r="X76">
        <f>N76*(AZ76-S76)</f>
        <v>1883.8651769655344</v>
      </c>
      <c r="Y76">
        <f>O76*(AZ76-S76)</f>
        <v>18629.560358399038</v>
      </c>
      <c r="Z76">
        <f>((Y76/10^6)*AZ76)/(0.082056*H76)</f>
        <v>7.8069820624763878E-4</v>
      </c>
      <c r="AA76">
        <f>(((L76/10^6)*AZ76)/(0.082056*H76))</f>
        <v>1.1914095179145707E-7</v>
      </c>
      <c r="AB76">
        <f>((Y76/10^6)*U76*1)/(0.082056*H76)</f>
        <v>4.6307714018807468E-5</v>
      </c>
      <c r="AC76">
        <f>(Z76*(Q76/1000))+(AB76*(R76/1000))</f>
        <v>9.9632686356298833E-5</v>
      </c>
      <c r="AD76" s="39">
        <f>((AC76-(AA76*(Q76/1000)))/(R76/1000))*1000000</f>
        <v>87.390822718588907</v>
      </c>
      <c r="AE76" s="39">
        <f>(AD76/((U76*AZ76*1))*(0.0821*273.15))</f>
        <v>37204.766229008826</v>
      </c>
      <c r="AF76" s="39">
        <f>L76*U76*AZ76*1/(0.0821*273.15)</f>
        <v>6.6780203423271152E-3</v>
      </c>
      <c r="AG76" s="39">
        <f>AD76-AF76</f>
        <v>87.384144698246587</v>
      </c>
      <c r="AH76" s="42">
        <f>P76*(AZ76-S76)</f>
        <v>0.45435932348541058</v>
      </c>
      <c r="AI76">
        <f>(((X76/10^6)*(Q76/1000))/(0.082056*H76))</f>
        <v>5.0264448260054172E-6</v>
      </c>
      <c r="AJ76">
        <f>(((K76/10^6)*AZ76)*(Q76/1000))/(0.082056*H76)</f>
        <v>1.1051415061976253E-6</v>
      </c>
      <c r="AK76">
        <f>(X76/10^6)*T76*(R76/1000)</f>
        <v>1.6071943799590412E-4</v>
      </c>
      <c r="AL76">
        <f>AI76+AK76</f>
        <v>1.6574588282190954E-4</v>
      </c>
      <c r="AM76" s="39">
        <f>((AL76-AJ76)/(R76/1000))*1000000</f>
        <v>144.42170290851922</v>
      </c>
      <c r="AN76" s="39">
        <f>AM76/(T76*AZ76)</f>
        <v>2047.8493362784739</v>
      </c>
      <c r="AO76" s="39">
        <f>(K76*AZ76)*T76</f>
        <v>30.997061442105515</v>
      </c>
      <c r="AP76" s="39">
        <f>AM76-AO76</f>
        <v>113.4246414664137</v>
      </c>
      <c r="AQ76">
        <f>(((AH76/10^6)*(Q76/1000))/(0.082056*H76))</f>
        <v>1.2123012297298525E-9</v>
      </c>
      <c r="AR76">
        <f>(((M76/10^6)*AZ76)*(Q76/1000))/(0.082056*H76)</f>
        <v>8.1054833250796164E-10</v>
      </c>
      <c r="AS76">
        <f>(AH76/10^6)*V76*(R76/1000)</f>
        <v>2.9578907425715675E-8</v>
      </c>
      <c r="AT76">
        <f>AQ76+AS76</f>
        <v>3.0791208655445531E-8</v>
      </c>
      <c r="AU76" s="39">
        <f>((AT76-AR76)/(R76/1000))*1000000000</f>
        <v>26.298824844682084</v>
      </c>
      <c r="AV76" s="39">
        <f>(AU76/1000)/(V76*AZ76)</f>
        <v>0.48869487619912544</v>
      </c>
      <c r="AW76" s="39">
        <f>(M76*AZ76)*V76*1000</f>
        <v>17.347849579463364</v>
      </c>
      <c r="AX76" s="39">
        <f>AU76-AW76</f>
        <v>8.9509752652187196</v>
      </c>
      <c r="AY76" s="26">
        <f>VLOOKUP($E76,Water!$C$2:$G$90, 5, FALSE)</f>
        <v>716.2</v>
      </c>
      <c r="AZ76">
        <f>AY76/760</f>
        <v>0.94236842105263163</v>
      </c>
      <c r="BA76" s="3">
        <f>Assumptions!$B$3</f>
        <v>406.07</v>
      </c>
      <c r="BB76" s="3">
        <f>BA76*AZ76*T76</f>
        <v>28.63751735107509</v>
      </c>
      <c r="BC76" s="3">
        <f>Assumptions!$B$4</f>
        <v>1.8474300000000001</v>
      </c>
      <c r="BD76" s="45">
        <f>BC76*AZ76*U76*1/(0.0821*273.15)</f>
        <v>4.3394555047390733E-3</v>
      </c>
      <c r="BE76" s="3">
        <f>Assumptions!$B$2</f>
        <v>0.33054499999999998</v>
      </c>
      <c r="BF76" s="44">
        <f>BE76*AZ76*V76*1000</f>
        <v>17.788083079355591</v>
      </c>
      <c r="BG76">
        <f>1923.6+(-125.06*F76)+(4.3773*(F76^2))+(-0.085681*(F76^3))+(0.00070284*(F76^4))</f>
        <v>1814.5296126843239</v>
      </c>
      <c r="BH76">
        <f>1909.4+(-120.78*F76)+(4.1555*(F76^2))+(-0.080578*(F76^3))+(0.00065777*(F76^4))</f>
        <v>1804.0056452008969</v>
      </c>
      <c r="BI76">
        <f>2141.2+(-152.56*F76)+(5.8963*(F76^2))+(-0.12411*(F76^3))+(0.0010655*(F76^4))</f>
        <v>2008.5822258845499</v>
      </c>
      <c r="BJ76" s="25">
        <f>VLOOKUP(E76,Wind!$C$2:$E$109,3, FALSE)</f>
        <v>2.5833333333333335</v>
      </c>
      <c r="BK76" s="44">
        <v>1.66</v>
      </c>
      <c r="BL76">
        <f>BK76/(1-(((1.3*10^-3)^0.5)/0.41)*LN(10/1.5))</f>
        <v>1.9923982880693825</v>
      </c>
      <c r="BM76">
        <f>BK76*1.22</f>
        <v>2.0251999999999999</v>
      </c>
      <c r="BN76">
        <f>2.07+0.215*(BM76^1.7)*(24/100)</f>
        <v>2.241255750541113</v>
      </c>
      <c r="BO76">
        <f>BN76*((600/BG76)^0.67)</f>
        <v>1.0677776697956316</v>
      </c>
      <c r="BP76">
        <f>BN76*((600/BH76)^0.67)</f>
        <v>1.0719471324401015</v>
      </c>
      <c r="BQ76">
        <f>BN76*((600/BI76)^0.67)</f>
        <v>0.99750874645663801</v>
      </c>
      <c r="BR76" s="39">
        <f>BO76*(AM76-BB76)</f>
        <v>123.63176785371272</v>
      </c>
      <c r="BS76" s="39">
        <f>BP76*(AD76-BD76)</f>
        <v>93.67369014788801</v>
      </c>
      <c r="BT76" s="39">
        <f>BQ76*(AU76-BF76)</f>
        <v>8.489539349746984</v>
      </c>
      <c r="BU76">
        <f>(2.51+1.48*BM76)+(0.39*BM76*LOG10(0.0015))</f>
        <v>3.2768938069574309</v>
      </c>
      <c r="BV76">
        <f>BU76*((600/$BG76)^0.67)</f>
        <v>1.561175708089525</v>
      </c>
      <c r="BW76">
        <f>BU76*((600/$BH76)^0.67)</f>
        <v>1.5672717934268208</v>
      </c>
      <c r="BX76">
        <f>BU76*((600/$BI76)^0.67)</f>
        <v>1.4584369645724047</v>
      </c>
      <c r="BY76" s="39">
        <f>BV76*($AM76-$BB76)</f>
        <v>180.7594578732118</v>
      </c>
      <c r="BZ76" s="39">
        <f>BW76*($AD76-$BD76)</f>
        <v>136.95837034499678</v>
      </c>
      <c r="CA76" s="39">
        <f>BX76*($AU76-$BF76)</f>
        <v>12.41238038648236</v>
      </c>
      <c r="CB76" s="42">
        <f>AVERAGE(0.72,0.69,0.4,0.22)</f>
        <v>0.50750000000000006</v>
      </c>
      <c r="CC76">
        <f>CB76*((600/$BG76)^0.67)</f>
        <v>0.24178283415020857</v>
      </c>
      <c r="CD76">
        <f>CB76*((600/$BH76)^0.67)</f>
        <v>0.24272694875719061</v>
      </c>
      <c r="CE76">
        <f>CB76*((600/$BI76)^0.67)</f>
        <v>0.22587145117397775</v>
      </c>
      <c r="CF76" s="39">
        <f>CC76*($AM76-$BB76)</f>
        <v>27.994628533852488</v>
      </c>
      <c r="CG76" s="39">
        <f>CD76*($AD76-$BD76)</f>
        <v>21.211054445069728</v>
      </c>
      <c r="CH76" s="39">
        <f>CE76*($AU76-$BF76)</f>
        <v>1.9223335931012762</v>
      </c>
      <c r="CI76">
        <v>0.86263901889527161</v>
      </c>
      <c r="CJ76">
        <f>((BG76/BH76)^0.67)*CI76</f>
        <v>0.8660074552904945</v>
      </c>
      <c r="CK76">
        <f>((BH76/BH76)^0.67)*CI76</f>
        <v>0.86263901889527161</v>
      </c>
      <c r="CL76">
        <f>((BI76/BH76)^0.67)*CI76</f>
        <v>0.92701284667474948</v>
      </c>
      <c r="CM76" s="39">
        <f>CJ76*($AM76-$BB76)</f>
        <v>100.26996789748462</v>
      </c>
      <c r="CN76" s="39">
        <f>CK76*($AD76-$BD76)</f>
        <v>75.382990186775004</v>
      </c>
      <c r="CO76" s="39">
        <f>CL76*($AU76-$BF76)</f>
        <v>7.8895669511889954</v>
      </c>
      <c r="CP76" s="27">
        <f>VLOOKUP(A76,Water!$A$2:$E$109, 5, FALSE)/1000</f>
        <v>1E-4</v>
      </c>
      <c r="CQ76">
        <f>0.64*CP76</f>
        <v>6.4000000000000011E-5</v>
      </c>
      <c r="CR76" s="19">
        <f>CQ76*1000*(2.5*10^-5)</f>
        <v>1.6000000000000004E-6</v>
      </c>
      <c r="CS76" s="18">
        <f>(-0.0000009*F76^3)+(0.0002*F76^2)-(0.0134*F76)+6.579</f>
        <v>6.5671013439000001</v>
      </c>
      <c r="CT76" s="18">
        <f>CS76-(SQRT(CP76))/(1+1.4*SQRT(CP76))</f>
        <v>6.5572394109611443</v>
      </c>
      <c r="CU76" s="18">
        <f>10^(-CT76)</f>
        <v>2.7717916941296027E-7</v>
      </c>
      <c r="CV76" s="18">
        <f>(0.000001*F76^3)+(0.00006*F76^2)-(0.014*F76)+10.625</f>
        <v>10.612449329</v>
      </c>
      <c r="CW76" s="18">
        <f>CV76-(2*SQRT(CR76))/(1+1.4*SQRT(CR76))</f>
        <v>10.609923978952368</v>
      </c>
      <c r="CX76" s="18">
        <f>10^(-CW76)</f>
        <v>2.4551386376470997E-11</v>
      </c>
      <c r="CY76">
        <f>EXP(1246.98+-61900/H76-183*LN(H76))</f>
        <v>2.1830638098535105E-3</v>
      </c>
      <c r="CZ76">
        <f>12.225*(F76^2)+15.258*F76+1125.7</f>
        <v>1149.3344500000001</v>
      </c>
      <c r="DA76" s="15">
        <f>10^(-4470.99/H76+6.0875-0.01706*H76)</f>
        <v>1.2522826037506242E-15</v>
      </c>
      <c r="DB76">
        <f>(10^-I76)</f>
        <v>6.7608297539197998E-8</v>
      </c>
      <c r="DC76">
        <f>DB76^2</f>
        <v>4.5708818961487261E-15</v>
      </c>
      <c r="DD76" s="20">
        <f>((14.6836*10^-9)*((H76/217.2056)-1)^1.997)*100*100</f>
        <v>1.0097466773527052E-5</v>
      </c>
      <c r="DE76">
        <f>CY76+CZ76*DA76/DB76</f>
        <v>2.204352491716736E-3</v>
      </c>
      <c r="DF76">
        <f>1+DC76*(CU76*CX76+CU76*DB76)^-1</f>
        <v>1.2438269629292535</v>
      </c>
      <c r="DG76">
        <f>(DE76*DF76/DD76)^0.5</f>
        <v>16.478371450039578</v>
      </c>
      <c r="DH76">
        <f>DD76/(BO76/60/60)</f>
        <v>3.4043491836324692E-2</v>
      </c>
      <c r="DI76" s="16">
        <f>DF76/((DF76-1)+TANH(DG76*DH76)/(DG76*DH76))</f>
        <v>1.0809870753646178</v>
      </c>
      <c r="DJ76">
        <f>$DI76*BR76</f>
        <v>133.64434315434229</v>
      </c>
      <c r="DK76">
        <f>$DI76*BY76</f>
        <v>195.39863771085706</v>
      </c>
      <c r="DL76">
        <f>$DI76*CF76</f>
        <v>30.261831624728078</v>
      </c>
      <c r="DM76">
        <f>$DI76*CM76</f>
        <v>108.39053934440601</v>
      </c>
    </row>
    <row r="77" spans="1:117" ht="15.75" x14ac:dyDescent="0.25">
      <c r="A77" s="51" t="s">
        <v>478</v>
      </c>
      <c r="B77" s="55" t="s">
        <v>342</v>
      </c>
      <c r="C77" t="s">
        <v>221</v>
      </c>
      <c r="D77" s="57">
        <v>43214</v>
      </c>
      <c r="E77" s="42" t="str">
        <f>A77&amp;D77</f>
        <v>23A43214</v>
      </c>
      <c r="F77" s="3">
        <f>VLOOKUP($E77,Water!$C$2:$E$90, 2, FALSE)</f>
        <v>0.9</v>
      </c>
      <c r="G77" s="3">
        <f>VLOOKUP($E77,Water!$C$2:$E$90, 3, FALSE)</f>
        <v>0.1</v>
      </c>
      <c r="H77" s="1">
        <f>F77+273.15</f>
        <v>274.04999999999995</v>
      </c>
      <c r="I77" s="3">
        <f>VLOOKUP($E77,Water!$C$2:$F$90, 4, FALSE)</f>
        <v>7.17</v>
      </c>
      <c r="J77">
        <f>10^(I77*-1)</f>
        <v>6.7608297539197998E-8</v>
      </c>
      <c r="K77" s="25">
        <v>439.52751160265137</v>
      </c>
      <c r="L77" s="25">
        <v>2.8430237635924795</v>
      </c>
      <c r="M77" s="25">
        <v>0.32236441181786135</v>
      </c>
      <c r="N77" s="21">
        <f>VLOOKUP($C77,Raw!$B$2:$F$353, 3, FALSE)</f>
        <v>2008.9222086665741</v>
      </c>
      <c r="O77" s="21">
        <f>VLOOKUP($C77,Raw!$B$2:$F$353, 4, FALSE)</f>
        <v>19958.359560374109</v>
      </c>
      <c r="P77" s="21">
        <f>VLOOKUP($C77,Raw!$B$2:$F$353, 5, FALSE)</f>
        <v>0.48709726583474505</v>
      </c>
      <c r="Q77" s="14">
        <v>60</v>
      </c>
      <c r="R77" s="25">
        <v>1140</v>
      </c>
      <c r="S77">
        <f>EXP(24.4543-(100/H77*(67.4509))-(4.8489*LN(H77/100))-(0.000544*G77))</f>
        <v>6.4301864222076101E-3</v>
      </c>
      <c r="T77" s="8">
        <f>EXP(-58.0931+90.5069*(100/H77)+22.294*LN(H77/100)+G77*(0.027766-0.025888*(H77/100)+0.0050578*(H77/100)^2)*G77)</f>
        <v>7.4871539151785002E-2</v>
      </c>
      <c r="U77" s="9">
        <f>(EXP(-67.1962+99.1624*(100/H77)+27.9015*LN(H77/100)+G77*(-0.072909+0.041674*(H77/100)-0.0064603*(H77/100)^2)*G77))</f>
        <v>5.5933643202644968E-2</v>
      </c>
      <c r="V77" s="9">
        <f>(EXP(-64.8539+100.252*(100/H77)+25.2049*LN(H77/100)+(-0.062544+0.035337*(H77/100)-0.0054699*(H77/100)^2)*G77))</f>
        <v>5.7105486079875173E-2</v>
      </c>
      <c r="W77" s="9">
        <f>(EXP(-68.8862+101.4956*(100/H77)+28.7314*LN(H77/100)+G77*(-0.076146+0.04397*(H77/100)-0.0068672*(H77/100)^2)))</f>
        <v>5.5787471511829029E-2</v>
      </c>
      <c r="X77">
        <f>N77*(AZ77-S77)</f>
        <v>1880.2271054892456</v>
      </c>
      <c r="Y77">
        <f>O77*(AZ77-S77)</f>
        <v>18679.791813055788</v>
      </c>
      <c r="Z77">
        <f>((Y77/10^6)*AZ77)/(0.082056*H77)</f>
        <v>7.8280322675232568E-4</v>
      </c>
      <c r="AA77">
        <f>(((L77/10^6)*AZ77)/(0.082056*H77))</f>
        <v>1.1914095179145707E-7</v>
      </c>
      <c r="AB77">
        <f>((Y77/10^6)*U77*1)/(0.082056*H77)</f>
        <v>4.6462758518728368E-5</v>
      </c>
      <c r="AC77">
        <f>(Z77*(Q77/1000))+(AB77*(R77/1000))</f>
        <v>9.9935738316489866E-5</v>
      </c>
      <c r="AD77" s="39">
        <f>((AC77-(AA77*(Q77/1000)))/(R77/1000))*1000000</f>
        <v>87.656657771388055</v>
      </c>
      <c r="AE77" s="39">
        <f>(AD77/((U77*AZ77*1))*(0.0821*273.15))</f>
        <v>37293.696949827179</v>
      </c>
      <c r="AF77" s="39">
        <f>L77*U77*AZ77*1/(0.0821*273.15)</f>
        <v>6.682361403226463E-3</v>
      </c>
      <c r="AG77" s="39">
        <f>AD77-AF77</f>
        <v>87.649975409984833</v>
      </c>
      <c r="AH77" s="42">
        <f>P77*(AZ77-S77)</f>
        <v>0.45589295507867766</v>
      </c>
      <c r="AI77">
        <f>(((X77/10^6)*(Q77/1000))/(0.082056*H77))</f>
        <v>5.016737886372887E-6</v>
      </c>
      <c r="AJ77">
        <f>(((K77/10^6)*AZ77)*(Q77/1000))/(0.082056*H77)</f>
        <v>1.1051415061976253E-6</v>
      </c>
      <c r="AK77">
        <f>(X77/10^6)*T77*(R77/1000)</f>
        <v>1.6048406697088938E-4</v>
      </c>
      <c r="AL77">
        <f>AI77+AK77</f>
        <v>1.6550080485726226E-4</v>
      </c>
      <c r="AM77" s="39">
        <f>((AL77-AJ77)/(R77/1000))*1000000</f>
        <v>144.20672223777601</v>
      </c>
      <c r="AN77" s="39">
        <f>AM77/(T77*AZ77)</f>
        <v>2043.8452973564408</v>
      </c>
      <c r="AO77" s="39">
        <f>(K77*AZ77)*T77</f>
        <v>31.01155545555493</v>
      </c>
      <c r="AP77" s="39">
        <f>AM77-AO77</f>
        <v>113.19516678222108</v>
      </c>
      <c r="AQ77">
        <f>(((AH77/10^6)*(Q77/1000))/(0.082056*H77))</f>
        <v>1.2163931969689269E-9</v>
      </c>
      <c r="AR77">
        <f>(((M77/10^6)*AZ77)*(Q77/1000))/(0.082056*H77)</f>
        <v>8.1054833250796164E-10</v>
      </c>
      <c r="AS77">
        <f>(AH77/10^6)*V77*(R77/1000)</f>
        <v>2.9678747232180786E-8</v>
      </c>
      <c r="AT77">
        <f>AQ77+AS77</f>
        <v>3.0895140429149711E-8</v>
      </c>
      <c r="AU77" s="39">
        <f>((AT77-AR77)/(R77/1000))*1000000000</f>
        <v>26.389993067229607</v>
      </c>
      <c r="AV77" s="39">
        <f>(AU77/1000)/(V77*AZ77)</f>
        <v>0.49038899916828027</v>
      </c>
      <c r="AW77" s="39">
        <f>(M77*AZ77)*V77*1000</f>
        <v>17.347849579463364</v>
      </c>
      <c r="AX77" s="39">
        <f>AU77-AW77</f>
        <v>9.0421434877662428</v>
      </c>
      <c r="AY77" s="26">
        <f>VLOOKUP($E77,Water!$C$2:$G$90, 5, FALSE)</f>
        <v>716.2</v>
      </c>
      <c r="AZ77">
        <f>AY77/760</f>
        <v>0.94236842105263163</v>
      </c>
      <c r="BA77" s="3">
        <f>Assumptions!$B$3</f>
        <v>406.07</v>
      </c>
      <c r="BB77" s="3">
        <f>BA77*AZ77*T77</f>
        <v>28.650908057881914</v>
      </c>
      <c r="BC77" s="3">
        <f>Assumptions!$B$4</f>
        <v>1.8474300000000001</v>
      </c>
      <c r="BD77" s="45">
        <f>BC77*AZ77*U77*1/(0.0821*273.15)</f>
        <v>4.342276376741617E-3</v>
      </c>
      <c r="BE77" s="3">
        <f>Assumptions!$B$2</f>
        <v>0.33054499999999998</v>
      </c>
      <c r="BF77" s="44">
        <f>BE77*AZ77*V77*1000</f>
        <v>17.788083079355591</v>
      </c>
      <c r="BG77">
        <f>1923.6+(-125.06*F77)+(4.3773*(F77^2))+(-0.085681*(F77^3))+(0.00070284*(F77^4))</f>
        <v>1814.5296126843239</v>
      </c>
      <c r="BH77">
        <f>1909.4+(-120.78*F77)+(4.1555*(F77^2))+(-0.080578*(F77^3))+(0.00065777*(F77^4))</f>
        <v>1804.0056452008969</v>
      </c>
      <c r="BI77">
        <f>2141.2+(-152.56*F77)+(5.8963*(F77^2))+(-0.12411*(F77^3))+(0.0010655*(F77^4))</f>
        <v>2008.5822258845499</v>
      </c>
      <c r="BJ77" s="25">
        <f>VLOOKUP(E77,Wind!$C$2:$E$109,3, FALSE)</f>
        <v>2.5833333333333335</v>
      </c>
      <c r="BK77" s="44">
        <v>1.66</v>
      </c>
      <c r="BL77">
        <f>BK77/(1-(((1.3*10^-3)^0.5)/0.41)*LN(10/1.5))</f>
        <v>1.9923982880693825</v>
      </c>
      <c r="BM77">
        <f>BK77*1.22</f>
        <v>2.0251999999999999</v>
      </c>
      <c r="BN77">
        <f>2.07+0.215*(BM77^1.7)*(24/100)</f>
        <v>2.241255750541113</v>
      </c>
      <c r="BO77">
        <f>BN77*((600/BG77)^0.67)</f>
        <v>1.0677776697956316</v>
      </c>
      <c r="BP77">
        <f>BN77*((600/BH77)^0.67)</f>
        <v>1.0719471324401015</v>
      </c>
      <c r="BQ77">
        <f>BN77*((600/BI77)^0.67)</f>
        <v>0.99750874645663801</v>
      </c>
      <c r="BR77" s="39">
        <f>BO77*(AM77-BB77)</f>
        <v>123.38791799634433</v>
      </c>
      <c r="BS77" s="39">
        <f>BP77*(AD77-BD77)</f>
        <v>93.958648246612455</v>
      </c>
      <c r="BT77" s="39">
        <f>BQ77*(AU77-BF77)</f>
        <v>8.5804804491370437</v>
      </c>
      <c r="BU77">
        <f>(2.51+1.48*BM77)+(0.39*BM77*LOG10(0.0015))</f>
        <v>3.2768938069574309</v>
      </c>
      <c r="BV77">
        <f>BU77*((600/$BG77)^0.67)</f>
        <v>1.561175708089525</v>
      </c>
      <c r="BW77">
        <f>BU77*((600/$BH77)^0.67)</f>
        <v>1.5672717934268208</v>
      </c>
      <c r="BX77">
        <f>BU77*((600/$BI77)^0.67)</f>
        <v>1.4584369645724047</v>
      </c>
      <c r="BY77" s="39">
        <f>BV77*($AM77-$BB77)</f>
        <v>180.40293002615775</v>
      </c>
      <c r="BZ77" s="39">
        <f>BW77*($AD77-$BD77)</f>
        <v>137.37500170387989</v>
      </c>
      <c r="CA77" s="39">
        <f>BX77*($AU77-$BF77)</f>
        <v>12.545343492240031</v>
      </c>
      <c r="CB77" s="42">
        <f>AVERAGE(0.72,0.69,0.4,0.22)</f>
        <v>0.50750000000000006</v>
      </c>
      <c r="CC77">
        <f>CB77*((600/$BG77)^0.67)</f>
        <v>0.24178283415020857</v>
      </c>
      <c r="CD77">
        <f>CB77*((600/$BH77)^0.67)</f>
        <v>0.24272694875719061</v>
      </c>
      <c r="CE77">
        <f>CB77*((600/$BI77)^0.67)</f>
        <v>0.22587145117397775</v>
      </c>
      <c r="CF77" s="39">
        <f>CC77*($AM77-$BB77)</f>
        <v>27.939412254949655</v>
      </c>
      <c r="CG77" s="39">
        <f>CD77*($AD77-$BD77)</f>
        <v>21.275579091606716</v>
      </c>
      <c r="CH77" s="39">
        <f>CE77*($AU77-$BF77)</f>
        <v>1.9429258918290375</v>
      </c>
      <c r="CI77">
        <v>0.86263901889527161</v>
      </c>
      <c r="CJ77">
        <f>((BG77/BH77)^0.67)*CI77</f>
        <v>0.8660074552904945</v>
      </c>
      <c r="CK77">
        <f>((BH77/BH77)^0.67)*CI77</f>
        <v>0.86263901889527161</v>
      </c>
      <c r="CL77">
        <f>((BI77/BH77)^0.67)*CI77</f>
        <v>0.92701284667474948</v>
      </c>
      <c r="CM77" s="39">
        <f>CJ77*($AM77-$BB77)</f>
        <v>100.07219658195133</v>
      </c>
      <c r="CN77" s="39">
        <f>CK77*($AD77-$BD77)</f>
        <v>75.612307442515373</v>
      </c>
      <c r="CO77" s="39">
        <f>CL77*($AU77-$BF77)</f>
        <v>7.9740810646990514</v>
      </c>
      <c r="CP77" s="27">
        <f>VLOOKUP(A77,Water!$A$2:$E$109, 5, FALSE)/1000</f>
        <v>1E-4</v>
      </c>
      <c r="CQ77">
        <f>0.64*CP77</f>
        <v>6.4000000000000011E-5</v>
      </c>
      <c r="CR77" s="19">
        <f>CQ77*1000*(2.5*10^-5)</f>
        <v>1.6000000000000004E-6</v>
      </c>
      <c r="CS77" s="18">
        <f>(-0.0000009*F77^3)+(0.0002*F77^2)-(0.0134*F77)+6.579</f>
        <v>6.5671013439000001</v>
      </c>
      <c r="CT77" s="18">
        <f>CS77-(SQRT(CP77))/(1+1.4*SQRT(CP77))</f>
        <v>6.5572394109611443</v>
      </c>
      <c r="CU77" s="18">
        <f>10^(-CT77)</f>
        <v>2.7717916941296027E-7</v>
      </c>
      <c r="CV77" s="18">
        <f>(0.000001*F77^3)+(0.00006*F77^2)-(0.014*F77)+10.625</f>
        <v>10.612449329</v>
      </c>
      <c r="CW77" s="18">
        <f>CV77-(2*SQRT(CR77))/(1+1.4*SQRT(CR77))</f>
        <v>10.609923978952368</v>
      </c>
      <c r="CX77" s="18">
        <f>10^(-CW77)</f>
        <v>2.4551386376470997E-11</v>
      </c>
      <c r="CY77">
        <f>EXP(1246.98+-61900/H77-183*LN(H77))</f>
        <v>2.1830638098535105E-3</v>
      </c>
      <c r="CZ77">
        <f>12.225*(F77^2)+15.258*F77+1125.7</f>
        <v>1149.3344500000001</v>
      </c>
      <c r="DA77" s="15">
        <f>10^(-4470.99/H77+6.0875-0.01706*H77)</f>
        <v>1.2522826037506242E-15</v>
      </c>
      <c r="DB77">
        <f>(10^-I77)</f>
        <v>6.7608297539197998E-8</v>
      </c>
      <c r="DC77">
        <f>DB77^2</f>
        <v>4.5708818961487261E-15</v>
      </c>
      <c r="DD77" s="20">
        <f>((14.6836*10^-9)*((H77/217.2056)-1)^1.997)*100*100</f>
        <v>1.0097466773527052E-5</v>
      </c>
      <c r="DE77">
        <f>CY77+CZ77*DA77/DB77</f>
        <v>2.204352491716736E-3</v>
      </c>
      <c r="DF77">
        <f>1+DC77*(CU77*CX77+CU77*DB77)^-1</f>
        <v>1.2438269629292535</v>
      </c>
      <c r="DG77">
        <f>(DE77*DF77/DD77)^0.5</f>
        <v>16.478371450039578</v>
      </c>
      <c r="DH77">
        <f>DD77/(BO77/60/60)</f>
        <v>3.4043491836324692E-2</v>
      </c>
      <c r="DI77" s="16">
        <f>DF77/((DF77-1)+TANH(DG77*DH77)/(DG77*DH77))</f>
        <v>1.0809870753646178</v>
      </c>
      <c r="DJ77">
        <f>$DI77*BR77</f>
        <v>133.38074461019755</v>
      </c>
      <c r="DK77">
        <f>$DI77*BY77</f>
        <v>195.01323571618406</v>
      </c>
      <c r="DL77">
        <f>$DI77*CF77</f>
        <v>30.202143540884389</v>
      </c>
      <c r="DM77">
        <f>$DI77*CM77</f>
        <v>108.17675110843668</v>
      </c>
    </row>
    <row r="78" spans="1:117" ht="15.75" x14ac:dyDescent="0.25">
      <c r="A78" s="51" t="s">
        <v>332</v>
      </c>
      <c r="B78" s="54" t="s">
        <v>339</v>
      </c>
      <c r="C78" s="48" t="s">
        <v>223</v>
      </c>
      <c r="D78" s="57">
        <v>43235</v>
      </c>
      <c r="E78" s="42" t="str">
        <f>A78&amp;D78</f>
        <v>62E43235</v>
      </c>
      <c r="F78" s="3">
        <f>VLOOKUP($E78,Water!$C$2:$E$90, 2, FALSE)</f>
        <v>16.5</v>
      </c>
      <c r="G78" s="3">
        <f>VLOOKUP($E78,Water!$C$2:$E$90, 3, FALSE)</f>
        <v>1.39</v>
      </c>
      <c r="H78" s="1">
        <f>F78+273.15</f>
        <v>289.64999999999998</v>
      </c>
      <c r="I78" s="3">
        <f>VLOOKUP($E78,Water!$C$2:$F$90, 4, FALSE)</f>
        <v>8.91</v>
      </c>
      <c r="J78">
        <f>10^(I78*-1)</f>
        <v>1.230268770812377E-9</v>
      </c>
      <c r="K78" s="25">
        <f>VLOOKUP($E78,Atm!$D$2:$G$45, 2, FALSE)</f>
        <v>428.95553430301101</v>
      </c>
      <c r="L78" s="25">
        <f>VLOOKUP($E78,Atm!$D$2:$G$45, 3, FALSE)</f>
        <v>8.570092688468451</v>
      </c>
      <c r="M78" s="25">
        <f>VLOOKUP($E78,Atm!$D$2:$G$45, 4, FALSE)</f>
        <v>0.32247815936599156</v>
      </c>
      <c r="N78" s="21">
        <f>VLOOKUP($C78,Raw!$B$2:$F$353, 3, FALSE)</f>
        <v>287.56200000000001</v>
      </c>
      <c r="O78" s="21">
        <f>VLOOKUP($C78,Raw!$B$2:$F$353, 4, FALSE)</f>
        <v>35.732999999999997</v>
      </c>
      <c r="P78" s="21">
        <f>VLOOKUP($C78,Raw!$B$2:$F$353, 5, FALSE)</f>
        <v>0.49399999999999999</v>
      </c>
      <c r="Q78" s="14">
        <v>60</v>
      </c>
      <c r="R78" s="25">
        <v>1140</v>
      </c>
      <c r="S78">
        <f>EXP(24.4543-(100/H78*(67.4509))-(4.8489*LN(H78/100))-(0.000544*G78))</f>
        <v>1.8493934312843872E-2</v>
      </c>
      <c r="T78" s="8">
        <f>EXP(-58.0931+90.5069*(100/H78)+22.294*LN(H78/100)+G78*(0.027766-0.025888*(H78/100)+0.0050578*(H78/100)^2)*G78)</f>
        <v>4.3040265723146044E-2</v>
      </c>
      <c r="U78" s="9">
        <f>(EXP(-67.1962+99.1624*(100/H78)+27.9015*LN(H78/100)+G78*(-0.072909+0.041674*(H78/100)-0.0064603*(H78/100)^2)*G78))</f>
        <v>3.6883737377730513E-2</v>
      </c>
      <c r="V78" s="9">
        <f>(EXP(-64.8539+100.252*(100/H78)+25.2049*LN(H78/100)+(-0.062544+0.035337*(H78/100)-0.0054699*(H78/100)^2)*G78))</f>
        <v>3.1890861006933773E-2</v>
      </c>
      <c r="W78" s="9">
        <f>(EXP(-68.8862+101.4956*(100/H78)+28.7314*LN(H78/100)+G78*(-0.076146+0.04397*(H78/100)-0.0068672*(H78/100)^2)))</f>
        <v>3.6942583681096958E-2</v>
      </c>
      <c r="X78">
        <f>N78*(AZ78-S78)</f>
        <v>257.64972884007739</v>
      </c>
      <c r="Y78">
        <f>O78*(AZ78-S78)</f>
        <v>32.016044403093886</v>
      </c>
      <c r="Z78">
        <f>((Y78/10^6)*AZ78)/(0.082056*H78)</f>
        <v>1.2318420090277935E-6</v>
      </c>
      <c r="AA78">
        <f>(((L78/10^6)*AZ78)/(0.082056*H78))</f>
        <v>3.2974092807971E-7</v>
      </c>
      <c r="AB78">
        <f>((Y78/10^6)*U78*1)/(0.082056*H78)</f>
        <v>4.9684247820713932E-8</v>
      </c>
      <c r="AC78">
        <f>(Z78*(Q78/1000))+(AB78*(R78/1000))</f>
        <v>1.3055056305728149E-7</v>
      </c>
      <c r="AD78" s="39">
        <f>((AC78-(AA78*(Q78/1000)))/(R78/1000))*1000000</f>
        <v>9.7163252081139392E-2</v>
      </c>
      <c r="AE78" s="39">
        <f>(AD78/((U78*AZ78*1))*(0.0821*273.15))</f>
        <v>64.601153235826487</v>
      </c>
      <c r="AF78" s="39">
        <f>L78*U78*AZ78*1/(0.0821*273.15)</f>
        <v>1.288983299119484E-2</v>
      </c>
      <c r="AG78" s="39">
        <f>AD78-AF78</f>
        <v>8.4273419089944554E-2</v>
      </c>
      <c r="AH78" s="42">
        <f>P78*(AZ78-S78)</f>
        <v>0.44261399644945515</v>
      </c>
      <c r="AI78">
        <f>(((X78/10^6)*(Q78/1000))/(0.082056*H78))</f>
        <v>6.504247590928603E-7</v>
      </c>
      <c r="AJ78">
        <f>(((K78/10^6)*AZ78)*(Q78/1000))/(0.082056*H78)</f>
        <v>9.9026370748351862E-7</v>
      </c>
      <c r="AK78">
        <f>(X78/10^6)*T78*(R78/1000)</f>
        <v>1.2641816583761738E-5</v>
      </c>
      <c r="AL78">
        <f>AI78+AK78</f>
        <v>1.3292241342854598E-5</v>
      </c>
      <c r="AM78" s="39">
        <f>((AL78-AJ78)/(R78/1000))*1000000</f>
        <v>10.791208452079895</v>
      </c>
      <c r="AN78" s="39">
        <f>AM78/(T78*AZ78)</f>
        <v>274.17252113012597</v>
      </c>
      <c r="AO78" s="39">
        <f>(K78*AZ78)*T78</f>
        <v>16.88334253285776</v>
      </c>
      <c r="AP78" s="39">
        <f>AM78-AO78</f>
        <v>-6.0921340807778659</v>
      </c>
      <c r="AQ78">
        <f>(((AH78/10^6)*(Q78/1000))/(0.082056*H78))</f>
        <v>1.1173584513665678E-9</v>
      </c>
      <c r="AR78">
        <f>(((M78/10^6)*AZ78)*(Q78/1000))/(0.082056*H78)</f>
        <v>7.4445575855573279E-10</v>
      </c>
      <c r="AS78">
        <f>(AH78/10^6)*V78*(R78/1000)</f>
        <v>1.6091489242162079E-8</v>
      </c>
      <c r="AT78">
        <f>AQ78+AS78</f>
        <v>1.7208847693528647E-8</v>
      </c>
      <c r="AU78" s="39">
        <f>((AT78-AR78)/(R78/1000))*1000000000</f>
        <v>14.442449065765715</v>
      </c>
      <c r="AV78" s="39">
        <f>(AU78/1000)/(V78*AZ78)</f>
        <v>0.4952259429047855</v>
      </c>
      <c r="AW78" s="39">
        <f>(M78*AZ78)*V78*1000</f>
        <v>9.4045444472214594</v>
      </c>
      <c r="AX78" s="39">
        <f>AU78-AW78</f>
        <v>5.0379046185442551</v>
      </c>
      <c r="AY78" s="26">
        <f>VLOOKUP($E78,Water!$C$2:$G$90, 5, FALSE)</f>
        <v>695</v>
      </c>
      <c r="AZ78">
        <f>AY78/760</f>
        <v>0.91447368421052633</v>
      </c>
      <c r="BA78" s="3">
        <f>Assumptions!$B$3</f>
        <v>406.07</v>
      </c>
      <c r="BB78" s="3">
        <f>BA78*AZ78*T78</f>
        <v>15.982586431615196</v>
      </c>
      <c r="BC78" s="3">
        <f>Assumptions!$B$4</f>
        <v>1.8474300000000001</v>
      </c>
      <c r="BD78" s="45">
        <f>BC78*AZ78*U78*1/(0.0821*273.15)</f>
        <v>2.778623875908008E-3</v>
      </c>
      <c r="BE78" s="3">
        <f>Assumptions!$B$2</f>
        <v>0.33054499999999998</v>
      </c>
      <c r="BF78" s="44">
        <f>BE78*AZ78*V78*1000</f>
        <v>9.639800569497579</v>
      </c>
      <c r="BG78">
        <f>1923.6+(-125.06*F78)+(4.3773*(F78^2))+(-0.085681*(F78^3))+(0.00070284*(F78^4))</f>
        <v>719.03470760249979</v>
      </c>
      <c r="BH78">
        <f>1909.4+(-120.78*F78)+(4.1555*(F78^2))+(-0.080578*(F78^3))+(0.00065777*(F78^4))</f>
        <v>734.65238026062502</v>
      </c>
      <c r="BI78">
        <f>2141.2+(-152.56*F78)+(5.8963*(F78^2))+(-0.12411*(F78^3))+(0.0010655*(F78^4))</f>
        <v>750.68496784374963</v>
      </c>
      <c r="BJ78" s="25">
        <f>VLOOKUP(E78,Wind!$C$2:$E$109,3, FALSE)</f>
        <v>4.9722222222222223</v>
      </c>
      <c r="BK78" s="44">
        <v>1.66</v>
      </c>
      <c r="BL78">
        <f>BK78/(1-(((1.3*10^-3)^0.5)/0.41)*LN(10/1.5))</f>
        <v>1.9923982880693825</v>
      </c>
      <c r="BM78">
        <f>BK78*1.22</f>
        <v>2.0251999999999999</v>
      </c>
      <c r="BN78">
        <f>2.07+0.215*(BM78^1.7)*(24/100)</f>
        <v>2.241255750541113</v>
      </c>
      <c r="BO78">
        <f>BN78*((600/BG78)^0.67)</f>
        <v>1.9853192442359771</v>
      </c>
      <c r="BP78">
        <f>BN78*((600/BH78)^0.67)</f>
        <v>1.9569417030742853</v>
      </c>
      <c r="BQ78">
        <f>BN78*((600/BI78)^0.67)</f>
        <v>1.9288394618942553</v>
      </c>
      <c r="BR78" s="39">
        <f>BO78*(AM78-BB78)</f>
        <v>-10.306542606874318</v>
      </c>
      <c r="BS78" s="39">
        <f>BP78*(AD78-BD78)</f>
        <v>0.18470521506397872</v>
      </c>
      <c r="BT78" s="39">
        <f>BQ78*(AU78-BF78)</f>
        <v>9.2635379412090852</v>
      </c>
      <c r="BU78">
        <f>(2.51+1.48*BM78)+(0.39*BM78*LOG10(0.0015))</f>
        <v>3.2768938069574309</v>
      </c>
      <c r="BV78">
        <f>BU78*((600/$BG78)^0.67)</f>
        <v>2.902694319780148</v>
      </c>
      <c r="BW78">
        <f>BU78*((600/$BH78)^0.67)</f>
        <v>2.8612041021345371</v>
      </c>
      <c r="BX78">
        <f>BU78*((600/$BI78)^0.67)</f>
        <v>2.8201163949140504</v>
      </c>
      <c r="BY78" s="39">
        <f>BV78*($AM78-$BB78)</f>
        <v>-15.068983373028862</v>
      </c>
      <c r="BZ78" s="39">
        <f>BW78*($AD78-$BD78)</f>
        <v>0.27005368539925118</v>
      </c>
      <c r="CA78" s="39">
        <f>BX78*($AU78-$BF78)</f>
        <v>13.54402776333508</v>
      </c>
      <c r="CB78" s="42">
        <f>AVERAGE(0.72,0.69,0.4,0.22)</f>
        <v>0.50750000000000006</v>
      </c>
      <c r="CC78">
        <f>CB78*((600/$BG78)^0.67)</f>
        <v>0.44954687398191967</v>
      </c>
      <c r="CD78">
        <f>CB78*((600/$BH78)^0.67)</f>
        <v>0.44312118956991908</v>
      </c>
      <c r="CE78">
        <f>CB78*((600/$BI78)^0.67)</f>
        <v>0.43675784286331415</v>
      </c>
      <c r="CF78" s="39">
        <f>CC78*($AM78-$BB78)</f>
        <v>-2.3337677423586691</v>
      </c>
      <c r="CG78" s="39">
        <f>CD78*($AD78-$BD78)</f>
        <v>4.1823828727416669E-2</v>
      </c>
      <c r="CH78" s="39">
        <f>CE78*($AU78-$BF78)</f>
        <v>2.0975943972608104</v>
      </c>
      <c r="CI78">
        <v>0.86263901889527161</v>
      </c>
      <c r="CJ78">
        <f>((BG78/BH78)^0.67)*CI78</f>
        <v>0.85030872272882174</v>
      </c>
      <c r="CK78">
        <f>((BH78/BH78)^0.67)*CI78</f>
        <v>0.86263901889527161</v>
      </c>
      <c r="CL78">
        <f>((BI78/BH78)^0.67)*CI78</f>
        <v>0.87520724462852773</v>
      </c>
      <c r="CM78" s="39">
        <f>CJ78*($AM78-$BB78)</f>
        <v>-4.4142739789811936</v>
      </c>
      <c r="CN78" s="39">
        <f>CK78*($AD78-$BD78)</f>
        <v>8.1419863073755788E-2</v>
      </c>
      <c r="CO78" s="39">
        <f>CL78*($AU78-$BF78)</f>
        <v>4.2033127573381766</v>
      </c>
      <c r="CP78" s="27">
        <f>VLOOKUP(A78,Water!$A$2:$E$109, 5, FALSE)/1000</f>
        <v>1.1899999999999999E-3</v>
      </c>
      <c r="CQ78">
        <f>0.64*CP78</f>
        <v>7.6159999999999997E-4</v>
      </c>
      <c r="CR78" s="19">
        <f>CQ78*1000*(2.5*10^-5)</f>
        <v>1.9040000000000001E-5</v>
      </c>
      <c r="CS78" s="18">
        <f>(-0.0000009*F78^3)+(0.0002*F78^2)-(0.0134*F78)+6.579</f>
        <v>6.4083070874999999</v>
      </c>
      <c r="CT78" s="18">
        <f>CS78-(SQRT(CP78))/(1+1.4*SQRT(CP78))</f>
        <v>6.3753999582905108</v>
      </c>
      <c r="CU78" s="18">
        <f>10^(-CT78)</f>
        <v>4.2130832586630963E-7</v>
      </c>
      <c r="CV78" s="18">
        <f>(0.000001*F78^3)+(0.00006*F78^2)-(0.014*F78)+10.625</f>
        <v>10.414827125</v>
      </c>
      <c r="CW78" s="18">
        <f>CV78-(2*SQRT(CR78))/(1+1.4*SQRT(CR78))</f>
        <v>10.406153143609185</v>
      </c>
      <c r="CX78" s="18">
        <f>10^(-CW78)</f>
        <v>3.9250650292027224E-11</v>
      </c>
      <c r="CY78">
        <f>EXP(1246.98+-61900/H78-183*LN(H78))</f>
        <v>1.6682240229004691E-2</v>
      </c>
      <c r="CZ78">
        <f>12.225*(F78^2)+15.258*F78+1125.7</f>
        <v>4705.7132499999998</v>
      </c>
      <c r="DA78" s="15">
        <f>10^(-4470.99/H78+6.0875-0.01706*H78)</f>
        <v>5.1313855369902282E-15</v>
      </c>
      <c r="DB78">
        <f>(10^-I78)</f>
        <v>1.230268770812377E-9</v>
      </c>
      <c r="DC78">
        <f>DB78^2</f>
        <v>1.5135612484361971E-18</v>
      </c>
      <c r="DD78" s="20">
        <f>((14.6836*10^-9)*((H78/217.2056)-1)^1.997)*100*100</f>
        <v>1.6388180832602313E-5</v>
      </c>
      <c r="DE78">
        <f>CY78+CZ78*DA78/DB78</f>
        <v>3.6309519637494049E-2</v>
      </c>
      <c r="DF78">
        <f>1+DC78*(CU78*CX78+CU78*DB78)^-1</f>
        <v>1.0028298317124809</v>
      </c>
      <c r="DG78">
        <f>(DE78*DF78/DD78)^0.5</f>
        <v>47.136626806405914</v>
      </c>
      <c r="DH78">
        <f>DD78/(BO78/60/60)</f>
        <v>2.9716858469315186E-2</v>
      </c>
      <c r="DI78" s="16">
        <f>DF78/((DF78-1)+TANH(DG78*DH78)/(DG78*DH78))</f>
        <v>1.5792591079383085</v>
      </c>
      <c r="DJ78">
        <f>$DI78*BR78</f>
        <v>-16.276701283260504</v>
      </c>
      <c r="DK78">
        <f>$DI78*BY78</f>
        <v>-23.797829239226765</v>
      </c>
      <c r="DL78">
        <f>$DI78*CF78</f>
        <v>-3.685623962932552</v>
      </c>
      <c r="DM78">
        <f>$DI78*CM78</f>
        <v>-6.9712823862411275</v>
      </c>
    </row>
    <row r="79" spans="1:117" ht="15.75" x14ac:dyDescent="0.25">
      <c r="A79" s="52" t="s">
        <v>332</v>
      </c>
      <c r="B79" s="55" t="s">
        <v>340</v>
      </c>
      <c r="C79" t="s">
        <v>224</v>
      </c>
      <c r="D79" s="57">
        <v>43235</v>
      </c>
      <c r="E79" s="42" t="str">
        <f>A79&amp;D79</f>
        <v>62E43235</v>
      </c>
      <c r="F79" s="3">
        <f>VLOOKUP($E79,Water!$C$2:$E$90, 2, FALSE)</f>
        <v>16.5</v>
      </c>
      <c r="G79" s="3">
        <f>VLOOKUP($E79,Water!$C$2:$E$90, 3, FALSE)</f>
        <v>1.39</v>
      </c>
      <c r="H79" s="1">
        <f>F79+273.15</f>
        <v>289.64999999999998</v>
      </c>
      <c r="I79" s="3">
        <f>VLOOKUP($E79,Water!$C$2:$F$90, 4, FALSE)</f>
        <v>8.91</v>
      </c>
      <c r="J79">
        <f>10^(I79*-1)</f>
        <v>1.230268770812377E-9</v>
      </c>
      <c r="K79" s="25">
        <f>VLOOKUP($E79,Atm!$D$2:$G$45, 2, FALSE)</f>
        <v>428.95553430301101</v>
      </c>
      <c r="L79" s="25">
        <f>VLOOKUP($E79,Atm!$D$2:$G$45, 3, FALSE)</f>
        <v>8.570092688468451</v>
      </c>
      <c r="M79" s="25">
        <f>VLOOKUP($E79,Atm!$D$2:$G$45, 4, FALSE)</f>
        <v>0.32247815936599156</v>
      </c>
      <c r="N79" s="21">
        <f>VLOOKUP($C79,Raw!$B$2:$F$353, 3, FALSE)</f>
        <v>250.7503832913211</v>
      </c>
      <c r="O79" s="21">
        <f>VLOOKUP($C79,Raw!$B$2:$F$353, 4, FALSE)</f>
        <v>34.162418651855489</v>
      </c>
      <c r="P79" s="21">
        <f>VLOOKUP($C79,Raw!$B$2:$F$353, 5, FALSE)</f>
        <v>0.53095070886384488</v>
      </c>
      <c r="Q79" s="14">
        <v>60</v>
      </c>
      <c r="R79" s="25">
        <v>1140</v>
      </c>
      <c r="S79">
        <f>EXP(24.4543-(100/H79*(67.4509))-(4.8489*LN(H79/100))-(0.000544*G79))</f>
        <v>1.8493934312843872E-2</v>
      </c>
      <c r="T79" s="8">
        <f>EXP(-58.0931+90.5069*(100/H79)+22.294*LN(H79/100)+G79*(0.027766-0.025888*(H79/100)+0.0050578*(H79/100)^2)*G79)</f>
        <v>4.3040265723146044E-2</v>
      </c>
      <c r="U79" s="9">
        <f>(EXP(-67.1962+99.1624*(100/H79)+27.9015*LN(H79/100)+G79*(-0.072909+0.041674*(H79/100)-0.0064603*(H79/100)^2)*G79))</f>
        <v>3.6883737377730513E-2</v>
      </c>
      <c r="V79" s="9">
        <f>(EXP(-64.8539+100.252*(100/H79)+25.2049*LN(H79/100)+(-0.062544+0.035337*(H79/100)-0.0054699*(H79/100)^2)*G79))</f>
        <v>3.1890861006933773E-2</v>
      </c>
      <c r="W79" s="9">
        <f>(EXP(-68.8862+101.4956*(100/H79)+28.7314*LN(H79/100)+G79*(-0.076146+0.04397*(H79/100)-0.0068672*(H79/100)^2)))</f>
        <v>3.6942583681096958E-2</v>
      </c>
      <c r="X79">
        <f>N79*(AZ79-S79)</f>
        <v>224.6672657081059</v>
      </c>
      <c r="Y79">
        <f>O79*(AZ79-S79)</f>
        <v>30.608835319589403</v>
      </c>
      <c r="Z79">
        <f>((Y79/10^6)*AZ79)/(0.082056*H79)</f>
        <v>1.17769855386758E-6</v>
      </c>
      <c r="AA79">
        <f>(((L79/10^6)*AZ79)/(0.082056*H79))</f>
        <v>3.2974092807971E-7</v>
      </c>
      <c r="AB79">
        <f>((Y79/10^6)*U79*1)/(0.082056*H79)</f>
        <v>4.7500463841652475E-8</v>
      </c>
      <c r="AC79">
        <f>(Z79*(Q79/1000))+(AB79*(R79/1000))</f>
        <v>1.2481244201153861E-7</v>
      </c>
      <c r="AD79" s="39">
        <f>((AC79-(AA79*(Q79/1000)))/(R79/1000))*1000000</f>
        <v>9.2129812567329841E-2</v>
      </c>
      <c r="AE79" s="39">
        <f>(AD79/((U79*AZ79*1))*(0.0821*273.15))</f>
        <v>61.254558814889094</v>
      </c>
      <c r="AF79" s="39">
        <f>L79*U79*AZ79*1/(0.0821*273.15)</f>
        <v>1.288983299119484E-2</v>
      </c>
      <c r="AG79" s="39">
        <f>AD79-AF79</f>
        <v>7.9239979576135003E-2</v>
      </c>
      <c r="AH79" s="42">
        <f>P79*(AZ79-S79)</f>
        <v>0.47572108333582497</v>
      </c>
      <c r="AI79">
        <f>(((X79/10^6)*(Q79/1000))/(0.082056*H79))</f>
        <v>5.6716206468413737E-7</v>
      </c>
      <c r="AJ79">
        <f>(((K79/10^6)*AZ79)*(Q79/1000))/(0.082056*H79)</f>
        <v>9.9026370748351862E-7</v>
      </c>
      <c r="AK79">
        <f>(X79/10^6)*T79*(R79/1000)</f>
        <v>1.1023502249521269E-5</v>
      </c>
      <c r="AL79">
        <f>AI79+AK79</f>
        <v>1.1590664314205407E-5</v>
      </c>
      <c r="AM79" s="39">
        <f>((AL79-AJ79)/(R79/1000))*1000000</f>
        <v>9.2985970234402533</v>
      </c>
      <c r="AN79" s="39">
        <f>AM79/(T79*AZ79)</f>
        <v>236.24970272892142</v>
      </c>
      <c r="AO79" s="39">
        <f>(K79*AZ79)*T79</f>
        <v>16.88334253285776</v>
      </c>
      <c r="AP79" s="39">
        <f>AM79-AO79</f>
        <v>-7.5847455094175071</v>
      </c>
      <c r="AQ79">
        <f>(((AH79/10^6)*(Q79/1000))/(0.082056*H79))</f>
        <v>1.2009357526479498E-9</v>
      </c>
      <c r="AR79">
        <f>(((M79/10^6)*AZ79)*(Q79/1000))/(0.082056*H79)</f>
        <v>7.4445575855573279E-10</v>
      </c>
      <c r="AS79">
        <f>(AH79/10^6)*V79*(R79/1000)</f>
        <v>1.7295116639273058E-8</v>
      </c>
      <c r="AT79">
        <f>AQ79+AS79</f>
        <v>1.8496052391921009E-8</v>
      </c>
      <c r="AU79" s="39">
        <f>((AT79-AR79)/(R79/1000))*1000000000</f>
        <v>15.571575994180069</v>
      </c>
      <c r="AV79" s="39">
        <f>(AU79/1000)/(V79*AZ79)</f>
        <v>0.53394326468566289</v>
      </c>
      <c r="AW79" s="39">
        <f>(M79*AZ79)*V79*1000</f>
        <v>9.4045444472214594</v>
      </c>
      <c r="AX79" s="39">
        <f>AU79-AW79</f>
        <v>6.1670315469586097</v>
      </c>
      <c r="AY79" s="26">
        <f>VLOOKUP($E79,Water!$C$2:$G$90, 5, FALSE)</f>
        <v>695</v>
      </c>
      <c r="AZ79">
        <f>AY79/760</f>
        <v>0.91447368421052633</v>
      </c>
      <c r="BA79" s="3">
        <f>Assumptions!$B$3</f>
        <v>406.07</v>
      </c>
      <c r="BB79" s="3">
        <f>BA79*AZ79*T79</f>
        <v>15.982586431615196</v>
      </c>
      <c r="BC79" s="3">
        <f>Assumptions!$B$4</f>
        <v>1.8474300000000001</v>
      </c>
      <c r="BD79" s="45">
        <f>BC79*AZ79*U79*1/(0.0821*273.15)</f>
        <v>2.778623875908008E-3</v>
      </c>
      <c r="BE79" s="3">
        <f>Assumptions!$B$2</f>
        <v>0.33054499999999998</v>
      </c>
      <c r="BF79" s="44">
        <f>BE79*AZ79*V79*1000</f>
        <v>9.639800569497579</v>
      </c>
      <c r="BG79">
        <f>1923.6+(-125.06*F79)+(4.3773*(F79^2))+(-0.085681*(F79^3))+(0.00070284*(F79^4))</f>
        <v>719.03470760249979</v>
      </c>
      <c r="BH79">
        <f>1909.4+(-120.78*F79)+(4.1555*(F79^2))+(-0.080578*(F79^3))+(0.00065777*(F79^4))</f>
        <v>734.65238026062502</v>
      </c>
      <c r="BI79">
        <f>2141.2+(-152.56*F79)+(5.8963*(F79^2))+(-0.12411*(F79^3))+(0.0010655*(F79^4))</f>
        <v>750.68496784374963</v>
      </c>
      <c r="BJ79" s="25">
        <f>VLOOKUP(E79,Wind!$C$2:$E$109,3, FALSE)</f>
        <v>4.9722222222222223</v>
      </c>
      <c r="BK79" s="44">
        <v>1.66</v>
      </c>
      <c r="BL79">
        <f>BK79/(1-(((1.3*10^-3)^0.5)/0.41)*LN(10/1.5))</f>
        <v>1.9923982880693825</v>
      </c>
      <c r="BM79">
        <f>BK79*1.22</f>
        <v>2.0251999999999999</v>
      </c>
      <c r="BN79">
        <f>2.07+0.215*(BM79^1.7)*(24/100)</f>
        <v>2.241255750541113</v>
      </c>
      <c r="BO79">
        <f>BN79*((600/BG79)^0.67)</f>
        <v>1.9853192442359771</v>
      </c>
      <c r="BP79">
        <f>BN79*((600/BH79)^0.67)</f>
        <v>1.9569417030742853</v>
      </c>
      <c r="BQ79">
        <f>BN79*((600/BI79)^0.67)</f>
        <v>1.9288394618942553</v>
      </c>
      <c r="BR79" s="39">
        <f>BO79*(AM79-BB79)</f>
        <v>-13.269852800319153</v>
      </c>
      <c r="BS79" s="39">
        <f>BP79*(AD79-BD79)</f>
        <v>0.17485506736950288</v>
      </c>
      <c r="BT79" s="39">
        <f>BQ79*(AU79-BF79)</f>
        <v>11.441442518222141</v>
      </c>
      <c r="BU79">
        <f>(2.51+1.48*BM79)+(0.39*BM79*LOG10(0.0015))</f>
        <v>3.2768938069574309</v>
      </c>
      <c r="BV79">
        <f>BU79*((600/$BG79)^0.67)</f>
        <v>2.902694319780148</v>
      </c>
      <c r="BW79">
        <f>BU79*((600/$BH79)^0.67)</f>
        <v>2.8612041021345371</v>
      </c>
      <c r="BX79">
        <f>BU79*((600/$BI79)^0.67)</f>
        <v>2.8201163949140504</v>
      </c>
      <c r="BY79" s="39">
        <f>BV79*($AM79-$BB79)</f>
        <v>-19.401578088580081</v>
      </c>
      <c r="BZ79" s="39">
        <f>BW79*($AD79-$BD79)</f>
        <v>0.2556519876144932</v>
      </c>
      <c r="CA79" s="39">
        <f>BX79*($AU79-$BF79)</f>
        <v>16.728297126095345</v>
      </c>
      <c r="CB79" s="42">
        <f>AVERAGE(0.72,0.69,0.4,0.22)</f>
        <v>0.50750000000000006</v>
      </c>
      <c r="CC79">
        <f>CB79*((600/$BG79)^0.67)</f>
        <v>0.44954687398191967</v>
      </c>
      <c r="CD79">
        <f>CB79*((600/$BH79)^0.67)</f>
        <v>0.44312118956991908</v>
      </c>
      <c r="CE79">
        <f>CB79*((600/$BI79)^0.67)</f>
        <v>0.43675784286331415</v>
      </c>
      <c r="CF79" s="39">
        <f>CC79*($AM79-$BB79)</f>
        <v>-3.0047665441733069</v>
      </c>
      <c r="CG79" s="39">
        <f>CD79*($AD79-$BD79)</f>
        <v>3.9593405022429147E-2</v>
      </c>
      <c r="CH79" s="39">
        <f>CE79*($AU79-$BF79)</f>
        <v>2.5907494388339436</v>
      </c>
      <c r="CI79">
        <v>0.86263901889527161</v>
      </c>
      <c r="CJ79">
        <f>((BG79/BH79)^0.67)*CI79</f>
        <v>0.85030872272882174</v>
      </c>
      <c r="CK79">
        <f>((BH79/BH79)^0.67)*CI79</f>
        <v>0.86263901889527161</v>
      </c>
      <c r="CL79">
        <f>((BI79/BH79)^0.67)*CI79</f>
        <v>0.87520724462852773</v>
      </c>
      <c r="CM79" s="39">
        <f>CJ79*($AM79-$BB79)</f>
        <v>-5.683454496398209</v>
      </c>
      <c r="CN79" s="39">
        <f>CK79*($AD79-$BD79)</f>
        <v>7.7077821749894415E-2</v>
      </c>
      <c r="CO79" s="39">
        <f>CL79*($AU79-$BF79)</f>
        <v>5.1915328251915769</v>
      </c>
      <c r="CP79" s="27">
        <f>VLOOKUP(A79,Water!$A$2:$E$109, 5, FALSE)/1000</f>
        <v>1.1899999999999999E-3</v>
      </c>
      <c r="CQ79">
        <f>0.64*CP79</f>
        <v>7.6159999999999997E-4</v>
      </c>
      <c r="CR79" s="19">
        <f>CQ79*1000*(2.5*10^-5)</f>
        <v>1.9040000000000001E-5</v>
      </c>
      <c r="CS79" s="18">
        <f>(-0.0000009*F79^3)+(0.0002*F79^2)-(0.0134*F79)+6.579</f>
        <v>6.4083070874999999</v>
      </c>
      <c r="CT79" s="18">
        <f>CS79-(SQRT(CP79))/(1+1.4*SQRT(CP79))</f>
        <v>6.3753999582905108</v>
      </c>
      <c r="CU79" s="18">
        <f>10^(-CT79)</f>
        <v>4.2130832586630963E-7</v>
      </c>
      <c r="CV79" s="18">
        <f>(0.000001*F79^3)+(0.00006*F79^2)-(0.014*F79)+10.625</f>
        <v>10.414827125</v>
      </c>
      <c r="CW79" s="18">
        <f>CV79-(2*SQRT(CR79))/(1+1.4*SQRT(CR79))</f>
        <v>10.406153143609185</v>
      </c>
      <c r="CX79" s="18">
        <f>10^(-CW79)</f>
        <v>3.9250650292027224E-11</v>
      </c>
      <c r="CY79">
        <f>EXP(1246.98+-61900/H79-183*LN(H79))</f>
        <v>1.6682240229004691E-2</v>
      </c>
      <c r="CZ79">
        <f>12.225*(F79^2)+15.258*F79+1125.7</f>
        <v>4705.7132499999998</v>
      </c>
      <c r="DA79" s="15">
        <f>10^(-4470.99/H79+6.0875-0.01706*H79)</f>
        <v>5.1313855369902282E-15</v>
      </c>
      <c r="DB79">
        <f>(10^-I79)</f>
        <v>1.230268770812377E-9</v>
      </c>
      <c r="DC79">
        <f>DB79^2</f>
        <v>1.5135612484361971E-18</v>
      </c>
      <c r="DD79" s="20">
        <f>((14.6836*10^-9)*((H79/217.2056)-1)^1.997)*100*100</f>
        <v>1.6388180832602313E-5</v>
      </c>
      <c r="DE79">
        <f>CY79+CZ79*DA79/DB79</f>
        <v>3.6309519637494049E-2</v>
      </c>
      <c r="DF79">
        <f>1+DC79*(CU79*CX79+CU79*DB79)^-1</f>
        <v>1.0028298317124809</v>
      </c>
      <c r="DG79">
        <f>(DE79*DF79/DD79)^0.5</f>
        <v>47.136626806405914</v>
      </c>
      <c r="DH79">
        <f>DD79/(BO79/60/60)</f>
        <v>2.9716858469315186E-2</v>
      </c>
      <c r="DI79" s="16">
        <f>DF79/((DF79-1)+TANH(DG79*DH79)/(DG79*DH79))</f>
        <v>1.5792591079383085</v>
      </c>
      <c r="DJ79">
        <f>$DI79*BR79</f>
        <v>-20.95653589590469</v>
      </c>
      <c r="DK79">
        <f>$DI79*BY79</f>
        <v>-30.64011890476641</v>
      </c>
      <c r="DL79">
        <f>$DI79*CF79</f>
        <v>-4.7453049321140108</v>
      </c>
      <c r="DM79">
        <f>$DI79*CM79</f>
        <v>-8.975647277989804</v>
      </c>
    </row>
    <row r="80" spans="1:117" ht="15.75" x14ac:dyDescent="0.25">
      <c r="A80" s="51" t="s">
        <v>332</v>
      </c>
      <c r="B80" s="54" t="s">
        <v>341</v>
      </c>
      <c r="C80" s="48" t="s">
        <v>225</v>
      </c>
      <c r="D80" s="57">
        <v>43235</v>
      </c>
      <c r="E80" s="42" t="str">
        <f>A80&amp;D80</f>
        <v>62E43235</v>
      </c>
      <c r="F80" s="3">
        <f>VLOOKUP($E80,Water!$C$2:$E$90, 2, FALSE)</f>
        <v>16.5</v>
      </c>
      <c r="G80" s="3">
        <f>VLOOKUP($E80,Water!$C$2:$E$90, 3, FALSE)</f>
        <v>1.39</v>
      </c>
      <c r="H80" s="1">
        <f>F80+273.15</f>
        <v>289.64999999999998</v>
      </c>
      <c r="I80" s="3">
        <f>VLOOKUP($E80,Water!$C$2:$F$90, 4, FALSE)</f>
        <v>8.91</v>
      </c>
      <c r="J80">
        <f>10^(I80*-1)</f>
        <v>1.230268770812377E-9</v>
      </c>
      <c r="K80" s="25">
        <f>VLOOKUP($E80,Atm!$D$2:$G$45, 2, FALSE)</f>
        <v>428.95553430301101</v>
      </c>
      <c r="L80" s="25">
        <f>VLOOKUP($E80,Atm!$D$2:$G$45, 3, FALSE)</f>
        <v>8.570092688468451</v>
      </c>
      <c r="M80" s="25">
        <f>VLOOKUP($E80,Atm!$D$2:$G$45, 4, FALSE)</f>
        <v>0.32247815936599156</v>
      </c>
      <c r="N80" s="21">
        <f>VLOOKUP($C80,Raw!$B$2:$F$353, 3, FALSE)</f>
        <v>342.67500000000001</v>
      </c>
      <c r="O80" s="21">
        <f>VLOOKUP($C80,Raw!$B$2:$F$353, 4, FALSE)</f>
        <v>23.661000000000001</v>
      </c>
      <c r="P80" s="21">
        <f>VLOOKUP($C80,Raw!$B$2:$F$353, 5, FALSE)</f>
        <v>0.44500000000000001</v>
      </c>
      <c r="Q80" s="14">
        <v>60</v>
      </c>
      <c r="R80" s="25">
        <v>1140</v>
      </c>
      <c r="S80">
        <f>EXP(24.4543-(100/H80*(67.4509))-(4.8489*LN(H80/100))-(0.000544*G80))</f>
        <v>1.8493934312843872E-2</v>
      </c>
      <c r="T80" s="8">
        <f>EXP(-58.0931+90.5069*(100/H80)+22.294*LN(H80/100)+G80*(0.027766-0.025888*(H80/100)+0.0050578*(H80/100)^2)*G80)</f>
        <v>4.3040265723146044E-2</v>
      </c>
      <c r="U80" s="9">
        <f>(EXP(-67.1962+99.1624*(100/H80)+27.9015*LN(H80/100)+G80*(-0.072909+0.041674*(H80/100)-0.0064603*(H80/100)^2)*G80))</f>
        <v>3.6883737377730513E-2</v>
      </c>
      <c r="V80" s="9">
        <f>(EXP(-64.8539+100.252*(100/H80)+25.2049*LN(H80/100)+(-0.062544+0.035337*(H80/100)-0.0054699*(H80/100)^2)*G80))</f>
        <v>3.1890861006933773E-2</v>
      </c>
      <c r="W80" s="9">
        <f>(EXP(-68.8862+101.4956*(100/H80)+28.7314*LN(H80/100)+G80*(-0.076146+0.04397*(H80/100)-0.0068672*(H80/100)^2)))</f>
        <v>3.6942583681096958E-2</v>
      </c>
      <c r="X80">
        <f>N80*(AZ80-S80)</f>
        <v>307.02986079618836</v>
      </c>
      <c r="Y80">
        <f>O80*(AZ80-S80)</f>
        <v>21.199776862329067</v>
      </c>
      <c r="Z80">
        <f>((Y80/10^6)*AZ80)/(0.082056*H80)</f>
        <v>8.1567777056520933E-7</v>
      </c>
      <c r="AA80">
        <f>(((L80/10^6)*AZ80)/(0.082056*H80))</f>
        <v>3.2974092807971E-7</v>
      </c>
      <c r="AB80">
        <f>((Y80/10^6)*U80*1)/(0.082056*H80)</f>
        <v>3.2898972593566517E-8</v>
      </c>
      <c r="AC80">
        <f>(Z80*(Q80/1000))+(AB80*(R80/1000))</f>
        <v>8.6445494990578373E-8</v>
      </c>
      <c r="AD80" s="39">
        <f>((AC80-(AA80*(Q80/1000)))/(R80/1000))*1000000</f>
        <v>5.8474595882277006E-2</v>
      </c>
      <c r="AE80" s="39">
        <f>(AD80/((U80*AZ80*1))*(0.0821*273.15))</f>
        <v>38.878138062314513</v>
      </c>
      <c r="AF80" s="39">
        <f>L80*U80*AZ80*1/(0.0821*273.15)</f>
        <v>1.288983299119484E-2</v>
      </c>
      <c r="AG80" s="39">
        <f>AD80-AF80</f>
        <v>4.5584762891082167E-2</v>
      </c>
      <c r="AH80" s="42">
        <f>P80*(AZ80-S80)</f>
        <v>0.39871098870446869</v>
      </c>
      <c r="AI80">
        <f>(((X80/10^6)*(Q80/1000))/(0.082056*H80))</f>
        <v>7.7508260591505806E-7</v>
      </c>
      <c r="AJ80">
        <f>(((K80/10^6)*AZ80)*(Q80/1000))/(0.082056*H80)</f>
        <v>9.9026370748351862E-7</v>
      </c>
      <c r="AK80">
        <f>(X80/10^6)*T80*(R80/1000)</f>
        <v>1.5064697344713673E-5</v>
      </c>
      <c r="AL80">
        <f>AI80+AK80</f>
        <v>1.5839779950628732E-5</v>
      </c>
      <c r="AM80" s="39">
        <f>((AL80-AJ80)/(R80/1000))*1000000</f>
        <v>13.025891441355451</v>
      </c>
      <c r="AN80" s="39">
        <f>AM80/(T80*AZ80)</f>
        <v>330.94917147628775</v>
      </c>
      <c r="AO80" s="39">
        <f>(K80*AZ80)*T80</f>
        <v>16.88334253285776</v>
      </c>
      <c r="AP80" s="39">
        <f>AM80-AO80</f>
        <v>-3.857451091502309</v>
      </c>
      <c r="AQ80">
        <f>(((AH80/10^6)*(Q80/1000))/(0.082056*H80))</f>
        <v>1.0065273499152283E-9</v>
      </c>
      <c r="AR80">
        <f>(((M80/10^6)*AZ80)*(Q80/1000))/(0.082056*H80)</f>
        <v>7.4445575855573279E-10</v>
      </c>
      <c r="AS80">
        <f>(AH80/10^6)*V80*(R80/1000)</f>
        <v>1.4495369863890941E-8</v>
      </c>
      <c r="AT80">
        <f>AQ80+AS80</f>
        <v>1.550189721380617E-8</v>
      </c>
      <c r="AU80" s="39">
        <f>((AT80-AR80)/(R80/1000))*1000000000</f>
        <v>12.945124083553015</v>
      </c>
      <c r="AV80" s="39">
        <f>(AU80/1000)/(V80*AZ80)</f>
        <v>0.4438832535330185</v>
      </c>
      <c r="AW80" s="39">
        <f>(M80*AZ80)*V80*1000</f>
        <v>9.4045444472214594</v>
      </c>
      <c r="AX80" s="39">
        <f>AU80-AW80</f>
        <v>3.5405796363315556</v>
      </c>
      <c r="AY80" s="26">
        <f>VLOOKUP($E80,Water!$C$2:$G$90, 5, FALSE)</f>
        <v>695</v>
      </c>
      <c r="AZ80">
        <f>AY80/760</f>
        <v>0.91447368421052633</v>
      </c>
      <c r="BA80" s="3">
        <f>Assumptions!$B$3</f>
        <v>406.07</v>
      </c>
      <c r="BB80" s="3">
        <f>BA80*AZ80*T80</f>
        <v>15.982586431615196</v>
      </c>
      <c r="BC80" s="3">
        <f>Assumptions!$B$4</f>
        <v>1.8474300000000001</v>
      </c>
      <c r="BD80" s="45">
        <f>BC80*AZ80*U80*1/(0.0821*273.15)</f>
        <v>2.778623875908008E-3</v>
      </c>
      <c r="BE80" s="3">
        <f>Assumptions!$B$2</f>
        <v>0.33054499999999998</v>
      </c>
      <c r="BF80" s="44">
        <f>BE80*AZ80*V80*1000</f>
        <v>9.639800569497579</v>
      </c>
      <c r="BG80">
        <f>1923.6+(-125.06*F80)+(4.3773*(F80^2))+(-0.085681*(F80^3))+(0.00070284*(F80^4))</f>
        <v>719.03470760249979</v>
      </c>
      <c r="BH80">
        <f>1909.4+(-120.78*F80)+(4.1555*(F80^2))+(-0.080578*(F80^3))+(0.00065777*(F80^4))</f>
        <v>734.65238026062502</v>
      </c>
      <c r="BI80">
        <f>2141.2+(-152.56*F80)+(5.8963*(F80^2))+(-0.12411*(F80^3))+(0.0010655*(F80^4))</f>
        <v>750.68496784374963</v>
      </c>
      <c r="BJ80" s="25">
        <f>VLOOKUP(E80,Wind!$C$2:$E$109,3, FALSE)</f>
        <v>4.9722222222222223</v>
      </c>
      <c r="BK80" s="44">
        <v>1.66</v>
      </c>
      <c r="BL80">
        <f>BK80/(1-(((1.3*10^-3)^0.5)/0.41)*LN(10/1.5))</f>
        <v>1.9923982880693825</v>
      </c>
      <c r="BM80">
        <f>BK80*1.22</f>
        <v>2.0251999999999999</v>
      </c>
      <c r="BN80">
        <f>2.07+0.215*(BM80^1.7)*(24/100)</f>
        <v>2.241255750541113</v>
      </c>
      <c r="BO80">
        <f>BN80*((600/BG80)^0.67)</f>
        <v>1.9853192442359771</v>
      </c>
      <c r="BP80">
        <f>BN80*((600/BH80)^0.67)</f>
        <v>1.9569417030742853</v>
      </c>
      <c r="BQ80">
        <f>BN80*((600/BI80)^0.67)</f>
        <v>1.9288394618942553</v>
      </c>
      <c r="BR80" s="39">
        <f>BO80*(AM80-BB80)</f>
        <v>-5.8699834634987766</v>
      </c>
      <c r="BS80" s="39">
        <f>BP80*(AD80-BD80)</f>
        <v>0.10899377031252147</v>
      </c>
      <c r="BT80" s="39">
        <f>BQ80*(AU80-BF80)</f>
        <v>6.3754384282371159</v>
      </c>
      <c r="BU80">
        <f>(2.51+1.48*BM80)+(0.39*BM80*LOG10(0.0015))</f>
        <v>3.2768938069574309</v>
      </c>
      <c r="BV80">
        <f>BU80*((600/$BG80)^0.67)</f>
        <v>2.902694319780148</v>
      </c>
      <c r="BW80">
        <f>BU80*((600/$BH80)^0.67)</f>
        <v>2.8612041021345371</v>
      </c>
      <c r="BX80">
        <f>BU80*((600/$BI80)^0.67)</f>
        <v>2.8201163949140504</v>
      </c>
      <c r="BY80" s="39">
        <f>BV80*($AM80-$BB80)</f>
        <v>-8.5823817535493827</v>
      </c>
      <c r="BZ80" s="39">
        <f>BW80*($AD80-$BD80)</f>
        <v>0.15935754357699333</v>
      </c>
      <c r="CA80" s="39">
        <f>BX80*($AU80-$BF80)</f>
        <v>9.3213970324826576</v>
      </c>
      <c r="CB80" s="42">
        <f>AVERAGE(0.72,0.69,0.4,0.22)</f>
        <v>0.50750000000000006</v>
      </c>
      <c r="CC80">
        <f>CB80*((600/$BG80)^0.67)</f>
        <v>0.44954687398191967</v>
      </c>
      <c r="CD80">
        <f>CB80*((600/$BH80)^0.67)</f>
        <v>0.44312118956991908</v>
      </c>
      <c r="CE80">
        <f>CB80*((600/$BI80)^0.67)</f>
        <v>0.43675784286331415</v>
      </c>
      <c r="CF80" s="39">
        <f>CC80*($AM80-$BB80)</f>
        <v>-1.3291729901892708</v>
      </c>
      <c r="CG80" s="39">
        <f>CD80*($AD80-$BD80)</f>
        <v>2.4680065369715145E-2</v>
      </c>
      <c r="CH80" s="39">
        <f>CE80*($AU80-$BF80)</f>
        <v>1.4436259679642414</v>
      </c>
      <c r="CI80">
        <v>0.86263901889527161</v>
      </c>
      <c r="CJ80">
        <f>((BG80/BH80)^0.67)*CI80</f>
        <v>0.85030872272882174</v>
      </c>
      <c r="CK80">
        <f>((BH80/BH80)^0.67)*CI80</f>
        <v>0.86263901889527161</v>
      </c>
      <c r="CL80">
        <f>((BI80/BH80)^0.67)*CI80</f>
        <v>0.87520724462852773</v>
      </c>
      <c r="CM80" s="39">
        <f>CJ80*($AM80-$BB80)</f>
        <v>-2.5141035406664698</v>
      </c>
      <c r="CN80" s="39">
        <f>CK80*($AD80-$BD80)</f>
        <v>4.8045518647992669E-2</v>
      </c>
      <c r="CO80" s="39">
        <f>CL80*($AU80-$BF80)</f>
        <v>2.8928430853423408</v>
      </c>
      <c r="CP80" s="27">
        <f>VLOOKUP(A80,Water!$A$2:$E$109, 5, FALSE)/1000</f>
        <v>1.1899999999999999E-3</v>
      </c>
      <c r="CQ80">
        <f>0.64*CP80</f>
        <v>7.6159999999999997E-4</v>
      </c>
      <c r="CR80" s="19">
        <f>CQ80*1000*(2.5*10^-5)</f>
        <v>1.9040000000000001E-5</v>
      </c>
      <c r="CS80" s="18">
        <f>(-0.0000009*F80^3)+(0.0002*F80^2)-(0.0134*F80)+6.579</f>
        <v>6.4083070874999999</v>
      </c>
      <c r="CT80" s="18">
        <f>CS80-(SQRT(CP80))/(1+1.4*SQRT(CP80))</f>
        <v>6.3753999582905108</v>
      </c>
      <c r="CU80" s="18">
        <f>10^(-CT80)</f>
        <v>4.2130832586630963E-7</v>
      </c>
      <c r="CV80" s="18">
        <f>(0.000001*F80^3)+(0.00006*F80^2)-(0.014*F80)+10.625</f>
        <v>10.414827125</v>
      </c>
      <c r="CW80" s="18">
        <f>CV80-(2*SQRT(CR80))/(1+1.4*SQRT(CR80))</f>
        <v>10.406153143609185</v>
      </c>
      <c r="CX80" s="18">
        <f>10^(-CW80)</f>
        <v>3.9250650292027224E-11</v>
      </c>
      <c r="CY80">
        <f>EXP(1246.98+-61900/H80-183*LN(H80))</f>
        <v>1.6682240229004691E-2</v>
      </c>
      <c r="CZ80">
        <f>12.225*(F80^2)+15.258*F80+1125.7</f>
        <v>4705.7132499999998</v>
      </c>
      <c r="DA80" s="15">
        <f>10^(-4470.99/H80+6.0875-0.01706*H80)</f>
        <v>5.1313855369902282E-15</v>
      </c>
      <c r="DB80">
        <f>(10^-I80)</f>
        <v>1.230268770812377E-9</v>
      </c>
      <c r="DC80">
        <f>DB80^2</f>
        <v>1.5135612484361971E-18</v>
      </c>
      <c r="DD80" s="20">
        <f>((14.6836*10^-9)*((H80/217.2056)-1)^1.997)*100*100</f>
        <v>1.6388180832602313E-5</v>
      </c>
      <c r="DE80">
        <f>CY80+CZ80*DA80/DB80</f>
        <v>3.6309519637494049E-2</v>
      </c>
      <c r="DF80">
        <f>1+DC80*(CU80*CX80+CU80*DB80)^-1</f>
        <v>1.0028298317124809</v>
      </c>
      <c r="DG80">
        <f>(DE80*DF80/DD80)^0.5</f>
        <v>47.136626806405914</v>
      </c>
      <c r="DH80">
        <f>DD80/(BO80/60/60)</f>
        <v>2.9716858469315186E-2</v>
      </c>
      <c r="DI80" s="16">
        <f>DF80/((DF80-1)+TANH(DG80*DH80)/(DG80*DH80))</f>
        <v>1.5792591079383085</v>
      </c>
      <c r="DJ80">
        <f>$DI80*BR80</f>
        <v>-9.2702248481777012</v>
      </c>
      <c r="DK80">
        <f>$DI80*BY80</f>
        <v>-13.553804552096414</v>
      </c>
      <c r="DL80">
        <f>$DI80*CF80</f>
        <v>-2.099108550782002</v>
      </c>
      <c r="DM80">
        <f>$DI80*CM80</f>
        <v>-3.9704209148974718</v>
      </c>
    </row>
    <row r="81" spans="1:117" ht="15.75" x14ac:dyDescent="0.25">
      <c r="A81" s="52" t="s">
        <v>332</v>
      </c>
      <c r="B81" s="55" t="s">
        <v>342</v>
      </c>
      <c r="C81" t="s">
        <v>226</v>
      </c>
      <c r="D81" s="57">
        <v>43235</v>
      </c>
      <c r="E81" s="42" t="str">
        <f>A81&amp;D81</f>
        <v>62E43235</v>
      </c>
      <c r="F81" s="3">
        <f>VLOOKUP($E81,Water!$C$2:$E$90, 2, FALSE)</f>
        <v>16.5</v>
      </c>
      <c r="G81" s="3">
        <f>VLOOKUP($E81,Water!$C$2:$E$90, 3, FALSE)</f>
        <v>1.39</v>
      </c>
      <c r="H81" s="1">
        <f>F81+273.15</f>
        <v>289.64999999999998</v>
      </c>
      <c r="I81" s="3">
        <f>VLOOKUP($E81,Water!$C$2:$F$90, 4, FALSE)</f>
        <v>8.91</v>
      </c>
      <c r="J81">
        <f>10^(I81*-1)</f>
        <v>1.230268770812377E-9</v>
      </c>
      <c r="K81" s="25">
        <f>VLOOKUP($E81,Atm!$D$2:$G$45, 2, FALSE)</f>
        <v>428.95553430301101</v>
      </c>
      <c r="L81" s="25">
        <f>VLOOKUP($E81,Atm!$D$2:$G$45, 3, FALSE)</f>
        <v>8.570092688468451</v>
      </c>
      <c r="M81" s="25">
        <f>VLOOKUP($E81,Atm!$D$2:$G$45, 4, FALSE)</f>
        <v>0.32247815936599156</v>
      </c>
      <c r="N81" s="21">
        <f>VLOOKUP($C81,Raw!$B$2:$F$353, 3, FALSE)</f>
        <v>246.27246751192101</v>
      </c>
      <c r="O81" s="21">
        <f>VLOOKUP($C81,Raw!$B$2:$F$353, 4, FALSE)</f>
        <v>32.419902068732569</v>
      </c>
      <c r="P81" s="21">
        <f>VLOOKUP($C81,Raw!$B$2:$F$353, 5, FALSE)</f>
        <v>0.50858808710632675</v>
      </c>
      <c r="Q81" s="14">
        <v>60</v>
      </c>
      <c r="R81" s="25">
        <v>1140</v>
      </c>
      <c r="S81">
        <f>EXP(24.4543-(100/H81*(67.4509))-(4.8489*LN(H81/100))-(0.000544*G81))</f>
        <v>1.8493934312843872E-2</v>
      </c>
      <c r="T81" s="8">
        <f>EXP(-58.0931+90.5069*(100/H81)+22.294*LN(H81/100)+G81*(0.027766-0.025888*(H81/100)+0.0050578*(H81/100)^2)*G81)</f>
        <v>4.3040265723146044E-2</v>
      </c>
      <c r="U81" s="9">
        <f>(EXP(-67.1962+99.1624*(100/H81)+27.9015*LN(H81/100)+G81*(-0.072909+0.041674*(H81/100)-0.0064603*(H81/100)^2)*G81))</f>
        <v>3.6883737377730513E-2</v>
      </c>
      <c r="V81" s="9">
        <f>(EXP(-64.8539+100.252*(100/H81)+25.2049*LN(H81/100)+(-0.062544+0.035337*(H81/100)-0.0054699*(H81/100)^2)*G81))</f>
        <v>3.1890861006933773E-2</v>
      </c>
      <c r="W81" s="9">
        <f>(EXP(-68.8862+101.4956*(100/H81)+28.7314*LN(H81/100)+G81*(-0.076146+0.04397*(H81/100)-0.0068672*(H81/100)^2)))</f>
        <v>3.6942583681096958E-2</v>
      </c>
      <c r="X81">
        <f>N81*(AZ81-S81)</f>
        <v>220.65514384801611</v>
      </c>
      <c r="Y81">
        <f>O81*(AZ81-S81)</f>
        <v>29.047575747250367</v>
      </c>
      <c r="Z81">
        <f>((Y81/10^6)*AZ81)/(0.082056*H81)</f>
        <v>1.1176278872983476E-6</v>
      </c>
      <c r="AA81">
        <f>(((L81/10^6)*AZ81)/(0.082056*H81))</f>
        <v>3.2974092807971E-7</v>
      </c>
      <c r="AB81">
        <f>((Y81/10^6)*U81*1)/(0.082056*H81)</f>
        <v>4.5077615893045228E-8</v>
      </c>
      <c r="AC81">
        <f>(Z81*(Q81/1000))+(AB81*(R81/1000))</f>
        <v>1.1844615535597241E-7</v>
      </c>
      <c r="AD81" s="39">
        <f>((AC81-(AA81*(Q81/1000)))/(R81/1000))*1000000</f>
        <v>8.6545350588763004E-2</v>
      </c>
      <c r="AE81" s="39">
        <f>(AD81/((U81*AZ81*1))*(0.0821*273.15))</f>
        <v>57.541604829818944</v>
      </c>
      <c r="AF81" s="39">
        <f>L81*U81*AZ81*1/(0.0821*273.15)</f>
        <v>1.288983299119484E-2</v>
      </c>
      <c r="AG81" s="39">
        <f>AD81-AF81</f>
        <v>7.3655517597568165E-2</v>
      </c>
      <c r="AH81" s="42">
        <f>P81*(AZ81-S81)</f>
        <v>0.4556846270864674</v>
      </c>
      <c r="AI81">
        <f>(((X81/10^6)*(Q81/1000))/(0.082056*H81))</f>
        <v>5.570336496221527E-7</v>
      </c>
      <c r="AJ81">
        <f>(((K81/10^6)*AZ81)*(Q81/1000))/(0.082056*H81)</f>
        <v>9.9026370748351862E-7</v>
      </c>
      <c r="AK81">
        <f>(X81/10^6)*T81*(R81/1000)</f>
        <v>1.0826643867813295E-5</v>
      </c>
      <c r="AL81">
        <f>AI81+AK81</f>
        <v>1.1383677517435447E-5</v>
      </c>
      <c r="AM81" s="39">
        <f>((AL81-AJ81)/(R81/1000))*1000000</f>
        <v>9.1170296578525711</v>
      </c>
      <c r="AN81" s="39">
        <f>AM81/(T81*AZ81)</f>
        <v>231.63661582589384</v>
      </c>
      <c r="AO81" s="39">
        <f>(K81*AZ81)*T81</f>
        <v>16.88334253285776</v>
      </c>
      <c r="AP81" s="39">
        <f>AM81-AO81</f>
        <v>-7.7663128750051893</v>
      </c>
      <c r="AQ81">
        <f>(((AH81/10^6)*(Q81/1000))/(0.082056*H81))</f>
        <v>1.1503546505923288E-9</v>
      </c>
      <c r="AR81">
        <f>(((M81/10^6)*AZ81)*(Q81/1000))/(0.082056*H81)</f>
        <v>7.4445575855573279E-10</v>
      </c>
      <c r="AS81">
        <f>(AH81/10^6)*V81*(R81/1000)</f>
        <v>1.6566679620168515E-8</v>
      </c>
      <c r="AT81">
        <f>AQ81+AS81</f>
        <v>1.7717034270760845E-8</v>
      </c>
      <c r="AU81" s="39">
        <f>((AT81-AR81)/(R81/1000))*1000000000</f>
        <v>14.888226765092204</v>
      </c>
      <c r="AV81" s="39">
        <f>(AU81/1000)/(V81*AZ81)</f>
        <v>0.51051148626863063</v>
      </c>
      <c r="AW81" s="39">
        <f>(M81*AZ81)*V81*1000</f>
        <v>9.4045444472214594</v>
      </c>
      <c r="AX81" s="39">
        <f>AU81-AW81</f>
        <v>5.4836823178707448</v>
      </c>
      <c r="AY81" s="26">
        <f>VLOOKUP($E81,Water!$C$2:$G$90, 5, FALSE)</f>
        <v>695</v>
      </c>
      <c r="AZ81">
        <f>AY81/760</f>
        <v>0.91447368421052633</v>
      </c>
      <c r="BA81" s="3">
        <f>Assumptions!$B$3</f>
        <v>406.07</v>
      </c>
      <c r="BB81" s="3">
        <f>BA81*AZ81*T81</f>
        <v>15.982586431615196</v>
      </c>
      <c r="BC81" s="3">
        <f>Assumptions!$B$4</f>
        <v>1.8474300000000001</v>
      </c>
      <c r="BD81" s="45">
        <f>BC81*AZ81*U81*1/(0.0821*273.15)</f>
        <v>2.778623875908008E-3</v>
      </c>
      <c r="BE81" s="3">
        <f>Assumptions!$B$2</f>
        <v>0.33054499999999998</v>
      </c>
      <c r="BF81" s="44">
        <f>BE81*AZ81*V81*1000</f>
        <v>9.639800569497579</v>
      </c>
      <c r="BG81">
        <f>1923.6+(-125.06*F81)+(4.3773*(F81^2))+(-0.085681*(F81^3))+(0.00070284*(F81^4))</f>
        <v>719.03470760249979</v>
      </c>
      <c r="BH81">
        <f>1909.4+(-120.78*F81)+(4.1555*(F81^2))+(-0.080578*(F81^3))+(0.00065777*(F81^4))</f>
        <v>734.65238026062502</v>
      </c>
      <c r="BI81">
        <f>2141.2+(-152.56*F81)+(5.8963*(F81^2))+(-0.12411*(F81^3))+(0.0010655*(F81^4))</f>
        <v>750.68496784374963</v>
      </c>
      <c r="BJ81" s="25">
        <f>VLOOKUP(E81,Wind!$C$2:$E$109,3, FALSE)</f>
        <v>4.9722222222222223</v>
      </c>
      <c r="BK81" s="44">
        <v>1.66</v>
      </c>
      <c r="BL81">
        <f>BK81/(1-(((1.3*10^-3)^0.5)/0.41)*LN(10/1.5))</f>
        <v>1.9923982880693825</v>
      </c>
      <c r="BM81">
        <f>BK81*1.22</f>
        <v>2.0251999999999999</v>
      </c>
      <c r="BN81">
        <f>2.07+0.215*(BM81^1.7)*(24/100)</f>
        <v>2.241255750541113</v>
      </c>
      <c r="BO81">
        <f>BN81*((600/BG81)^0.67)</f>
        <v>1.9853192442359771</v>
      </c>
      <c r="BP81">
        <f>BN81*((600/BH81)^0.67)</f>
        <v>1.9569417030742853</v>
      </c>
      <c r="BQ81">
        <f>BN81*((600/BI81)^0.67)</f>
        <v>1.9288394618942553</v>
      </c>
      <c r="BR81" s="39">
        <f>BO81*(AM81-BB81)</f>
        <v>-13.630321985345608</v>
      </c>
      <c r="BS81" s="39">
        <f>BP81*(AD81-BD81)</f>
        <v>0.16392660083441268</v>
      </c>
      <c r="BT81" s="39">
        <f>BQ81*(AU81-BF81)</f>
        <v>10.12337155890245</v>
      </c>
      <c r="BU81">
        <f>(2.51+1.48*BM81)+(0.39*BM81*LOG10(0.0015))</f>
        <v>3.2768938069574309</v>
      </c>
      <c r="BV81">
        <f>BU81*((600/$BG81)^0.67)</f>
        <v>2.902694319780148</v>
      </c>
      <c r="BW81">
        <f>BU81*((600/$BH81)^0.67)</f>
        <v>2.8612041021345371</v>
      </c>
      <c r="BX81">
        <f>BU81*((600/$BI81)^0.67)</f>
        <v>2.8201163949140504</v>
      </c>
      <c r="BY81" s="39">
        <f>BV81*($AM81-$BB81)</f>
        <v>-19.92861264932889</v>
      </c>
      <c r="BZ81" s="39">
        <f>BW81*($AD81-$BD81)</f>
        <v>0.23967370209320343</v>
      </c>
      <c r="CA81" s="39">
        <f>BX81*($AU81-$BF81)</f>
        <v>14.801172761692779</v>
      </c>
      <c r="CB81" s="42">
        <f>AVERAGE(0.72,0.69,0.4,0.22)</f>
        <v>0.50750000000000006</v>
      </c>
      <c r="CC81">
        <f>CB81*((600/$BG81)^0.67)</f>
        <v>0.44954687398191967</v>
      </c>
      <c r="CD81">
        <f>CB81*((600/$BH81)^0.67)</f>
        <v>0.44312118956991908</v>
      </c>
      <c r="CE81">
        <f>CB81*((600/$BI81)^0.67)</f>
        <v>0.43675784286331415</v>
      </c>
      <c r="CF81" s="39">
        <f>CC81*($AM81-$BB81)</f>
        <v>-3.086389585790382</v>
      </c>
      <c r="CG81" s="39">
        <f>CD81*($AD81-$BD81)</f>
        <v>3.7118811587378626E-2</v>
      </c>
      <c r="CH81" s="39">
        <f>CE81*($AU81-$BF81)</f>
        <v>2.2922913036152188</v>
      </c>
      <c r="CI81">
        <v>0.86263901889527161</v>
      </c>
      <c r="CJ81">
        <f>((BG81/BH81)^0.67)*CI81</f>
        <v>0.85030872272882174</v>
      </c>
      <c r="CK81">
        <f>((BH81/BH81)^0.67)*CI81</f>
        <v>0.86263901889527161</v>
      </c>
      <c r="CL81">
        <f>((BI81/BH81)^0.67)*CI81</f>
        <v>0.87520724462852773</v>
      </c>
      <c r="CM81" s="39">
        <f>CJ81*($AM81-$BB81)</f>
        <v>-5.837842811120308</v>
      </c>
      <c r="CN81" s="39">
        <f>CK81*($AD81-$BD81)</f>
        <v>7.2260446947645579E-2</v>
      </c>
      <c r="CO81" s="39">
        <f>CL81*($AU81-$BF81)</f>
        <v>4.5934606292825579</v>
      </c>
      <c r="CP81" s="27">
        <f>VLOOKUP(A81,Water!$A$2:$E$109, 5, FALSE)/1000</f>
        <v>1.1899999999999999E-3</v>
      </c>
      <c r="CQ81">
        <f>0.64*CP81</f>
        <v>7.6159999999999997E-4</v>
      </c>
      <c r="CR81" s="19">
        <f>CQ81*1000*(2.5*10^-5)</f>
        <v>1.9040000000000001E-5</v>
      </c>
      <c r="CS81" s="18">
        <f>(-0.0000009*F81^3)+(0.0002*F81^2)-(0.0134*F81)+6.579</f>
        <v>6.4083070874999999</v>
      </c>
      <c r="CT81" s="18">
        <f>CS81-(SQRT(CP81))/(1+1.4*SQRT(CP81))</f>
        <v>6.3753999582905108</v>
      </c>
      <c r="CU81" s="18">
        <f>10^(-CT81)</f>
        <v>4.2130832586630963E-7</v>
      </c>
      <c r="CV81" s="18">
        <f>(0.000001*F81^3)+(0.00006*F81^2)-(0.014*F81)+10.625</f>
        <v>10.414827125</v>
      </c>
      <c r="CW81" s="18">
        <f>CV81-(2*SQRT(CR81))/(1+1.4*SQRT(CR81))</f>
        <v>10.406153143609185</v>
      </c>
      <c r="CX81" s="18">
        <f>10^(-CW81)</f>
        <v>3.9250650292027224E-11</v>
      </c>
      <c r="CY81">
        <f>EXP(1246.98+-61900/H81-183*LN(H81))</f>
        <v>1.6682240229004691E-2</v>
      </c>
      <c r="CZ81">
        <f>12.225*(F81^2)+15.258*F81+1125.7</f>
        <v>4705.7132499999998</v>
      </c>
      <c r="DA81" s="15">
        <f>10^(-4470.99/H81+6.0875-0.01706*H81)</f>
        <v>5.1313855369902282E-15</v>
      </c>
      <c r="DB81">
        <f>(10^-I81)</f>
        <v>1.230268770812377E-9</v>
      </c>
      <c r="DC81">
        <f>DB81^2</f>
        <v>1.5135612484361971E-18</v>
      </c>
      <c r="DD81" s="20">
        <f>((14.6836*10^-9)*((H81/217.2056)-1)^1.997)*100*100</f>
        <v>1.6388180832602313E-5</v>
      </c>
      <c r="DE81">
        <f>CY81+CZ81*DA81/DB81</f>
        <v>3.6309519637494049E-2</v>
      </c>
      <c r="DF81">
        <f>1+DC81*(CU81*CX81+CU81*DB81)^-1</f>
        <v>1.0028298317124809</v>
      </c>
      <c r="DG81">
        <f>(DE81*DF81/DD81)^0.5</f>
        <v>47.136626806405914</v>
      </c>
      <c r="DH81">
        <f>DD81/(BO81/60/60)</f>
        <v>2.9716858469315186E-2</v>
      </c>
      <c r="DI81" s="16">
        <f>DF81/((DF81-1)+TANH(DG81*DH81)/(DG81*DH81))</f>
        <v>1.5792591079383085</v>
      </c>
      <c r="DJ81">
        <f>$DI81*BR81</f>
        <v>-21.525810139488819</v>
      </c>
      <c r="DK81">
        <f>$DI81*BY81</f>
        <v>-31.472443035027233</v>
      </c>
      <c r="DL81">
        <f>$DI81*CF81</f>
        <v>-4.8742088640054044</v>
      </c>
      <c r="DM81">
        <f>$DI81*CM81</f>
        <v>-9.2194664301739255</v>
      </c>
    </row>
    <row r="82" spans="1:117" ht="15.75" x14ac:dyDescent="0.25">
      <c r="A82" s="51" t="s">
        <v>330</v>
      </c>
      <c r="B82" s="54" t="s">
        <v>339</v>
      </c>
      <c r="C82" s="48" t="s">
        <v>228</v>
      </c>
      <c r="D82" s="57">
        <v>43235</v>
      </c>
      <c r="E82" s="42" t="str">
        <f>A82&amp;D82</f>
        <v>62B43235</v>
      </c>
      <c r="F82" s="3">
        <f>VLOOKUP($E82,Water!$C$2:$E$90, 2, FALSE)</f>
        <v>15.4</v>
      </c>
      <c r="G82" s="3">
        <f>VLOOKUP($E82,Water!$C$2:$E$90, 3, FALSE)</f>
        <v>0.5</v>
      </c>
      <c r="H82" s="1">
        <f>F82+273.15</f>
        <v>288.54999999999995</v>
      </c>
      <c r="I82" s="3">
        <f>VLOOKUP($E82,Water!$C$2:$F$90, 4, FALSE)</f>
        <v>9.07</v>
      </c>
      <c r="J82">
        <f>10^(I82*-1)</f>
        <v>8.5113803820237469E-10</v>
      </c>
      <c r="K82" s="25">
        <f>VLOOKUP($E82,Atm!$D$2:$G$45, 2, FALSE)</f>
        <v>421.28034936791698</v>
      </c>
      <c r="L82" s="25">
        <f>VLOOKUP($E82,Atm!$D$2:$G$45, 3, FALSE)</f>
        <v>2.0979022984200948</v>
      </c>
      <c r="M82" s="25">
        <f>VLOOKUP($E82,Atm!$D$2:$G$45, 4, FALSE)</f>
        <v>0.33006362898435643</v>
      </c>
      <c r="N82" s="21">
        <f>VLOOKUP($C82,Raw!$B$2:$F$353, 3, FALSE)</f>
        <v>308.69299999999998</v>
      </c>
      <c r="O82" s="21">
        <f>VLOOKUP($C82,Raw!$B$2:$F$353, 4, FALSE)</f>
        <v>62.401000000000003</v>
      </c>
      <c r="P82" s="21">
        <f>VLOOKUP($C82,Raw!$B$2:$F$353, 5, FALSE)</f>
        <v>0.32200000000000001</v>
      </c>
      <c r="Q82" s="14">
        <v>60</v>
      </c>
      <c r="R82" s="25">
        <v>1140</v>
      </c>
      <c r="S82">
        <f>EXP(24.4543-(100/H82*(67.4509))-(4.8489*LN(H82/100))-(0.000544*G82))</f>
        <v>1.7246386021370894E-2</v>
      </c>
      <c r="T82" s="8">
        <f>EXP(-58.0931+90.5069*(100/H82)+22.294*LN(H82/100)+G82*(0.027766-0.025888*(H82/100)+0.0050578*(H82/100)^2)*G82)</f>
        <v>4.4901344122892421E-2</v>
      </c>
      <c r="U82" s="9">
        <f>(EXP(-67.1962+99.1624*(100/H82)+27.9015*LN(H82/100)+G82*(-0.072909+0.041674*(H82/100)-0.0064603*(H82/100)^2)*G82))</f>
        <v>3.8201406884661677E-2</v>
      </c>
      <c r="V82" s="9">
        <f>(EXP(-64.8539+100.252*(100/H82)+25.2049*LN(H82/100)+(-0.062544+0.035337*(H82/100)-0.0054699*(H82/100)^2)*G82))</f>
        <v>3.3239978144891276E-2</v>
      </c>
      <c r="W82" s="9">
        <f>(EXP(-68.8862+101.4956*(100/H82)+28.7314*LN(H82/100)+G82*(-0.076146+0.04397*(H82/100)-0.0068672*(H82/100)^2)))</f>
        <v>3.8065133057274186E-2</v>
      </c>
      <c r="X82">
        <f>N82*(AZ82-S82)</f>
        <v>277.61766635990494</v>
      </c>
      <c r="Y82">
        <f>O82*(AZ82-S82)</f>
        <v>56.119251160617281</v>
      </c>
      <c r="Z82">
        <f>((Y82/10^6)*AZ82)/(0.082056*H82)</f>
        <v>2.1724526724310938E-6</v>
      </c>
      <c r="AA82">
        <f>(((L82/10^6)*AZ82)/(0.082056*H82))</f>
        <v>8.1212656271159304E-8</v>
      </c>
      <c r="AB82">
        <f>((Y82/10^6)*U82*1)/(0.082056*H82)</f>
        <v>9.0544026475280293E-8</v>
      </c>
      <c r="AC82">
        <f>(Z82*(Q82/1000))+(AB82*(R82/1000))</f>
        <v>2.3356735052768513E-7</v>
      </c>
      <c r="AD82" s="39">
        <f>((AC82-(AA82*(Q82/1000)))/(R82/1000))*1000000</f>
        <v>0.20060929048369788</v>
      </c>
      <c r="AE82" s="39">
        <f>(AD82/((U82*AZ82*1))*(0.0821*273.15))</f>
        <v>128.48314793034598</v>
      </c>
      <c r="AF82" s="39">
        <f>L82*U82*AZ82*1/(0.0821*273.15)</f>
        <v>3.2755944913361906E-3</v>
      </c>
      <c r="AG82" s="39">
        <f>AD82-AF82</f>
        <v>0.1973336959923617</v>
      </c>
      <c r="AH82" s="42">
        <f>P82*(AZ82-S82)</f>
        <v>0.28958508475375017</v>
      </c>
      <c r="AI82">
        <f>(((X82/10^6)*(Q82/1000))/(0.082056*H82))</f>
        <v>7.0350457889974572E-7</v>
      </c>
      <c r="AJ82">
        <f>(((K82/10^6)*AZ82)*(Q82/1000))/(0.082056*H82)</f>
        <v>9.7850017799521452E-7</v>
      </c>
      <c r="AK82">
        <f>(X82/10^6)*T82*(R82/1000)</f>
        <v>1.4210563263875286E-5</v>
      </c>
      <c r="AL82">
        <f>AI82+AK82</f>
        <v>1.4914067842775031E-5</v>
      </c>
      <c r="AM82" s="39">
        <f>((AL82-AJ82)/(R82/1000))*1000000</f>
        <v>12.224182162087558</v>
      </c>
      <c r="AN82" s="39">
        <f>AM82/(T82*AZ82)</f>
        <v>297.02335094572118</v>
      </c>
      <c r="AO82" s="39">
        <f>(K82*AZ82)*T82</f>
        <v>17.338056807938965</v>
      </c>
      <c r="AP82" s="39">
        <f>AM82-AO82</f>
        <v>-5.1138746458514071</v>
      </c>
      <c r="AQ82">
        <f>(((AH82/10^6)*(Q82/1000))/(0.082056*H82))</f>
        <v>7.3383094014350228E-10</v>
      </c>
      <c r="AR82">
        <f>(((M82/10^6)*AZ82)*(Q82/1000))/(0.082056*H82)</f>
        <v>7.6663276650694666E-10</v>
      </c>
      <c r="AS82">
        <f>(AH82/10^6)*V82*(R82/1000)</f>
        <v>1.0973414152663302E-8</v>
      </c>
      <c r="AT82">
        <f>AQ82+AS82</f>
        <v>1.1707245092806805E-8</v>
      </c>
      <c r="AU82" s="39">
        <f>((AT82-AR82)/(R82/1000))*1000000000</f>
        <v>9.5970283564033849</v>
      </c>
      <c r="AV82" s="39">
        <f>(AU82/1000)/(V82*AZ82)</f>
        <v>0.31499682083402969</v>
      </c>
      <c r="AW82" s="39">
        <f>(M82*AZ82)*V82*1000</f>
        <v>10.056069767285949</v>
      </c>
      <c r="AX82" s="39">
        <f>AU82-AW82</f>
        <v>-0.45904141088256445</v>
      </c>
      <c r="AY82" s="26">
        <f>VLOOKUP($E82,Water!$C$2:$G$90, 5, FALSE)</f>
        <v>696.6</v>
      </c>
      <c r="AZ82">
        <f>AY82/760</f>
        <v>0.91657894736842105</v>
      </c>
      <c r="BA82" s="3">
        <f>Assumptions!$B$3</f>
        <v>406.07</v>
      </c>
      <c r="BB82" s="3">
        <f>BA82*AZ82*T82</f>
        <v>16.71206534689593</v>
      </c>
      <c r="BC82" s="3">
        <f>Assumptions!$B$4</f>
        <v>1.8474300000000001</v>
      </c>
      <c r="BD82" s="45">
        <f>BC82*AZ82*U82*1/(0.0821*273.15)</f>
        <v>2.8845154208022371E-3</v>
      </c>
      <c r="BE82" s="3">
        <f>Assumptions!$B$2</f>
        <v>0.33054499999999998</v>
      </c>
      <c r="BF82" s="44">
        <f>BE82*AZ82*V82*1000</f>
        <v>10.070735728913276</v>
      </c>
      <c r="BG82">
        <f>1923.6+(-125.06*F82)+(4.3773*(F82^2))+(-0.085681*(F82^3))+(0.00070284*(F82^4))</f>
        <v>762.39797755430391</v>
      </c>
      <c r="BH82">
        <f>1909.4+(-120.78*F82)+(4.1555*(F82^2))+(-0.080578*(F82^3))+(0.00065777*(F82^4))</f>
        <v>777.61043665371187</v>
      </c>
      <c r="BI82">
        <f>2141.2+(-152.56*F82)+(5.8963*(F82^2))+(-0.12411*(F82^3))+(0.0010655*(F82^4))</f>
        <v>796.78892725679998</v>
      </c>
      <c r="BJ82" s="25">
        <f>VLOOKUP(E82,Wind!$C$2:$E$109,3, FALSE)</f>
        <v>5.833333333333333</v>
      </c>
      <c r="BK82" s="44">
        <v>1.66</v>
      </c>
      <c r="BL82">
        <f>BK82/(1-(((1.3*10^-3)^0.5)/0.41)*LN(10/1.5))</f>
        <v>1.9923982880693825</v>
      </c>
      <c r="BM82">
        <f>BK82*1.22</f>
        <v>2.0251999999999999</v>
      </c>
      <c r="BN82">
        <f>2.07+0.215*(BM82^1.7)*(24/100)</f>
        <v>2.241255750541113</v>
      </c>
      <c r="BO82">
        <f>BN82*((600/BG82)^0.67)</f>
        <v>1.9089343453247276</v>
      </c>
      <c r="BP82">
        <f>BN82*((600/BH82)^0.67)</f>
        <v>1.8838319594306423</v>
      </c>
      <c r="BQ82">
        <f>BN82*((600/BI82)^0.67)</f>
        <v>1.8533299762770117</v>
      </c>
      <c r="BR82" s="39">
        <f>BO82*(AM82-BB82)</f>
        <v>-8.5670743492860222</v>
      </c>
      <c r="BS82" s="39">
        <f>BP82*(AD82-BD82)</f>
        <v>0.37248025043471772</v>
      </c>
      <c r="BT82" s="39">
        <f>BQ82*(AU82-BF82)</f>
        <v>-0.87793607345600111</v>
      </c>
      <c r="BU82">
        <f>(2.51+1.48*BM82)+(0.39*BM82*LOG10(0.0015))</f>
        <v>3.2768938069574309</v>
      </c>
      <c r="BV82">
        <f>BU82*((600/$BG82)^0.67)</f>
        <v>2.7910135345208524</v>
      </c>
      <c r="BW82">
        <f>BU82*((600/$BH82)^0.67)</f>
        <v>2.7543118538419185</v>
      </c>
      <c r="BX82">
        <f>BU82*((600/$BI82)^0.67)</f>
        <v>2.7097155333765186</v>
      </c>
      <c r="BY82" s="39">
        <f>BV82*($AM82-$BB82)</f>
        <v>-12.525742710148712</v>
      </c>
      <c r="BZ82" s="39">
        <f>BW82*($AD82-$BD82)</f>
        <v>0.5445956917539605</v>
      </c>
      <c r="CA82" s="39">
        <f>BX82*($AU82-$BF82)</f>
        <v>-1.2836122255650273</v>
      </c>
      <c r="CB82" s="42">
        <f>AVERAGE(0.72,0.69,0.4,0.22)</f>
        <v>0.50750000000000006</v>
      </c>
      <c r="CC82">
        <f>CB82*((600/$BG82)^0.67)</f>
        <v>0.43225061665470482</v>
      </c>
      <c r="CD82">
        <f>CB82*((600/$BH82)^0.67)</f>
        <v>0.426566543858384</v>
      </c>
      <c r="CE82">
        <f>CB82*((600/$BI82)^0.67)</f>
        <v>0.41965981023517734</v>
      </c>
      <c r="CF82" s="39">
        <f>CC82*($AM82-$BB82)</f>
        <v>-1.9398902741076991</v>
      </c>
      <c r="CG82" s="39">
        <f>CD82*($AD82-$BD82)</f>
        <v>8.4342773933755791E-2</v>
      </c>
      <c r="CH82" s="39">
        <f>CE82*($AU82-$BF82)</f>
        <v>-0.19879594605450515</v>
      </c>
      <c r="CI82">
        <v>0.86263901889527161</v>
      </c>
      <c r="CJ82">
        <f>((BG82/BH82)^0.67)*CI82</f>
        <v>0.85129536132389461</v>
      </c>
      <c r="CK82">
        <f>((BH82/BH82)^0.67)*CI82</f>
        <v>0.86263901889527161</v>
      </c>
      <c r="CL82">
        <f>((BI82/BH82)^0.67)*CI82</f>
        <v>0.87683627527098951</v>
      </c>
      <c r="CM82" s="39">
        <f>CJ82*($AM82-$BB82)</f>
        <v>-3.8205141373908735</v>
      </c>
      <c r="CN82" s="39">
        <f>CK82*($AD82-$BD82)</f>
        <v>0.17056510597154456</v>
      </c>
      <c r="CO82" s="39">
        <f>CL82*($AU82-$BF82)</f>
        <v>-0.41536380807997958</v>
      </c>
      <c r="CP82" s="27">
        <f>VLOOKUP(A82,Water!$A$2:$E$109, 5, FALSE)/1000</f>
        <v>1.4299999999999998E-3</v>
      </c>
      <c r="CQ82">
        <f>0.64*CP82</f>
        <v>9.1519999999999991E-4</v>
      </c>
      <c r="CR82" s="19">
        <f>CQ82*1000*(2.5*10^-5)</f>
        <v>2.2879999999999998E-5</v>
      </c>
      <c r="CS82" s="18">
        <f>(-0.0000009*F82^3)+(0.0002*F82^2)-(0.0134*F82)+6.579</f>
        <v>6.4167849623999995</v>
      </c>
      <c r="CT82" s="18">
        <f>CS82-(SQRT(CP82))/(1+1.4*SQRT(CP82))</f>
        <v>6.3808709618368429</v>
      </c>
      <c r="CU82" s="18">
        <f>10^(-CT82)</f>
        <v>4.1603420477681122E-7</v>
      </c>
      <c r="CV82" s="18">
        <f>(0.000001*F82^3)+(0.00006*F82^2)-(0.014*F82)+10.625</f>
        <v>10.427281863999999</v>
      </c>
      <c r="CW82" s="18">
        <f>CV82-(2*SQRT(CR82))/(1+1.4*SQRT(CR82))</f>
        <v>10.417778893246695</v>
      </c>
      <c r="CX82" s="18">
        <f>10^(-CW82)</f>
        <v>3.8213877471339467E-11</v>
      </c>
      <c r="CY82">
        <f>EXP(1246.98+-61900/H82-183*LN(H82))</f>
        <v>1.4819757606088245E-2</v>
      </c>
      <c r="CZ82">
        <f>12.225*(F82^2)+15.258*F82+1125.7</f>
        <v>4259.9542000000001</v>
      </c>
      <c r="DA82" s="15">
        <f>10^(-4470.99/H82+6.0875-0.01706*H82)</f>
        <v>4.6790393974142659E-15</v>
      </c>
      <c r="DB82">
        <f>(10^-I82)</f>
        <v>8.5113803820237469E-10</v>
      </c>
      <c r="DC82">
        <f>DB82^2</f>
        <v>7.2443596007498704E-19</v>
      </c>
      <c r="DD82" s="20">
        <f>((14.6836*10^-9)*((H82/217.2056)-1)^1.997)*100*100</f>
        <v>1.5895010619319801E-5</v>
      </c>
      <c r="DE82">
        <f>CY82+CZ82*DA82/DB82</f>
        <v>3.8238395521834917E-2</v>
      </c>
      <c r="DF82">
        <f>1+DC82*(CU82*CX82+CU82*DB82)^-1</f>
        <v>1.0019579307038857</v>
      </c>
      <c r="DG82">
        <f>(DE82*DF82/DD82)^0.5</f>
        <v>49.095779854075872</v>
      </c>
      <c r="DH82">
        <f>DD82/(BO82/60/60)</f>
        <v>2.997590690832129E-2</v>
      </c>
      <c r="DI82" s="16">
        <f>DF82/((DF82-1)+TANH(DG82*DH82)/(DG82*DH82))</f>
        <v>1.633366375423871</v>
      </c>
      <c r="DJ82">
        <f>$DI82*BR82</f>
        <v>-13.993171177880129</v>
      </c>
      <c r="DK82">
        <f>$DI82*BY82</f>
        <v>-20.459126969967578</v>
      </c>
      <c r="DL82">
        <f>$DI82*CF82</f>
        <v>-3.1685515457393119</v>
      </c>
      <c r="DM82">
        <f>$DI82*CM82</f>
        <v>-6.2402993288457882</v>
      </c>
    </row>
    <row r="83" spans="1:117" ht="15.75" x14ac:dyDescent="0.25">
      <c r="A83" s="52" t="s">
        <v>330</v>
      </c>
      <c r="B83" s="55" t="s">
        <v>340</v>
      </c>
      <c r="C83" t="s">
        <v>229</v>
      </c>
      <c r="D83" s="57">
        <v>43235</v>
      </c>
      <c r="E83" s="42" t="str">
        <f>A83&amp;D83</f>
        <v>62B43235</v>
      </c>
      <c r="F83" s="3">
        <f>VLOOKUP($E83,Water!$C$2:$E$90, 2, FALSE)</f>
        <v>15.4</v>
      </c>
      <c r="G83" s="3">
        <f>VLOOKUP($E83,Water!$C$2:$E$90, 3, FALSE)</f>
        <v>0.5</v>
      </c>
      <c r="H83" s="1">
        <f>F83+273.15</f>
        <v>288.54999999999995</v>
      </c>
      <c r="I83" s="3">
        <f>VLOOKUP($E83,Water!$C$2:$F$90, 4, FALSE)</f>
        <v>9.07</v>
      </c>
      <c r="J83">
        <f>10^(I83*-1)</f>
        <v>8.5113803820237469E-10</v>
      </c>
      <c r="K83" s="25">
        <f>VLOOKUP($E83,Atm!$D$2:$G$45, 2, FALSE)</f>
        <v>421.28034936791698</v>
      </c>
      <c r="L83" s="25">
        <f>VLOOKUP($E83,Atm!$D$2:$G$45, 3, FALSE)</f>
        <v>2.0979022984200948</v>
      </c>
      <c r="M83" s="25">
        <f>VLOOKUP($E83,Atm!$D$2:$G$45, 4, FALSE)</f>
        <v>0.33006362898435643</v>
      </c>
      <c r="N83" s="21">
        <f>VLOOKUP($C83,Raw!$B$2:$F$353, 3, FALSE)</f>
        <v>275.73995716025092</v>
      </c>
      <c r="O83" s="21">
        <f>VLOOKUP($C83,Raw!$B$2:$F$353, 4, FALSE)</f>
        <v>62.089309800995409</v>
      </c>
      <c r="P83" s="21">
        <f>VLOOKUP($C83,Raw!$B$2:$F$353, 5, FALSE)</f>
        <v>0.3530434037994693</v>
      </c>
      <c r="Q83" s="14">
        <v>60</v>
      </c>
      <c r="R83" s="25">
        <v>1140</v>
      </c>
      <c r="S83">
        <f>EXP(24.4543-(100/H83*(67.4509))-(4.8489*LN(H83/100))-(0.000544*G83))</f>
        <v>1.7246386021370894E-2</v>
      </c>
      <c r="T83" s="8">
        <f>EXP(-58.0931+90.5069*(100/H83)+22.294*LN(H83/100)+G83*(0.027766-0.025888*(H83/100)+0.0050578*(H83/100)^2)*G83)</f>
        <v>4.4901344122892421E-2</v>
      </c>
      <c r="U83" s="9">
        <f>(EXP(-67.1962+99.1624*(100/H83)+27.9015*LN(H83/100)+G83*(-0.072909+0.041674*(H83/100)-0.0064603*(H83/100)^2)*G83))</f>
        <v>3.8201406884661677E-2</v>
      </c>
      <c r="V83" s="9">
        <f>(EXP(-64.8539+100.252*(100/H83)+25.2049*LN(H83/100)+(-0.062544+0.035337*(H83/100)-0.0054699*(H83/100)^2)*G83))</f>
        <v>3.3239978144891276E-2</v>
      </c>
      <c r="W83" s="9">
        <f>(EXP(-68.8862+101.4956*(100/H83)+28.7314*LN(H83/100)+G83*(-0.076146+0.04397*(H83/100)-0.0068672*(H83/100)^2)))</f>
        <v>3.8065133057274186E-2</v>
      </c>
      <c r="X83">
        <f>N83*(AZ83-S83)</f>
        <v>247.98192193865435</v>
      </c>
      <c r="Y83">
        <f>O83*(AZ83-S83)</f>
        <v>55.838938015599709</v>
      </c>
      <c r="Z83">
        <f>((Y83/10^6)*AZ83)/(0.082056*H83)</f>
        <v>2.1616013686731715E-6</v>
      </c>
      <c r="AA83">
        <f>(((L83/10^6)*AZ83)/(0.082056*H83))</f>
        <v>8.1212656271159304E-8</v>
      </c>
      <c r="AB83">
        <f>((Y83/10^6)*U83*1)/(0.082056*H83)</f>
        <v>9.009176312003346E-8</v>
      </c>
      <c r="AC83">
        <f>(Z83*(Q83/1000))+(AB83*(R83/1000))</f>
        <v>2.324006920772284E-7</v>
      </c>
      <c r="AD83" s="39">
        <f>((AC83-(AA83*(Q83/1000)))/(R83/1000))*1000000</f>
        <v>0.1995859058780341</v>
      </c>
      <c r="AE83" s="39">
        <f>(AD83/((U83*AZ83*1))*(0.0821*273.15))</f>
        <v>127.82770632361827</v>
      </c>
      <c r="AF83" s="39">
        <f>L83*U83*AZ83*1/(0.0821*273.15)</f>
        <v>3.2755944913361906E-3</v>
      </c>
      <c r="AG83" s="39">
        <f>AD83-AF83</f>
        <v>0.19631031138669791</v>
      </c>
      <c r="AH83" s="42">
        <f>P83*(AZ83-S83)</f>
        <v>0.31750342860565767</v>
      </c>
      <c r="AI83">
        <f>(((X83/10^6)*(Q83/1000))/(0.082056*H83))</f>
        <v>6.2840531676408693E-7</v>
      </c>
      <c r="AJ83">
        <f>(((K83/10^6)*AZ83)*(Q83/1000))/(0.082056*H83)</f>
        <v>9.7850017799521452E-7</v>
      </c>
      <c r="AK83">
        <f>(X83/10^6)*T83*(R83/1000)</f>
        <v>1.2693582639075092E-5</v>
      </c>
      <c r="AL83">
        <f>AI83+AK83</f>
        <v>1.3321987955839179E-5</v>
      </c>
      <c r="AM83" s="39">
        <f>((AL83-AJ83)/(R83/1000))*1000000</f>
        <v>10.827620857757864</v>
      </c>
      <c r="AN83" s="39">
        <f>AM83/(T83*AZ83)</f>
        <v>263.0896846347232</v>
      </c>
      <c r="AO83" s="39">
        <f>(K83*AZ83)*T83</f>
        <v>17.338056807938965</v>
      </c>
      <c r="AP83" s="39">
        <f>AM83-AO83</f>
        <v>-6.5104359501811011</v>
      </c>
      <c r="AQ83">
        <f>(((AH83/10^6)*(Q83/1000))/(0.082056*H83))</f>
        <v>8.0457817677523802E-10</v>
      </c>
      <c r="AR83">
        <f>(((M83/10^6)*AZ83)*(Q83/1000))/(0.082056*H83)</f>
        <v>7.6663276650694666E-10</v>
      </c>
      <c r="AS83">
        <f>(AH83/10^6)*V83*(R83/1000)</f>
        <v>1.2031340011669321E-8</v>
      </c>
      <c r="AT83">
        <f>AQ83+AS83</f>
        <v>1.2835918188444558E-8</v>
      </c>
      <c r="AU83" s="39">
        <f>((AT83-AR83)/(R83/1000))*1000000000</f>
        <v>10.587092475383869</v>
      </c>
      <c r="AV83" s="39">
        <f>(AU83/1000)/(V83*AZ83)</f>
        <v>0.34749303094396555</v>
      </c>
      <c r="AW83" s="39">
        <f>(M83*AZ83)*V83*1000</f>
        <v>10.056069767285949</v>
      </c>
      <c r="AX83" s="39">
        <f>AU83-AW83</f>
        <v>0.53102270809791996</v>
      </c>
      <c r="AY83" s="26">
        <f>VLOOKUP($E83,Water!$C$2:$G$90, 5, FALSE)</f>
        <v>696.6</v>
      </c>
      <c r="AZ83">
        <f>AY83/760</f>
        <v>0.91657894736842105</v>
      </c>
      <c r="BA83" s="3">
        <f>Assumptions!$B$3</f>
        <v>406.07</v>
      </c>
      <c r="BB83" s="3">
        <f>BA83*AZ83*T83</f>
        <v>16.71206534689593</v>
      </c>
      <c r="BC83" s="3">
        <f>Assumptions!$B$4</f>
        <v>1.8474300000000001</v>
      </c>
      <c r="BD83" s="45">
        <f>BC83*AZ83*U83*1/(0.0821*273.15)</f>
        <v>2.8845154208022371E-3</v>
      </c>
      <c r="BE83" s="3">
        <f>Assumptions!$B$2</f>
        <v>0.33054499999999998</v>
      </c>
      <c r="BF83" s="44">
        <f>BE83*AZ83*V83*1000</f>
        <v>10.070735728913276</v>
      </c>
      <c r="BG83">
        <f>1923.6+(-125.06*F83)+(4.3773*(F83^2))+(-0.085681*(F83^3))+(0.00070284*(F83^4))</f>
        <v>762.39797755430391</v>
      </c>
      <c r="BH83">
        <f>1909.4+(-120.78*F83)+(4.1555*(F83^2))+(-0.080578*(F83^3))+(0.00065777*(F83^4))</f>
        <v>777.61043665371187</v>
      </c>
      <c r="BI83">
        <f>2141.2+(-152.56*F83)+(5.8963*(F83^2))+(-0.12411*(F83^3))+(0.0010655*(F83^4))</f>
        <v>796.78892725679998</v>
      </c>
      <c r="BJ83" s="25">
        <f>VLOOKUP(E83,Wind!$C$2:$E$109,3, FALSE)</f>
        <v>5.833333333333333</v>
      </c>
      <c r="BK83" s="44">
        <v>1.66</v>
      </c>
      <c r="BL83">
        <f>BK83/(1-(((1.3*10^-3)^0.5)/0.41)*LN(10/1.5))</f>
        <v>1.9923982880693825</v>
      </c>
      <c r="BM83">
        <f>BK83*1.22</f>
        <v>2.0251999999999999</v>
      </c>
      <c r="BN83">
        <f>2.07+0.215*(BM83^1.7)*(24/100)</f>
        <v>2.241255750541113</v>
      </c>
      <c r="BO83">
        <f>BN83*((600/BG83)^0.67)</f>
        <v>1.9089343453247276</v>
      </c>
      <c r="BP83">
        <f>BN83*((600/BH83)^0.67)</f>
        <v>1.8838319594306423</v>
      </c>
      <c r="BQ83">
        <f>BN83*((600/BI83)^0.67)</f>
        <v>1.8533299762770117</v>
      </c>
      <c r="BR83" s="39">
        <f>BO83*(AM83-BB83)</f>
        <v>-11.233018188472474</v>
      </c>
      <c r="BS83" s="39">
        <f>BP83*(AD83-BD83)</f>
        <v>0.37055236580777895</v>
      </c>
      <c r="BT83" s="39">
        <f>BQ83*(AU83-BF83)</f>
        <v>0.95697943668682062</v>
      </c>
      <c r="BU83">
        <f>(2.51+1.48*BM83)+(0.39*BM83*LOG10(0.0015))</f>
        <v>3.2768938069574309</v>
      </c>
      <c r="BV83">
        <f>BU83*((600/$BG83)^0.67)</f>
        <v>2.7910135345208524</v>
      </c>
      <c r="BW83">
        <f>BU83*((600/$BH83)^0.67)</f>
        <v>2.7543118538419185</v>
      </c>
      <c r="BX83">
        <f>BU83*((600/$BI83)^0.67)</f>
        <v>2.7097155333765186</v>
      </c>
      <c r="BY83" s="39">
        <f>BV83*($AM83-$BB83)</f>
        <v>-16.423564212320983</v>
      </c>
      <c r="BZ83" s="39">
        <f>BW83*($AD83-$BD83)</f>
        <v>0.54177697140354131</v>
      </c>
      <c r="CA83" s="39">
        <f>BX83*($AU83-$BF83)</f>
        <v>1.399179896675129</v>
      </c>
      <c r="CB83" s="42">
        <f>AVERAGE(0.72,0.69,0.4,0.22)</f>
        <v>0.50750000000000006</v>
      </c>
      <c r="CC83">
        <f>CB83*((600/$BG83)^0.67)</f>
        <v>0.43225061665470482</v>
      </c>
      <c r="CD83">
        <f>CB83*((600/$BH83)^0.67)</f>
        <v>0.426566543858384</v>
      </c>
      <c r="CE83">
        <f>CB83*((600/$BI83)^0.67)</f>
        <v>0.41965981023517734</v>
      </c>
      <c r="CF83" s="39">
        <f>CC83*($AM83-$BB83)</f>
        <v>-2.5435547591003083</v>
      </c>
      <c r="CG83" s="39">
        <f>CD83*($AD83-$BD83)</f>
        <v>8.390623229947991E-2</v>
      </c>
      <c r="CH83" s="39">
        <f>CE83*($AU83-$BF83)</f>
        <v>0.21669417423750298</v>
      </c>
      <c r="CI83">
        <v>0.86263901889527161</v>
      </c>
      <c r="CJ83">
        <f>((BG83/BH83)^0.67)*CI83</f>
        <v>0.85129536132389461</v>
      </c>
      <c r="CK83">
        <f>((BH83/BH83)^0.67)*CI83</f>
        <v>0.86263901889527161</v>
      </c>
      <c r="CL83">
        <f>((BI83/BH83)^0.67)*CI83</f>
        <v>0.87683627527098951</v>
      </c>
      <c r="CM83" s="39">
        <f>CJ83*($AM83-$BB83)</f>
        <v>-5.0094002975711902</v>
      </c>
      <c r="CN83" s="39">
        <f>CK83*($AD83-$BD83)</f>
        <v>0.16968229447936223</v>
      </c>
      <c r="CO83" s="39">
        <f>CL83*($AU83-$BF83)</f>
        <v>0.45276032628632212</v>
      </c>
      <c r="CP83" s="27">
        <f>VLOOKUP(A83,Water!$A$2:$E$109, 5, FALSE)/1000</f>
        <v>1.4299999999999998E-3</v>
      </c>
      <c r="CQ83">
        <f>0.64*CP83</f>
        <v>9.1519999999999991E-4</v>
      </c>
      <c r="CR83" s="19">
        <f>CQ83*1000*(2.5*10^-5)</f>
        <v>2.2879999999999998E-5</v>
      </c>
      <c r="CS83" s="18">
        <f>(-0.0000009*F83^3)+(0.0002*F83^2)-(0.0134*F83)+6.579</f>
        <v>6.4167849623999995</v>
      </c>
      <c r="CT83" s="18">
        <f>CS83-(SQRT(CP83))/(1+1.4*SQRT(CP83))</f>
        <v>6.3808709618368429</v>
      </c>
      <c r="CU83" s="18">
        <f>10^(-CT83)</f>
        <v>4.1603420477681122E-7</v>
      </c>
      <c r="CV83" s="18">
        <f>(0.000001*F83^3)+(0.00006*F83^2)-(0.014*F83)+10.625</f>
        <v>10.427281863999999</v>
      </c>
      <c r="CW83" s="18">
        <f>CV83-(2*SQRT(CR83))/(1+1.4*SQRT(CR83))</f>
        <v>10.417778893246695</v>
      </c>
      <c r="CX83" s="18">
        <f>10^(-CW83)</f>
        <v>3.8213877471339467E-11</v>
      </c>
      <c r="CY83">
        <f>EXP(1246.98+-61900/H83-183*LN(H83))</f>
        <v>1.4819757606088245E-2</v>
      </c>
      <c r="CZ83">
        <f>12.225*(F83^2)+15.258*F83+1125.7</f>
        <v>4259.9542000000001</v>
      </c>
      <c r="DA83" s="15">
        <f>10^(-4470.99/H83+6.0875-0.01706*H83)</f>
        <v>4.6790393974142659E-15</v>
      </c>
      <c r="DB83">
        <f>(10^-I83)</f>
        <v>8.5113803820237469E-10</v>
      </c>
      <c r="DC83">
        <f>DB83^2</f>
        <v>7.2443596007498704E-19</v>
      </c>
      <c r="DD83" s="20">
        <f>((14.6836*10^-9)*((H83/217.2056)-1)^1.997)*100*100</f>
        <v>1.5895010619319801E-5</v>
      </c>
      <c r="DE83">
        <f>CY83+CZ83*DA83/DB83</f>
        <v>3.8238395521834917E-2</v>
      </c>
      <c r="DF83">
        <f>1+DC83*(CU83*CX83+CU83*DB83)^-1</f>
        <v>1.0019579307038857</v>
      </c>
      <c r="DG83">
        <f>(DE83*DF83/DD83)^0.5</f>
        <v>49.095779854075872</v>
      </c>
      <c r="DH83">
        <f>DD83/(BO83/60/60)</f>
        <v>2.997590690832129E-2</v>
      </c>
      <c r="DI83" s="16">
        <f>DF83/((DF83-1)+TANH(DG83*DH83)/(DG83*DH83))</f>
        <v>1.633366375423871</v>
      </c>
      <c r="DJ83">
        <f>$DI83*BR83</f>
        <v>-18.347634203575701</v>
      </c>
      <c r="DK83">
        <f>$DI83*BY83</f>
        <v>-26.825697549019925</v>
      </c>
      <c r="DL83">
        <f>$DI83*CF83</f>
        <v>-4.1545568175638081</v>
      </c>
      <c r="DM83">
        <f>$DI83*CM83</f>
        <v>-8.182186007091115</v>
      </c>
    </row>
    <row r="84" spans="1:117" ht="15.75" x14ac:dyDescent="0.25">
      <c r="A84" s="52" t="s">
        <v>330</v>
      </c>
      <c r="B84" s="55" t="s">
        <v>341</v>
      </c>
      <c r="C84" t="s">
        <v>230</v>
      </c>
      <c r="D84" s="57">
        <v>43235</v>
      </c>
      <c r="E84" s="42" t="str">
        <f>A84&amp;D84</f>
        <v>62B43235</v>
      </c>
      <c r="F84" s="3">
        <f>VLOOKUP($E84,Water!$C$2:$E$90, 2, FALSE)</f>
        <v>15.4</v>
      </c>
      <c r="G84" s="3">
        <f>VLOOKUP($E84,Water!$C$2:$E$90, 3, FALSE)</f>
        <v>0.5</v>
      </c>
      <c r="H84" s="1">
        <f>F84+273.15</f>
        <v>288.54999999999995</v>
      </c>
      <c r="I84" s="3">
        <f>VLOOKUP($E84,Water!$C$2:$F$90, 4, FALSE)</f>
        <v>9.07</v>
      </c>
      <c r="J84">
        <f>10^(I84*-1)</f>
        <v>8.5113803820237469E-10</v>
      </c>
      <c r="K84" s="25">
        <f>VLOOKUP($E84,Atm!$D$2:$G$45, 2, FALSE)</f>
        <v>421.28034936791698</v>
      </c>
      <c r="L84" s="25">
        <f>VLOOKUP($E84,Atm!$D$2:$G$45, 3, FALSE)</f>
        <v>2.0979022984200948</v>
      </c>
      <c r="M84" s="25">
        <f>VLOOKUP($E84,Atm!$D$2:$G$45, 4, FALSE)</f>
        <v>0.33006362898435643</v>
      </c>
      <c r="N84" s="21">
        <f>VLOOKUP($C84,Raw!$B$2:$F$353, 3, FALSE)</f>
        <v>269.47250142729803</v>
      </c>
      <c r="O84" s="21">
        <f>VLOOKUP($C84,Raw!$B$2:$F$353, 4, FALSE)</f>
        <v>63.363079479870542</v>
      </c>
      <c r="P84" s="21">
        <f>VLOOKUP($C84,Raw!$B$2:$F$353, 5, FALSE)</f>
        <v>0.3560275299445822</v>
      </c>
      <c r="Q84" s="14">
        <v>60</v>
      </c>
      <c r="R84" s="25">
        <v>1140</v>
      </c>
      <c r="S84">
        <f>EXP(24.4543-(100/H84*(67.4509))-(4.8489*LN(H84/100))-(0.000544*G84))</f>
        <v>1.7246386021370894E-2</v>
      </c>
      <c r="T84" s="8">
        <f>EXP(-58.0931+90.5069*(100/H84)+22.294*LN(H84/100)+G84*(0.027766-0.025888*(H84/100)+0.0050578*(H84/100)^2)*G84)</f>
        <v>4.4901344122892421E-2</v>
      </c>
      <c r="U84" s="9">
        <f>(EXP(-67.1962+99.1624*(100/H84)+27.9015*LN(H84/100)+G84*(-0.072909+0.041674*(H84/100)-0.0064603*(H84/100)^2)*G84))</f>
        <v>3.8201406884661677E-2</v>
      </c>
      <c r="V84" s="9">
        <f>(EXP(-64.8539+100.252*(100/H84)+25.2049*LN(H84/100)+(-0.062544+0.035337*(H84/100)-0.0054699*(H84/100)^2)*G84))</f>
        <v>3.3239978144891276E-2</v>
      </c>
      <c r="W84" s="9">
        <f>(EXP(-68.8862+101.4956*(100/H84)+28.7314*LN(H84/100)+G84*(-0.076146+0.04397*(H84/100)-0.0068672*(H84/100)^2)))</f>
        <v>3.8065133057274186E-2</v>
      </c>
      <c r="X84">
        <f>N84*(AZ84-S84)</f>
        <v>242.34539492120857</v>
      </c>
      <c r="Y84">
        <f>O84*(AZ84-S84)</f>
        <v>56.984480563468694</v>
      </c>
      <c r="Z84">
        <f>((Y84/10^6)*AZ84)/(0.082056*H84)</f>
        <v>2.2059468814523576E-6</v>
      </c>
      <c r="AA84">
        <f>(((L84/10^6)*AZ84)/(0.082056*H84))</f>
        <v>8.1212656271159304E-8</v>
      </c>
      <c r="AB84">
        <f>((Y84/10^6)*U84*1)/(0.082056*H84)</f>
        <v>9.1940006505996502E-8</v>
      </c>
      <c r="AC84">
        <f>(Z84*(Q84/1000))+(AB84*(R84/1000))</f>
        <v>2.3716842030397745E-7</v>
      </c>
      <c r="AD84" s="39">
        <f>((AC84-(AA84*(Q84/1000)))/(R84/1000))*1000000</f>
        <v>0.20376812362079644</v>
      </c>
      <c r="AE84" s="39">
        <f>(AD84/((U84*AZ84*1))*(0.0821*273.15))</f>
        <v>130.5062687153432</v>
      </c>
      <c r="AF84" s="39">
        <f>L84*U84*AZ84*1/(0.0821*273.15)</f>
        <v>3.2755944913361906E-3</v>
      </c>
      <c r="AG84" s="39">
        <f>AD84-AF84</f>
        <v>0.20049252912946025</v>
      </c>
      <c r="AH84" s="42">
        <f>P84*(AZ84-S84)</f>
        <v>0.32018715041512474</v>
      </c>
      <c r="AI84">
        <f>(((X84/10^6)*(Q84/1000))/(0.082056*H84))</f>
        <v>6.1412192256278053E-7</v>
      </c>
      <c r="AJ84">
        <f>(((K84/10^6)*AZ84)*(Q84/1000))/(0.082056*H84)</f>
        <v>9.7850017799521452E-7</v>
      </c>
      <c r="AK84">
        <f>(X84/10^6)*T84*(R84/1000)</f>
        <v>1.2405062730309214E-5</v>
      </c>
      <c r="AL84">
        <f>AI84+AK84</f>
        <v>1.3019184652871995E-5</v>
      </c>
      <c r="AM84" s="39">
        <f>((AL84-AJ84)/(R84/1000))*1000000</f>
        <v>10.56200392533051</v>
      </c>
      <c r="AN84" s="39">
        <f>AM84/(T84*AZ84)</f>
        <v>256.63572065648822</v>
      </c>
      <c r="AO84" s="39">
        <f>(K84*AZ84)*T84</f>
        <v>17.338056807938965</v>
      </c>
      <c r="AP84" s="39">
        <f>AM84-AO84</f>
        <v>-6.7760528826084556</v>
      </c>
      <c r="AQ84">
        <f>(((AH84/10^6)*(Q84/1000))/(0.082056*H84))</f>
        <v>8.1137893483292457E-10</v>
      </c>
      <c r="AR84">
        <f>(((M84/10^6)*AZ84)*(Q84/1000))/(0.082056*H84)</f>
        <v>7.6663276650694666E-10</v>
      </c>
      <c r="AS84">
        <f>(AH84/10^6)*V84*(R84/1000)</f>
        <v>1.2133035825564088E-8</v>
      </c>
      <c r="AT84">
        <f>AQ84+AS84</f>
        <v>1.2944414760397012E-8</v>
      </c>
      <c r="AU84" s="39">
        <f>((AT84-AR84)/(R84/1000))*1000000000</f>
        <v>10.682264906921111</v>
      </c>
      <c r="AV84" s="39">
        <f>(AU84/1000)/(V84*AZ84)</f>
        <v>0.35061681179069748</v>
      </c>
      <c r="AW84" s="39">
        <f>(M84*AZ84)*V84*1000</f>
        <v>10.056069767285949</v>
      </c>
      <c r="AX84" s="39">
        <f>AU84-AW84</f>
        <v>0.62619513963516127</v>
      </c>
      <c r="AY84" s="26">
        <f>VLOOKUP($E84,Water!$C$2:$G$90, 5, FALSE)</f>
        <v>696.6</v>
      </c>
      <c r="AZ84">
        <f>AY84/760</f>
        <v>0.91657894736842105</v>
      </c>
      <c r="BA84" s="3">
        <f>Assumptions!$B$3</f>
        <v>406.07</v>
      </c>
      <c r="BB84" s="3">
        <f>BA84*AZ84*T84</f>
        <v>16.71206534689593</v>
      </c>
      <c r="BC84" s="3">
        <f>Assumptions!$B$4</f>
        <v>1.8474300000000001</v>
      </c>
      <c r="BD84" s="45">
        <f>BC84*AZ84*U84*1/(0.0821*273.15)</f>
        <v>2.8845154208022371E-3</v>
      </c>
      <c r="BE84" s="3">
        <f>Assumptions!$B$2</f>
        <v>0.33054499999999998</v>
      </c>
      <c r="BF84" s="44">
        <f>BE84*AZ84*V84*1000</f>
        <v>10.070735728913276</v>
      </c>
      <c r="BG84">
        <f>1923.6+(-125.06*F84)+(4.3773*(F84^2))+(-0.085681*(F84^3))+(0.00070284*(F84^4))</f>
        <v>762.39797755430391</v>
      </c>
      <c r="BH84">
        <f>1909.4+(-120.78*F84)+(4.1555*(F84^2))+(-0.080578*(F84^3))+(0.00065777*(F84^4))</f>
        <v>777.61043665371187</v>
      </c>
      <c r="BI84">
        <f>2141.2+(-152.56*F84)+(5.8963*(F84^2))+(-0.12411*(F84^3))+(0.0010655*(F84^4))</f>
        <v>796.78892725679998</v>
      </c>
      <c r="BJ84" s="25">
        <f>VLOOKUP(E84,Wind!$C$2:$E$109,3, FALSE)</f>
        <v>5.833333333333333</v>
      </c>
      <c r="BK84" s="44">
        <v>1.66</v>
      </c>
      <c r="BL84">
        <f>BK84/(1-(((1.3*10^-3)^0.5)/0.41)*LN(10/1.5))</f>
        <v>1.9923982880693825</v>
      </c>
      <c r="BM84">
        <f>BK84*1.22</f>
        <v>2.0251999999999999</v>
      </c>
      <c r="BN84">
        <f>2.07+0.215*(BM84^1.7)*(24/100)</f>
        <v>2.241255750541113</v>
      </c>
      <c r="BO84">
        <f>BN84*((600/BG84)^0.67)</f>
        <v>1.9089343453247276</v>
      </c>
      <c r="BP84">
        <f>BN84*((600/BH84)^0.67)</f>
        <v>1.8838319594306423</v>
      </c>
      <c r="BQ84">
        <f>BN84*((600/BI84)^0.67)</f>
        <v>1.8533299762770117</v>
      </c>
      <c r="BR84" s="39">
        <f>BO84*(AM84-BB84)</f>
        <v>-11.740063473482849</v>
      </c>
      <c r="BS84" s="39">
        <f>BP84*(AD84-BD84)</f>
        <v>0.37843096125289255</v>
      </c>
      <c r="BT84" s="39">
        <f>BQ84*(AU84-BF84)</f>
        <v>1.1333653569699615</v>
      </c>
      <c r="BU84">
        <f>(2.51+1.48*BM84)+(0.39*BM84*LOG10(0.0015))</f>
        <v>3.2768938069574309</v>
      </c>
      <c r="BV84">
        <f>BU84*((600/$BG84)^0.67)</f>
        <v>2.7910135345208524</v>
      </c>
      <c r="BW84">
        <f>BU84*((600/$BH84)^0.67)</f>
        <v>2.7543118538419185</v>
      </c>
      <c r="BX84">
        <f>BU84*((600/$BI84)^0.67)</f>
        <v>2.7097155333765186</v>
      </c>
      <c r="BY84" s="39">
        <f>BV84*($AM84-$BB84)</f>
        <v>-17.16490466572364</v>
      </c>
      <c r="BZ84" s="39">
        <f>BW84*($AD84-$BD84)</f>
        <v>0.55329610330777967</v>
      </c>
      <c r="CA84" s="39">
        <f>BX84*($AU84-$BF84)</f>
        <v>1.657070112760805</v>
      </c>
      <c r="CB84" s="42">
        <f>AVERAGE(0.72,0.69,0.4,0.22)</f>
        <v>0.50750000000000006</v>
      </c>
      <c r="CC84">
        <f>CB84*((600/$BG84)^0.67)</f>
        <v>0.43225061665470482</v>
      </c>
      <c r="CD84">
        <f>CB84*((600/$BH84)^0.67)</f>
        <v>0.426566543858384</v>
      </c>
      <c r="CE84">
        <f>CB84*((600/$BI84)^0.67)</f>
        <v>0.41965981023517734</v>
      </c>
      <c r="CF84" s="39">
        <f>CC84*($AM84-$BB84)</f>
        <v>-2.6583678419359633</v>
      </c>
      <c r="CG84" s="39">
        <f>CD84*($AD84-$BD84)</f>
        <v>8.5690226467673256E-2</v>
      </c>
      <c r="CH84" s="39">
        <f>CE84*($AU84-$BF84)</f>
        <v>0.25663421879604209</v>
      </c>
      <c r="CI84">
        <v>0.86263901889527161</v>
      </c>
      <c r="CJ84">
        <f>((BG84/BH84)^0.67)*CI84</f>
        <v>0.85129536132389461</v>
      </c>
      <c r="CK84">
        <f>((BH84/BH84)^0.67)*CI84</f>
        <v>0.86263901889527161</v>
      </c>
      <c r="CL84">
        <f>((BI84/BH84)^0.67)*CI84</f>
        <v>0.87683627527098951</v>
      </c>
      <c r="CM84" s="39">
        <f>CJ84*($AM84-$BB84)</f>
        <v>-5.2355187600356787</v>
      </c>
      <c r="CN84" s="39">
        <f>CK84*($AD84-$BD84)</f>
        <v>0.17329003868978515</v>
      </c>
      <c r="CO84" s="39">
        <f>CL84*($AU84-$BF84)</f>
        <v>0.5362109666639201</v>
      </c>
      <c r="CP84" s="27">
        <f>VLOOKUP(A84,Water!$A$2:$E$109, 5, FALSE)/1000</f>
        <v>1.4299999999999998E-3</v>
      </c>
      <c r="CQ84">
        <f>0.64*CP84</f>
        <v>9.1519999999999991E-4</v>
      </c>
      <c r="CR84" s="19">
        <f>CQ84*1000*(2.5*10^-5)</f>
        <v>2.2879999999999998E-5</v>
      </c>
      <c r="CS84" s="18">
        <f>(-0.0000009*F84^3)+(0.0002*F84^2)-(0.0134*F84)+6.579</f>
        <v>6.4167849623999995</v>
      </c>
      <c r="CT84" s="18">
        <f>CS84-(SQRT(CP84))/(1+1.4*SQRT(CP84))</f>
        <v>6.3808709618368429</v>
      </c>
      <c r="CU84" s="18">
        <f>10^(-CT84)</f>
        <v>4.1603420477681122E-7</v>
      </c>
      <c r="CV84" s="18">
        <f>(0.000001*F84^3)+(0.00006*F84^2)-(0.014*F84)+10.625</f>
        <v>10.427281863999999</v>
      </c>
      <c r="CW84" s="18">
        <f>CV84-(2*SQRT(CR84))/(1+1.4*SQRT(CR84))</f>
        <v>10.417778893246695</v>
      </c>
      <c r="CX84" s="18">
        <f>10^(-CW84)</f>
        <v>3.8213877471339467E-11</v>
      </c>
      <c r="CY84">
        <f>EXP(1246.98+-61900/H84-183*LN(H84))</f>
        <v>1.4819757606088245E-2</v>
      </c>
      <c r="CZ84">
        <f>12.225*(F84^2)+15.258*F84+1125.7</f>
        <v>4259.9542000000001</v>
      </c>
      <c r="DA84" s="15">
        <f>10^(-4470.99/H84+6.0875-0.01706*H84)</f>
        <v>4.6790393974142659E-15</v>
      </c>
      <c r="DB84">
        <f>(10^-I84)</f>
        <v>8.5113803820237469E-10</v>
      </c>
      <c r="DC84">
        <f>DB84^2</f>
        <v>7.2443596007498704E-19</v>
      </c>
      <c r="DD84" s="20">
        <f>((14.6836*10^-9)*((H84/217.2056)-1)^1.997)*100*100</f>
        <v>1.5895010619319801E-5</v>
      </c>
      <c r="DE84">
        <f>CY84+CZ84*DA84/DB84</f>
        <v>3.8238395521834917E-2</v>
      </c>
      <c r="DF84">
        <f>1+DC84*(CU84*CX84+CU84*DB84)^-1</f>
        <v>1.0019579307038857</v>
      </c>
      <c r="DG84">
        <f>(DE84*DF84/DD84)^0.5</f>
        <v>49.095779854075872</v>
      </c>
      <c r="DH84">
        <f>DD84/(BO84/60/60)</f>
        <v>2.997590690832129E-2</v>
      </c>
      <c r="DI84" s="16">
        <f>DF84/((DF84-1)+TANH(DG84*DH84)/(DG84*DH84))</f>
        <v>1.633366375423871</v>
      </c>
      <c r="DJ84">
        <f>$DI84*BR84</f>
        <v>-19.175824922928861</v>
      </c>
      <c r="DK84">
        <f>$DI84*BY84</f>
        <v>-28.036578118349315</v>
      </c>
      <c r="DL84">
        <f>$DI84*CF84</f>
        <v>-4.3420886465263226</v>
      </c>
      <c r="DM84">
        <f>$DI84*CM84</f>
        <v>-8.5515203005431566</v>
      </c>
    </row>
    <row r="85" spans="1:117" ht="15.75" x14ac:dyDescent="0.25">
      <c r="A85" s="52" t="s">
        <v>330</v>
      </c>
      <c r="B85" s="55" t="s">
        <v>342</v>
      </c>
      <c r="C85" t="s">
        <v>231</v>
      </c>
      <c r="D85" s="57">
        <v>43235</v>
      </c>
      <c r="E85" s="42" t="str">
        <f>A85&amp;D85</f>
        <v>62B43235</v>
      </c>
      <c r="F85" s="3">
        <f>VLOOKUP($E85,Water!$C$2:$E$90, 2, FALSE)</f>
        <v>15.4</v>
      </c>
      <c r="G85" s="3">
        <f>VLOOKUP($E85,Water!$C$2:$E$90, 3, FALSE)</f>
        <v>0.5</v>
      </c>
      <c r="H85" s="1">
        <f>F85+273.15</f>
        <v>288.54999999999995</v>
      </c>
      <c r="I85" s="3">
        <f>VLOOKUP($E85,Water!$C$2:$F$90, 4, FALSE)</f>
        <v>9.07</v>
      </c>
      <c r="J85">
        <f>10^(I85*-1)</f>
        <v>8.5113803820237469E-10</v>
      </c>
      <c r="K85" s="25">
        <f>VLOOKUP($E85,Atm!$D$2:$G$45, 2, FALSE)</f>
        <v>421.28034936791698</v>
      </c>
      <c r="L85" s="25">
        <f>VLOOKUP($E85,Atm!$D$2:$G$45, 3, FALSE)</f>
        <v>2.0979022984200948</v>
      </c>
      <c r="M85" s="25">
        <f>VLOOKUP($E85,Atm!$D$2:$G$45, 4, FALSE)</f>
        <v>0.33006362898435643</v>
      </c>
      <c r="N85" s="21">
        <f>VLOOKUP($C85,Raw!$B$2:$F$353, 3, FALSE)</f>
        <v>270.69772032771789</v>
      </c>
      <c r="O85" s="21">
        <f>VLOOKUP($C85,Raw!$B$2:$F$353, 4, FALSE)</f>
        <v>64.130043092035606</v>
      </c>
      <c r="P85" s="21">
        <f>VLOOKUP($C85,Raw!$B$2:$F$353, 5, FALSE)</f>
        <v>0.34732926577842327</v>
      </c>
      <c r="Q85" s="14">
        <v>60</v>
      </c>
      <c r="R85" s="25">
        <v>1140</v>
      </c>
      <c r="S85">
        <f>EXP(24.4543-(100/H85*(67.4509))-(4.8489*LN(H85/100))-(0.000544*G85))</f>
        <v>1.7246386021370894E-2</v>
      </c>
      <c r="T85" s="8">
        <f>EXP(-58.0931+90.5069*(100/H85)+22.294*LN(H85/100)+G85*(0.027766-0.025888*(H85/100)+0.0050578*(H85/100)^2)*G85)</f>
        <v>4.4901344122892421E-2</v>
      </c>
      <c r="U85" s="9">
        <f>(EXP(-67.1962+99.1624*(100/H85)+27.9015*LN(H85/100)+G85*(-0.072909+0.041674*(H85/100)-0.0064603*(H85/100)^2)*G85))</f>
        <v>3.8201406884661677E-2</v>
      </c>
      <c r="V85" s="9">
        <f>(EXP(-64.8539+100.252*(100/H85)+25.2049*LN(H85/100)+(-0.062544+0.035337*(H85/100)-0.0054699*(H85/100)^2)*G85))</f>
        <v>3.3239978144891276E-2</v>
      </c>
      <c r="W85" s="9">
        <f>(EXP(-68.8862+101.4956*(100/H85)+28.7314*LN(H85/100)+G85*(-0.076146+0.04397*(H85/100)-0.0068672*(H85/100)^2)))</f>
        <v>3.8065133057274186E-2</v>
      </c>
      <c r="X85">
        <f>N85*(AZ85-S85)</f>
        <v>243.44727417313399</v>
      </c>
      <c r="Y85">
        <f>O85*(AZ85-S85)</f>
        <v>57.674235913257085</v>
      </c>
      <c r="Z85">
        <f>((Y85/10^6)*AZ85)/(0.082056*H85)</f>
        <v>2.2326482508038969E-6</v>
      </c>
      <c r="AA85">
        <f>(((L85/10^6)*AZ85)/(0.082056*H85))</f>
        <v>8.1212656271159304E-8</v>
      </c>
      <c r="AB85">
        <f>((Y85/10^6)*U85*1)/(0.082056*H85)</f>
        <v>9.3052872863994761E-8</v>
      </c>
      <c r="AC85">
        <f>(Z85*(Q85/1000))+(AB85*(R85/1000))</f>
        <v>2.4003917011318783E-7</v>
      </c>
      <c r="AD85" s="39">
        <f>((AC85-(AA85*(Q85/1000)))/(R85/1000))*1000000</f>
        <v>0.20628632520782306</v>
      </c>
      <c r="AE85" s="39">
        <f>(AD85/((U85*AZ85*1))*(0.0821*273.15))</f>
        <v>132.11908767424711</v>
      </c>
      <c r="AF85" s="39">
        <f>L85*U85*AZ85*1/(0.0821*273.15)</f>
        <v>3.2755944913361906E-3</v>
      </c>
      <c r="AG85" s="39">
        <f>AD85-AF85</f>
        <v>0.20301073071648687</v>
      </c>
      <c r="AH85" s="42">
        <f>P85*(AZ85-S85)</f>
        <v>0.31236451822329975</v>
      </c>
      <c r="AI85">
        <f>(((X85/10^6)*(Q85/1000))/(0.082056*H85))</f>
        <v>6.1691416957388835E-7</v>
      </c>
      <c r="AJ85">
        <f>(((K85/10^6)*AZ85)*(Q85/1000))/(0.082056*H85)</f>
        <v>9.7850017799521452E-7</v>
      </c>
      <c r="AK85">
        <f>(X85/10^6)*T85*(R85/1000)</f>
        <v>1.2461465210107952E-5</v>
      </c>
      <c r="AL85">
        <f>AI85+AK85</f>
        <v>1.307837937968184E-5</v>
      </c>
      <c r="AM85" s="39">
        <f>((AL85-AJ85)/(R85/1000))*1000000</f>
        <v>10.613929124286514</v>
      </c>
      <c r="AN85" s="39">
        <f>AM85/(T85*AZ85)</f>
        <v>257.89739987460956</v>
      </c>
      <c r="AO85" s="39">
        <f>(K85*AZ85)*T85</f>
        <v>17.338056807938965</v>
      </c>
      <c r="AP85" s="39">
        <f>AM85-AO85</f>
        <v>-6.7241276836524513</v>
      </c>
      <c r="AQ85">
        <f>(((AH85/10^6)*(Q85/1000))/(0.082056*H85))</f>
        <v>7.9155578150786549E-10</v>
      </c>
      <c r="AR85">
        <f>(((M85/10^6)*AZ85)*(Q85/1000))/(0.082056*H85)</f>
        <v>7.6663276650694666E-10</v>
      </c>
      <c r="AS85">
        <f>(AH85/10^6)*V85*(R85/1000)</f>
        <v>1.1836608325239451E-8</v>
      </c>
      <c r="AT85">
        <f>AQ85+AS85</f>
        <v>1.2628164106747316E-8</v>
      </c>
      <c r="AU85" s="39">
        <f>((AT85-AR85)/(R85/1000))*1000000000</f>
        <v>10.404852052842429</v>
      </c>
      <c r="AV85" s="39">
        <f>(AU85/1000)/(V85*AZ85)</f>
        <v>0.34151147586293867</v>
      </c>
      <c r="AW85" s="39">
        <f>(M85*AZ85)*V85*1000</f>
        <v>10.056069767285949</v>
      </c>
      <c r="AX85" s="39">
        <f>AU85-AW85</f>
        <v>0.34878228555647972</v>
      </c>
      <c r="AY85" s="26">
        <f>VLOOKUP($E85,Water!$C$2:$G$90, 5, FALSE)</f>
        <v>696.6</v>
      </c>
      <c r="AZ85">
        <f>AY85/760</f>
        <v>0.91657894736842105</v>
      </c>
      <c r="BA85" s="3">
        <f>Assumptions!$B$3</f>
        <v>406.07</v>
      </c>
      <c r="BB85" s="3">
        <f>BA85*AZ85*T85</f>
        <v>16.71206534689593</v>
      </c>
      <c r="BC85" s="3">
        <f>Assumptions!$B$4</f>
        <v>1.8474300000000001</v>
      </c>
      <c r="BD85" s="45">
        <f>BC85*AZ85*U85*1/(0.0821*273.15)</f>
        <v>2.8845154208022371E-3</v>
      </c>
      <c r="BE85" s="3">
        <f>Assumptions!$B$2</f>
        <v>0.33054499999999998</v>
      </c>
      <c r="BF85" s="44">
        <f>BE85*AZ85*V85*1000</f>
        <v>10.070735728913276</v>
      </c>
      <c r="BG85">
        <f>1923.6+(-125.06*F85)+(4.3773*(F85^2))+(-0.085681*(F85^3))+(0.00070284*(F85^4))</f>
        <v>762.39797755430391</v>
      </c>
      <c r="BH85">
        <f>1909.4+(-120.78*F85)+(4.1555*(F85^2))+(-0.080578*(F85^3))+(0.00065777*(F85^4))</f>
        <v>777.61043665371187</v>
      </c>
      <c r="BI85">
        <f>2141.2+(-152.56*F85)+(5.8963*(F85^2))+(-0.12411*(F85^3))+(0.0010655*(F85^4))</f>
        <v>796.78892725679998</v>
      </c>
      <c r="BJ85" s="25">
        <f>VLOOKUP(E85,Wind!$C$2:$E$109,3, FALSE)</f>
        <v>5.833333333333333</v>
      </c>
      <c r="BK85" s="44">
        <v>1.66</v>
      </c>
      <c r="BL85">
        <f>BK85/(1-(((1.3*10^-3)^0.5)/0.41)*LN(10/1.5))</f>
        <v>1.9923982880693825</v>
      </c>
      <c r="BM85">
        <f>BK85*1.22</f>
        <v>2.0251999999999999</v>
      </c>
      <c r="BN85">
        <f>2.07+0.215*(BM85^1.7)*(24/100)</f>
        <v>2.241255750541113</v>
      </c>
      <c r="BO85">
        <f>BN85*((600/BG85)^0.67)</f>
        <v>1.9089343453247276</v>
      </c>
      <c r="BP85">
        <f>BN85*((600/BH85)^0.67)</f>
        <v>1.8838319594306423</v>
      </c>
      <c r="BQ85">
        <f>BN85*((600/BI85)^0.67)</f>
        <v>1.8533299762770117</v>
      </c>
      <c r="BR85" s="39">
        <f>BO85*(AM85-BB85)</f>
        <v>-11.640941677807913</v>
      </c>
      <c r="BS85" s="39">
        <f>BP85*(AD85-BD85)</f>
        <v>0.38317482988282225</v>
      </c>
      <c r="BT85" s="39">
        <f>BQ85*(AU85-BF85)</f>
        <v>0.61922779870138056</v>
      </c>
      <c r="BU85">
        <f>(2.51+1.48*BM85)+(0.39*BM85*LOG10(0.0015))</f>
        <v>3.2768938069574309</v>
      </c>
      <c r="BV85">
        <f>BU85*((600/$BG85)^0.67)</f>
        <v>2.7910135345208524</v>
      </c>
      <c r="BW85">
        <f>BU85*((600/$BH85)^0.67)</f>
        <v>2.7543118538419185</v>
      </c>
      <c r="BX85">
        <f>BU85*((600/$BI85)^0.67)</f>
        <v>2.7097155333765186</v>
      </c>
      <c r="BY85" s="39">
        <f>BV85*($AM85-$BB85)</f>
        <v>-17.019980732654744</v>
      </c>
      <c r="BZ85" s="39">
        <f>BW85*($AD85-$BD85)</f>
        <v>0.5602320157892906</v>
      </c>
      <c r="CA85" s="39">
        <f>BX85*($AU85-$BF85)</f>
        <v>0.90536019290548808</v>
      </c>
      <c r="CB85" s="42">
        <f>AVERAGE(0.72,0.69,0.4,0.22)</f>
        <v>0.50750000000000006</v>
      </c>
      <c r="CC85">
        <f>CB85*((600/$BG85)^0.67)</f>
        <v>0.43225061665470482</v>
      </c>
      <c r="CD85">
        <f>CB85*((600/$BH85)^0.67)</f>
        <v>0.426566543858384</v>
      </c>
      <c r="CE85">
        <f>CB85*((600/$BI85)^0.67)</f>
        <v>0.41965981023517734</v>
      </c>
      <c r="CF85" s="39">
        <f>CC85*($AM85-$BB85)</f>
        <v>-2.6359231426673122</v>
      </c>
      <c r="CG85" s="39">
        <f>CD85*($AD85-$BD85)</f>
        <v>8.6764407015389899E-2</v>
      </c>
      <c r="CH85" s="39">
        <f>CE85*($AU85-$BF85)</f>
        <v>0.14021519309658365</v>
      </c>
      <c r="CI85">
        <v>0.86263901889527161</v>
      </c>
      <c r="CJ85">
        <f>((BG85/BH85)^0.67)*CI85</f>
        <v>0.85129536132389461</v>
      </c>
      <c r="CK85">
        <f>((BH85/BH85)^0.67)*CI85</f>
        <v>0.86263901889527161</v>
      </c>
      <c r="CL85">
        <f>((BI85/BH85)^0.67)*CI85</f>
        <v>0.87683627527098951</v>
      </c>
      <c r="CM85" s="39">
        <f>CJ85*($AM85-$BB85)</f>
        <v>-5.1913150790286124</v>
      </c>
      <c r="CN85" s="39">
        <f>CK85*($AD85-$BD85)</f>
        <v>0.17546233763619831</v>
      </c>
      <c r="CO85" s="39">
        <f>CL85*($AU85-$BF85)</f>
        <v>0.29296531298127443</v>
      </c>
      <c r="CP85" s="27">
        <f>VLOOKUP(A85,Water!$A$2:$E$109, 5, FALSE)/1000</f>
        <v>1.4299999999999998E-3</v>
      </c>
      <c r="CQ85">
        <f>0.64*CP85</f>
        <v>9.1519999999999991E-4</v>
      </c>
      <c r="CR85" s="19">
        <f>CQ85*1000*(2.5*10^-5)</f>
        <v>2.2879999999999998E-5</v>
      </c>
      <c r="CS85" s="18">
        <f>(-0.0000009*F85^3)+(0.0002*F85^2)-(0.0134*F85)+6.579</f>
        <v>6.4167849623999995</v>
      </c>
      <c r="CT85" s="18">
        <f>CS85-(SQRT(CP85))/(1+1.4*SQRT(CP85))</f>
        <v>6.3808709618368429</v>
      </c>
      <c r="CU85" s="18">
        <f>10^(-CT85)</f>
        <v>4.1603420477681122E-7</v>
      </c>
      <c r="CV85" s="18">
        <f>(0.000001*F85^3)+(0.00006*F85^2)-(0.014*F85)+10.625</f>
        <v>10.427281863999999</v>
      </c>
      <c r="CW85" s="18">
        <f>CV85-(2*SQRT(CR85))/(1+1.4*SQRT(CR85))</f>
        <v>10.417778893246695</v>
      </c>
      <c r="CX85" s="18">
        <f>10^(-CW85)</f>
        <v>3.8213877471339467E-11</v>
      </c>
      <c r="CY85">
        <f>EXP(1246.98+-61900/H85-183*LN(H85))</f>
        <v>1.4819757606088245E-2</v>
      </c>
      <c r="CZ85">
        <f>12.225*(F85^2)+15.258*F85+1125.7</f>
        <v>4259.9542000000001</v>
      </c>
      <c r="DA85" s="15">
        <f>10^(-4470.99/H85+6.0875-0.01706*H85)</f>
        <v>4.6790393974142659E-15</v>
      </c>
      <c r="DB85">
        <f>(10^-I85)</f>
        <v>8.5113803820237469E-10</v>
      </c>
      <c r="DC85">
        <f>DB85^2</f>
        <v>7.2443596007498704E-19</v>
      </c>
      <c r="DD85" s="20">
        <f>((14.6836*10^-9)*((H85/217.2056)-1)^1.997)*100*100</f>
        <v>1.5895010619319801E-5</v>
      </c>
      <c r="DE85">
        <f>CY85+CZ85*DA85/DB85</f>
        <v>3.8238395521834917E-2</v>
      </c>
      <c r="DF85">
        <f>1+DC85*(CU85*CX85+CU85*DB85)^-1</f>
        <v>1.0019579307038857</v>
      </c>
      <c r="DG85">
        <f>(DE85*DF85/DD85)^0.5</f>
        <v>49.095779854075872</v>
      </c>
      <c r="DH85">
        <f>DD85/(BO85/60/60)</f>
        <v>2.997590690832129E-2</v>
      </c>
      <c r="DI85" s="16">
        <f>DF85/((DF85-1)+TANH(DG85*DH85)/(DG85*DH85))</f>
        <v>1.633366375423871</v>
      </c>
      <c r="DJ85">
        <f>$DI85*BR85</f>
        <v>-19.013922714801787</v>
      </c>
      <c r="DK85">
        <f>$DI85*BY85</f>
        <v>-27.799864239080399</v>
      </c>
      <c r="DL85">
        <f>$DI85*CF85</f>
        <v>-4.3054282294344066</v>
      </c>
      <c r="DM85">
        <f>$DI85*CM85</f>
        <v>-8.4793194943162504</v>
      </c>
    </row>
    <row r="86" spans="1:117" ht="15.75" x14ac:dyDescent="0.25">
      <c r="A86" s="52" t="s">
        <v>331</v>
      </c>
      <c r="B86" s="55" t="s">
        <v>339</v>
      </c>
      <c r="C86" t="s">
        <v>233</v>
      </c>
      <c r="D86" s="57">
        <v>43235</v>
      </c>
      <c r="E86" s="42" t="str">
        <f>A86&amp;D86</f>
        <v>62C43235</v>
      </c>
      <c r="F86" s="3">
        <f>VLOOKUP($E86,Water!$C$2:$E$90, 2, FALSE)</f>
        <v>15.6</v>
      </c>
      <c r="G86" s="3">
        <f>VLOOKUP($E86,Water!$C$2:$E$90, 3, FALSE)</f>
        <v>0.18</v>
      </c>
      <c r="H86" s="1">
        <f>F86+273.15</f>
        <v>288.75</v>
      </c>
      <c r="I86" s="3">
        <f>VLOOKUP($E86,Water!$C$2:$F$90, 4, FALSE)</f>
        <v>8.58</v>
      </c>
      <c r="J86">
        <f>10^(I86*-1)</f>
        <v>2.6302679918953733E-9</v>
      </c>
      <c r="K86" s="25">
        <f>VLOOKUP($E86,Atm!$D$2:$G$45, 2, FALSE)</f>
        <v>429.39147426053341</v>
      </c>
      <c r="L86" s="25">
        <f>VLOOKUP($E86,Atm!$D$2:$G$45, 3, FALSE)</f>
        <v>1.9199736655654731</v>
      </c>
      <c r="M86" s="25">
        <f>VLOOKUP($E86,Atm!$D$2:$G$45, 4, FALSE)</f>
        <v>0.32387360640181789</v>
      </c>
      <c r="N86" s="21">
        <f>VLOOKUP($C86,Raw!$B$2:$F$353, 3, FALSE)</f>
        <v>455.59951520761649</v>
      </c>
      <c r="O86" s="21">
        <f>VLOOKUP($C86,Raw!$B$2:$F$353, 4, FALSE)</f>
        <v>426.75290899773319</v>
      </c>
      <c r="P86" s="21">
        <f>VLOOKUP($C86,Raw!$B$2:$F$353, 5, FALSE)</f>
        <v>0.33073913091454243</v>
      </c>
      <c r="Q86" s="14">
        <v>60</v>
      </c>
      <c r="R86" s="25">
        <v>1140</v>
      </c>
      <c r="S86">
        <f>EXP(24.4543-(100/H86*(67.4509))-(4.8489*LN(H86/100))-(0.000544*G86))</f>
        <v>1.7472147186873479E-2</v>
      </c>
      <c r="T86" s="8">
        <f>EXP(-58.0931+90.5069*(100/H86)+22.294*LN(H86/100)+G86*(0.027766-0.025888*(H86/100)+0.0050578*(H86/100)^2)*G86)</f>
        <v>4.4667173457619946E-2</v>
      </c>
      <c r="U86" s="9">
        <f>(EXP(-67.1962+99.1624*(100/H86)+27.9015*LN(H86/100)+G86*(-0.072909+0.041674*(H86/100)-0.0064603*(H86/100)^2)*G86))</f>
        <v>3.8084408221161804E-2</v>
      </c>
      <c r="V86" s="9">
        <f>(EXP(-64.8539+100.252*(100/H86)+25.2049*LN(H86/100)+(-0.062544+0.035337*(H86/100)-0.0054699*(H86/100)^2)*G86))</f>
        <v>3.308609307858501E-2</v>
      </c>
      <c r="W86" s="9">
        <f>(EXP(-68.8862+101.4956*(100/H86)+28.7314*LN(H86/100)+G86*(-0.076146+0.04397*(H86/100)-0.0068672*(H86/100)^2)))</f>
        <v>3.797422961158449E-2</v>
      </c>
      <c r="X86">
        <f>N86*(AZ86-S86)</f>
        <v>409.4527803686866</v>
      </c>
      <c r="Y86">
        <f>O86*(AZ86-S86)</f>
        <v>383.52798738146203</v>
      </c>
      <c r="Z86">
        <f>((Y86/10^6)*AZ86)/(0.082056*H86)</f>
        <v>1.4830217789554407E-5</v>
      </c>
      <c r="AA86">
        <f>(((L86/10^6)*AZ86)/(0.082056*H86))</f>
        <v>7.4241329309364886E-8</v>
      </c>
      <c r="AB86">
        <f>((Y86/10^6)*U86*1)/(0.082056*H86)</f>
        <v>6.164699869490962E-7</v>
      </c>
      <c r="AC86">
        <f>(Z86*(Q86/1000))+(AB86*(R86/1000))</f>
        <v>1.5925888524952339E-6</v>
      </c>
      <c r="AD86" s="39">
        <f>((AC86-(AA86*(Q86/1000)))/(R86/1000))*1000000</f>
        <v>1.393100326961993</v>
      </c>
      <c r="AE86" s="39">
        <f>(AD86/((U86*AZ86*1))*(0.0821*273.15))</f>
        <v>895.35804784188815</v>
      </c>
      <c r="AF86" s="39">
        <f>L86*U86*AZ86*1/(0.0821*273.15)</f>
        <v>2.9873143461485998E-3</v>
      </c>
      <c r="AG86" s="39">
        <f>AD86-AF86</f>
        <v>1.3901130126158445</v>
      </c>
      <c r="AH86" s="42">
        <f>P86*(AZ86-S86)</f>
        <v>0.29723924677130231</v>
      </c>
      <c r="AI86">
        <f>(((X86/10^6)*(Q86/1000))/(0.082056*H86))</f>
        <v>1.0368662525527364E-6</v>
      </c>
      <c r="AJ86">
        <f>(((K86/10^6)*AZ86)*(Q86/1000))/(0.082056*H86)</f>
        <v>9.9621972160189013E-7</v>
      </c>
      <c r="AK86">
        <f>(X86/10^6)*T86*(R86/1000)</f>
        <v>2.084957213431349E-5</v>
      </c>
      <c r="AL86">
        <f>AI86+AK86</f>
        <v>2.1886438386866227E-5</v>
      </c>
      <c r="AM86" s="39">
        <f>((AL86-AJ86)/(R86/1000))*1000000</f>
        <v>18.324753215144156</v>
      </c>
      <c r="AN86" s="39">
        <f>AM86/(T86*AZ86)</f>
        <v>447.78223587258401</v>
      </c>
      <c r="AO86" s="39">
        <f>(K86*AZ86)*T86</f>
        <v>17.572141474478169</v>
      </c>
      <c r="AP86" s="39">
        <f>AM86-AO86</f>
        <v>0.75261174066598713</v>
      </c>
      <c r="AQ86">
        <f>(((AH86/10^6)*(Q86/1000))/(0.082056*H86))</f>
        <v>7.5270546125940546E-10</v>
      </c>
      <c r="AR86">
        <f>(((M86/10^6)*AZ86)*(Q86/1000))/(0.082056*H86)</f>
        <v>7.5141052709409784E-10</v>
      </c>
      <c r="AS86">
        <f>(AH86/10^6)*V86*(R86/1000)</f>
        <v>1.1211313339223541E-8</v>
      </c>
      <c r="AT86">
        <f>AQ86+AS86</f>
        <v>1.1964018800482946E-8</v>
      </c>
      <c r="AU86" s="39">
        <f>((AT86-AR86)/(R86/1000))*1000000000</f>
        <v>9.8356212924463602</v>
      </c>
      <c r="AV86" s="39">
        <f>(AU86/1000)/(V86*AZ86)</f>
        <v>0.3244692226926183</v>
      </c>
      <c r="AW86" s="39">
        <f>(M86*AZ86)*V86*1000</f>
        <v>9.8175664019907742</v>
      </c>
      <c r="AX86" s="39">
        <f>AU86-AW86</f>
        <v>1.8054890455585948E-2</v>
      </c>
      <c r="AY86" s="26">
        <f>VLOOKUP($E86,Water!$C$2:$G$90, 5, FALSE)</f>
        <v>696.3</v>
      </c>
      <c r="AZ86">
        <f>AY86/760</f>
        <v>0.91618421052631571</v>
      </c>
      <c r="BA86" s="3">
        <f>Assumptions!$B$3</f>
        <v>406.07</v>
      </c>
      <c r="BB86" s="3">
        <f>BA86*AZ86*T86</f>
        <v>16.617748409722431</v>
      </c>
      <c r="BC86" s="3">
        <f>Assumptions!$B$4</f>
        <v>1.8474300000000001</v>
      </c>
      <c r="BD86" s="45">
        <f>BC86*AZ86*U86*1/(0.0821*273.15)</f>
        <v>2.874442624649171E-3</v>
      </c>
      <c r="BE86" s="3">
        <f>Assumptions!$B$2</f>
        <v>0.33054499999999998</v>
      </c>
      <c r="BF86" s="44">
        <f>BE86*AZ86*V86*1000</f>
        <v>10.019796063035489</v>
      </c>
      <c r="BG86">
        <f>1923.6+(-125.06*F86)+(4.3773*(F86^2))+(-0.085681*(F86^3))+(0.00070284*(F86^4))</f>
        <v>754.26806783846405</v>
      </c>
      <c r="BH86">
        <f>1909.4+(-120.78*F86)+(4.1555*(F86^2))+(-0.080578*(F86^3))+(0.00065777*(F86^4))</f>
        <v>769.5627009681923</v>
      </c>
      <c r="BI86">
        <f>2141.2+(-152.56*F86)+(5.8963*(F86^2))+(-0.12411*(F86^3))+(0.0010655*(F86^4))</f>
        <v>788.11764570879961</v>
      </c>
      <c r="BJ86" s="25">
        <f>VLOOKUP(E86,Wind!$C$2:$E$109,3, FALSE)</f>
        <v>4.166666666666667</v>
      </c>
      <c r="BK86" s="44">
        <v>1.66</v>
      </c>
      <c r="BL86">
        <f>BK86/(1-(((1.3*10^-3)^0.5)/0.41)*LN(10/1.5))</f>
        <v>1.9923982880693825</v>
      </c>
      <c r="BM86">
        <f>BK86*1.22</f>
        <v>2.0251999999999999</v>
      </c>
      <c r="BN86">
        <f>2.07+0.215*(BM86^1.7)*(24/100)</f>
        <v>2.241255750541113</v>
      </c>
      <c r="BO86">
        <f>BN86*((600/BG86)^0.67)</f>
        <v>1.9226955484899437</v>
      </c>
      <c r="BP86">
        <f>BN86*((600/BH86)^0.67)</f>
        <v>1.8970084603382429</v>
      </c>
      <c r="BQ86">
        <f>BN86*((600/BI86)^0.67)</f>
        <v>1.8669674672350183</v>
      </c>
      <c r="BR86" s="39">
        <f>BO86*(AM86-BB86)</f>
        <v>3.2820505406352938</v>
      </c>
      <c r="BS86" s="39">
        <f>BP86*(AD86-BD86)</f>
        <v>2.6372702643691568</v>
      </c>
      <c r="BT86" s="39">
        <f>BQ86*(AU86-BF86)</f>
        <v>-0.34384830497537672</v>
      </c>
      <c r="BU86">
        <f>(2.51+1.48*BM86)+(0.39*BM86*LOG10(0.0015))</f>
        <v>3.2768938069574309</v>
      </c>
      <c r="BV86">
        <f>BU86*((600/$BG86)^0.67)</f>
        <v>2.8111335058438454</v>
      </c>
      <c r="BW86">
        <f>BU86*((600/$BH86)^0.67)</f>
        <v>2.7735769440535383</v>
      </c>
      <c r="BX86">
        <f>BU86*((600/$BI86)^0.67)</f>
        <v>2.729654627632915</v>
      </c>
      <c r="BY86" s="39">
        <f>BV86*($AM86-$BB86)</f>
        <v>4.7986184031574659</v>
      </c>
      <c r="BZ86" s="39">
        <f>BW86*($AD86-$BD86)</f>
        <v>3.8558984598244979</v>
      </c>
      <c r="CA86" s="39">
        <f>BX86*($AU86-$BF86)</f>
        <v>-0.50273351483184647</v>
      </c>
      <c r="CB86" s="42">
        <f>AVERAGE(0.72,0.69,0.4,0.22)</f>
        <v>0.50750000000000006</v>
      </c>
      <c r="CC86">
        <f>CB86*((600/$BG86)^0.67)</f>
        <v>0.4353666423936956</v>
      </c>
      <c r="CD86">
        <f>CB86*((600/$BH86)^0.67)</f>
        <v>0.42955017221449321</v>
      </c>
      <c r="CE86">
        <f>CB86*((600/$BI86)^0.67)</f>
        <v>0.42274782313130377</v>
      </c>
      <c r="CF86" s="39">
        <f>CC86*($AM86-$BB86)</f>
        <v>0.74317295068636025</v>
      </c>
      <c r="CG86" s="39">
        <f>CD86*($AD86-$BD86)</f>
        <v>0.59717176803415217</v>
      </c>
      <c r="CH86" s="39">
        <f>CE86*($AU86-$BF86)</f>
        <v>-7.785948334226156E-2</v>
      </c>
      <c r="CI86">
        <v>0.86263901889527161</v>
      </c>
      <c r="CJ86">
        <f>((BG86/BH86)^0.67)*CI86</f>
        <v>0.85111421740558035</v>
      </c>
      <c r="CK86">
        <f>((BH86/BH86)^0.67)*CI86</f>
        <v>0.86263901889527161</v>
      </c>
      <c r="CL86">
        <f>((BI86/BH86)^0.67)*CI86</f>
        <v>0.87651956757756044</v>
      </c>
      <c r="CM86" s="39">
        <f>CJ86*($AM86-$BB86)</f>
        <v>1.4528560590740767</v>
      </c>
      <c r="CN86" s="39">
        <f>CK86*($AD86-$BD86)</f>
        <v>1.1992630929075776</v>
      </c>
      <c r="CO86" s="39">
        <f>CL86*($AU86-$BF86)</f>
        <v>-0.16143279027547977</v>
      </c>
      <c r="CP86" s="27">
        <f>VLOOKUP(A86,Water!$A$2:$E$109, 5, FALSE)/1000</f>
        <v>1.6000000000000001E-4</v>
      </c>
      <c r="CQ86">
        <f>0.64*CP86</f>
        <v>1.0240000000000001E-4</v>
      </c>
      <c r="CR86" s="19">
        <f>CQ86*1000*(2.5*10^-5)</f>
        <v>2.5600000000000001E-6</v>
      </c>
      <c r="CS86" s="18">
        <f>(-0.0000009*F86^3)+(0.0002*F86^2)-(0.0134*F86)+6.579</f>
        <v>6.4152152255999999</v>
      </c>
      <c r="CT86" s="18">
        <f>CS86-(SQRT(CP86))/(1+1.4*SQRT(CP86))</f>
        <v>6.4027862172222996</v>
      </c>
      <c r="CU86" s="18">
        <f>10^(-CT86)</f>
        <v>3.9556128839671978E-7</v>
      </c>
      <c r="CV86" s="18">
        <f>(0.000001*F86^3)+(0.00006*F86^2)-(0.014*F86)+10.625</f>
        <v>10.424998016</v>
      </c>
      <c r="CW86" s="18">
        <f>CV86-(2*SQRT(CR86))/(1+1.4*SQRT(CR86))</f>
        <v>10.421805167979565</v>
      </c>
      <c r="CX86" s="18">
        <f>10^(-CW86)</f>
        <v>3.7861239869777936E-11</v>
      </c>
      <c r="CY86">
        <f>EXP(1246.98+-61900/H86-183*LN(H86))</f>
        <v>1.5146204775419199E-2</v>
      </c>
      <c r="CZ86">
        <f>12.225*(F86^2)+15.258*F86+1125.7</f>
        <v>4338.8008</v>
      </c>
      <c r="DA86" s="15">
        <f>10^(-4470.99/H86+6.0875-0.01706*H86)</f>
        <v>4.7585753224227805E-15</v>
      </c>
      <c r="DB86">
        <f>(10^-I86)</f>
        <v>2.6302679918953733E-9</v>
      </c>
      <c r="DC86">
        <f>DB86^2</f>
        <v>6.9183097091893194E-18</v>
      </c>
      <c r="DD86" s="20">
        <f>((14.6836*10^-9)*((H86/217.2056)-1)^1.997)*100*100</f>
        <v>1.5984118367950751E-5</v>
      </c>
      <c r="DE86">
        <f>CY86+CZ86*DA86/DB86</f>
        <v>2.2995789106523924E-2</v>
      </c>
      <c r="DF86">
        <f>1+DC86*(CU86*CX86+CU86*DB86)^-1</f>
        <v>1.0065551005267135</v>
      </c>
      <c r="DG86">
        <f>(DE86*DF86/DD86)^0.5</f>
        <v>38.053849127465085</v>
      </c>
      <c r="DH86">
        <f>DD86/(BO86/60/60)</f>
        <v>2.9928204790309092E-2</v>
      </c>
      <c r="DI86" s="16">
        <f>DF86/((DF86-1)+TANH(DG86*DH86)/(DG86*DH86))</f>
        <v>1.3954282998770149</v>
      </c>
      <c r="DJ86">
        <f>$DI86*BR86</f>
        <v>4.5798662060291457</v>
      </c>
      <c r="DK86">
        <f>$DI86*BY86</f>
        <v>6.6961279200765791</v>
      </c>
      <c r="DL86">
        <f>$DI86*CF86</f>
        <v>1.0370445670908524</v>
      </c>
      <c r="DM86">
        <f>$DI86*CM86</f>
        <v>2.0273564604797589</v>
      </c>
    </row>
    <row r="87" spans="1:117" ht="15.75" x14ac:dyDescent="0.25">
      <c r="A87" s="52" t="s">
        <v>331</v>
      </c>
      <c r="B87" s="55" t="s">
        <v>340</v>
      </c>
      <c r="C87" t="s">
        <v>234</v>
      </c>
      <c r="D87" s="57">
        <v>43235</v>
      </c>
      <c r="E87" s="42" t="str">
        <f>A87&amp;D87</f>
        <v>62C43235</v>
      </c>
      <c r="F87" s="3">
        <f>VLOOKUP($E87,Water!$C$2:$E$90, 2, FALSE)</f>
        <v>15.6</v>
      </c>
      <c r="G87" s="3">
        <f>VLOOKUP($E87,Water!$C$2:$E$90, 3, FALSE)</f>
        <v>0.18</v>
      </c>
      <c r="H87" s="1">
        <f>F87+273.15</f>
        <v>288.75</v>
      </c>
      <c r="I87" s="3">
        <f>VLOOKUP($E87,Water!$C$2:$F$90, 4, FALSE)</f>
        <v>8.58</v>
      </c>
      <c r="J87">
        <f>10^(I87*-1)</f>
        <v>2.6302679918953733E-9</v>
      </c>
      <c r="K87" s="25">
        <f>VLOOKUP($E87,Atm!$D$2:$G$45, 2, FALSE)</f>
        <v>429.39147426053341</v>
      </c>
      <c r="L87" s="25">
        <f>VLOOKUP($E87,Atm!$D$2:$G$45, 3, FALSE)</f>
        <v>1.9199736655654731</v>
      </c>
      <c r="M87" s="25">
        <f>VLOOKUP($E87,Atm!$D$2:$G$45, 4, FALSE)</f>
        <v>0.32387360640181789</v>
      </c>
      <c r="N87" s="21">
        <f>VLOOKUP($C87,Raw!$B$2:$F$353, 3, FALSE)</f>
        <v>474.46348352143951</v>
      </c>
      <c r="O87" s="21">
        <f>VLOOKUP($C87,Raw!$B$2:$F$353, 4, FALSE)</f>
        <v>418.33852918946332</v>
      </c>
      <c r="P87" s="21">
        <f>VLOOKUP($C87,Raw!$B$2:$F$353, 5, FALSE)</f>
        <v>0.33695516945257831</v>
      </c>
      <c r="Q87" s="14">
        <v>60</v>
      </c>
      <c r="R87" s="25">
        <v>1140</v>
      </c>
      <c r="S87">
        <f>EXP(24.4543-(100/H87*(67.4509))-(4.8489*LN(H87/100))-(0.000544*G87))</f>
        <v>1.7472147186873479E-2</v>
      </c>
      <c r="T87" s="8">
        <f>EXP(-58.0931+90.5069*(100/H87)+22.294*LN(H87/100)+G87*(0.027766-0.025888*(H87/100)+0.0050578*(H87/100)^2)*G87)</f>
        <v>4.4667173457619946E-2</v>
      </c>
      <c r="U87" s="9">
        <f>(EXP(-67.1962+99.1624*(100/H87)+27.9015*LN(H87/100)+G87*(-0.072909+0.041674*(H87/100)-0.0064603*(H87/100)^2)*G87))</f>
        <v>3.8084408221161804E-2</v>
      </c>
      <c r="V87" s="9">
        <f>(EXP(-64.8539+100.252*(100/H87)+25.2049*LN(H87/100)+(-0.062544+0.035337*(H87/100)-0.0054699*(H87/100)^2)*G87))</f>
        <v>3.308609307858501E-2</v>
      </c>
      <c r="W87" s="9">
        <f>(EXP(-68.8862+101.4956*(100/H87)+28.7314*LN(H87/100)+G87*(-0.076146+0.04397*(H87/100)-0.0068672*(H87/100)^2)))</f>
        <v>3.797422961158449E-2</v>
      </c>
      <c r="X87">
        <f>N87*(AZ87-S87)</f>
        <v>426.40605625477235</v>
      </c>
      <c r="Y87">
        <f>O87*(AZ87-S87)</f>
        <v>375.96588274225007</v>
      </c>
      <c r="Z87">
        <f>((Y87/10^6)*AZ87)/(0.082056*H87)</f>
        <v>1.4537807163898111E-5</v>
      </c>
      <c r="AA87">
        <f>(((L87/10^6)*AZ87)/(0.082056*H87))</f>
        <v>7.4241329309364886E-8</v>
      </c>
      <c r="AB87">
        <f>((Y87/10^6)*U87*1)/(0.082056*H87)</f>
        <v>6.0431491430349559E-7</v>
      </c>
      <c r="AC87">
        <f>(Z87*(Q87/1000))+(AB87*(R87/1000))</f>
        <v>1.5611874321398715E-6</v>
      </c>
      <c r="AD87" s="39">
        <f>((AC87-(AA87*(Q87/1000)))/(R87/1000))*1000000</f>
        <v>1.3655552213871138</v>
      </c>
      <c r="AE87" s="39">
        <f>(AD87/((U87*AZ87*1))*(0.0821*273.15))</f>
        <v>877.65456197098479</v>
      </c>
      <c r="AF87" s="39">
        <f>L87*U87*AZ87*1/(0.0821*273.15)</f>
        <v>2.9873143461485998E-3</v>
      </c>
      <c r="AG87" s="39">
        <f>AD87-AF87</f>
        <v>1.3625679070409653</v>
      </c>
      <c r="AH87" s="42">
        <f>P87*(AZ87-S87)</f>
        <v>0.30282567559161805</v>
      </c>
      <c r="AI87">
        <f>(((X87/10^6)*(Q87/1000))/(0.082056*H87))</f>
        <v>1.0797974047619613E-6</v>
      </c>
      <c r="AJ87">
        <f>(((K87/10^6)*AZ87)*(Q87/1000))/(0.082056*H87)</f>
        <v>9.9621972160189013E-7</v>
      </c>
      <c r="AK87">
        <f>(X87/10^6)*T87*(R87/1000)</f>
        <v>2.1712842737047181E-5</v>
      </c>
      <c r="AL87">
        <f>AI87+AK87</f>
        <v>2.2792640141809143E-5</v>
      </c>
      <c r="AM87" s="39">
        <f>((AL87-AJ87)/(R87/1000))*1000000</f>
        <v>19.119667035269522</v>
      </c>
      <c r="AN87" s="39">
        <f>AM87/(T87*AZ87)</f>
        <v>467.20668778867235</v>
      </c>
      <c r="AO87" s="39">
        <f>(K87*AZ87)*T87</f>
        <v>17.572141474478169</v>
      </c>
      <c r="AP87" s="39">
        <f>AM87-AO87</f>
        <v>1.5475255607913532</v>
      </c>
      <c r="AQ87">
        <f>(((AH87/10^6)*(Q87/1000))/(0.082056*H87))</f>
        <v>7.6685209743771576E-10</v>
      </c>
      <c r="AR87">
        <f>(((M87/10^6)*AZ87)*(Q87/1000))/(0.082056*H87)</f>
        <v>7.5141052709409784E-10</v>
      </c>
      <c r="AS87">
        <f>(AH87/10^6)*V87*(R87/1000)</f>
        <v>1.1422023077699014E-8</v>
      </c>
      <c r="AT87">
        <f>AQ87+AS87</f>
        <v>1.218887517513673E-8</v>
      </c>
      <c r="AU87" s="39">
        <f>((AT87-AR87)/(R87/1000))*1000000000</f>
        <v>10.032863726353188</v>
      </c>
      <c r="AV87" s="39">
        <f>(AU87/1000)/(V87*AZ87)</f>
        <v>0.33097609168531722</v>
      </c>
      <c r="AW87" s="39">
        <f>(M87*AZ87)*V87*1000</f>
        <v>9.8175664019907742</v>
      </c>
      <c r="AX87" s="39">
        <f>AU87-AW87</f>
        <v>0.21529732436241389</v>
      </c>
      <c r="AY87" s="26">
        <f>VLOOKUP($E87,Water!$C$2:$G$90, 5, FALSE)</f>
        <v>696.3</v>
      </c>
      <c r="AZ87">
        <f>AY87/760</f>
        <v>0.91618421052631571</v>
      </c>
      <c r="BA87" s="3">
        <f>Assumptions!$B$3</f>
        <v>406.07</v>
      </c>
      <c r="BB87" s="3">
        <f>BA87*AZ87*T87</f>
        <v>16.617748409722431</v>
      </c>
      <c r="BC87" s="3">
        <f>Assumptions!$B$4</f>
        <v>1.8474300000000001</v>
      </c>
      <c r="BD87" s="45">
        <f>BC87*AZ87*U87*1/(0.0821*273.15)</f>
        <v>2.874442624649171E-3</v>
      </c>
      <c r="BE87" s="3">
        <f>Assumptions!$B$2</f>
        <v>0.33054499999999998</v>
      </c>
      <c r="BF87" s="44">
        <f>BE87*AZ87*V87*1000</f>
        <v>10.019796063035489</v>
      </c>
      <c r="BG87">
        <f>1923.6+(-125.06*F87)+(4.3773*(F87^2))+(-0.085681*(F87^3))+(0.00070284*(F87^4))</f>
        <v>754.26806783846405</v>
      </c>
      <c r="BH87">
        <f>1909.4+(-120.78*F87)+(4.1555*(F87^2))+(-0.080578*(F87^3))+(0.00065777*(F87^4))</f>
        <v>769.5627009681923</v>
      </c>
      <c r="BI87">
        <f>2141.2+(-152.56*F87)+(5.8963*(F87^2))+(-0.12411*(F87^3))+(0.0010655*(F87^4))</f>
        <v>788.11764570879961</v>
      </c>
      <c r="BJ87" s="25">
        <f>VLOOKUP(E87,Wind!$C$2:$E$109,3, FALSE)</f>
        <v>4.166666666666667</v>
      </c>
      <c r="BK87" s="44">
        <v>1.66</v>
      </c>
      <c r="BL87">
        <f>BK87/(1-(((1.3*10^-3)^0.5)/0.41)*LN(10/1.5))</f>
        <v>1.9923982880693825</v>
      </c>
      <c r="BM87">
        <f>BK87*1.22</f>
        <v>2.0251999999999999</v>
      </c>
      <c r="BN87">
        <f>2.07+0.215*(BM87^1.7)*(24/100)</f>
        <v>2.241255750541113</v>
      </c>
      <c r="BO87">
        <f>BN87*((600/BG87)^0.67)</f>
        <v>1.9226955484899437</v>
      </c>
      <c r="BP87">
        <f>BN87*((600/BH87)^0.67)</f>
        <v>1.8970084603382429</v>
      </c>
      <c r="BQ87">
        <f>BN87*((600/BI87)^0.67)</f>
        <v>1.8669674672350183</v>
      </c>
      <c r="BR87" s="39">
        <f>BO87*(AM87-BB87)</f>
        <v>4.8104278040234707</v>
      </c>
      <c r="BS87" s="39">
        <f>BP87*(AD87-BD87)</f>
        <v>2.5850169660527009</v>
      </c>
      <c r="BT87" s="39">
        <f>BQ87*(AU87-BF87)</f>
        <v>2.4396902286924326E-2</v>
      </c>
      <c r="BU87">
        <f>(2.51+1.48*BM87)+(0.39*BM87*LOG10(0.0015))</f>
        <v>3.2768938069574309</v>
      </c>
      <c r="BV87">
        <f>BU87*((600/$BG87)^0.67)</f>
        <v>2.8111335058438454</v>
      </c>
      <c r="BW87">
        <f>BU87*((600/$BH87)^0.67)</f>
        <v>2.7735769440535383</v>
      </c>
      <c r="BX87">
        <f>BU87*((600/$BI87)^0.67)</f>
        <v>2.729654627632915</v>
      </c>
      <c r="BY87" s="39">
        <f>BV87*($AM87-$BB87)</f>
        <v>7.0332272771702096</v>
      </c>
      <c r="BZ87" s="39">
        <f>BW87*($AD87-$BD87)</f>
        <v>3.7794999900804922</v>
      </c>
      <c r="CA87" s="39">
        <f>BX87*($AU87-$BF87)</f>
        <v>3.5670207647505774E-2</v>
      </c>
      <c r="CB87" s="42">
        <f>AVERAGE(0.72,0.69,0.4,0.22)</f>
        <v>0.50750000000000006</v>
      </c>
      <c r="CC87">
        <f>CB87*((600/$BG87)^0.67)</f>
        <v>0.4353666423936956</v>
      </c>
      <c r="CD87">
        <f>CB87*((600/$BH87)^0.67)</f>
        <v>0.42955017221449321</v>
      </c>
      <c r="CE87">
        <f>CB87*((600/$BI87)^0.67)</f>
        <v>0.42274782313130377</v>
      </c>
      <c r="CF87" s="39">
        <f>CC87*($AM87-$BB87)</f>
        <v>1.089251911546687</v>
      </c>
      <c r="CG87" s="39">
        <f>CD87*($AD87-$BD87)</f>
        <v>0.58533976319079639</v>
      </c>
      <c r="CH87" s="39">
        <f>CE87*($AU87-$BF87)</f>
        <v>5.5243262209700135E-3</v>
      </c>
      <c r="CI87">
        <v>0.86263901889527161</v>
      </c>
      <c r="CJ87">
        <f>((BG87/BH87)^0.67)*CI87</f>
        <v>0.85111421740558035</v>
      </c>
      <c r="CK87">
        <f>((BH87/BH87)^0.67)*CI87</f>
        <v>0.86263901889527161</v>
      </c>
      <c r="CL87">
        <f>((BI87/BH87)^0.67)*CI87</f>
        <v>0.87651956757756044</v>
      </c>
      <c r="CM87" s="39">
        <f>CJ87*($AM87-$BB87)</f>
        <v>2.1294185129949579</v>
      </c>
      <c r="CN87" s="39">
        <f>CK87*($AD87-$BD87)</f>
        <v>1.1755016100590971</v>
      </c>
      <c r="CO87" s="39">
        <f>CL87*($AU87-$BF87)</f>
        <v>1.1454062600478616E-2</v>
      </c>
      <c r="CP87" s="27">
        <f>VLOOKUP(A87,Water!$A$2:$E$109, 5, FALSE)/1000</f>
        <v>1.6000000000000001E-4</v>
      </c>
      <c r="CQ87">
        <f>0.64*CP87</f>
        <v>1.0240000000000001E-4</v>
      </c>
      <c r="CR87" s="19">
        <f>CQ87*1000*(2.5*10^-5)</f>
        <v>2.5600000000000001E-6</v>
      </c>
      <c r="CS87" s="18">
        <f>(-0.0000009*F87^3)+(0.0002*F87^2)-(0.0134*F87)+6.579</f>
        <v>6.4152152255999999</v>
      </c>
      <c r="CT87" s="18">
        <f>CS87-(SQRT(CP87))/(1+1.4*SQRT(CP87))</f>
        <v>6.4027862172222996</v>
      </c>
      <c r="CU87" s="18">
        <f>10^(-CT87)</f>
        <v>3.9556128839671978E-7</v>
      </c>
      <c r="CV87" s="18">
        <f>(0.000001*F87^3)+(0.00006*F87^2)-(0.014*F87)+10.625</f>
        <v>10.424998016</v>
      </c>
      <c r="CW87" s="18">
        <f>CV87-(2*SQRT(CR87))/(1+1.4*SQRT(CR87))</f>
        <v>10.421805167979565</v>
      </c>
      <c r="CX87" s="18">
        <f>10^(-CW87)</f>
        <v>3.7861239869777936E-11</v>
      </c>
      <c r="CY87">
        <f>EXP(1246.98+-61900/H87-183*LN(H87))</f>
        <v>1.5146204775419199E-2</v>
      </c>
      <c r="CZ87">
        <f>12.225*(F87^2)+15.258*F87+1125.7</f>
        <v>4338.8008</v>
      </c>
      <c r="DA87" s="15">
        <f>10^(-4470.99/H87+6.0875-0.01706*H87)</f>
        <v>4.7585753224227805E-15</v>
      </c>
      <c r="DB87">
        <f>(10^-I87)</f>
        <v>2.6302679918953733E-9</v>
      </c>
      <c r="DC87">
        <f>DB87^2</f>
        <v>6.9183097091893194E-18</v>
      </c>
      <c r="DD87" s="20">
        <f>((14.6836*10^-9)*((H87/217.2056)-1)^1.997)*100*100</f>
        <v>1.5984118367950751E-5</v>
      </c>
      <c r="DE87">
        <f>CY87+CZ87*DA87/DB87</f>
        <v>2.2995789106523924E-2</v>
      </c>
      <c r="DF87">
        <f>1+DC87*(CU87*CX87+CU87*DB87)^-1</f>
        <v>1.0065551005267135</v>
      </c>
      <c r="DG87">
        <f>(DE87*DF87/DD87)^0.5</f>
        <v>38.053849127465085</v>
      </c>
      <c r="DH87">
        <f>DD87/(BO87/60/60)</f>
        <v>2.9928204790309092E-2</v>
      </c>
      <c r="DI87" s="16">
        <f>DF87/((DF87-1)+TANH(DG87*DH87)/(DG87*DH87))</f>
        <v>1.3954282998770149</v>
      </c>
      <c r="DJ87">
        <f>$DI87*BR87</f>
        <v>6.712607092249594</v>
      </c>
      <c r="DK87">
        <f>$DI87*BY87</f>
        <v>9.8143643820302717</v>
      </c>
      <c r="DL87">
        <f>$DI87*CF87</f>
        <v>1.5199729430673821</v>
      </c>
      <c r="DM87">
        <f>$DI87*CM87</f>
        <v>2.971450855315195</v>
      </c>
    </row>
    <row r="88" spans="1:117" ht="15.75" x14ac:dyDescent="0.25">
      <c r="A88" s="52" t="s">
        <v>331</v>
      </c>
      <c r="B88" s="55" t="s">
        <v>341</v>
      </c>
      <c r="C88" t="s">
        <v>235</v>
      </c>
      <c r="D88" s="57">
        <v>43235</v>
      </c>
      <c r="E88" s="42" t="str">
        <f>A88&amp;D88</f>
        <v>62C43235</v>
      </c>
      <c r="F88" s="3">
        <f>VLOOKUP($E88,Water!$C$2:$E$90, 2, FALSE)</f>
        <v>15.6</v>
      </c>
      <c r="G88" s="3">
        <f>VLOOKUP($E88,Water!$C$2:$E$90, 3, FALSE)</f>
        <v>0.18</v>
      </c>
      <c r="H88" s="1">
        <f>F88+273.15</f>
        <v>288.75</v>
      </c>
      <c r="I88" s="3">
        <f>VLOOKUP($E88,Water!$C$2:$F$90, 4, FALSE)</f>
        <v>8.58</v>
      </c>
      <c r="J88">
        <f>10^(I88*-1)</f>
        <v>2.6302679918953733E-9</v>
      </c>
      <c r="K88" s="25">
        <f>VLOOKUP($E88,Atm!$D$2:$G$45, 2, FALSE)</f>
        <v>429.39147426053341</v>
      </c>
      <c r="L88" s="25">
        <f>VLOOKUP($E88,Atm!$D$2:$G$45, 3, FALSE)</f>
        <v>1.9199736655654731</v>
      </c>
      <c r="M88" s="25">
        <f>VLOOKUP($E88,Atm!$D$2:$G$45, 4, FALSE)</f>
        <v>0.32387360640181789</v>
      </c>
      <c r="N88" s="21">
        <f>VLOOKUP($C88,Raw!$B$2:$F$353, 3, FALSE)</f>
        <v>431.78933319834391</v>
      </c>
      <c r="O88" s="21">
        <f>VLOOKUP($C88,Raw!$B$2:$F$353, 4, FALSE)</f>
        <v>408.77144444165828</v>
      </c>
      <c r="P88" s="21">
        <f>VLOOKUP($C88,Raw!$B$2:$F$353, 5, FALSE)</f>
        <v>0.33184183369049897</v>
      </c>
      <c r="Q88" s="14">
        <v>60</v>
      </c>
      <c r="R88" s="25">
        <v>1140</v>
      </c>
      <c r="S88">
        <f>EXP(24.4543-(100/H88*(67.4509))-(4.8489*LN(H88/100))-(0.000544*G88))</f>
        <v>1.7472147186873479E-2</v>
      </c>
      <c r="T88" s="8">
        <f>EXP(-58.0931+90.5069*(100/H88)+22.294*LN(H88/100)+G88*(0.027766-0.025888*(H88/100)+0.0050578*(H88/100)^2)*G88)</f>
        <v>4.4667173457619946E-2</v>
      </c>
      <c r="U88" s="9">
        <f>(EXP(-67.1962+99.1624*(100/H88)+27.9015*LN(H88/100)+G88*(-0.072909+0.041674*(H88/100)-0.0064603*(H88/100)^2)*G88))</f>
        <v>3.8084408221161804E-2</v>
      </c>
      <c r="V88" s="9">
        <f>(EXP(-64.8539+100.252*(100/H88)+25.2049*LN(H88/100)+(-0.062544+0.035337*(H88/100)-0.0054699*(H88/100)^2)*G88))</f>
        <v>3.308609307858501E-2</v>
      </c>
      <c r="W88" s="9">
        <f>(EXP(-68.8862+101.4956*(100/H88)+28.7314*LN(H88/100)+G88*(-0.076146+0.04397*(H88/100)-0.0068672*(H88/100)^2)))</f>
        <v>3.797422961158449E-2</v>
      </c>
      <c r="X88">
        <f>N88*(AZ88-S88)</f>
        <v>388.05428256664555</v>
      </c>
      <c r="Y88">
        <f>O88*(AZ88-S88)</f>
        <v>367.36782826840687</v>
      </c>
      <c r="Z88">
        <f>((Y88/10^6)*AZ88)/(0.082056*H88)</f>
        <v>1.4205338544634811E-5</v>
      </c>
      <c r="AA88">
        <f>(((L88/10^6)*AZ88)/(0.082056*H88))</f>
        <v>7.4241329309364886E-8</v>
      </c>
      <c r="AB88">
        <f>((Y88/10^6)*U88*1)/(0.082056*H88)</f>
        <v>5.9049469073789213E-7</v>
      </c>
      <c r="AC88">
        <f>(Z88*(Q88/1000))+(AB88*(R88/1000))</f>
        <v>1.5254842601192857E-6</v>
      </c>
      <c r="AD88" s="39">
        <f>((AC88-(AA88*(Q88/1000)))/(R88/1000))*1000000</f>
        <v>1.3342366494392315</v>
      </c>
      <c r="AE88" s="39">
        <f>(AD88/((U88*AZ88*1))*(0.0821*273.15))</f>
        <v>857.52583549110307</v>
      </c>
      <c r="AF88" s="39">
        <f>L88*U88*AZ88*1/(0.0821*273.15)</f>
        <v>2.9873143461485998E-3</v>
      </c>
      <c r="AG88" s="39">
        <f>AD88-AF88</f>
        <v>1.331249335093083</v>
      </c>
      <c r="AH88" s="42">
        <f>P88*(AZ88-S88)</f>
        <v>0.29823025905833234</v>
      </c>
      <c r="AI88">
        <f>(((X88/10^6)*(Q88/1000))/(0.082056*H88))</f>
        <v>9.8267836742888445E-7</v>
      </c>
      <c r="AJ88">
        <f>(((K88/10^6)*AZ88)*(Q88/1000))/(0.082056*H88)</f>
        <v>9.9621972160189013E-7</v>
      </c>
      <c r="AK88">
        <f>(X88/10^6)*T88*(R88/1000)</f>
        <v>1.9759948263429346E-5</v>
      </c>
      <c r="AL88">
        <f>AI88+AK88</f>
        <v>2.0742626630858231E-5</v>
      </c>
      <c r="AM88" s="39">
        <f>((AL88-AJ88)/(R88/1000))*1000000</f>
        <v>17.321409569523109</v>
      </c>
      <c r="AN88" s="39">
        <f>AM88/(T88*AZ88)</f>
        <v>423.26460904782306</v>
      </c>
      <c r="AO88" s="39">
        <f>(K88*AZ88)*T88</f>
        <v>17.572141474478169</v>
      </c>
      <c r="AP88" s="39">
        <f>AM88-AO88</f>
        <v>-0.25073190495506026</v>
      </c>
      <c r="AQ88">
        <f>(((AH88/10^6)*(Q88/1000))/(0.082056*H88))</f>
        <v>7.5521502340076227E-10</v>
      </c>
      <c r="AR88">
        <f>(((M88/10^6)*AZ88)*(Q88/1000))/(0.082056*H88)</f>
        <v>7.5141052709409784E-10</v>
      </c>
      <c r="AS88">
        <f>(AH88/10^6)*V88*(R88/1000)</f>
        <v>1.1248692485462134E-8</v>
      </c>
      <c r="AT88">
        <f>AQ88+AS88</f>
        <v>1.2003907508862896E-8</v>
      </c>
      <c r="AU88" s="39">
        <f>((AT88-AR88)/(R88/1000))*1000000000</f>
        <v>9.8706113875164903</v>
      </c>
      <c r="AV88" s="39">
        <f>(AU88/1000)/(V88*AZ88)</f>
        <v>0.32562351774036125</v>
      </c>
      <c r="AW88" s="39">
        <f>(M88*AZ88)*V88*1000</f>
        <v>9.8175664019907742</v>
      </c>
      <c r="AX88" s="39">
        <f>AU88-AW88</f>
        <v>5.3044985525716015E-2</v>
      </c>
      <c r="AY88" s="26">
        <f>VLOOKUP($E88,Water!$C$2:$G$90, 5, FALSE)</f>
        <v>696.3</v>
      </c>
      <c r="AZ88">
        <f>AY88/760</f>
        <v>0.91618421052631571</v>
      </c>
      <c r="BA88" s="3">
        <f>Assumptions!$B$3</f>
        <v>406.07</v>
      </c>
      <c r="BB88" s="3">
        <f>BA88*AZ88*T88</f>
        <v>16.617748409722431</v>
      </c>
      <c r="BC88" s="3">
        <f>Assumptions!$B$4</f>
        <v>1.8474300000000001</v>
      </c>
      <c r="BD88" s="45">
        <f>BC88*AZ88*U88*1/(0.0821*273.15)</f>
        <v>2.874442624649171E-3</v>
      </c>
      <c r="BE88" s="3">
        <f>Assumptions!$B$2</f>
        <v>0.33054499999999998</v>
      </c>
      <c r="BF88" s="44">
        <f>BE88*AZ88*V88*1000</f>
        <v>10.019796063035489</v>
      </c>
      <c r="BG88">
        <f>1923.6+(-125.06*F88)+(4.3773*(F88^2))+(-0.085681*(F88^3))+(0.00070284*(F88^4))</f>
        <v>754.26806783846405</v>
      </c>
      <c r="BH88">
        <f>1909.4+(-120.78*F88)+(4.1555*(F88^2))+(-0.080578*(F88^3))+(0.00065777*(F88^4))</f>
        <v>769.5627009681923</v>
      </c>
      <c r="BI88">
        <f>2141.2+(-152.56*F88)+(5.8963*(F88^2))+(-0.12411*(F88^3))+(0.0010655*(F88^4))</f>
        <v>788.11764570879961</v>
      </c>
      <c r="BJ88" s="25">
        <f>VLOOKUP(E88,Wind!$C$2:$E$109,3, FALSE)</f>
        <v>4.166666666666667</v>
      </c>
      <c r="BK88" s="44">
        <v>1.66</v>
      </c>
      <c r="BL88">
        <f>BK88/(1-(((1.3*10^-3)^0.5)/0.41)*LN(10/1.5))</f>
        <v>1.9923982880693825</v>
      </c>
      <c r="BM88">
        <f>BK88*1.22</f>
        <v>2.0251999999999999</v>
      </c>
      <c r="BN88">
        <f>2.07+0.215*(BM88^1.7)*(24/100)</f>
        <v>2.241255750541113</v>
      </c>
      <c r="BO88">
        <f>BN88*((600/BG88)^0.67)</f>
        <v>1.9226955484899437</v>
      </c>
      <c r="BP88">
        <f>BN88*((600/BH88)^0.67)</f>
        <v>1.8970084603382429</v>
      </c>
      <c r="BQ88">
        <f>BN88*((600/BI88)^0.67)</f>
        <v>1.8669674672350183</v>
      </c>
      <c r="BR88" s="39">
        <f>BO88*(AM88-BB88)</f>
        <v>1.3529261795940344</v>
      </c>
      <c r="BS88" s="39">
        <f>BP88*(AD88-BD88)</f>
        <v>2.5256053701018559</v>
      </c>
      <c r="BT88" s="39">
        <f>BQ88*(AU88-BF88)</f>
        <v>-0.27852293580398352</v>
      </c>
      <c r="BU88">
        <f>(2.51+1.48*BM88)+(0.39*BM88*LOG10(0.0015))</f>
        <v>3.2768938069574309</v>
      </c>
      <c r="BV88">
        <f>BU88*((600/$BG88)^0.67)</f>
        <v>2.8111335058438454</v>
      </c>
      <c r="BW88">
        <f>BU88*((600/$BH88)^0.67)</f>
        <v>2.7735769440535383</v>
      </c>
      <c r="BX88">
        <f>BU88*((600/$BI88)^0.67)</f>
        <v>2.729654627632915</v>
      </c>
      <c r="BY88" s="39">
        <f>BV88*($AM88-$BB88)</f>
        <v>1.978085463076626</v>
      </c>
      <c r="BZ88" s="39">
        <f>BW88*($AD88-$BD88)</f>
        <v>3.692635521005164</v>
      </c>
      <c r="CA88" s="39">
        <f>BX88*($AU88-$BF88)</f>
        <v>-0.4072226399023503</v>
      </c>
      <c r="CB88" s="42">
        <f>AVERAGE(0.72,0.69,0.4,0.22)</f>
        <v>0.50750000000000006</v>
      </c>
      <c r="CC88">
        <f>CB88*((600/$BG88)^0.67)</f>
        <v>0.4353666423936956</v>
      </c>
      <c r="CD88">
        <f>CB88*((600/$BH88)^0.67)</f>
        <v>0.42955017221449321</v>
      </c>
      <c r="CE88">
        <f>CB88*((600/$BI88)^0.67)</f>
        <v>0.42274782313130377</v>
      </c>
      <c r="CF88" s="39">
        <f>CC88*($AM88-$BB88)</f>
        <v>0.30635059652527485</v>
      </c>
      <c r="CG88" s="39">
        <f>CD88*($AD88-$BD88)</f>
        <v>0.57188686521707155</v>
      </c>
      <c r="CH88" s="39">
        <f>CE88*($AU88-$BF88)</f>
        <v>-6.3067496820206709E-2</v>
      </c>
      <c r="CI88">
        <v>0.86263901889527161</v>
      </c>
      <c r="CJ88">
        <f>((BG88/BH88)^0.67)*CI88</f>
        <v>0.85111421740558035</v>
      </c>
      <c r="CK88">
        <f>((BH88/BH88)^0.67)*CI88</f>
        <v>0.86263901889527161</v>
      </c>
      <c r="CL88">
        <f>((BI88/BH88)^0.67)*CI88</f>
        <v>0.87651956757756044</v>
      </c>
      <c r="CM88" s="39">
        <f>CJ88*($AM88-$BB88)</f>
        <v>0.59889601734245701</v>
      </c>
      <c r="CN88" s="39">
        <f>CK88*($AD88-$BD88)</f>
        <v>1.148484987880775</v>
      </c>
      <c r="CO88" s="39">
        <f>CL88*($AU88-$BF88)</f>
        <v>-0.13076328727511163</v>
      </c>
      <c r="CP88" s="27">
        <f>VLOOKUP(A88,Water!$A$2:$E$109, 5, FALSE)/1000</f>
        <v>1.6000000000000001E-4</v>
      </c>
      <c r="CQ88">
        <f>0.64*CP88</f>
        <v>1.0240000000000001E-4</v>
      </c>
      <c r="CR88" s="19">
        <f>CQ88*1000*(2.5*10^-5)</f>
        <v>2.5600000000000001E-6</v>
      </c>
      <c r="CS88" s="18">
        <f>(-0.0000009*F88^3)+(0.0002*F88^2)-(0.0134*F88)+6.579</f>
        <v>6.4152152255999999</v>
      </c>
      <c r="CT88" s="18">
        <f>CS88-(SQRT(CP88))/(1+1.4*SQRT(CP88))</f>
        <v>6.4027862172222996</v>
      </c>
      <c r="CU88" s="18">
        <f>10^(-CT88)</f>
        <v>3.9556128839671978E-7</v>
      </c>
      <c r="CV88" s="18">
        <f>(0.000001*F88^3)+(0.00006*F88^2)-(0.014*F88)+10.625</f>
        <v>10.424998016</v>
      </c>
      <c r="CW88" s="18">
        <f>CV88-(2*SQRT(CR88))/(1+1.4*SQRT(CR88))</f>
        <v>10.421805167979565</v>
      </c>
      <c r="CX88" s="18">
        <f>10^(-CW88)</f>
        <v>3.7861239869777936E-11</v>
      </c>
      <c r="CY88">
        <f>EXP(1246.98+-61900/H88-183*LN(H88))</f>
        <v>1.5146204775419199E-2</v>
      </c>
      <c r="CZ88">
        <f>12.225*(F88^2)+15.258*F88+1125.7</f>
        <v>4338.8008</v>
      </c>
      <c r="DA88" s="15">
        <f>10^(-4470.99/H88+6.0875-0.01706*H88)</f>
        <v>4.7585753224227805E-15</v>
      </c>
      <c r="DB88">
        <f>(10^-I88)</f>
        <v>2.6302679918953733E-9</v>
      </c>
      <c r="DC88">
        <f>DB88^2</f>
        <v>6.9183097091893194E-18</v>
      </c>
      <c r="DD88" s="20">
        <f>((14.6836*10^-9)*((H88/217.2056)-1)^1.997)*100*100</f>
        <v>1.5984118367950751E-5</v>
      </c>
      <c r="DE88">
        <f>CY88+CZ88*DA88/DB88</f>
        <v>2.2995789106523924E-2</v>
      </c>
      <c r="DF88">
        <f>1+DC88*(CU88*CX88+CU88*DB88)^-1</f>
        <v>1.0065551005267135</v>
      </c>
      <c r="DG88">
        <f>(DE88*DF88/DD88)^0.5</f>
        <v>38.053849127465085</v>
      </c>
      <c r="DH88">
        <f>DD88/(BO88/60/60)</f>
        <v>2.9928204790309092E-2</v>
      </c>
      <c r="DI88" s="16">
        <f>DF88/((DF88-1)+TANH(DG88*DH88)/(DG88*DH88))</f>
        <v>1.3954282998770149</v>
      </c>
      <c r="DJ88">
        <f>$DI88*BR88</f>
        <v>1.8879114786500084</v>
      </c>
      <c r="DK88">
        <f>$DI88*BY88</f>
        <v>2.7602764347524538</v>
      </c>
      <c r="DL88">
        <f>$DI88*CF88</f>
        <v>0.42749029207557365</v>
      </c>
      <c r="DM88">
        <f>$DI88*CM88</f>
        <v>0.83571645128329997</v>
      </c>
    </row>
    <row r="89" spans="1:117" ht="15.75" x14ac:dyDescent="0.25">
      <c r="A89" s="52" t="s">
        <v>331</v>
      </c>
      <c r="B89" s="55" t="s">
        <v>342</v>
      </c>
      <c r="C89" t="s">
        <v>236</v>
      </c>
      <c r="D89" s="57">
        <v>43235</v>
      </c>
      <c r="E89" s="42" t="str">
        <f>A89&amp;D89</f>
        <v>62C43235</v>
      </c>
      <c r="F89" s="3">
        <f>VLOOKUP($E89,Water!$C$2:$E$90, 2, FALSE)</f>
        <v>15.6</v>
      </c>
      <c r="G89" s="3">
        <f>VLOOKUP($E89,Water!$C$2:$E$90, 3, FALSE)</f>
        <v>0.18</v>
      </c>
      <c r="H89" s="1">
        <f>F89+273.15</f>
        <v>288.75</v>
      </c>
      <c r="I89" s="3">
        <f>VLOOKUP($E89,Water!$C$2:$F$90, 4, FALSE)</f>
        <v>8.58</v>
      </c>
      <c r="J89">
        <f>10^(I89*-1)</f>
        <v>2.6302679918953733E-9</v>
      </c>
      <c r="K89" s="25">
        <f>VLOOKUP($E89,Atm!$D$2:$G$45, 2, FALSE)</f>
        <v>429.39147426053341</v>
      </c>
      <c r="L89" s="25">
        <f>VLOOKUP($E89,Atm!$D$2:$G$45, 3, FALSE)</f>
        <v>1.9199736655654731</v>
      </c>
      <c r="M89" s="25">
        <f>VLOOKUP($E89,Atm!$D$2:$G$45, 4, FALSE)</f>
        <v>0.32387360640181789</v>
      </c>
      <c r="N89" s="21">
        <f>VLOOKUP($C89,Raw!$B$2:$F$353, 3, FALSE)</f>
        <v>444.6426822874281</v>
      </c>
      <c r="O89" s="21">
        <f>VLOOKUP($C89,Raw!$B$2:$F$353, 4, FALSE)</f>
        <v>390.46418472916548</v>
      </c>
      <c r="P89" s="21">
        <f>VLOOKUP($C89,Raw!$B$2:$F$353, 5, FALSE)</f>
        <v>0.33195824461841711</v>
      </c>
      <c r="Q89" s="14">
        <v>60</v>
      </c>
      <c r="R89" s="25">
        <v>1140</v>
      </c>
      <c r="S89">
        <f>EXP(24.4543-(100/H89*(67.4509))-(4.8489*LN(H89/100))-(0.000544*G89))</f>
        <v>1.7472147186873479E-2</v>
      </c>
      <c r="T89" s="8">
        <f>EXP(-58.0931+90.5069*(100/H89)+22.294*LN(H89/100)+G89*(0.027766-0.025888*(H89/100)+0.0050578*(H89/100)^2)*G89)</f>
        <v>4.4667173457619946E-2</v>
      </c>
      <c r="U89" s="9">
        <f>(EXP(-67.1962+99.1624*(100/H89)+27.9015*LN(H89/100)+G89*(-0.072909+0.041674*(H89/100)-0.0064603*(H89/100)^2)*G89))</f>
        <v>3.8084408221161804E-2</v>
      </c>
      <c r="V89" s="9">
        <f>(EXP(-64.8539+100.252*(100/H89)+25.2049*LN(H89/100)+(-0.062544+0.035337*(H89/100)-0.0054699*(H89/100)^2)*G89))</f>
        <v>3.308609307858501E-2</v>
      </c>
      <c r="W89" s="9">
        <f>(EXP(-68.8862+101.4956*(100/H89)+28.7314*LN(H89/100)+G89*(-0.076146+0.04397*(H89/100)-0.0068672*(H89/100)^2)))</f>
        <v>3.797422961158449E-2</v>
      </c>
      <c r="X89">
        <f>N89*(AZ89-S89)</f>
        <v>399.60574244731856</v>
      </c>
      <c r="Y89">
        <f>O89*(AZ89-S89)</f>
        <v>350.91487311810141</v>
      </c>
      <c r="Z89">
        <f>((Y89/10^6)*AZ89)/(0.082056*H89)</f>
        <v>1.3569137494936409E-5</v>
      </c>
      <c r="AA89">
        <f>(((L89/10^6)*AZ89)/(0.082056*H89))</f>
        <v>7.4241329309364886E-8</v>
      </c>
      <c r="AB89">
        <f>((Y89/10^6)*U89*1)/(0.082056*H89)</f>
        <v>5.6404876402460958E-7</v>
      </c>
      <c r="AC89">
        <f>(Z89*(Q89/1000))+(AB89*(R89/1000))</f>
        <v>1.4571638406842395E-6</v>
      </c>
      <c r="AD89" s="39">
        <f>((AC89-(AA89*(Q89/1000)))/(R89/1000))*1000000</f>
        <v>1.274306456952349</v>
      </c>
      <c r="AE89" s="39">
        <f>(AD89/((U89*AZ89*1))*(0.0821*273.15))</f>
        <v>819.00816442798532</v>
      </c>
      <c r="AF89" s="39">
        <f>L89*U89*AZ89*1/(0.0821*273.15)</f>
        <v>2.9873143461485998E-3</v>
      </c>
      <c r="AG89" s="39">
        <f>AD89-AF89</f>
        <v>1.2713191426062005</v>
      </c>
      <c r="AH89" s="42">
        <f>P89*(AZ89-S89)</f>
        <v>0.29833487896355693</v>
      </c>
      <c r="AI89">
        <f>(((X89/10^6)*(Q89/1000))/(0.082056*H89))</f>
        <v>1.0119303825384212E-6</v>
      </c>
      <c r="AJ89">
        <f>(((K89/10^6)*AZ89)*(Q89/1000))/(0.082056*H89)</f>
        <v>9.9621972160189013E-7</v>
      </c>
      <c r="AK89">
        <f>(X89/10^6)*T89*(R89/1000)</f>
        <v>2.0348155274313131E-5</v>
      </c>
      <c r="AL89">
        <f>AI89+AK89</f>
        <v>2.1360085656851551E-5</v>
      </c>
      <c r="AM89" s="39">
        <f>((AL89-AJ89)/(R89/1000))*1000000</f>
        <v>17.863040294078651</v>
      </c>
      <c r="AN89" s="39">
        <f>AM89/(T89*AZ89)</f>
        <v>436.49985505693888</v>
      </c>
      <c r="AO89" s="39">
        <f>(K89*AZ89)*T89</f>
        <v>17.572141474478169</v>
      </c>
      <c r="AP89" s="39">
        <f>AM89-AO89</f>
        <v>0.29089881960048203</v>
      </c>
      <c r="AQ89">
        <f>(((AH89/10^6)*(Q89/1000))/(0.082056*H89))</f>
        <v>7.554799546804449E-10</v>
      </c>
      <c r="AR89">
        <f>(((M89/10^6)*AZ89)*(Q89/1000))/(0.082056*H89)</f>
        <v>7.5141052709409784E-10</v>
      </c>
      <c r="AS89">
        <f>(AH89/10^6)*V89*(R89/1000)</f>
        <v>1.1252638554333366E-8</v>
      </c>
      <c r="AT89">
        <f>AQ89+AS89</f>
        <v>1.2008118509013811E-8</v>
      </c>
      <c r="AU89" s="39">
        <f>((AT89-AR89)/(R89/1000))*1000000000</f>
        <v>9.8743052472979951</v>
      </c>
      <c r="AV89" s="39">
        <f>(AU89/1000)/(V89*AZ89)</f>
        <v>0.32574537519871627</v>
      </c>
      <c r="AW89" s="39">
        <f>(M89*AZ89)*V89*1000</f>
        <v>9.8175664019907742</v>
      </c>
      <c r="AX89" s="39">
        <f>AU89-AW89</f>
        <v>5.6738845307220842E-2</v>
      </c>
      <c r="AY89" s="26">
        <f>VLOOKUP($E89,Water!$C$2:$G$90, 5, FALSE)</f>
        <v>696.3</v>
      </c>
      <c r="AZ89">
        <f>AY89/760</f>
        <v>0.91618421052631571</v>
      </c>
      <c r="BA89" s="3">
        <f>Assumptions!$B$3</f>
        <v>406.07</v>
      </c>
      <c r="BB89" s="3">
        <f>BA89*AZ89*T89</f>
        <v>16.617748409722431</v>
      </c>
      <c r="BC89" s="3">
        <f>Assumptions!$B$4</f>
        <v>1.8474300000000001</v>
      </c>
      <c r="BD89" s="45">
        <f>BC89*AZ89*U89*1/(0.0821*273.15)</f>
        <v>2.874442624649171E-3</v>
      </c>
      <c r="BE89" s="3">
        <f>Assumptions!$B$2</f>
        <v>0.33054499999999998</v>
      </c>
      <c r="BF89" s="44">
        <f>BE89*AZ89*V89*1000</f>
        <v>10.019796063035489</v>
      </c>
      <c r="BG89">
        <f>1923.6+(-125.06*F89)+(4.3773*(F89^2))+(-0.085681*(F89^3))+(0.00070284*(F89^4))</f>
        <v>754.26806783846405</v>
      </c>
      <c r="BH89">
        <f>1909.4+(-120.78*F89)+(4.1555*(F89^2))+(-0.080578*(F89^3))+(0.00065777*(F89^4))</f>
        <v>769.5627009681923</v>
      </c>
      <c r="BI89">
        <f>2141.2+(-152.56*F89)+(5.8963*(F89^2))+(-0.12411*(F89^3))+(0.0010655*(F89^4))</f>
        <v>788.11764570879961</v>
      </c>
      <c r="BJ89" s="25">
        <f>VLOOKUP(E89,Wind!$C$2:$E$109,3, FALSE)</f>
        <v>4.166666666666667</v>
      </c>
      <c r="BK89" s="44">
        <v>1.66</v>
      </c>
      <c r="BL89">
        <f>BK89/(1-(((1.3*10^-3)^0.5)/0.41)*LN(10/1.5))</f>
        <v>1.9923982880693825</v>
      </c>
      <c r="BM89">
        <f>BK89*1.22</f>
        <v>2.0251999999999999</v>
      </c>
      <c r="BN89">
        <f>2.07+0.215*(BM89^1.7)*(24/100)</f>
        <v>2.241255750541113</v>
      </c>
      <c r="BO89">
        <f>BN89*((600/BG89)^0.67)</f>
        <v>1.9226955484899437</v>
      </c>
      <c r="BP89">
        <f>BN89*((600/BH89)^0.67)</f>
        <v>1.8970084603382429</v>
      </c>
      <c r="BQ89">
        <f>BN89*((600/BI89)^0.67)</f>
        <v>1.8669674672350183</v>
      </c>
      <c r="BR89" s="39">
        <f>BO89*(AM89-BB89)</f>
        <v>2.3943171626223583</v>
      </c>
      <c r="BS89" s="39">
        <f>BP89*(AD89-BD89)</f>
        <v>2.4119172879245405</v>
      </c>
      <c r="BT89" s="39">
        <f>BQ89*(AU89-BF89)</f>
        <v>-0.27162661976338615</v>
      </c>
      <c r="BU89">
        <f>(2.51+1.48*BM89)+(0.39*BM89*LOG10(0.0015))</f>
        <v>3.2768938069574309</v>
      </c>
      <c r="BV89">
        <f>BU89*((600/$BG89)^0.67)</f>
        <v>2.8111335058438454</v>
      </c>
      <c r="BW89">
        <f>BU89*((600/$BH89)^0.67)</f>
        <v>2.7735769440535383</v>
      </c>
      <c r="BX89">
        <f>BU89*((600/$BI89)^0.67)</f>
        <v>2.729654627632915</v>
      </c>
      <c r="BY89" s="39">
        <f>BV89*($AM89-$BB89)</f>
        <v>3.5006817406691897</v>
      </c>
      <c r="BZ89" s="39">
        <f>BW89*($AD89-$BD89)</f>
        <v>3.5264145208708562</v>
      </c>
      <c r="CA89" s="39">
        <f>BX89*($AU89-$BF89)</f>
        <v>-0.39713967845593856</v>
      </c>
      <c r="CB89" s="42">
        <f>AVERAGE(0.72,0.69,0.4,0.22)</f>
        <v>0.50750000000000006</v>
      </c>
      <c r="CC89">
        <f>CB89*((600/$BG89)^0.67)</f>
        <v>0.4353666423936956</v>
      </c>
      <c r="CD89">
        <f>CB89*((600/$BH89)^0.67)</f>
        <v>0.42955017221449321</v>
      </c>
      <c r="CE89">
        <f>CB89*((600/$BI89)^0.67)</f>
        <v>0.42274782313130377</v>
      </c>
      <c r="CF89" s="39">
        <f>CC89*($AM89-$BB89)</f>
        <v>0.5421585464922859</v>
      </c>
      <c r="CG89" s="39">
        <f>CD89*($AD89-$BD89)</f>
        <v>0.54614384071348343</v>
      </c>
      <c r="CH89" s="39">
        <f>CE89*($AU89-$BF89)</f>
        <v>-6.1505925638623268E-2</v>
      </c>
      <c r="CI89">
        <v>0.86263901889527161</v>
      </c>
      <c r="CJ89">
        <f>((BG89/BH89)^0.67)*CI89</f>
        <v>0.85111421740558035</v>
      </c>
      <c r="CK89">
        <f>((BH89/BH89)^0.67)*CI89</f>
        <v>0.86263901889527161</v>
      </c>
      <c r="CL89">
        <f>((BI89/BH89)^0.67)*CI89</f>
        <v>0.87651956757756044</v>
      </c>
      <c r="CM89" s="39">
        <f>CJ89*($AM89-$BB89)</f>
        <v>1.0598856275953648</v>
      </c>
      <c r="CN89" s="39">
        <f>CK89*($AD89-$BD89)</f>
        <v>1.0967868654316859</v>
      </c>
      <c r="CO89" s="39">
        <f>CL89*($AU89-$BF89)</f>
        <v>-0.12752554689673487</v>
      </c>
      <c r="CP89" s="27">
        <f>VLOOKUP(A89,Water!$A$2:$E$109, 5, FALSE)/1000</f>
        <v>1.6000000000000001E-4</v>
      </c>
      <c r="CQ89">
        <f>0.64*CP89</f>
        <v>1.0240000000000001E-4</v>
      </c>
      <c r="CR89" s="19">
        <f>CQ89*1000*(2.5*10^-5)</f>
        <v>2.5600000000000001E-6</v>
      </c>
      <c r="CS89" s="18">
        <f>(-0.0000009*F89^3)+(0.0002*F89^2)-(0.0134*F89)+6.579</f>
        <v>6.4152152255999999</v>
      </c>
      <c r="CT89" s="18">
        <f>CS89-(SQRT(CP89))/(1+1.4*SQRT(CP89))</f>
        <v>6.4027862172222996</v>
      </c>
      <c r="CU89" s="18">
        <f>10^(-CT89)</f>
        <v>3.9556128839671978E-7</v>
      </c>
      <c r="CV89" s="18">
        <f>(0.000001*F89^3)+(0.00006*F89^2)-(0.014*F89)+10.625</f>
        <v>10.424998016</v>
      </c>
      <c r="CW89" s="18">
        <f>CV89-(2*SQRT(CR89))/(1+1.4*SQRT(CR89))</f>
        <v>10.421805167979565</v>
      </c>
      <c r="CX89" s="18">
        <f>10^(-CW89)</f>
        <v>3.7861239869777936E-11</v>
      </c>
      <c r="CY89">
        <f>EXP(1246.98+-61900/H89-183*LN(H89))</f>
        <v>1.5146204775419199E-2</v>
      </c>
      <c r="CZ89">
        <f>12.225*(F89^2)+15.258*F89+1125.7</f>
        <v>4338.8008</v>
      </c>
      <c r="DA89" s="15">
        <f>10^(-4470.99/H89+6.0875-0.01706*H89)</f>
        <v>4.7585753224227805E-15</v>
      </c>
      <c r="DB89">
        <f>(10^-I89)</f>
        <v>2.6302679918953733E-9</v>
      </c>
      <c r="DC89">
        <f>DB89^2</f>
        <v>6.9183097091893194E-18</v>
      </c>
      <c r="DD89" s="20">
        <f>((14.6836*10^-9)*((H89/217.2056)-1)^1.997)*100*100</f>
        <v>1.5984118367950751E-5</v>
      </c>
      <c r="DE89">
        <f>CY89+CZ89*DA89/DB89</f>
        <v>2.2995789106523924E-2</v>
      </c>
      <c r="DF89">
        <f>1+DC89*(CU89*CX89+CU89*DB89)^-1</f>
        <v>1.0065551005267135</v>
      </c>
      <c r="DG89">
        <f>(DE89*DF89/DD89)^0.5</f>
        <v>38.053849127465085</v>
      </c>
      <c r="DH89">
        <f>DD89/(BO89/60/60)</f>
        <v>2.9928204790309092E-2</v>
      </c>
      <c r="DI89" s="16">
        <f>DF89/((DF89-1)+TANH(DG89*DH89)/(DG89*DH89))</f>
        <v>1.3954282998770149</v>
      </c>
      <c r="DJ89">
        <f>$DI89*BR89</f>
        <v>3.3410979276044754</v>
      </c>
      <c r="DK89">
        <f>$DI89*BY89</f>
        <v>4.8849503697925165</v>
      </c>
      <c r="DL89">
        <f>$DI89*CF89</f>
        <v>0.75654337879552402</v>
      </c>
      <c r="DM89">
        <f>$DI89*CM89</f>
        <v>1.4789943993794827</v>
      </c>
    </row>
    <row r="90" spans="1:117" ht="15.75" x14ac:dyDescent="0.25">
      <c r="A90" s="52" t="s">
        <v>337</v>
      </c>
      <c r="B90" s="55" t="s">
        <v>339</v>
      </c>
      <c r="C90" t="s">
        <v>238</v>
      </c>
      <c r="D90" s="57">
        <v>43238</v>
      </c>
      <c r="E90" s="42" t="str">
        <f>A90&amp;D90</f>
        <v>14B43238</v>
      </c>
      <c r="F90" s="3">
        <f>VLOOKUP($E90,Water!$C$2:$E$90, 2, FALSE)</f>
        <v>14.4</v>
      </c>
      <c r="G90" s="3">
        <f>VLOOKUP($E90,Water!$C$2:$E$90, 3, FALSE)</f>
        <v>0.48</v>
      </c>
      <c r="H90" s="1">
        <f>F90+273.15</f>
        <v>287.54999999999995</v>
      </c>
      <c r="I90" s="3">
        <f>VLOOKUP($E90,Water!$C$2:$F$90, 4, FALSE)</f>
        <v>8.33</v>
      </c>
      <c r="J90">
        <f>10^(I90*-1)</f>
        <v>4.6773514128719724E-9</v>
      </c>
      <c r="K90" s="25">
        <f>VLOOKUP($E90,Atm!$D$2:$G$45, 2, FALSE)</f>
        <v>423.68768365459141</v>
      </c>
      <c r="L90" s="25">
        <f>VLOOKUP($E90,Atm!$D$2:$G$45, 3, FALSE)</f>
        <v>2.0357734290686782</v>
      </c>
      <c r="M90" s="25">
        <f>VLOOKUP($E90,Atm!$D$2:$G$45, 4, FALSE)</f>
        <v>0.32343071515373834</v>
      </c>
      <c r="N90" s="21">
        <f>VLOOKUP($C90,Raw!$B$2:$F$353, 3, FALSE)</f>
        <v>822.50679886773446</v>
      </c>
      <c r="O90" s="21">
        <f>VLOOKUP($C90,Raw!$B$2:$F$353, 4, FALSE)</f>
        <v>40.950077978639229</v>
      </c>
      <c r="P90" s="21">
        <f>VLOOKUP($C90,Raw!$B$2:$F$353, 5, FALSE)</f>
        <v>0.31162455236370828</v>
      </c>
      <c r="Q90" s="14">
        <v>60</v>
      </c>
      <c r="R90" s="25">
        <v>1140</v>
      </c>
      <c r="S90">
        <f>EXP(24.4543-(100/H90*(67.4509))-(4.8489*LN(H90/100))-(0.000544*G90))</f>
        <v>1.6169940932516381E-2</v>
      </c>
      <c r="T90" s="8">
        <f>EXP(-58.0931+90.5069*(100/H90)+22.294*LN(H90/100)+G90*(0.027766-0.025888*(H90/100)+0.0050578*(H90/100)^2)*G90)</f>
        <v>4.63508171011177E-2</v>
      </c>
      <c r="U90" s="9">
        <f>(EXP(-67.1962+99.1624*(100/H90)+27.9015*LN(H90/100)+G90*(-0.072909+0.041674*(H90/100)-0.0064603*(H90/100)^2)*G90))</f>
        <v>3.9081032964178648E-2</v>
      </c>
      <c r="V90" s="9">
        <f>(EXP(-64.8539+100.252*(100/H90)+25.2049*LN(H90/100)+(-0.062544+0.035337*(H90/100)-0.0054699*(H90/100)^2)*G90))</f>
        <v>3.4369893158477077E-2</v>
      </c>
      <c r="W90" s="9">
        <f>(EXP(-68.8862+101.4956*(100/H90)+28.7314*LN(H90/100)+G90*(-0.076146+0.04397*(H90/100)-0.0068672*(H90/100)^2)))</f>
        <v>3.8938607235890578E-2</v>
      </c>
      <c r="X90">
        <f>N90*(AZ90-S90)</f>
        <v>764.18548773332145</v>
      </c>
      <c r="Y90">
        <f>O90*(AZ90-S90)</f>
        <v>38.046439684027703</v>
      </c>
      <c r="Z90">
        <f>((Y90/10^6)*AZ90)/(0.082056*H90)</f>
        <v>1.5242037980015018E-6</v>
      </c>
      <c r="AA90">
        <f>(((L90/10^6)*AZ90)/(0.082056*H90))</f>
        <v>8.1556477247979234E-8</v>
      </c>
      <c r="AB90">
        <f>((Y90/10^6)*U90*1)/(0.082056*H90)</f>
        <v>6.3016799476761507E-8</v>
      </c>
      <c r="AC90">
        <f>(Z90*(Q90/1000))+(AB90*(R90/1000))</f>
        <v>1.6329137928359823E-7</v>
      </c>
      <c r="AD90" s="39">
        <f>((AC90-(AA90*(Q90/1000)))/(R90/1000))*1000000</f>
        <v>0.13894560583221008</v>
      </c>
      <c r="AE90" s="39">
        <f>(AD90/((U90*AZ90*1))*(0.0821*273.15))</f>
        <v>84.347150059588742</v>
      </c>
      <c r="AF90" s="39">
        <f>L90*U90*AZ90*1/(0.0821*273.15)</f>
        <v>3.3535427366452792E-3</v>
      </c>
      <c r="AG90" s="39">
        <f>AD90-AF90</f>
        <v>0.13559206309556479</v>
      </c>
      <c r="AH90" s="42">
        <f>P90*(AZ90-S90)</f>
        <v>0.28952825784000963</v>
      </c>
      <c r="AI90">
        <f>(((X90/10^6)*(Q90/1000))/(0.082056*H90))</f>
        <v>1.9432394649305274E-6</v>
      </c>
      <c r="AJ90">
        <f>(((K90/10^6)*AZ90)*(Q90/1000))/(0.082056*H90)</f>
        <v>1.0184180942384915E-6</v>
      </c>
      <c r="AK90">
        <f>(X90/10^6)*T90*(R90/1000)</f>
        <v>4.0379508821511388E-5</v>
      </c>
      <c r="AL90">
        <f>AI90+AK90</f>
        <v>4.2322748286441916E-5</v>
      </c>
      <c r="AM90" s="39">
        <f>((AL90-AJ90)/(R90/1000))*1000000</f>
        <v>36.23186858965213</v>
      </c>
      <c r="AN90" s="39">
        <f>AM90/(T90*AZ90)</f>
        <v>826.95258018147683</v>
      </c>
      <c r="AO90" s="39">
        <f>(K90*AZ90)*T90</f>
        <v>18.563333430628447</v>
      </c>
      <c r="AP90" s="39">
        <f>AM90-AO90</f>
        <v>17.668535159023683</v>
      </c>
      <c r="AQ90">
        <f>(((AH90/10^6)*(Q90/1000))/(0.082056*H90))</f>
        <v>7.3623844718133021E-10</v>
      </c>
      <c r="AR90">
        <f>(((M90/10^6)*AZ90)*(Q90/1000))/(0.082056*H90)</f>
        <v>7.7743041691434602E-10</v>
      </c>
      <c r="AS90">
        <f>(AH90/10^6)*V90*(R90/1000)</f>
        <v>1.1344203028686092E-8</v>
      </c>
      <c r="AT90">
        <f>AQ90+AS90</f>
        <v>1.2080441475867422E-8</v>
      </c>
      <c r="AU90" s="39">
        <f>((AT90-AR90)/(R90/1000))*1000000000</f>
        <v>9.9149219815377876</v>
      </c>
      <c r="AV90" s="39">
        <f>(AU90/1000)/(V90*AZ90)</f>
        <v>0.30518162958424477</v>
      </c>
      <c r="AW90" s="39">
        <f>(M90*AZ90)*V90*1000</f>
        <v>10.507809108795188</v>
      </c>
      <c r="AX90" s="39">
        <f>AU90-AW90</f>
        <v>-0.59288712725740034</v>
      </c>
      <c r="AY90" s="26">
        <f>VLOOKUP($E90,Water!$C$2:$G$90, 5, FALSE)</f>
        <v>718.4</v>
      </c>
      <c r="AZ90">
        <f>AY90/760</f>
        <v>0.94526315789473681</v>
      </c>
      <c r="BA90" s="3">
        <f>Assumptions!$B$3</f>
        <v>406.07</v>
      </c>
      <c r="BB90" s="3">
        <f>BA90*AZ90*T90</f>
        <v>17.791437176447658</v>
      </c>
      <c r="BC90" s="3">
        <f>Assumptions!$B$4</f>
        <v>1.8474300000000001</v>
      </c>
      <c r="BD90" s="45">
        <f>BC90*AZ90*U90*1/(0.0821*273.15)</f>
        <v>3.0432833877760469E-3</v>
      </c>
      <c r="BE90" s="3">
        <f>Assumptions!$B$2</f>
        <v>0.33054499999999998</v>
      </c>
      <c r="BF90" s="44">
        <f>BE90*AZ90*V90*1000</f>
        <v>10.738942218940828</v>
      </c>
      <c r="BG90">
        <f>1923.6+(-125.06*F90)+(4.3773*(F90^2))+(-0.085681*(F90^3))+(0.00070284*(F90^4))</f>
        <v>804.79166641766392</v>
      </c>
      <c r="BH90">
        <f>1909.4+(-120.78*F90)+(4.1555*(F90^2))+(-0.080578*(F90^3))+(0.00065777*(F90^4))</f>
        <v>819.53076726579195</v>
      </c>
      <c r="BI90">
        <f>2141.2+(-152.56*F90)+(5.8963*(F90^2))+(-0.12411*(F90^3))+(0.0010655*(F90^4))</f>
        <v>842.21684346879977</v>
      </c>
      <c r="BJ90" s="25">
        <f>VLOOKUP(E90,Wind!$C$2:$E$109,3, FALSE)</f>
        <v>1.1388888888888888</v>
      </c>
      <c r="BK90" s="44">
        <v>1.66</v>
      </c>
      <c r="BL90">
        <f>BK90/(1-(((1.3*10^-3)^0.5)/0.41)*LN(10/1.5))</f>
        <v>1.9923982880693825</v>
      </c>
      <c r="BM90">
        <f>BK90*1.22</f>
        <v>2.0251999999999999</v>
      </c>
      <c r="BN90">
        <f>2.07+0.215*(BM90^1.7)*(24/100)</f>
        <v>2.241255750541113</v>
      </c>
      <c r="BO90">
        <f>BN90*((600/BG90)^0.67)</f>
        <v>1.8409620218044414</v>
      </c>
      <c r="BP90">
        <f>BN90*((600/BH90)^0.67)</f>
        <v>1.8187124032042781</v>
      </c>
      <c r="BQ90">
        <f>BN90*((600/BI90)^0.67)</f>
        <v>1.7857420546244527</v>
      </c>
      <c r="BR90" s="39">
        <f>BO90*(AM90-BB90)</f>
        <v>33.948133897399039</v>
      </c>
      <c r="BS90" s="39">
        <f>BP90*(AD90-BD90)</f>
        <v>0.24716723945395933</v>
      </c>
      <c r="BT90" s="39">
        <f>BQ90*(AU90-BF90)</f>
        <v>-1.4714875917922345</v>
      </c>
      <c r="BU90">
        <f>(2.51+1.48*BM90)+(0.39*BM90*LOG10(0.0015))</f>
        <v>3.2768938069574309</v>
      </c>
      <c r="BV90">
        <f>BU90*((600/$BG90)^0.67)</f>
        <v>2.6916326022312838</v>
      </c>
      <c r="BW90">
        <f>BU90*((600/$BH90)^0.67)</f>
        <v>2.6591018937744568</v>
      </c>
      <c r="BX90">
        <f>BU90*((600/$BI90)^0.67)</f>
        <v>2.6108966271294642</v>
      </c>
      <c r="BY90" s="39">
        <f>BV90*($AM90-$BB90)</f>
        <v>49.634866390991064</v>
      </c>
      <c r="BZ90" s="39">
        <f>BW90*($AD90-$BD90)</f>
        <v>0.36137812298034144</v>
      </c>
      <c r="CA90" s="39">
        <f>BX90*($AU90-$BF90)</f>
        <v>-2.1514316585220183</v>
      </c>
      <c r="CB90" s="42">
        <f>AVERAGE(0.72,0.69,0.4,0.22)</f>
        <v>0.50750000000000006</v>
      </c>
      <c r="CC90">
        <f>CB90*((600/$BG90)^0.67)</f>
        <v>0.41685926554351777</v>
      </c>
      <c r="CD90">
        <f>CB90*((600/$BH90)^0.67)</f>
        <v>0.41182116070570235</v>
      </c>
      <c r="CE90">
        <f>CB90*((600/$BI90)^0.67)</f>
        <v>0.40435550137600668</v>
      </c>
      <c r="CF90" s="39">
        <f>CC90*($AM90-$BB90)</f>
        <v>7.6870646952140298</v>
      </c>
      <c r="CG90" s="39">
        <f>CD90*($AD90-$BD90)</f>
        <v>5.5967452171667452E-2</v>
      </c>
      <c r="CH90" s="39">
        <f>CE90*($AU90-$BF90)</f>
        <v>-0.33319711623908244</v>
      </c>
      <c r="CI90">
        <v>0.86263901889527161</v>
      </c>
      <c r="CJ90">
        <f>((BG90/BH90)^0.67)*CI90</f>
        <v>0.85221328010614317</v>
      </c>
      <c r="CK90">
        <f>((BH90/BH90)^0.67)*CI90</f>
        <v>0.86263901889527161</v>
      </c>
      <c r="CL90">
        <f>((BI90/BH90)^0.67)*CI90</f>
        <v>0.87856601634592912</v>
      </c>
      <c r="CM90" s="39">
        <f>CJ90*($AM90-$BB90)</f>
        <v>15.715180541219343</v>
      </c>
      <c r="CN90" s="39">
        <f>CK90*($AD90-$BD90)</f>
        <v>0.11723464609905543</v>
      </c>
      <c r="CO90" s="39">
        <f>CL90*($AU90-$BF90)</f>
        <v>-0.72395617736361595</v>
      </c>
      <c r="CP90" s="27">
        <f>VLOOKUP(A90,Water!$A$2:$E$109, 5, FALSE)/1000</f>
        <v>3.8000000000000002E-4</v>
      </c>
      <c r="CQ90">
        <f>0.64*CP90</f>
        <v>2.4320000000000003E-4</v>
      </c>
      <c r="CR90" s="19">
        <f>CQ90*1000*(2.5*10^-5)</f>
        <v>6.0800000000000011E-6</v>
      </c>
      <c r="CS90" s="18">
        <f>(-0.0000009*F90^3)+(0.0002*F90^2)-(0.0134*F90)+6.579</f>
        <v>6.4248246143999994</v>
      </c>
      <c r="CT90" s="18">
        <f>CS90-(SQRT(CP90))/(1+1.4*SQRT(CP90))</f>
        <v>6.4058488925927799</v>
      </c>
      <c r="CU90" s="18">
        <f>10^(-CT90)</f>
        <v>3.9278157513060718E-7</v>
      </c>
      <c r="CV90" s="18">
        <f>(0.000001*F90^3)+(0.00006*F90^2)-(0.014*F90)+10.625</f>
        <v>10.438827584</v>
      </c>
      <c r="CW90" s="18">
        <f>CV90-(2*SQRT(CR90))/(1+1.4*SQRT(CR90))</f>
        <v>10.433913018231728</v>
      </c>
      <c r="CX90" s="18">
        <f>10^(-CW90)</f>
        <v>3.6820271097332498E-11</v>
      </c>
      <c r="CY90">
        <f>EXP(1246.98+-61900/H90-183*LN(H90))</f>
        <v>1.3266451874867741E-2</v>
      </c>
      <c r="CZ90">
        <f>12.225*(F90^2)+15.258*F90+1125.7</f>
        <v>3880.3912</v>
      </c>
      <c r="DA90" s="15">
        <f>10^(-4470.99/H90+6.0875-0.01706*H90)</f>
        <v>4.2986445285893668E-15</v>
      </c>
      <c r="DB90">
        <f>(10^-I90)</f>
        <v>4.6773514128719724E-9</v>
      </c>
      <c r="DC90">
        <f>DB90^2</f>
        <v>2.1877616239495437E-17</v>
      </c>
      <c r="DD90" s="20">
        <f>((14.6836*10^-9)*((H90/217.2056)-1)^1.997)*100*100</f>
        <v>1.545320240502394E-5</v>
      </c>
      <c r="DE90">
        <f>CY90+CZ90*DA90/DB90</f>
        <v>1.6832662947818589E-2</v>
      </c>
      <c r="DF90">
        <f>1+DC90*(CU90*CX90+CU90*DB90)^-1</f>
        <v>1.0118152658428032</v>
      </c>
      <c r="DG90">
        <f>(DE90*DF90/DD90)^0.5</f>
        <v>33.198447975664216</v>
      </c>
      <c r="DH90">
        <f>DD90/(BO90/60/60)</f>
        <v>3.0218726947749994E-2</v>
      </c>
      <c r="DI90" s="16">
        <f>DF90/((DF90-1)+TANH(DG90*DH90)/(DG90*DH90))</f>
        <v>1.3101130813303659</v>
      </c>
      <c r="DJ90">
        <f>$DI90*BR90</f>
        <v>44.475894305737299</v>
      </c>
      <c r="DK90">
        <f>$DI90*BY90</f>
        <v>65.027287748922319</v>
      </c>
      <c r="DL90">
        <f>$DI90*CF90</f>
        <v>10.070924014232721</v>
      </c>
      <c r="DM90">
        <f>$DI90*CM90</f>
        <v>20.58866360251988</v>
      </c>
    </row>
    <row r="91" spans="1:117" ht="15.75" x14ac:dyDescent="0.25">
      <c r="A91" s="52" t="s">
        <v>337</v>
      </c>
      <c r="B91" s="55" t="s">
        <v>340</v>
      </c>
      <c r="C91" t="s">
        <v>239</v>
      </c>
      <c r="D91" s="57">
        <v>43238</v>
      </c>
      <c r="E91" s="42" t="str">
        <f>A91&amp;D91</f>
        <v>14B43238</v>
      </c>
      <c r="F91" s="3">
        <f>VLOOKUP($E91,Water!$C$2:$E$90, 2, FALSE)</f>
        <v>14.4</v>
      </c>
      <c r="G91" s="3">
        <f>VLOOKUP($E91,Water!$C$2:$E$90, 3, FALSE)</f>
        <v>0.48</v>
      </c>
      <c r="H91" s="1">
        <f>F91+273.15</f>
        <v>287.54999999999995</v>
      </c>
      <c r="I91" s="3">
        <f>VLOOKUP($E91,Water!$C$2:$F$90, 4, FALSE)</f>
        <v>8.33</v>
      </c>
      <c r="J91">
        <f>10^(I91*-1)</f>
        <v>4.6773514128719724E-9</v>
      </c>
      <c r="K91" s="25">
        <f>VLOOKUP($E91,Atm!$D$2:$G$45, 2, FALSE)</f>
        <v>423.68768365459141</v>
      </c>
      <c r="L91" s="25">
        <f>VLOOKUP($E91,Atm!$D$2:$G$45, 3, FALSE)</f>
        <v>2.0357734290686782</v>
      </c>
      <c r="M91" s="25">
        <f>VLOOKUP($E91,Atm!$D$2:$G$45, 4, FALSE)</f>
        <v>0.32343071515373834</v>
      </c>
      <c r="N91" s="21">
        <f>VLOOKUP($C91,Raw!$B$2:$F$353, 3, FALSE)</f>
        <v>801.81496493315274</v>
      </c>
      <c r="O91" s="21">
        <f>VLOOKUP($C91,Raw!$B$2:$F$353, 4, FALSE)</f>
        <v>39.087179864779628</v>
      </c>
      <c r="P91" s="21">
        <f>VLOOKUP($C91,Raw!$B$2:$F$353, 5, FALSE)</f>
        <v>0.309864474946208</v>
      </c>
      <c r="Q91" s="14">
        <v>60</v>
      </c>
      <c r="R91" s="25">
        <v>1140</v>
      </c>
      <c r="S91">
        <f>EXP(24.4543-(100/H91*(67.4509))-(4.8489*LN(H91/100))-(0.000544*G91))</f>
        <v>1.6169940932516381E-2</v>
      </c>
      <c r="T91" s="8">
        <f>EXP(-58.0931+90.5069*(100/H91)+22.294*LN(H91/100)+G91*(0.027766-0.025888*(H91/100)+0.0050578*(H91/100)^2)*G91)</f>
        <v>4.63508171011177E-2</v>
      </c>
      <c r="U91" s="9">
        <f>(EXP(-67.1962+99.1624*(100/H91)+27.9015*LN(H91/100)+G91*(-0.072909+0.041674*(H91/100)-0.0064603*(H91/100)^2)*G91))</f>
        <v>3.9081032964178648E-2</v>
      </c>
      <c r="V91" s="9">
        <f>(EXP(-64.8539+100.252*(100/H91)+25.2049*LN(H91/100)+(-0.062544+0.035337*(H91/100)-0.0054699*(H91/100)^2)*G91))</f>
        <v>3.4369893158477077E-2</v>
      </c>
      <c r="W91" s="9">
        <f>(EXP(-68.8862+101.4956*(100/H91)+28.7314*LN(H91/100)+G91*(-0.076146+0.04397*(H91/100)-0.0068672*(H91/100)^2)))</f>
        <v>3.8938607235890578E-2</v>
      </c>
      <c r="X91">
        <f>N91*(AZ91-S91)</f>
        <v>744.96084517819293</v>
      </c>
      <c r="Y91">
        <f>O91*(AZ91-S91)</f>
        <v>36.315633682549034</v>
      </c>
      <c r="Z91">
        <f>((Y91/10^6)*AZ91)/(0.082056*H91)</f>
        <v>1.4548648242902482E-6</v>
      </c>
      <c r="AA91">
        <f>(((L91/10^6)*AZ91)/(0.082056*H91))</f>
        <v>8.1556477247979234E-8</v>
      </c>
      <c r="AB91">
        <f>((Y91/10^6)*U91*1)/(0.082056*H91)</f>
        <v>6.015004359541828E-8</v>
      </c>
      <c r="AC91">
        <f>(Z91*(Q91/1000))+(AB91*(R91/1000))</f>
        <v>1.5586293915619173E-7</v>
      </c>
      <c r="AD91" s="39">
        <f>((AC91-(AA91*(Q91/1000)))/(R91/1000))*1000000</f>
        <v>0.1324294302818535</v>
      </c>
      <c r="AE91" s="39">
        <f>(AD91/((U91*AZ91*1))*(0.0821*273.15))</f>
        <v>80.391495372500131</v>
      </c>
      <c r="AF91" s="39">
        <f>L91*U91*AZ91*1/(0.0821*273.15)</f>
        <v>3.3535427366452792E-3</v>
      </c>
      <c r="AG91" s="39">
        <f>AD91-AF91</f>
        <v>0.12907588754520821</v>
      </c>
      <c r="AH91" s="42">
        <f>P91*(AZ91-S91)</f>
        <v>0.28789298185008177</v>
      </c>
      <c r="AI91">
        <f>(((X91/10^6)*(Q91/1000))/(0.082056*H91))</f>
        <v>1.8943533178995003E-6</v>
      </c>
      <c r="AJ91">
        <f>(((K91/10^6)*AZ91)*(Q91/1000))/(0.082056*H91)</f>
        <v>1.0184180942384915E-6</v>
      </c>
      <c r="AK91">
        <f>(X91/10^6)*T91*(R91/1000)</f>
        <v>3.9363680025877266E-5</v>
      </c>
      <c r="AL91">
        <f>AI91+AK91</f>
        <v>4.1258033343776766E-5</v>
      </c>
      <c r="AM91" s="39">
        <f>((AL91-AJ91)/(R91/1000))*1000000</f>
        <v>35.297908113630065</v>
      </c>
      <c r="AN91" s="39">
        <f>AM91/(T91*AZ91)</f>
        <v>805.63595877888793</v>
      </c>
      <c r="AO91" s="39">
        <f>(K91*AZ91)*T91</f>
        <v>18.563333430628447</v>
      </c>
      <c r="AP91" s="39">
        <f>AM91-AO91</f>
        <v>16.734574683001618</v>
      </c>
      <c r="AQ91">
        <f>(((AH91/10^6)*(Q91/1000))/(0.082056*H91))</f>
        <v>7.3208012058302402E-10</v>
      </c>
      <c r="AR91">
        <f>(((M91/10^6)*AZ91)*(Q91/1000))/(0.082056*H91)</f>
        <v>7.7743041691434602E-10</v>
      </c>
      <c r="AS91">
        <f>(AH91/10^6)*V91*(R91/1000)</f>
        <v>1.1280130171079467E-8</v>
      </c>
      <c r="AT91">
        <f>AQ91+AS91</f>
        <v>1.201221029166249E-8</v>
      </c>
      <c r="AU91" s="39">
        <f>((AT91-AR91)/(R91/1000))*1000000000</f>
        <v>9.8550700655685493</v>
      </c>
      <c r="AV91" s="39">
        <f>(AU91/1000)/(V91*AZ91)</f>
        <v>0.303339385612659</v>
      </c>
      <c r="AW91" s="39">
        <f>(M91*AZ91)*V91*1000</f>
        <v>10.507809108795188</v>
      </c>
      <c r="AX91" s="39">
        <f>AU91-AW91</f>
        <v>-0.65273904322663867</v>
      </c>
      <c r="AY91" s="26">
        <f>VLOOKUP($E91,Water!$C$2:$G$90, 5, FALSE)</f>
        <v>718.4</v>
      </c>
      <c r="AZ91">
        <f>AY91/760</f>
        <v>0.94526315789473681</v>
      </c>
      <c r="BA91" s="3">
        <f>Assumptions!$B$3</f>
        <v>406.07</v>
      </c>
      <c r="BB91" s="3">
        <f>BA91*AZ91*T91</f>
        <v>17.791437176447658</v>
      </c>
      <c r="BC91" s="3">
        <f>Assumptions!$B$4</f>
        <v>1.8474300000000001</v>
      </c>
      <c r="BD91" s="45">
        <f>BC91*AZ91*U91*1/(0.0821*273.15)</f>
        <v>3.0432833877760469E-3</v>
      </c>
      <c r="BE91" s="3">
        <f>Assumptions!$B$2</f>
        <v>0.33054499999999998</v>
      </c>
      <c r="BF91" s="44">
        <f>BE91*AZ91*V91*1000</f>
        <v>10.738942218940828</v>
      </c>
      <c r="BG91">
        <f>1923.6+(-125.06*F91)+(4.3773*(F91^2))+(-0.085681*(F91^3))+(0.00070284*(F91^4))</f>
        <v>804.79166641766392</v>
      </c>
      <c r="BH91">
        <f>1909.4+(-120.78*F91)+(4.1555*(F91^2))+(-0.080578*(F91^3))+(0.00065777*(F91^4))</f>
        <v>819.53076726579195</v>
      </c>
      <c r="BI91">
        <f>2141.2+(-152.56*F91)+(5.8963*(F91^2))+(-0.12411*(F91^3))+(0.0010655*(F91^4))</f>
        <v>842.21684346879977</v>
      </c>
      <c r="BJ91" s="25">
        <f>VLOOKUP(E91,Wind!$C$2:$E$109,3, FALSE)</f>
        <v>1.1388888888888888</v>
      </c>
      <c r="BK91" s="44">
        <v>1.66</v>
      </c>
      <c r="BL91">
        <f>BK91/(1-(((1.3*10^-3)^0.5)/0.41)*LN(10/1.5))</f>
        <v>1.9923982880693825</v>
      </c>
      <c r="BM91">
        <f>BK91*1.22</f>
        <v>2.0251999999999999</v>
      </c>
      <c r="BN91">
        <f>2.07+0.215*(BM91^1.7)*(24/100)</f>
        <v>2.241255750541113</v>
      </c>
      <c r="BO91">
        <f>BN91*((600/BG91)^0.67)</f>
        <v>1.8409620218044414</v>
      </c>
      <c r="BP91">
        <f>BN91*((600/BH91)^0.67)</f>
        <v>1.8187124032042781</v>
      </c>
      <c r="BQ91">
        <f>BN91*((600/BI91)^0.67)</f>
        <v>1.7857420546244527</v>
      </c>
      <c r="BR91" s="39">
        <f>BO91*(AM91-BB91)</f>
        <v>32.228748131176019</v>
      </c>
      <c r="BS91" s="39">
        <f>BP91*(AD91-BD91)</f>
        <v>0.23531619015906935</v>
      </c>
      <c r="BT91" s="39">
        <f>BQ91*(AU91-BF91)</f>
        <v>-1.5783676751883522</v>
      </c>
      <c r="BU91">
        <f>(2.51+1.48*BM91)+(0.39*BM91*LOG10(0.0015))</f>
        <v>3.2768938069574309</v>
      </c>
      <c r="BV91">
        <f>BU91*((600/$BG91)^0.67)</f>
        <v>2.6916326022312838</v>
      </c>
      <c r="BW91">
        <f>BU91*((600/$BH91)^0.67)</f>
        <v>2.6591018937744568</v>
      </c>
      <c r="BX91">
        <f>BU91*((600/$BI91)^0.67)</f>
        <v>2.6108966271294642</v>
      </c>
      <c r="BY91" s="39">
        <f>BV91*($AM91-$BB91)</f>
        <v>47.120987924534624</v>
      </c>
      <c r="BZ91" s="39">
        <f>BW91*($AD91-$BD91)</f>
        <v>0.34405094823422144</v>
      </c>
      <c r="CA91" s="39">
        <f>BX91*($AU91-$BF91)</f>
        <v>-2.3076988240533387</v>
      </c>
      <c r="CB91" s="42">
        <f>AVERAGE(0.72,0.69,0.4,0.22)</f>
        <v>0.50750000000000006</v>
      </c>
      <c r="CC91">
        <f>CB91*((600/$BG91)^0.67)</f>
        <v>0.41685926554351777</v>
      </c>
      <c r="CD91">
        <f>CB91*((600/$BH91)^0.67)</f>
        <v>0.41182116070570235</v>
      </c>
      <c r="CE91">
        <f>CB91*((600/$BI91)^0.67)</f>
        <v>0.40435550137600668</v>
      </c>
      <c r="CF91" s="39">
        <f>CC91*($AM91-$BB91)</f>
        <v>7.2977346171327975</v>
      </c>
      <c r="CG91" s="39">
        <f>CD91*($AD91-$BD91)</f>
        <v>5.3283953193157485E-2</v>
      </c>
      <c r="CH91" s="39">
        <f>CE91*($AU91-$BF91)</f>
        <v>-0.35739856772913842</v>
      </c>
      <c r="CI91">
        <v>0.86263901889527161</v>
      </c>
      <c r="CJ91">
        <f>((BG91/BH91)^0.67)*CI91</f>
        <v>0.85221328010614317</v>
      </c>
      <c r="CK91">
        <f>((BH91/BH91)^0.67)*CI91</f>
        <v>0.86263901889527161</v>
      </c>
      <c r="CL91">
        <f>((BI91/BH91)^0.67)*CI91</f>
        <v>0.87856601634592912</v>
      </c>
      <c r="CM91" s="39">
        <f>CJ91*($AM91-$BB91)</f>
        <v>14.919247020459085</v>
      </c>
      <c r="CN91" s="39">
        <f>CK91*($AD91-$BD91)</f>
        <v>0.11161353881534647</v>
      </c>
      <c r="CO91" s="39">
        <f>CL91*($AU91-$BF91)</f>
        <v>-0.77654003674738092</v>
      </c>
      <c r="CP91" s="27">
        <f>VLOOKUP(A91,Water!$A$2:$E$109, 5, FALSE)/1000</f>
        <v>3.8000000000000002E-4</v>
      </c>
      <c r="CQ91">
        <f>0.64*CP91</f>
        <v>2.4320000000000003E-4</v>
      </c>
      <c r="CR91" s="19">
        <f>CQ91*1000*(2.5*10^-5)</f>
        <v>6.0800000000000011E-6</v>
      </c>
      <c r="CS91" s="18">
        <f>(-0.0000009*F91^3)+(0.0002*F91^2)-(0.0134*F91)+6.579</f>
        <v>6.4248246143999994</v>
      </c>
      <c r="CT91" s="18">
        <f>CS91-(SQRT(CP91))/(1+1.4*SQRT(CP91))</f>
        <v>6.4058488925927799</v>
      </c>
      <c r="CU91" s="18">
        <f>10^(-CT91)</f>
        <v>3.9278157513060718E-7</v>
      </c>
      <c r="CV91" s="18">
        <f>(0.000001*F91^3)+(0.00006*F91^2)-(0.014*F91)+10.625</f>
        <v>10.438827584</v>
      </c>
      <c r="CW91" s="18">
        <f>CV91-(2*SQRT(CR91))/(1+1.4*SQRT(CR91))</f>
        <v>10.433913018231728</v>
      </c>
      <c r="CX91" s="18">
        <f>10^(-CW91)</f>
        <v>3.6820271097332498E-11</v>
      </c>
      <c r="CY91">
        <f>EXP(1246.98+-61900/H91-183*LN(H91))</f>
        <v>1.3266451874867741E-2</v>
      </c>
      <c r="CZ91">
        <f>12.225*(F91^2)+15.258*F91+1125.7</f>
        <v>3880.3912</v>
      </c>
      <c r="DA91" s="15">
        <f>10^(-4470.99/H91+6.0875-0.01706*H91)</f>
        <v>4.2986445285893668E-15</v>
      </c>
      <c r="DB91">
        <f>(10^-I91)</f>
        <v>4.6773514128719724E-9</v>
      </c>
      <c r="DC91">
        <f>DB91^2</f>
        <v>2.1877616239495437E-17</v>
      </c>
      <c r="DD91" s="20">
        <f>((14.6836*10^-9)*((H91/217.2056)-1)^1.997)*100*100</f>
        <v>1.545320240502394E-5</v>
      </c>
      <c r="DE91">
        <f>CY91+CZ91*DA91/DB91</f>
        <v>1.6832662947818589E-2</v>
      </c>
      <c r="DF91">
        <f>1+DC91*(CU91*CX91+CU91*DB91)^-1</f>
        <v>1.0118152658428032</v>
      </c>
      <c r="DG91">
        <f>(DE91*DF91/DD91)^0.5</f>
        <v>33.198447975664216</v>
      </c>
      <c r="DH91">
        <f>DD91/(BO91/60/60)</f>
        <v>3.0218726947749994E-2</v>
      </c>
      <c r="DI91" s="16">
        <f>DF91/((DF91-1)+TANH(DG91*DH91)/(DG91*DH91))</f>
        <v>1.3101130813303659</v>
      </c>
      <c r="DJ91">
        <f>$DI91*BR91</f>
        <v>42.223304521555285</v>
      </c>
      <c r="DK91">
        <f>$DI91*BY91</f>
        <v>61.733822685143018</v>
      </c>
      <c r="DL91">
        <f>$DI91*CF91</f>
        <v>9.5608575859831273</v>
      </c>
      <c r="DM91">
        <f>$DI91*CM91</f>
        <v>19.545900685102531</v>
      </c>
    </row>
    <row r="92" spans="1:117" ht="15.75" x14ac:dyDescent="0.25">
      <c r="A92" s="52" t="s">
        <v>337</v>
      </c>
      <c r="B92" s="55" t="s">
        <v>341</v>
      </c>
      <c r="C92" t="s">
        <v>240</v>
      </c>
      <c r="D92" s="57">
        <v>43238</v>
      </c>
      <c r="E92" s="42" t="str">
        <f>A92&amp;D92</f>
        <v>14B43238</v>
      </c>
      <c r="F92" s="3">
        <f>VLOOKUP($E92,Water!$C$2:$E$90, 2, FALSE)</f>
        <v>14.4</v>
      </c>
      <c r="G92" s="3">
        <f>VLOOKUP($E92,Water!$C$2:$E$90, 3, FALSE)</f>
        <v>0.48</v>
      </c>
      <c r="H92" s="1">
        <f>F92+273.15</f>
        <v>287.54999999999995</v>
      </c>
      <c r="I92" s="3">
        <f>VLOOKUP($E92,Water!$C$2:$F$90, 4, FALSE)</f>
        <v>8.33</v>
      </c>
      <c r="J92">
        <f>10^(I92*-1)</f>
        <v>4.6773514128719724E-9</v>
      </c>
      <c r="K92" s="25">
        <f>VLOOKUP($E92,Atm!$D$2:$G$45, 2, FALSE)</f>
        <v>423.68768365459141</v>
      </c>
      <c r="L92" s="25">
        <f>VLOOKUP($E92,Atm!$D$2:$G$45, 3, FALSE)</f>
        <v>2.0357734290686782</v>
      </c>
      <c r="M92" s="25">
        <f>VLOOKUP($E92,Atm!$D$2:$G$45, 4, FALSE)</f>
        <v>0.32343071515373834</v>
      </c>
      <c r="N92" s="21">
        <f>VLOOKUP($C92,Raw!$B$2:$F$353, 3, FALSE)</f>
        <v>812.08711472318942</v>
      </c>
      <c r="O92" s="21">
        <f>VLOOKUP($C92,Raw!$B$2:$F$353, 4, FALSE)</f>
        <v>41.894345017971659</v>
      </c>
      <c r="P92" s="21">
        <f>VLOOKUP($C92,Raw!$B$2:$F$353, 5, FALSE)</f>
        <v>0.31029254306912024</v>
      </c>
      <c r="Q92" s="14">
        <v>60</v>
      </c>
      <c r="R92" s="25">
        <v>1140</v>
      </c>
      <c r="S92">
        <f>EXP(24.4543-(100/H92*(67.4509))-(4.8489*LN(H92/100))-(0.000544*G92))</f>
        <v>1.6169940932516381E-2</v>
      </c>
      <c r="T92" s="8">
        <f>EXP(-58.0931+90.5069*(100/H92)+22.294*LN(H92/100)+G92*(0.027766-0.025888*(H92/100)+0.0050578*(H92/100)^2)*G92)</f>
        <v>4.63508171011177E-2</v>
      </c>
      <c r="U92" s="9">
        <f>(EXP(-67.1962+99.1624*(100/H92)+27.9015*LN(H92/100)+G92*(-0.072909+0.041674*(H92/100)-0.0064603*(H92/100)^2)*G92))</f>
        <v>3.9081032964178648E-2</v>
      </c>
      <c r="V92" s="9">
        <f>(EXP(-64.8539+100.252*(100/H92)+25.2049*LN(H92/100)+(-0.062544+0.035337*(H92/100)-0.0054699*(H92/100)^2)*G92))</f>
        <v>3.4369893158477077E-2</v>
      </c>
      <c r="W92" s="9">
        <f>(EXP(-68.8862+101.4956*(100/H92)+28.7314*LN(H92/100)+G92*(-0.076146+0.04397*(H92/100)-0.0068672*(H92/100)^2)))</f>
        <v>3.8938607235890578E-2</v>
      </c>
      <c r="X92">
        <f>N92*(AZ92-S92)</f>
        <v>754.5046298717358</v>
      </c>
      <c r="Y92">
        <f>O92*(AZ92-S92)</f>
        <v>38.923751785272465</v>
      </c>
      <c r="Z92">
        <f>((Y92/10^6)*AZ92)/(0.082056*H92)</f>
        <v>1.5593503832761103E-6</v>
      </c>
      <c r="AA92">
        <f>(((L92/10^6)*AZ92)/(0.082056*H92))</f>
        <v>8.1556477247979234E-8</v>
      </c>
      <c r="AB92">
        <f>((Y92/10^6)*U92*1)/(0.082056*H92)</f>
        <v>6.4469902611294383E-8</v>
      </c>
      <c r="AC92">
        <f>(Z92*(Q92/1000))+(AB92*(R92/1000))</f>
        <v>1.6705671197344218E-7</v>
      </c>
      <c r="AD92" s="39">
        <f>((AC92-(AA92*(Q92/1000)))/(R92/1000))*1000000</f>
        <v>0.14224852924435388</v>
      </c>
      <c r="AE92" s="39">
        <f>(AD92/((U92*AZ92*1))*(0.0821*273.15))</f>
        <v>86.352194947556256</v>
      </c>
      <c r="AF92" s="39">
        <f>L92*U92*AZ92*1/(0.0821*273.15)</f>
        <v>3.3535427366452792E-3</v>
      </c>
      <c r="AG92" s="39">
        <f>AD92-AF92</f>
        <v>0.1388949865077086</v>
      </c>
      <c r="AH92" s="42">
        <f>P92*(AZ92-S92)</f>
        <v>0.28829069703947729</v>
      </c>
      <c r="AI92">
        <f>(((X92/10^6)*(Q92/1000))/(0.082056*H92))</f>
        <v>1.9186221104361162E-6</v>
      </c>
      <c r="AJ92">
        <f>(((K92/10^6)*AZ92)*(Q92/1000))/(0.082056*H92)</f>
        <v>1.0184180942384915E-6</v>
      </c>
      <c r="AK92">
        <f>(X92/10^6)*T92*(R92/1000)</f>
        <v>3.9867972955289716E-5</v>
      </c>
      <c r="AL92">
        <f>AI92+AK92</f>
        <v>4.178659506572583E-5</v>
      </c>
      <c r="AM92" s="39">
        <f>((AL92-AJ92)/(R92/1000))*1000000</f>
        <v>35.761558746918723</v>
      </c>
      <c r="AN92" s="39">
        <f>AM92/(T92*AZ92)</f>
        <v>816.2182749117726</v>
      </c>
      <c r="AO92" s="39">
        <f>(K92*AZ92)*T92</f>
        <v>18.563333430628447</v>
      </c>
      <c r="AP92" s="39">
        <f>AM92-AO92</f>
        <v>17.198225316290277</v>
      </c>
      <c r="AQ92">
        <f>(((AH92/10^6)*(Q92/1000))/(0.082056*H92))</f>
        <v>7.3309146647252533E-10</v>
      </c>
      <c r="AR92">
        <f>(((M92/10^6)*AZ92)*(Q92/1000))/(0.082056*H92)</f>
        <v>7.7743041691434602E-10</v>
      </c>
      <c r="AS92">
        <f>(AH92/10^6)*V92*(R92/1000)</f>
        <v>1.1295713319645877E-8</v>
      </c>
      <c r="AT92">
        <f>AQ92+AS92</f>
        <v>1.2028804786118403E-8</v>
      </c>
      <c r="AU92" s="39">
        <f>((AT92-AR92)/(R92/1000))*1000000000</f>
        <v>9.8696266396526831</v>
      </c>
      <c r="AV92" s="39">
        <f>(AU92/1000)/(V92*AZ92)</f>
        <v>0.30378743744891468</v>
      </c>
      <c r="AW92" s="39">
        <f>(M92*AZ92)*V92*1000</f>
        <v>10.507809108795188</v>
      </c>
      <c r="AX92" s="39">
        <f>AU92-AW92</f>
        <v>-0.63818246914250487</v>
      </c>
      <c r="AY92" s="26">
        <f>VLOOKUP($E92,Water!$C$2:$G$90, 5, FALSE)</f>
        <v>718.4</v>
      </c>
      <c r="AZ92">
        <f>AY92/760</f>
        <v>0.94526315789473681</v>
      </c>
      <c r="BA92" s="3">
        <f>Assumptions!$B$3</f>
        <v>406.07</v>
      </c>
      <c r="BB92" s="3">
        <f>BA92*AZ92*T92</f>
        <v>17.791437176447658</v>
      </c>
      <c r="BC92" s="3">
        <f>Assumptions!$B$4</f>
        <v>1.8474300000000001</v>
      </c>
      <c r="BD92" s="45">
        <f>BC92*AZ92*U92*1/(0.0821*273.15)</f>
        <v>3.0432833877760469E-3</v>
      </c>
      <c r="BE92" s="3">
        <f>Assumptions!$B$2</f>
        <v>0.33054499999999998</v>
      </c>
      <c r="BF92" s="44">
        <f>BE92*AZ92*V92*1000</f>
        <v>10.738942218940828</v>
      </c>
      <c r="BG92">
        <f>1923.6+(-125.06*F92)+(4.3773*(F92^2))+(-0.085681*(F92^3))+(0.00070284*(F92^4))</f>
        <v>804.79166641766392</v>
      </c>
      <c r="BH92">
        <f>1909.4+(-120.78*F92)+(4.1555*(F92^2))+(-0.080578*(F92^3))+(0.00065777*(F92^4))</f>
        <v>819.53076726579195</v>
      </c>
      <c r="BI92">
        <f>2141.2+(-152.56*F92)+(5.8963*(F92^2))+(-0.12411*(F92^3))+(0.0010655*(F92^4))</f>
        <v>842.21684346879977</v>
      </c>
      <c r="BJ92" s="25">
        <f>VLOOKUP(E92,Wind!$C$2:$E$109,3, FALSE)</f>
        <v>1.1388888888888888</v>
      </c>
      <c r="BK92" s="44">
        <v>1.66</v>
      </c>
      <c r="BL92">
        <f>BK92/(1-(((1.3*10^-3)^0.5)/0.41)*LN(10/1.5))</f>
        <v>1.9923982880693825</v>
      </c>
      <c r="BM92">
        <f>BK92*1.22</f>
        <v>2.0251999999999999</v>
      </c>
      <c r="BN92">
        <f>2.07+0.215*(BM92^1.7)*(24/100)</f>
        <v>2.241255750541113</v>
      </c>
      <c r="BO92">
        <f>BN92*((600/BG92)^0.67)</f>
        <v>1.8409620218044414</v>
      </c>
      <c r="BP92">
        <f>BN92*((600/BH92)^0.67)</f>
        <v>1.8187124032042781</v>
      </c>
      <c r="BQ92">
        <f>BN92*((600/BI92)^0.67)</f>
        <v>1.7857420546244527</v>
      </c>
      <c r="BR92" s="39">
        <f>BO92*(AM92-BB92)</f>
        <v>33.082311338446011</v>
      </c>
      <c r="BS92" s="39">
        <f>BP92*(AD92-BD92)</f>
        <v>0.25317430723045908</v>
      </c>
      <c r="BT92" s="39">
        <f>BQ92*(AU92-BF92)</f>
        <v>-1.5523733886750581</v>
      </c>
      <c r="BU92">
        <f>(2.51+1.48*BM92)+(0.39*BM92*LOG10(0.0015))</f>
        <v>3.2768938069574309</v>
      </c>
      <c r="BV92">
        <f>BU92*((600/$BG92)^0.67)</f>
        <v>2.6916326022312838</v>
      </c>
      <c r="BW92">
        <f>BU92*((600/$BH92)^0.67)</f>
        <v>2.6591018937744568</v>
      </c>
      <c r="BX92">
        <f>BU92*((600/$BI92)^0.67)</f>
        <v>2.6108966271294642</v>
      </c>
      <c r="BY92" s="39">
        <f>BV92*($AM92-$BB92)</f>
        <v>48.368965085139557</v>
      </c>
      <c r="BZ92" s="39">
        <f>BW92*($AD92-$BD92)</f>
        <v>0.37016093288056501</v>
      </c>
      <c r="CA92" s="39">
        <f>BX92*($AU92-$BF92)</f>
        <v>-2.2696931138745136</v>
      </c>
      <c r="CB92" s="42">
        <f>AVERAGE(0.72,0.69,0.4,0.22)</f>
        <v>0.50750000000000006</v>
      </c>
      <c r="CC92">
        <f>CB92*((600/$BG92)^0.67)</f>
        <v>0.41685926554351777</v>
      </c>
      <c r="CD92">
        <f>CB92*((600/$BH92)^0.67)</f>
        <v>0.41182116070570235</v>
      </c>
      <c r="CE92">
        <f>CB92*((600/$BI92)^0.67)</f>
        <v>0.40435550137600668</v>
      </c>
      <c r="CF92" s="39">
        <f>CC92*($AM92-$BB92)</f>
        <v>7.491011679594294</v>
      </c>
      <c r="CG92" s="39">
        <f>CD92*($AD92-$BD92)</f>
        <v>5.7327665924978552E-2</v>
      </c>
      <c r="CH92" s="39">
        <f>CE92*($AU92-$BF92)</f>
        <v>-0.35151253691703149</v>
      </c>
      <c r="CI92">
        <v>0.86263901889527161</v>
      </c>
      <c r="CJ92">
        <f>((BG92/BH92)^0.67)*CI92</f>
        <v>0.85221328010614317</v>
      </c>
      <c r="CK92">
        <f>((BH92/BH92)^0.67)*CI92</f>
        <v>0.86263901889527161</v>
      </c>
      <c r="CL92">
        <f>((BI92/BH92)^0.67)*CI92</f>
        <v>0.87856601634592912</v>
      </c>
      <c r="CM92" s="39">
        <f>CJ92*($AM92-$BB92)</f>
        <v>15.314376247477304</v>
      </c>
      <c r="CN92" s="39">
        <f>CK92*($AD92-$BD92)</f>
        <v>0.12008387671079339</v>
      </c>
      <c r="CO92" s="39">
        <f>CL92*($AU92-$BF92)</f>
        <v>-0.76375112544263912</v>
      </c>
      <c r="CP92" s="27">
        <f>VLOOKUP(A92,Water!$A$2:$E$109, 5, FALSE)/1000</f>
        <v>3.8000000000000002E-4</v>
      </c>
      <c r="CQ92">
        <f>0.64*CP92</f>
        <v>2.4320000000000003E-4</v>
      </c>
      <c r="CR92" s="19">
        <f>CQ92*1000*(2.5*10^-5)</f>
        <v>6.0800000000000011E-6</v>
      </c>
      <c r="CS92" s="18">
        <f>(-0.0000009*F92^3)+(0.0002*F92^2)-(0.0134*F92)+6.579</f>
        <v>6.4248246143999994</v>
      </c>
      <c r="CT92" s="18">
        <f>CS92-(SQRT(CP92))/(1+1.4*SQRT(CP92))</f>
        <v>6.4058488925927799</v>
      </c>
      <c r="CU92" s="18">
        <f>10^(-CT92)</f>
        <v>3.9278157513060718E-7</v>
      </c>
      <c r="CV92" s="18">
        <f>(0.000001*F92^3)+(0.00006*F92^2)-(0.014*F92)+10.625</f>
        <v>10.438827584</v>
      </c>
      <c r="CW92" s="18">
        <f>CV92-(2*SQRT(CR92))/(1+1.4*SQRT(CR92))</f>
        <v>10.433913018231728</v>
      </c>
      <c r="CX92" s="18">
        <f>10^(-CW92)</f>
        <v>3.6820271097332498E-11</v>
      </c>
      <c r="CY92">
        <f>EXP(1246.98+-61900/H92-183*LN(H92))</f>
        <v>1.3266451874867741E-2</v>
      </c>
      <c r="CZ92">
        <f>12.225*(F92^2)+15.258*F92+1125.7</f>
        <v>3880.3912</v>
      </c>
      <c r="DA92" s="15">
        <f>10^(-4470.99/H92+6.0875-0.01706*H92)</f>
        <v>4.2986445285893668E-15</v>
      </c>
      <c r="DB92">
        <f>(10^-I92)</f>
        <v>4.6773514128719724E-9</v>
      </c>
      <c r="DC92">
        <f>DB92^2</f>
        <v>2.1877616239495437E-17</v>
      </c>
      <c r="DD92" s="20">
        <f>((14.6836*10^-9)*((H92/217.2056)-1)^1.997)*100*100</f>
        <v>1.545320240502394E-5</v>
      </c>
      <c r="DE92">
        <f>CY92+CZ92*DA92/DB92</f>
        <v>1.6832662947818589E-2</v>
      </c>
      <c r="DF92">
        <f>1+DC92*(CU92*CX92+CU92*DB92)^-1</f>
        <v>1.0118152658428032</v>
      </c>
      <c r="DG92">
        <f>(DE92*DF92/DD92)^0.5</f>
        <v>33.198447975664216</v>
      </c>
      <c r="DH92">
        <f>DD92/(BO92/60/60)</f>
        <v>3.0218726947749994E-2</v>
      </c>
      <c r="DI92" s="16">
        <f>DF92/((DF92-1)+TANH(DG92*DH92)/(DG92*DH92))</f>
        <v>1.3101130813303659</v>
      </c>
      <c r="DJ92">
        <f>$DI92*BR92</f>
        <v>43.341568845142007</v>
      </c>
      <c r="DK92">
        <f>$DI92*BY92</f>
        <v>63.368813888453069</v>
      </c>
      <c r="DL92">
        <f>$DI92*CF92</f>
        <v>9.8140723938350405</v>
      </c>
      <c r="DM92">
        <f>$DI92*CM92</f>
        <v>20.063564654235055</v>
      </c>
    </row>
    <row r="93" spans="1:117" ht="15.75" x14ac:dyDescent="0.25">
      <c r="A93" s="52" t="s">
        <v>337</v>
      </c>
      <c r="B93" s="55" t="s">
        <v>342</v>
      </c>
      <c r="C93" t="s">
        <v>241</v>
      </c>
      <c r="D93" s="57">
        <v>43238</v>
      </c>
      <c r="E93" s="42" t="str">
        <f>A93&amp;D93</f>
        <v>14B43238</v>
      </c>
      <c r="F93" s="3">
        <f>VLOOKUP($E93,Water!$C$2:$E$90, 2, FALSE)</f>
        <v>14.4</v>
      </c>
      <c r="G93" s="3">
        <f>VLOOKUP($E93,Water!$C$2:$E$90, 3, FALSE)</f>
        <v>0.48</v>
      </c>
      <c r="H93" s="1">
        <f>F93+273.15</f>
        <v>287.54999999999995</v>
      </c>
      <c r="I93" s="3">
        <f>VLOOKUP($E93,Water!$C$2:$F$90, 4, FALSE)</f>
        <v>8.33</v>
      </c>
      <c r="J93">
        <f>10^(I93*-1)</f>
        <v>4.6773514128719724E-9</v>
      </c>
      <c r="K93" s="25">
        <f>VLOOKUP($E93,Atm!$D$2:$G$45, 2, FALSE)</f>
        <v>423.68768365459141</v>
      </c>
      <c r="L93" s="25">
        <f>VLOOKUP($E93,Atm!$D$2:$G$45, 3, FALSE)</f>
        <v>2.0357734290686782</v>
      </c>
      <c r="M93" s="25">
        <f>VLOOKUP($E93,Atm!$D$2:$G$45, 4, FALSE)</f>
        <v>0.32343071515373834</v>
      </c>
      <c r="N93" s="21">
        <f>VLOOKUP($C93,Raw!$B$2:$F$353, 3, FALSE)</f>
        <v>807.31398338805207</v>
      </c>
      <c r="O93" s="21">
        <f>VLOOKUP($C93,Raw!$B$2:$F$353, 4, FALSE)</f>
        <v>41.802514823795512</v>
      </c>
      <c r="P93" s="21">
        <f>VLOOKUP($C93,Raw!$B$2:$F$353, 5, FALSE)</f>
        <v>0.311950380887631</v>
      </c>
      <c r="Q93" s="14">
        <v>60</v>
      </c>
      <c r="R93" s="25">
        <v>1140</v>
      </c>
      <c r="S93">
        <f>EXP(24.4543-(100/H93*(67.4509))-(4.8489*LN(H93/100))-(0.000544*G93))</f>
        <v>1.6169940932516381E-2</v>
      </c>
      <c r="T93" s="8">
        <f>EXP(-58.0931+90.5069*(100/H93)+22.294*LN(H93/100)+G93*(0.027766-0.025888*(H93/100)+0.0050578*(H93/100)^2)*G93)</f>
        <v>4.63508171011177E-2</v>
      </c>
      <c r="U93" s="9">
        <f>(EXP(-67.1962+99.1624*(100/H93)+27.9015*LN(H93/100)+G93*(-0.072909+0.041674*(H93/100)-0.0064603*(H93/100)^2)*G93))</f>
        <v>3.9081032964178648E-2</v>
      </c>
      <c r="V93" s="9">
        <f>(EXP(-64.8539+100.252*(100/H93)+25.2049*LN(H93/100)+(-0.062544+0.035337*(H93/100)-0.0054699*(H93/100)^2)*G93))</f>
        <v>3.4369893158477077E-2</v>
      </c>
      <c r="W93" s="9">
        <f>(EXP(-68.8862+101.4956*(100/H93)+28.7314*LN(H93/100)+G93*(-0.076146+0.04397*(H93/100)-0.0068672*(H93/100)^2)))</f>
        <v>3.8938607235890578E-2</v>
      </c>
      <c r="X93">
        <f>N93*(AZ93-S93)</f>
        <v>750.06994592458989</v>
      </c>
      <c r="Y93">
        <f>O93*(AZ93-S93)</f>
        <v>38.838432974751079</v>
      </c>
      <c r="Z93">
        <f>((Y93/10^6)*AZ93)/(0.082056*H93)</f>
        <v>1.5559323694982728E-6</v>
      </c>
      <c r="AA93">
        <f>(((L93/10^6)*AZ93)/(0.082056*H93))</f>
        <v>8.1556477247979234E-8</v>
      </c>
      <c r="AB93">
        <f>((Y93/10^6)*U93*1)/(0.082056*H93)</f>
        <v>6.4328587985829477E-8</v>
      </c>
      <c r="AC93">
        <f>(Z93*(Q93/1000))+(AB93*(R93/1000))</f>
        <v>1.6669053247374197E-7</v>
      </c>
      <c r="AD93" s="39">
        <f>((AC93-(AA93*(Q93/1000)))/(R93/1000))*1000000</f>
        <v>0.14192731915689757</v>
      </c>
      <c r="AE93" s="39">
        <f>(AD93/((U93*AZ93*1))*(0.0821*273.15))</f>
        <v>86.157203855286326</v>
      </c>
      <c r="AF93" s="39">
        <f>L93*U93*AZ93*1/(0.0821*273.15)</f>
        <v>3.3535427366452792E-3</v>
      </c>
      <c r="AG93" s="39">
        <f>AD93-AF93</f>
        <v>0.13857377642025229</v>
      </c>
      <c r="AH93" s="42">
        <f>P93*(AZ93-S93)</f>
        <v>0.28983098291147907</v>
      </c>
      <c r="AI93">
        <f>(((X93/10^6)*(Q93/1000))/(0.082056*H93))</f>
        <v>1.9073451979601291E-6</v>
      </c>
      <c r="AJ93">
        <f>(((K93/10^6)*AZ93)*(Q93/1000))/(0.082056*H93)</f>
        <v>1.0184180942384915E-6</v>
      </c>
      <c r="AK93">
        <f>(X93/10^6)*T93*(R93/1000)</f>
        <v>3.9633644559319335E-5</v>
      </c>
      <c r="AL93">
        <f>AI93+AK93</f>
        <v>4.1540989757279463E-5</v>
      </c>
      <c r="AM93" s="39">
        <f>((AL93-AJ93)/(R93/1000))*1000000</f>
        <v>35.546115493895591</v>
      </c>
      <c r="AN93" s="39">
        <f>AM93/(T93*AZ93)</f>
        <v>811.30101944289368</v>
      </c>
      <c r="AO93" s="39">
        <f>(K93*AZ93)*T93</f>
        <v>18.563333430628447</v>
      </c>
      <c r="AP93" s="39">
        <f>AM93-AO93</f>
        <v>16.982782063267145</v>
      </c>
      <c r="AQ93">
        <f>(((AH93/10^6)*(Q93/1000))/(0.082056*H93))</f>
        <v>7.3700824367098655E-10</v>
      </c>
      <c r="AR93">
        <f>(((M93/10^6)*AZ93)*(Q93/1000))/(0.082056*H93)</f>
        <v>7.7743041691434602E-10</v>
      </c>
      <c r="AS93">
        <f>(AH93/10^6)*V93*(R93/1000)</f>
        <v>1.1356064305019681E-8</v>
      </c>
      <c r="AT93">
        <f>AQ93+AS93</f>
        <v>1.2093072548690668E-8</v>
      </c>
      <c r="AU93" s="39">
        <f>((AT93-AR93)/(R93/1000))*1000000000</f>
        <v>9.9260018699792312</v>
      </c>
      <c r="AV93" s="39">
        <f>(AU93/1000)/(V93*AZ93)</f>
        <v>0.30552266892035534</v>
      </c>
      <c r="AW93" s="39">
        <f>(M93*AZ93)*V93*1000</f>
        <v>10.507809108795188</v>
      </c>
      <c r="AX93" s="39">
        <f>AU93-AW93</f>
        <v>-0.58180723881595675</v>
      </c>
      <c r="AY93" s="26">
        <f>VLOOKUP($E93,Water!$C$2:$G$90, 5, FALSE)</f>
        <v>718.4</v>
      </c>
      <c r="AZ93">
        <f>AY93/760</f>
        <v>0.94526315789473681</v>
      </c>
      <c r="BA93" s="3">
        <f>Assumptions!$B$3</f>
        <v>406.07</v>
      </c>
      <c r="BB93" s="3">
        <f>BA93*AZ93*T93</f>
        <v>17.791437176447658</v>
      </c>
      <c r="BC93" s="3">
        <f>Assumptions!$B$4</f>
        <v>1.8474300000000001</v>
      </c>
      <c r="BD93" s="45">
        <f>BC93*AZ93*U93*1/(0.0821*273.15)</f>
        <v>3.0432833877760469E-3</v>
      </c>
      <c r="BE93" s="3">
        <f>Assumptions!$B$2</f>
        <v>0.33054499999999998</v>
      </c>
      <c r="BF93" s="44">
        <f>BE93*AZ93*V93*1000</f>
        <v>10.738942218940828</v>
      </c>
      <c r="BG93">
        <f>1923.6+(-125.06*F93)+(4.3773*(F93^2))+(-0.085681*(F93^3))+(0.00070284*(F93^4))</f>
        <v>804.79166641766392</v>
      </c>
      <c r="BH93">
        <f>1909.4+(-120.78*F93)+(4.1555*(F93^2))+(-0.080578*(F93^3))+(0.00065777*(F93^4))</f>
        <v>819.53076726579195</v>
      </c>
      <c r="BI93">
        <f>2141.2+(-152.56*F93)+(5.8963*(F93^2))+(-0.12411*(F93^3))+(0.0010655*(F93^4))</f>
        <v>842.21684346879977</v>
      </c>
      <c r="BJ93" s="25">
        <f>VLOOKUP(E93,Wind!$C$2:$E$109,3, FALSE)</f>
        <v>1.1388888888888888</v>
      </c>
      <c r="BK93" s="44">
        <v>1.66</v>
      </c>
      <c r="BL93">
        <f>BK93/(1-(((1.3*10^-3)^0.5)/0.41)*LN(10/1.5))</f>
        <v>1.9923982880693825</v>
      </c>
      <c r="BM93">
        <f>BK93*1.22</f>
        <v>2.0251999999999999</v>
      </c>
      <c r="BN93">
        <f>2.07+0.215*(BM93^1.7)*(24/100)</f>
        <v>2.241255750541113</v>
      </c>
      <c r="BO93">
        <f>BN93*((600/BG93)^0.67)</f>
        <v>1.8409620218044414</v>
      </c>
      <c r="BP93">
        <f>BN93*((600/BH93)^0.67)</f>
        <v>1.8187124032042781</v>
      </c>
      <c r="BQ93">
        <f>BN93*((600/BI93)^0.67)</f>
        <v>1.7857420546244527</v>
      </c>
      <c r="BR93" s="39">
        <f>BO93*(AM93-BB93)</f>
        <v>32.685688491776425</v>
      </c>
      <c r="BS93" s="39">
        <f>BP93*(AD93-BD93)</f>
        <v>0.25259011846036794</v>
      </c>
      <c r="BT93" s="39">
        <f>BQ93*(AU93-BF93)</f>
        <v>-1.4517017690418013</v>
      </c>
      <c r="BU93">
        <f>(2.51+1.48*BM93)+(0.39*BM93*LOG10(0.0015))</f>
        <v>3.2768938069574309</v>
      </c>
      <c r="BV93">
        <f>BU93*((600/$BG93)^0.67)</f>
        <v>2.6916326022312838</v>
      </c>
      <c r="BW93">
        <f>BU93*((600/$BH93)^0.67)</f>
        <v>2.6591018937744568</v>
      </c>
      <c r="BX93">
        <f>BU93*((600/$BI93)^0.67)</f>
        <v>2.6108966271294642</v>
      </c>
      <c r="BY93" s="39">
        <f>BV93*($AM93-$BB93)</f>
        <v>47.789071001371731</v>
      </c>
      <c r="BZ93" s="39">
        <f>BW93*($AD93-$BD93)</f>
        <v>0.36930680252871045</v>
      </c>
      <c r="CA93" s="39">
        <f>BX93*($AU93-$BF93)</f>
        <v>-2.1225032151612826</v>
      </c>
      <c r="CB93" s="42">
        <f>AVERAGE(0.72,0.69,0.4,0.22)</f>
        <v>0.50750000000000006</v>
      </c>
      <c r="CC93">
        <f>CB93*((600/$BG93)^0.67)</f>
        <v>0.41685926554351777</v>
      </c>
      <c r="CD93">
        <f>CB93*((600/$BH93)^0.67)</f>
        <v>0.41182116070570235</v>
      </c>
      <c r="CE93">
        <f>CB93*((600/$BI93)^0.67)</f>
        <v>0.40435550137600668</v>
      </c>
      <c r="CF93" s="39">
        <f>CC93*($AM93-$BB93)</f>
        <v>7.4012021633727647</v>
      </c>
      <c r="CG93" s="39">
        <f>CD93*($AD93-$BD93)</f>
        <v>5.719538481393191E-2</v>
      </c>
      <c r="CH93" s="39">
        <f>CE93*($AU93-$BF93)</f>
        <v>-0.32871690239315227</v>
      </c>
      <c r="CI93">
        <v>0.86263901889527161</v>
      </c>
      <c r="CJ93">
        <f>((BG93/BH93)^0.67)*CI93</f>
        <v>0.85221328010614317</v>
      </c>
      <c r="CK93">
        <f>((BH93/BH93)^0.67)*CI93</f>
        <v>0.86263901889527161</v>
      </c>
      <c r="CL93">
        <f>((BI93/BH93)^0.67)*CI93</f>
        <v>0.87856601634592912</v>
      </c>
      <c r="CM93" s="39">
        <f>CJ93*($AM93-$BB93)</f>
        <v>15.130772646141722</v>
      </c>
      <c r="CN93" s="39">
        <f>CK93*($AD93-$BD93)</f>
        <v>0.11980678835609081</v>
      </c>
      <c r="CO93" s="39">
        <f>CL93*($AU93-$BF93)</f>
        <v>-0.71422176391405956</v>
      </c>
      <c r="CP93" s="27">
        <f>VLOOKUP(A93,Water!$A$2:$E$109, 5, FALSE)/1000</f>
        <v>3.8000000000000002E-4</v>
      </c>
      <c r="CQ93">
        <f>0.64*CP93</f>
        <v>2.4320000000000003E-4</v>
      </c>
      <c r="CR93" s="19">
        <f>CQ93*1000*(2.5*10^-5)</f>
        <v>6.0800000000000011E-6</v>
      </c>
      <c r="CS93" s="18">
        <f>(-0.0000009*F93^3)+(0.0002*F93^2)-(0.0134*F93)+6.579</f>
        <v>6.4248246143999994</v>
      </c>
      <c r="CT93" s="18">
        <f>CS93-(SQRT(CP93))/(1+1.4*SQRT(CP93))</f>
        <v>6.4058488925927799</v>
      </c>
      <c r="CU93" s="18">
        <f>10^(-CT93)</f>
        <v>3.9278157513060718E-7</v>
      </c>
      <c r="CV93" s="18">
        <f>(0.000001*F93^3)+(0.00006*F93^2)-(0.014*F93)+10.625</f>
        <v>10.438827584</v>
      </c>
      <c r="CW93" s="18">
        <f>CV93-(2*SQRT(CR93))/(1+1.4*SQRT(CR93))</f>
        <v>10.433913018231728</v>
      </c>
      <c r="CX93" s="18">
        <f>10^(-CW93)</f>
        <v>3.6820271097332498E-11</v>
      </c>
      <c r="CY93">
        <f>EXP(1246.98+-61900/H93-183*LN(H93))</f>
        <v>1.3266451874867741E-2</v>
      </c>
      <c r="CZ93">
        <f>12.225*(F93^2)+15.258*F93+1125.7</f>
        <v>3880.3912</v>
      </c>
      <c r="DA93" s="15">
        <f>10^(-4470.99/H93+6.0875-0.01706*H93)</f>
        <v>4.2986445285893668E-15</v>
      </c>
      <c r="DB93">
        <f>(10^-I93)</f>
        <v>4.6773514128719724E-9</v>
      </c>
      <c r="DC93">
        <f>DB93^2</f>
        <v>2.1877616239495437E-17</v>
      </c>
      <c r="DD93" s="20">
        <f>((14.6836*10^-9)*((H93/217.2056)-1)^1.997)*100*100</f>
        <v>1.545320240502394E-5</v>
      </c>
      <c r="DE93">
        <f>CY93+CZ93*DA93/DB93</f>
        <v>1.6832662947818589E-2</v>
      </c>
      <c r="DF93">
        <f>1+DC93*(CU93*CX93+CU93*DB93)^-1</f>
        <v>1.0118152658428032</v>
      </c>
      <c r="DG93">
        <f>(DE93*DF93/DD93)^0.5</f>
        <v>33.198447975664216</v>
      </c>
      <c r="DH93">
        <f>DD93/(BO93/60/60)</f>
        <v>3.0218726947749994E-2</v>
      </c>
      <c r="DI93" s="16">
        <f>DF93/((DF93-1)+TANH(DG93*DH93)/(DG93*DH93))</f>
        <v>1.3101130813303659</v>
      </c>
      <c r="DJ93">
        <f>$DI93*BR93</f>
        <v>42.821948065365689</v>
      </c>
      <c r="DK93">
        <f>$DI93*BY93</f>
        <v>62.60908706352275</v>
      </c>
      <c r="DL93">
        <f>$DI93*CF93</f>
        <v>9.6964117718052627</v>
      </c>
      <c r="DM93">
        <f>$DI93*CM93</f>
        <v>19.823023174345945</v>
      </c>
    </row>
    <row r="94" spans="1:117" ht="15.75" x14ac:dyDescent="0.25">
      <c r="A94" s="52" t="s">
        <v>477</v>
      </c>
      <c r="B94" s="54" t="s">
        <v>339</v>
      </c>
      <c r="C94" s="48" t="s">
        <v>243</v>
      </c>
      <c r="D94" s="57">
        <v>43238</v>
      </c>
      <c r="E94" s="42" t="str">
        <f>A94&amp;D94</f>
        <v>68A43238</v>
      </c>
      <c r="F94" s="3">
        <f>VLOOKUP($E94,Water!$C$2:$E$90, 2, FALSE)</f>
        <v>10.6</v>
      </c>
      <c r="G94" s="3">
        <f>VLOOKUP($E94,Water!$C$2:$E$90, 3, FALSE)</f>
        <v>0.27</v>
      </c>
      <c r="H94" s="1">
        <f>F94+273.15</f>
        <v>283.75</v>
      </c>
      <c r="I94" s="3">
        <f>VLOOKUP($E94,Water!$C$2:$F$90, 4, FALSE)</f>
        <v>7.91</v>
      </c>
      <c r="J94">
        <f>10^(I94*-1)</f>
        <v>1.2302687708123783E-8</v>
      </c>
      <c r="K94" s="25">
        <v>439.52751160265137</v>
      </c>
      <c r="L94" s="25">
        <v>2.8430237635924795</v>
      </c>
      <c r="M94" s="25">
        <v>0.32236441181786135</v>
      </c>
      <c r="N94" s="21">
        <f>VLOOKUP($C94,Raw!$B$2:$F$353, 3, FALSE)</f>
        <v>1619.0340000000001</v>
      </c>
      <c r="O94" s="21">
        <f>VLOOKUP($C94,Raw!$B$2:$F$353, 4, FALSE)</f>
        <v>728.97500000000002</v>
      </c>
      <c r="P94" s="21">
        <f>VLOOKUP($C94,Raw!$B$2:$F$353, 5, FALSE)</f>
        <v>0.29399999999999998</v>
      </c>
      <c r="Q94" s="14">
        <v>60</v>
      </c>
      <c r="R94" s="25">
        <v>1140</v>
      </c>
      <c r="S94">
        <f>EXP(24.4543-(100/H94*(67.4509))-(4.8489*LN(H94/100))-(0.000544*G94))</f>
        <v>1.2599220126729222E-2</v>
      </c>
      <c r="T94" s="8">
        <f>EXP(-58.0931+90.5069*(100/H94)+22.294*LN(H94/100)+G94*(0.027766-0.025888*(H94/100)+0.0050578*(H94/100)^2)*G94)</f>
        <v>5.2558760733704538E-2</v>
      </c>
      <c r="U94" s="9">
        <f>(EXP(-67.1962+99.1624*(100/H94)+27.9015*LN(H94/100)+G94*(-0.072909+0.041674*(H94/100)-0.0064603*(H94/100)^2)*G94))</f>
        <v>4.2832487398226413E-2</v>
      </c>
      <c r="V94" s="9">
        <f>(EXP(-64.8539+100.252*(100/H94)+25.2049*LN(H94/100)+(-0.062544+0.035337*(H94/100)-0.0054699*(H94/100)^2)*G94))</f>
        <v>3.9253120588820245E-2</v>
      </c>
      <c r="W94" s="9">
        <f>(EXP(-68.8862+101.4956*(100/H94)+28.7314*LN(H94/100)+G94*(-0.076146+0.04397*(H94/100)-0.0068672*(H94/100)^2)))</f>
        <v>4.2681997997598704E-2</v>
      </c>
      <c r="X94">
        <f>N94*(AZ94-S94)</f>
        <v>1504.9018868729202</v>
      </c>
      <c r="Y94">
        <f>O94*(AZ94-S94)</f>
        <v>677.58666771864398</v>
      </c>
      <c r="Z94">
        <f>((Y94/10^6)*AZ94)/(0.082056*H94)</f>
        <v>2.7416882417180402E-5</v>
      </c>
      <c r="AA94">
        <f>(((L94/10^6)*AZ94)/(0.082056*H94))</f>
        <v>1.1503598277413389E-7</v>
      </c>
      <c r="AB94">
        <f>((Y94/10^6)*U94*1)/(0.082056*H94)</f>
        <v>1.2464990023473835E-6</v>
      </c>
      <c r="AC94">
        <f>(Z94*(Q94/1000))+(AB94*(R94/1000))</f>
        <v>3.0660218077068413E-6</v>
      </c>
      <c r="AD94" s="39">
        <f>((AC94-(AA94*(Q94/1000)))/(R94/1000))*1000000</f>
        <v>2.6834382883687664</v>
      </c>
      <c r="AE94" s="39">
        <f>(AD94/((U94*AZ94*1))*(0.0821*273.15))</f>
        <v>1491.293923728357</v>
      </c>
      <c r="AF94" s="39">
        <f>L94*U94*AZ94*1/(0.0821*273.15)</f>
        <v>5.1157445897003391E-3</v>
      </c>
      <c r="AG94" s="39">
        <f>AD94-AF94</f>
        <v>2.6783225437790659</v>
      </c>
      <c r="AH94" s="42">
        <f>P94*(AZ94-S94)</f>
        <v>0.27327477665116268</v>
      </c>
      <c r="AI94">
        <f>(((X94/10^6)*(Q94/1000))/(0.082056*H94))</f>
        <v>3.8780483946871656E-6</v>
      </c>
      <c r="AJ94">
        <f>(((K94/10^6)*AZ94)*(Q94/1000))/(0.082056*H94)</f>
        <v>1.0670641568522895E-6</v>
      </c>
      <c r="AK94">
        <f>(X94/10^6)*T94*(R94/1000)</f>
        <v>9.0169187147833916E-5</v>
      </c>
      <c r="AL94">
        <f>AI94+AK94</f>
        <v>9.4047235542521078E-5</v>
      </c>
      <c r="AM94" s="39">
        <f>((AL94-AJ94)/(R94/1000))*1000000</f>
        <v>81.561553847077903</v>
      </c>
      <c r="AN94" s="39">
        <f>AM94/(T94*AZ94)</f>
        <v>1647.1795598954423</v>
      </c>
      <c r="AO94" s="39">
        <f>(K94*AZ94)*T94</f>
        <v>21.763593768202998</v>
      </c>
      <c r="AP94" s="39">
        <f>AM94-AO94</f>
        <v>59.797960078874908</v>
      </c>
      <c r="AQ94">
        <f>(((AH94/10^6)*(Q94/1000))/(0.082056*H94))</f>
        <v>7.042138880579573E-10</v>
      </c>
      <c r="AR94">
        <f>(((M94/10^6)*AZ94)*(Q94/1000))/(0.082056*H94)</f>
        <v>7.82621110658902E-10</v>
      </c>
      <c r="AS94">
        <f>(AH94/10^6)*V94*(R94/1000)</f>
        <v>1.2228652048418949E-8</v>
      </c>
      <c r="AT94">
        <f>AQ94+AS94</f>
        <v>1.2932865936476906E-8</v>
      </c>
      <c r="AU94" s="39">
        <f>((AT94-AR94)/(R94/1000))*1000000000</f>
        <v>10.658109496331583</v>
      </c>
      <c r="AV94" s="39">
        <f>(AU94/1000)/(V94*AZ94)</f>
        <v>0.2882083500447421</v>
      </c>
      <c r="AW94" s="39">
        <f>(M94*AZ94)*V94*1000</f>
        <v>11.921220180962534</v>
      </c>
      <c r="AX94" s="39">
        <f>AU94-AW94</f>
        <v>-1.2631106846309503</v>
      </c>
      <c r="AY94" s="26">
        <f>VLOOKUP($E94,Water!$C$2:$G$90, 5, FALSE)</f>
        <v>716</v>
      </c>
      <c r="AZ94">
        <f>AY94/760</f>
        <v>0.94210526315789478</v>
      </c>
      <c r="BA94" s="3">
        <f>Assumptions!$B$3</f>
        <v>406.07</v>
      </c>
      <c r="BB94" s="3">
        <f>BA94*AZ94*T94</f>
        <v>20.106915467543352</v>
      </c>
      <c r="BC94" s="3">
        <f>Assumptions!$B$4</f>
        <v>1.8474300000000001</v>
      </c>
      <c r="BD94" s="45">
        <f>BC94*AZ94*U94*1/(0.0821*273.15)</f>
        <v>3.3242704997329064E-3</v>
      </c>
      <c r="BE94" s="3">
        <f>Assumptions!$B$2</f>
        <v>0.33054499999999998</v>
      </c>
      <c r="BF94" s="44">
        <f>BE94*AZ94*V94*1000</f>
        <v>12.223743007161337</v>
      </c>
      <c r="BG94">
        <f>1923.6+(-125.06*F94)+(4.3773*(F94^2))+(-0.085681*(F94^3))+(0.00070284*(F94^4))</f>
        <v>996.6231791696639</v>
      </c>
      <c r="BH94">
        <f>1909.4+(-120.78*F94)+(4.1555*(F94^2))+(-0.080578*(F94^3))+(0.00065777*(F94^4))</f>
        <v>1008.3784874517919</v>
      </c>
      <c r="BI94">
        <f>2141.2+(-152.56*F94)+(5.8963*(F94^2))+(-0.12411*(F94^3))+(0.0010655*(F94^4))</f>
        <v>1052.2069642487997</v>
      </c>
      <c r="BJ94" s="25">
        <f>VLOOKUP(E94,Wind!$C$2:$E$109,3, FALSE)</f>
        <v>1.9166666666666667</v>
      </c>
      <c r="BK94" s="44">
        <v>1.66</v>
      </c>
      <c r="BL94">
        <f>BK94/(1-(((1.3*10^-3)^0.5)/0.41)*LN(10/1.5))</f>
        <v>1.9923982880693825</v>
      </c>
      <c r="BM94">
        <f>BK94*1.22</f>
        <v>2.0251999999999999</v>
      </c>
      <c r="BN94">
        <f>2.07+0.215*(BM94^1.7)*(24/100)</f>
        <v>2.241255750541113</v>
      </c>
      <c r="BO94">
        <f>BN94*((600/BG94)^0.67)</f>
        <v>1.5952802758575177</v>
      </c>
      <c r="BP94">
        <f>BN94*((600/BH94)^0.67)</f>
        <v>1.5827960632791691</v>
      </c>
      <c r="BQ94">
        <f>BN94*((600/BI94)^0.67)</f>
        <v>1.5383139182115195</v>
      </c>
      <c r="BR94" s="39">
        <f>BO94*(AM94-BB94)</f>
        <v>98.037372466827875</v>
      </c>
      <c r="BS94" s="39">
        <f>BP94*(AD94-BD94)</f>
        <v>4.2420739166224228</v>
      </c>
      <c r="BT94" s="39">
        <f>BQ94*(AU94-BF94)</f>
        <v>-2.4084358205277758</v>
      </c>
      <c r="BU94">
        <f>(2.51+1.48*BM94)+(0.39*BM94*LOG10(0.0015))</f>
        <v>3.2768938069574309</v>
      </c>
      <c r="BV94">
        <f>BU94*((600/$BG94)^0.67)</f>
        <v>2.3324263886692695</v>
      </c>
      <c r="BW94">
        <f>BU94*((600/$BH94)^0.67)</f>
        <v>2.3141734789454</v>
      </c>
      <c r="BX94">
        <f>BU94*((600/$BI94)^0.67)</f>
        <v>2.2491370520864078</v>
      </c>
      <c r="BY94" s="39">
        <f>BV94*($AM94-$BB94)</f>
        <v>143.33842026255365</v>
      </c>
      <c r="BZ94" s="39">
        <f>BW94*($AD94-$BD94)</f>
        <v>6.2022487807023152</v>
      </c>
      <c r="CA94" s="39">
        <f>BX94*($AU94-$BF94)</f>
        <v>-3.5213243391953251</v>
      </c>
      <c r="CB94" s="42">
        <f>AVERAGE(0.72,0.69,0.4,0.22)</f>
        <v>0.50750000000000006</v>
      </c>
      <c r="CC94">
        <f>CB94*((600/$BG94)^0.67)</f>
        <v>0.36122818192534478</v>
      </c>
      <c r="CD94">
        <f>CB94*((600/$BH94)^0.67)</f>
        <v>0.35840131226444943</v>
      </c>
      <c r="CE94">
        <f>CB94*((600/$BI94)^0.67)</f>
        <v>0.3483289728554454</v>
      </c>
      <c r="CF94" s="39">
        <f>CC94*($AM94-$BB94)</f>
        <v>22.199147292718781</v>
      </c>
      <c r="CG94" s="39">
        <f>CD94*($AD94-$BD94)</f>
        <v>0.96055638102260765</v>
      </c>
      <c r="CH94" s="39">
        <f>CE94*($AU94-$BF94)</f>
        <v>-0.54535551269539295</v>
      </c>
      <c r="CI94">
        <v>0.86263901889527161</v>
      </c>
      <c r="CJ94">
        <f>((BG94/BH94)^0.67)*CI94</f>
        <v>0.85588824973373501</v>
      </c>
      <c r="CK94">
        <f>((BH94/BH94)^0.67)*CI94</f>
        <v>0.86263901889527161</v>
      </c>
      <c r="CL94">
        <f>((BI94/BH94)^0.67)*CI94</f>
        <v>0.88758323445832565</v>
      </c>
      <c r="CM94" s="39">
        <f>CJ94*($AM94-$BB94)</f>
        <v>52.598302880679441</v>
      </c>
      <c r="CN94" s="39">
        <f>CK94*($AD94-$BD94)</f>
        <v>2.3119709269020077</v>
      </c>
      <c r="CO94" s="39">
        <f>CL94*($AU94-$BF94)</f>
        <v>-1.3896300555186167</v>
      </c>
      <c r="CP94" s="27">
        <f>VLOOKUP(A94,Water!$A$2:$E$109, 5, FALSE)/1000</f>
        <v>2.9E-4</v>
      </c>
      <c r="CQ94">
        <f>0.64*CP94</f>
        <v>1.8560000000000001E-4</v>
      </c>
      <c r="CR94" s="19">
        <f>CQ94*1000*(2.5*10^-5)</f>
        <v>4.6400000000000005E-6</v>
      </c>
      <c r="CS94" s="18">
        <f>(-0.0000009*F94^3)+(0.0002*F94^2)-(0.0134*F94)+6.579</f>
        <v>6.4583600855999999</v>
      </c>
      <c r="CT94" s="18">
        <f>CS94-(SQRT(CP94))/(1+1.4*SQRT(CP94))</f>
        <v>6.4417272451275487</v>
      </c>
      <c r="CU94" s="18">
        <f>10^(-CT94)</f>
        <v>3.6163691425222018E-7</v>
      </c>
      <c r="CV94" s="18">
        <f>(0.000001*F94^3)+(0.00006*F94^2)-(0.014*F94)+10.625</f>
        <v>10.484532615999999</v>
      </c>
      <c r="CW94" s="18">
        <f>CV94-(2*SQRT(CR94))/(1+1.4*SQRT(CR94))</f>
        <v>10.480237437092217</v>
      </c>
      <c r="CX94" s="18">
        <f>10^(-CW94)</f>
        <v>3.3095013524969398E-11</v>
      </c>
      <c r="CY94">
        <f>EXP(1246.98+-61900/H94-183*LN(H94))</f>
        <v>8.4727273134721434E-3</v>
      </c>
      <c r="CZ94">
        <f>12.225*(F94^2)+15.258*F94+1125.7</f>
        <v>2661.0357999999997</v>
      </c>
      <c r="DA94" s="15">
        <f>10^(-4470.99/H94+6.0875-0.01706*H94)</f>
        <v>3.0898119497132475E-15</v>
      </c>
      <c r="DB94">
        <f>(10^-I94)</f>
        <v>1.2302687708123783E-8</v>
      </c>
      <c r="DC94">
        <f>DB94^2</f>
        <v>1.5135612484362003E-16</v>
      </c>
      <c r="DD94" s="20">
        <f>((14.6836*10^-9)*((H94/217.2056)-1)^1.997)*100*100</f>
        <v>1.3831039283741109E-5</v>
      </c>
      <c r="DE94">
        <f>CY94+CZ94*DA94/DB94</f>
        <v>9.1410447095176834E-3</v>
      </c>
      <c r="DF94">
        <f>1+DC94*(CU94*CX94+CU94*DB94)^-1</f>
        <v>1.0339281776829012</v>
      </c>
      <c r="DG94">
        <f>(DE94*DF94/DD94)^0.5</f>
        <v>26.140608617640435</v>
      </c>
      <c r="DH94">
        <f>DD94/(BO94/60/60)</f>
        <v>3.1211908136144436E-2</v>
      </c>
      <c r="DI94" s="16">
        <f>DF94/((DF94-1)+TANH(DG94*DH94)/(DG94*DH94))</f>
        <v>1.2042318232561697</v>
      </c>
      <c r="DJ94">
        <f>$DI94*BR94</f>
        <v>118.05972379297235</v>
      </c>
      <c r="DK94">
        <f>$DI94*BY94</f>
        <v>172.6126871754341</v>
      </c>
      <c r="DL94">
        <f>$DI94*CF94</f>
        <v>26.732919619043003</v>
      </c>
      <c r="DM94">
        <f>$DI94*CM94</f>
        <v>63.340550178180848</v>
      </c>
    </row>
    <row r="95" spans="1:117" ht="15.75" x14ac:dyDescent="0.25">
      <c r="A95" s="52" t="s">
        <v>477</v>
      </c>
      <c r="B95" s="55" t="s">
        <v>340</v>
      </c>
      <c r="C95" t="s">
        <v>244</v>
      </c>
      <c r="D95" s="57">
        <v>43238</v>
      </c>
      <c r="E95" s="42" t="str">
        <f>A95&amp;D95</f>
        <v>68A43238</v>
      </c>
      <c r="F95" s="3">
        <f>VLOOKUP($E95,Water!$C$2:$E$90, 2, FALSE)</f>
        <v>10.6</v>
      </c>
      <c r="G95" s="3">
        <f>VLOOKUP($E95,Water!$C$2:$E$90, 3, FALSE)</f>
        <v>0.27</v>
      </c>
      <c r="H95" s="1">
        <f>F95+273.15</f>
        <v>283.75</v>
      </c>
      <c r="I95" s="3">
        <f>VLOOKUP($E95,Water!$C$2:$F$90, 4, FALSE)</f>
        <v>7.91</v>
      </c>
      <c r="J95">
        <f>10^(I95*-1)</f>
        <v>1.2302687708123783E-8</v>
      </c>
      <c r="K95" s="25">
        <v>439.52751160265137</v>
      </c>
      <c r="L95" s="25">
        <v>2.8430237635924795</v>
      </c>
      <c r="M95" s="25">
        <v>0.32236441181786135</v>
      </c>
      <c r="N95" s="21">
        <f>VLOOKUP($C95,Raw!$B$2:$F$353, 3, FALSE)</f>
        <v>1666.2853413590069</v>
      </c>
      <c r="O95" s="21">
        <f>VLOOKUP($C95,Raw!$B$2:$F$353, 4, FALSE)</f>
        <v>713.82400747548343</v>
      </c>
      <c r="P95" s="21">
        <f>VLOOKUP($C95,Raw!$B$2:$F$353, 5, FALSE)</f>
        <v>0.31905738280477319</v>
      </c>
      <c r="Q95" s="14">
        <v>60</v>
      </c>
      <c r="R95" s="25">
        <v>1140</v>
      </c>
      <c r="S95">
        <f>EXP(24.4543-(100/H95*(67.4509))-(4.8489*LN(H95/100))-(0.000544*G95))</f>
        <v>1.2599220126729222E-2</v>
      </c>
      <c r="T95" s="8">
        <f>EXP(-58.0931+90.5069*(100/H95)+22.294*LN(H95/100)+G95*(0.027766-0.025888*(H95/100)+0.0050578*(H95/100)^2)*G95)</f>
        <v>5.2558760733704538E-2</v>
      </c>
      <c r="U95" s="9">
        <f>(EXP(-67.1962+99.1624*(100/H95)+27.9015*LN(H95/100)+G95*(-0.072909+0.041674*(H95/100)-0.0064603*(H95/100)^2)*G95))</f>
        <v>4.2832487398226413E-2</v>
      </c>
      <c r="V95" s="9">
        <f>(EXP(-64.8539+100.252*(100/H95)+25.2049*LN(H95/100)+(-0.062544+0.035337*(H95/100)-0.0054699*(H95/100)^2)*G95))</f>
        <v>3.9253120588820245E-2</v>
      </c>
      <c r="W95" s="9">
        <f>(EXP(-68.8862+101.4956*(100/H95)+28.7314*LN(H95/100)+G95*(-0.076146+0.04397*(H95/100)-0.0068672*(H95/100)^2)))</f>
        <v>4.2681997997598704E-2</v>
      </c>
      <c r="X95">
        <f>N95*(AZ95-S95)</f>
        <v>1548.8222942074456</v>
      </c>
      <c r="Y95">
        <f>O95*(AZ95-S95)</f>
        <v>663.50372860918571</v>
      </c>
      <c r="Z95">
        <f>((Y95/10^6)*AZ95)/(0.082056*H95)</f>
        <v>2.6847050830983E-5</v>
      </c>
      <c r="AA95">
        <f>(((L95/10^6)*AZ95)/(0.082056*H95))</f>
        <v>1.1503598277413389E-7</v>
      </c>
      <c r="AB95">
        <f>((Y95/10^6)*U95*1)/(0.082056*H95)</f>
        <v>1.2205918079080918E-6</v>
      </c>
      <c r="AC95">
        <f>(Z95*(Q95/1000))+(AB95*(R95/1000))</f>
        <v>3.0022977108742045E-6</v>
      </c>
      <c r="AD95" s="39">
        <f>((AC95-(AA95*(Q95/1000)))/(R95/1000))*1000000</f>
        <v>2.6275399578138221</v>
      </c>
      <c r="AE95" s="39">
        <f>(AD95/((U95*AZ95*1))*(0.0821*273.15))</f>
        <v>1460.2289869774461</v>
      </c>
      <c r="AF95" s="39">
        <f>L95*U95*AZ95*1/(0.0821*273.15)</f>
        <v>5.1157445897003391E-3</v>
      </c>
      <c r="AG95" s="39">
        <f>AD95-AF95</f>
        <v>2.6224242132241216</v>
      </c>
      <c r="AH95" s="42">
        <f>P95*(AZ95-S95)</f>
        <v>0.29656576539074458</v>
      </c>
      <c r="AI95">
        <f>(((X95/10^6)*(Q95/1000))/(0.082056*H95))</f>
        <v>3.9912288396340365E-6</v>
      </c>
      <c r="AJ95">
        <f>(((K95/10^6)*AZ95)*(Q95/1000))/(0.082056*H95)</f>
        <v>1.0670641568522895E-6</v>
      </c>
      <c r="AK95">
        <f>(X95/10^6)*T95*(R95/1000)</f>
        <v>9.2800765633515157E-5</v>
      </c>
      <c r="AL95">
        <f>AI95+AK95</f>
        <v>9.679199447314919E-5</v>
      </c>
      <c r="AM95" s="39">
        <f>((AL95-AJ95)/(R95/1000))*1000000</f>
        <v>83.969237119558699</v>
      </c>
      <c r="AN95" s="39">
        <f>AM95/(T95*AZ95)</f>
        <v>1695.8040218639856</v>
      </c>
      <c r="AO95" s="39">
        <f>(K95*AZ95)*T95</f>
        <v>21.763593768202998</v>
      </c>
      <c r="AP95" s="39">
        <f>AM95-AO95</f>
        <v>62.205643351355704</v>
      </c>
      <c r="AQ95">
        <f>(((AH95/10^6)*(Q95/1000))/(0.082056*H95))</f>
        <v>7.6423346958688884E-10</v>
      </c>
      <c r="AR95">
        <f>(((M95/10^6)*AZ95)*(Q95/1000))/(0.082056*H95)</f>
        <v>7.82621110658902E-10</v>
      </c>
      <c r="AS95">
        <f>(AH95/10^6)*V95*(R95/1000)</f>
        <v>1.3270890196594482E-8</v>
      </c>
      <c r="AT95">
        <f>AQ95+AS95</f>
        <v>1.4035123666181372E-8</v>
      </c>
      <c r="AU95" s="39">
        <f>((AT95-AR95)/(R95/1000))*1000000000</f>
        <v>11.625002241686378</v>
      </c>
      <c r="AV95" s="39">
        <f>(AU95/1000)/(V95*AZ95)</f>
        <v>0.31435431550933507</v>
      </c>
      <c r="AW95" s="39">
        <f>(M95*AZ95)*V95*1000</f>
        <v>11.921220180962534</v>
      </c>
      <c r="AX95" s="39">
        <f>AU95-AW95</f>
        <v>-0.29621793927615592</v>
      </c>
      <c r="AY95" s="26">
        <f>VLOOKUP($E95,Water!$C$2:$G$90, 5, FALSE)</f>
        <v>716</v>
      </c>
      <c r="AZ95">
        <f>AY95/760</f>
        <v>0.94210526315789478</v>
      </c>
      <c r="BA95" s="3">
        <f>Assumptions!$B$3</f>
        <v>406.07</v>
      </c>
      <c r="BB95" s="3">
        <f>BA95*AZ95*T95</f>
        <v>20.106915467543352</v>
      </c>
      <c r="BC95" s="3">
        <f>Assumptions!$B$4</f>
        <v>1.8474300000000001</v>
      </c>
      <c r="BD95" s="45">
        <f>BC95*AZ95*U95*1/(0.0821*273.15)</f>
        <v>3.3242704997329064E-3</v>
      </c>
      <c r="BE95" s="3">
        <f>Assumptions!$B$2</f>
        <v>0.33054499999999998</v>
      </c>
      <c r="BF95" s="44">
        <f>BE95*AZ95*V95*1000</f>
        <v>12.223743007161337</v>
      </c>
      <c r="BG95">
        <f>1923.6+(-125.06*F95)+(4.3773*(F95^2))+(-0.085681*(F95^3))+(0.00070284*(F95^4))</f>
        <v>996.6231791696639</v>
      </c>
      <c r="BH95">
        <f>1909.4+(-120.78*F95)+(4.1555*(F95^2))+(-0.080578*(F95^3))+(0.00065777*(F95^4))</f>
        <v>1008.3784874517919</v>
      </c>
      <c r="BI95">
        <f>2141.2+(-152.56*F95)+(5.8963*(F95^2))+(-0.12411*(F95^3))+(0.0010655*(F95^4))</f>
        <v>1052.2069642487997</v>
      </c>
      <c r="BJ95" s="25">
        <f>VLOOKUP(E95,Wind!$C$2:$E$109,3, FALSE)</f>
        <v>1.9166666666666667</v>
      </c>
      <c r="BK95" s="44">
        <v>1.66</v>
      </c>
      <c r="BL95">
        <f>BK95/(1-(((1.3*10^-3)^0.5)/0.41)*LN(10/1.5))</f>
        <v>1.9923982880693825</v>
      </c>
      <c r="BM95">
        <f>BK95*1.22</f>
        <v>2.0251999999999999</v>
      </c>
      <c r="BN95">
        <f>2.07+0.215*(BM95^1.7)*(24/100)</f>
        <v>2.241255750541113</v>
      </c>
      <c r="BO95">
        <f>BN95*((600/BG95)^0.67)</f>
        <v>1.5952802758575177</v>
      </c>
      <c r="BP95">
        <f>BN95*((600/BH95)^0.67)</f>
        <v>1.5827960632791691</v>
      </c>
      <c r="BQ95">
        <f>BN95*((600/BI95)^0.67)</f>
        <v>1.5383139182115195</v>
      </c>
      <c r="BR95" s="39">
        <f>BO95*(AM95-BB95)</f>
        <v>101.87830210192857</v>
      </c>
      <c r="BS95" s="39">
        <f>BP95*(AD95-BD95)</f>
        <v>4.1535982590761797</v>
      </c>
      <c r="BT95" s="39">
        <f>BQ95*(AU95-BF95)</f>
        <v>-0.92105125293074908</v>
      </c>
      <c r="BU95">
        <f>(2.51+1.48*BM95)+(0.39*BM95*LOG10(0.0015))</f>
        <v>3.2768938069574309</v>
      </c>
      <c r="BV95">
        <f>BU95*((600/$BG95)^0.67)</f>
        <v>2.3324263886692695</v>
      </c>
      <c r="BW95">
        <f>BU95*((600/$BH95)^0.67)</f>
        <v>2.3141734789454</v>
      </c>
      <c r="BX95">
        <f>BU95*((600/$BI95)^0.67)</f>
        <v>2.2491370520864078</v>
      </c>
      <c r="BY95" s="39">
        <f>BV95*($AM95-$BB95)</f>
        <v>148.95416426284547</v>
      </c>
      <c r="BZ95" s="39">
        <f>BW95*($AD95-$BD95)</f>
        <v>6.0728903466147397</v>
      </c>
      <c r="CA95" s="39">
        <f>BX95*($AU95-$BF95)</f>
        <v>-1.3466500402243091</v>
      </c>
      <c r="CB95" s="42">
        <f>AVERAGE(0.72,0.69,0.4,0.22)</f>
        <v>0.50750000000000006</v>
      </c>
      <c r="CC95">
        <f>CB95*((600/$BG95)^0.67)</f>
        <v>0.36122818192534478</v>
      </c>
      <c r="CD95">
        <f>CB95*((600/$BH95)^0.67)</f>
        <v>0.35840131226444943</v>
      </c>
      <c r="CE95">
        <f>CB95*((600/$BI95)^0.67)</f>
        <v>0.3483289728554454</v>
      </c>
      <c r="CF95" s="39">
        <f>CC95*($AM95-$BB95)</f>
        <v>23.068870343889085</v>
      </c>
      <c r="CG95" s="39">
        <f>CD95*($AD95-$BD95)</f>
        <v>0.94052234599832363</v>
      </c>
      <c r="CH95" s="39">
        <f>CE95*($AU95-$BF95)</f>
        <v>-0.20855875584457567</v>
      </c>
      <c r="CI95">
        <v>0.86263901889527161</v>
      </c>
      <c r="CJ95">
        <f>((BG95/BH95)^0.67)*CI95</f>
        <v>0.85588824973373501</v>
      </c>
      <c r="CK95">
        <f>((BH95/BH95)^0.67)*CI95</f>
        <v>0.86263901889527161</v>
      </c>
      <c r="CL95">
        <f>((BI95/BH95)^0.67)*CI95</f>
        <v>0.88758323445832565</v>
      </c>
      <c r="CM95" s="39">
        <f>CJ95*($AM95-$BB95)</f>
        <v>54.65901070267622</v>
      </c>
      <c r="CN95" s="39">
        <f>CK95*($AD95-$BD95)</f>
        <v>2.2637508458742066</v>
      </c>
      <c r="CO95" s="39">
        <f>CL95*($AU95-$BF95)</f>
        <v>-0.53143226522231812</v>
      </c>
      <c r="CP95" s="27">
        <f>VLOOKUP(A95,Water!$A$2:$E$109, 5, FALSE)/1000</f>
        <v>2.9E-4</v>
      </c>
      <c r="CQ95">
        <f>0.64*CP95</f>
        <v>1.8560000000000001E-4</v>
      </c>
      <c r="CR95" s="19">
        <f>CQ95*1000*(2.5*10^-5)</f>
        <v>4.6400000000000005E-6</v>
      </c>
      <c r="CS95" s="18">
        <f>(-0.0000009*F95^3)+(0.0002*F95^2)-(0.0134*F95)+6.579</f>
        <v>6.4583600855999999</v>
      </c>
      <c r="CT95" s="18">
        <f>CS95-(SQRT(CP95))/(1+1.4*SQRT(CP95))</f>
        <v>6.4417272451275487</v>
      </c>
      <c r="CU95" s="18">
        <f>10^(-CT95)</f>
        <v>3.6163691425222018E-7</v>
      </c>
      <c r="CV95" s="18">
        <f>(0.000001*F95^3)+(0.00006*F95^2)-(0.014*F95)+10.625</f>
        <v>10.484532615999999</v>
      </c>
      <c r="CW95" s="18">
        <f>CV95-(2*SQRT(CR95))/(1+1.4*SQRT(CR95))</f>
        <v>10.480237437092217</v>
      </c>
      <c r="CX95" s="18">
        <f>10^(-CW95)</f>
        <v>3.3095013524969398E-11</v>
      </c>
      <c r="CY95">
        <f>EXP(1246.98+-61900/H95-183*LN(H95))</f>
        <v>8.4727273134721434E-3</v>
      </c>
      <c r="CZ95">
        <f>12.225*(F95^2)+15.258*F95+1125.7</f>
        <v>2661.0357999999997</v>
      </c>
      <c r="DA95" s="15">
        <f>10^(-4470.99/H95+6.0875-0.01706*H95)</f>
        <v>3.0898119497132475E-15</v>
      </c>
      <c r="DB95">
        <f>(10^-I95)</f>
        <v>1.2302687708123783E-8</v>
      </c>
      <c r="DC95">
        <f>DB95^2</f>
        <v>1.5135612484362003E-16</v>
      </c>
      <c r="DD95" s="20">
        <f>((14.6836*10^-9)*((H95/217.2056)-1)^1.997)*100*100</f>
        <v>1.3831039283741109E-5</v>
      </c>
      <c r="DE95">
        <f>CY95+CZ95*DA95/DB95</f>
        <v>9.1410447095176834E-3</v>
      </c>
      <c r="DF95">
        <f>1+DC95*(CU95*CX95+CU95*DB95)^-1</f>
        <v>1.0339281776829012</v>
      </c>
      <c r="DG95">
        <f>(DE95*DF95/DD95)^0.5</f>
        <v>26.140608617640435</v>
      </c>
      <c r="DH95">
        <f>DD95/(BO95/60/60)</f>
        <v>3.1211908136144436E-2</v>
      </c>
      <c r="DI95" s="16">
        <f>DF95/((DF95-1)+TANH(DG95*DH95)/(DG95*DH95))</f>
        <v>1.2042318232561697</v>
      </c>
      <c r="DJ95">
        <f>$DI95*BR95</f>
        <v>122.68509349044831</v>
      </c>
      <c r="DK95">
        <f>$DI95*BY95</f>
        <v>179.37534481184539</v>
      </c>
      <c r="DL95">
        <f>$DI95*CF95</f>
        <v>27.780267794681734</v>
      </c>
      <c r="DM95">
        <f>$DI95*CM95</f>
        <v>65.822120115862276</v>
      </c>
    </row>
    <row r="96" spans="1:117" ht="15.75" x14ac:dyDescent="0.25">
      <c r="A96" s="52" t="s">
        <v>477</v>
      </c>
      <c r="B96" s="55" t="s">
        <v>341</v>
      </c>
      <c r="C96" t="s">
        <v>245</v>
      </c>
      <c r="D96" s="57">
        <v>43238</v>
      </c>
      <c r="E96" s="42" t="str">
        <f>A96&amp;D96</f>
        <v>68A43238</v>
      </c>
      <c r="F96" s="3">
        <f>VLOOKUP($E96,Water!$C$2:$E$90, 2, FALSE)</f>
        <v>10.6</v>
      </c>
      <c r="G96" s="3">
        <f>VLOOKUP($E96,Water!$C$2:$E$90, 3, FALSE)</f>
        <v>0.27</v>
      </c>
      <c r="H96" s="1">
        <f>F96+273.15</f>
        <v>283.75</v>
      </c>
      <c r="I96" s="3">
        <f>VLOOKUP($E96,Water!$C$2:$F$90, 4, FALSE)</f>
        <v>7.91</v>
      </c>
      <c r="J96">
        <f>10^(I96*-1)</f>
        <v>1.2302687708123783E-8</v>
      </c>
      <c r="K96" s="25">
        <v>439.52751160265137</v>
      </c>
      <c r="L96" s="25">
        <v>2.8430237635924795</v>
      </c>
      <c r="M96" s="25">
        <v>0.32236441181786135</v>
      </c>
      <c r="N96" s="21">
        <f>VLOOKUP($C96,Raw!$B$2:$F$353, 3, FALSE)</f>
        <v>1706.2464627381689</v>
      </c>
      <c r="O96" s="21">
        <f>VLOOKUP($C96,Raw!$B$2:$F$353, 4, FALSE)</f>
        <v>709.50661709801261</v>
      </c>
      <c r="P96" s="21">
        <f>VLOOKUP($C96,Raw!$B$2:$F$353, 5, FALSE)</f>
        <v>0.32759286376376984</v>
      </c>
      <c r="Q96" s="14">
        <v>60</v>
      </c>
      <c r="R96" s="25">
        <v>1140</v>
      </c>
      <c r="S96">
        <f>EXP(24.4543-(100/H96*(67.4509))-(4.8489*LN(H96/100))-(0.000544*G96))</f>
        <v>1.2599220126729222E-2</v>
      </c>
      <c r="T96" s="8">
        <f>EXP(-58.0931+90.5069*(100/H96)+22.294*LN(H96/100)+G96*(0.027766-0.025888*(H96/100)+0.0050578*(H96/100)^2)*G96)</f>
        <v>5.2558760733704538E-2</v>
      </c>
      <c r="U96" s="9">
        <f>(EXP(-67.1962+99.1624*(100/H96)+27.9015*LN(H96/100)+G96*(-0.072909+0.041674*(H96/100)-0.0064603*(H96/100)^2)*G96))</f>
        <v>4.2832487398226413E-2</v>
      </c>
      <c r="V96" s="9">
        <f>(EXP(-64.8539+100.252*(100/H96)+25.2049*LN(H96/100)+(-0.062544+0.035337*(H96/100)-0.0054699*(H96/100)^2)*G96))</f>
        <v>3.9253120588820245E-2</v>
      </c>
      <c r="W96" s="9">
        <f>(EXP(-68.8862+101.4956*(100/H96)+28.7314*LN(H96/100)+G96*(-0.076146+0.04397*(H96/100)-0.0068672*(H96/100)^2)))</f>
        <v>4.2681997997598704E-2</v>
      </c>
      <c r="X96">
        <f>N96*(AZ96-S96)</f>
        <v>1585.9663980156786</v>
      </c>
      <c r="Y96">
        <f>O96*(AZ96-S96)</f>
        <v>659.49068816320198</v>
      </c>
      <c r="Z96">
        <f>((Y96/10^6)*AZ96)/(0.082056*H96)</f>
        <v>2.6684672993158405E-5</v>
      </c>
      <c r="AA96">
        <f>(((L96/10^6)*AZ96)/(0.082056*H96))</f>
        <v>1.1503598277413389E-7</v>
      </c>
      <c r="AB96">
        <f>((Y96/10^6)*U96*1)/(0.082056*H96)</f>
        <v>1.2132093561117179E-6</v>
      </c>
      <c r="AC96">
        <f>(Z96*(Q96/1000))+(AB96*(R96/1000))</f>
        <v>2.9841390455568623E-6</v>
      </c>
      <c r="AD96" s="39">
        <f>((AC96-(AA96*(Q96/1000)))/(R96/1000))*1000000</f>
        <v>2.6116113040266793</v>
      </c>
      <c r="AE96" s="39">
        <f>(AD96/((U96*AZ96*1))*(0.0821*273.15))</f>
        <v>1451.37679734115</v>
      </c>
      <c r="AF96" s="39">
        <f>L96*U96*AZ96*1/(0.0821*273.15)</f>
        <v>5.1157445897003391E-3</v>
      </c>
      <c r="AG96" s="39">
        <f>AD96-AF96</f>
        <v>2.6064955594369787</v>
      </c>
      <c r="AH96" s="42">
        <f>P96*(AZ96-S96)</f>
        <v>0.30449954652230943</v>
      </c>
      <c r="AI96">
        <f>(((X96/10^6)*(Q96/1000))/(0.082056*H96))</f>
        <v>4.0869471275849747E-6</v>
      </c>
      <c r="AJ96">
        <f>(((K96/10^6)*AZ96)*(Q96/1000))/(0.082056*H96)</f>
        <v>1.0670641568522895E-6</v>
      </c>
      <c r="AK96">
        <f>(X96/10^6)*T96*(R96/1000)</f>
        <v>9.5026328427301435E-5</v>
      </c>
      <c r="AL96">
        <f>AI96+AK96</f>
        <v>9.9113275554886415E-5</v>
      </c>
      <c r="AM96" s="39">
        <f>((AL96-AJ96)/(R96/1000))*1000000</f>
        <v>86.00544859476679</v>
      </c>
      <c r="AN96" s="39">
        <f>AM96/(T96*AZ96)</f>
        <v>1736.9264105800692</v>
      </c>
      <c r="AO96" s="39">
        <f>(K96*AZ96)*T96</f>
        <v>21.763593768202998</v>
      </c>
      <c r="AP96" s="39">
        <f>AM96-AO96</f>
        <v>64.241854826563795</v>
      </c>
      <c r="AQ96">
        <f>(((AH96/10^6)*(Q96/1000))/(0.082056*H96))</f>
        <v>7.8467838194260218E-10</v>
      </c>
      <c r="AR96">
        <f>(((M96/10^6)*AZ96)*(Q96/1000))/(0.082056*H96)</f>
        <v>7.82621110658902E-10</v>
      </c>
      <c r="AS96">
        <f>(AH96/10^6)*V96*(R96/1000)</f>
        <v>1.3625915457524671E-8</v>
      </c>
      <c r="AT96">
        <f>AQ96+AS96</f>
        <v>1.4410593839467274E-8</v>
      </c>
      <c r="AU96" s="39">
        <f>((AT96-AR96)/(R96/1000))*1000000000</f>
        <v>11.954362042814363</v>
      </c>
      <c r="AV96" s="39">
        <f>(AU96/1000)/(V96*AZ96)</f>
        <v>0.32326060840178783</v>
      </c>
      <c r="AW96" s="39">
        <f>(M96*AZ96)*V96*1000</f>
        <v>11.921220180962534</v>
      </c>
      <c r="AX96" s="39">
        <f>AU96-AW96</f>
        <v>3.3141861851829546E-2</v>
      </c>
      <c r="AY96" s="26">
        <f>VLOOKUP($E96,Water!$C$2:$G$90, 5, FALSE)</f>
        <v>716</v>
      </c>
      <c r="AZ96">
        <f>AY96/760</f>
        <v>0.94210526315789478</v>
      </c>
      <c r="BA96" s="3">
        <f>Assumptions!$B$3</f>
        <v>406.07</v>
      </c>
      <c r="BB96" s="3">
        <f>BA96*AZ96*T96</f>
        <v>20.106915467543352</v>
      </c>
      <c r="BC96" s="3">
        <f>Assumptions!$B$4</f>
        <v>1.8474300000000001</v>
      </c>
      <c r="BD96" s="45">
        <f>BC96*AZ96*U96*1/(0.0821*273.15)</f>
        <v>3.3242704997329064E-3</v>
      </c>
      <c r="BE96" s="3">
        <f>Assumptions!$B$2</f>
        <v>0.33054499999999998</v>
      </c>
      <c r="BF96" s="44">
        <f>BE96*AZ96*V96*1000</f>
        <v>12.223743007161337</v>
      </c>
      <c r="BG96">
        <f>1923.6+(-125.06*F96)+(4.3773*(F96^2))+(-0.085681*(F96^3))+(0.00070284*(F96^4))</f>
        <v>996.6231791696639</v>
      </c>
      <c r="BH96">
        <f>1909.4+(-120.78*F96)+(4.1555*(F96^2))+(-0.080578*(F96^3))+(0.00065777*(F96^4))</f>
        <v>1008.3784874517919</v>
      </c>
      <c r="BI96">
        <f>2141.2+(-152.56*F96)+(5.8963*(F96^2))+(-0.12411*(F96^3))+(0.0010655*(F96^4))</f>
        <v>1052.2069642487997</v>
      </c>
      <c r="BJ96" s="25">
        <f>VLOOKUP(E96,Wind!$C$2:$E$109,3, FALSE)</f>
        <v>1.9166666666666667</v>
      </c>
      <c r="BK96" s="44">
        <v>1.66</v>
      </c>
      <c r="BL96">
        <f>BK96/(1-(((1.3*10^-3)^0.5)/0.41)*LN(10/1.5))</f>
        <v>1.9923982880693825</v>
      </c>
      <c r="BM96">
        <f>BK96*1.22</f>
        <v>2.0251999999999999</v>
      </c>
      <c r="BN96">
        <f>2.07+0.215*(BM96^1.7)*(24/100)</f>
        <v>2.241255750541113</v>
      </c>
      <c r="BO96">
        <f>BN96*((600/BG96)^0.67)</f>
        <v>1.5952802758575177</v>
      </c>
      <c r="BP96">
        <f>BN96*((600/BH96)^0.67)</f>
        <v>1.5827960632791691</v>
      </c>
      <c r="BQ96">
        <f>BN96*((600/BI96)^0.67)</f>
        <v>1.5383139182115195</v>
      </c>
      <c r="BR96" s="39">
        <f>BO96*(AM96-BB96)</f>
        <v>105.12663010580276</v>
      </c>
      <c r="BS96" s="39">
        <f>BP96*(AD96-BD96)</f>
        <v>4.1283864485685529</v>
      </c>
      <c r="BT96" s="39">
        <f>BQ96*(AU96-BF96)</f>
        <v>-0.41439248675619089</v>
      </c>
      <c r="BU96">
        <f>(2.51+1.48*BM96)+(0.39*BM96*LOG10(0.0015))</f>
        <v>3.2768938069574309</v>
      </c>
      <c r="BV96">
        <f>BU96*((600/$BG96)^0.67)</f>
        <v>2.3324263886692695</v>
      </c>
      <c r="BW96">
        <f>BU96*((600/$BH96)^0.67)</f>
        <v>2.3141734789454</v>
      </c>
      <c r="BX96">
        <f>BU96*((600/$BI96)^0.67)</f>
        <v>2.2491370520864078</v>
      </c>
      <c r="BY96" s="39">
        <f>BV96*($AM96-$BB96)</f>
        <v>153.70347764053196</v>
      </c>
      <c r="BZ96" s="39">
        <f>BW96*($AD96-$BD96)</f>
        <v>6.0360286784652306</v>
      </c>
      <c r="CA96" s="39">
        <f>BX96*($AU96-$BF96)</f>
        <v>-0.60587470803954635</v>
      </c>
      <c r="CB96" s="42">
        <f>AVERAGE(0.72,0.69,0.4,0.22)</f>
        <v>0.50750000000000006</v>
      </c>
      <c r="CC96">
        <f>CB96*((600/$BG96)^0.67)</f>
        <v>0.36122818192534478</v>
      </c>
      <c r="CD96">
        <f>CB96*((600/$BH96)^0.67)</f>
        <v>0.35840131226444943</v>
      </c>
      <c r="CE96">
        <f>CB96*((600/$BI96)^0.67)</f>
        <v>0.3483289728554454</v>
      </c>
      <c r="CF96" s="39">
        <f>CC96*($AM96-$BB96)</f>
        <v>23.804407313094025</v>
      </c>
      <c r="CG96" s="39">
        <f>CD96*($AD96-$BD96)</f>
        <v>0.93481349557840554</v>
      </c>
      <c r="CH96" s="39">
        <f>CE96*($AU96-$BF96)</f>
        <v>-9.383319461779073E-2</v>
      </c>
      <c r="CI96">
        <v>0.86263901889527161</v>
      </c>
      <c r="CJ96">
        <f>((BG96/BH96)^0.67)*CI96</f>
        <v>0.85588824973373501</v>
      </c>
      <c r="CK96">
        <f>((BH96/BH96)^0.67)*CI96</f>
        <v>0.86263901889527161</v>
      </c>
      <c r="CL96">
        <f>((BI96/BH96)^0.67)*CI96</f>
        <v>0.88758323445832565</v>
      </c>
      <c r="CM96" s="39">
        <f>CJ96*($AM96-$BB96)</f>
        <v>56.401780178279814</v>
      </c>
      <c r="CN96" s="39">
        <f>CK96*($AD96-$BD96)</f>
        <v>2.2500101675989432</v>
      </c>
      <c r="CO96" s="39">
        <f>CL96*($AU96-$BF96)</f>
        <v>-0.23909802763658988</v>
      </c>
      <c r="CP96" s="27">
        <f>VLOOKUP(A96,Water!$A$2:$E$109, 5, FALSE)/1000</f>
        <v>2.9E-4</v>
      </c>
      <c r="CQ96">
        <f>0.64*CP96</f>
        <v>1.8560000000000001E-4</v>
      </c>
      <c r="CR96" s="19">
        <f>CQ96*1000*(2.5*10^-5)</f>
        <v>4.6400000000000005E-6</v>
      </c>
      <c r="CS96" s="18">
        <f>(-0.0000009*F96^3)+(0.0002*F96^2)-(0.0134*F96)+6.579</f>
        <v>6.4583600855999999</v>
      </c>
      <c r="CT96" s="18">
        <f>CS96-(SQRT(CP96))/(1+1.4*SQRT(CP96))</f>
        <v>6.4417272451275487</v>
      </c>
      <c r="CU96" s="18">
        <f>10^(-CT96)</f>
        <v>3.6163691425222018E-7</v>
      </c>
      <c r="CV96" s="18">
        <f>(0.000001*F96^3)+(0.00006*F96^2)-(0.014*F96)+10.625</f>
        <v>10.484532615999999</v>
      </c>
      <c r="CW96" s="18">
        <f>CV96-(2*SQRT(CR96))/(1+1.4*SQRT(CR96))</f>
        <v>10.480237437092217</v>
      </c>
      <c r="CX96" s="18">
        <f>10^(-CW96)</f>
        <v>3.3095013524969398E-11</v>
      </c>
      <c r="CY96">
        <f>EXP(1246.98+-61900/H96-183*LN(H96))</f>
        <v>8.4727273134721434E-3</v>
      </c>
      <c r="CZ96">
        <f>12.225*(F96^2)+15.258*F96+1125.7</f>
        <v>2661.0357999999997</v>
      </c>
      <c r="DA96" s="15">
        <f>10^(-4470.99/H96+6.0875-0.01706*H96)</f>
        <v>3.0898119497132475E-15</v>
      </c>
      <c r="DB96">
        <f>(10^-I96)</f>
        <v>1.2302687708123783E-8</v>
      </c>
      <c r="DC96">
        <f>DB96^2</f>
        <v>1.5135612484362003E-16</v>
      </c>
      <c r="DD96" s="20">
        <f>((14.6836*10^-9)*((H96/217.2056)-1)^1.997)*100*100</f>
        <v>1.3831039283741109E-5</v>
      </c>
      <c r="DE96">
        <f>CY96+CZ96*DA96/DB96</f>
        <v>9.1410447095176834E-3</v>
      </c>
      <c r="DF96">
        <f>1+DC96*(CU96*CX96+CU96*DB96)^-1</f>
        <v>1.0339281776829012</v>
      </c>
      <c r="DG96">
        <f>(DE96*DF96/DD96)^0.5</f>
        <v>26.140608617640435</v>
      </c>
      <c r="DH96">
        <f>DD96/(BO96/60/60)</f>
        <v>3.1211908136144436E-2</v>
      </c>
      <c r="DI96" s="16">
        <f>DF96/((DF96-1)+TANH(DG96*DH96)/(DG96*DH96))</f>
        <v>1.2042318232561697</v>
      </c>
      <c r="DJ96">
        <f>$DI96*BR96</f>
        <v>126.5968334450878</v>
      </c>
      <c r="DK96">
        <f>$DI96*BY96</f>
        <v>185.09461911987171</v>
      </c>
      <c r="DL96">
        <f>$DI96*CF96</f>
        <v>28.666024820179718</v>
      </c>
      <c r="DM96">
        <f>$DI96*CM96</f>
        <v>67.920818578983599</v>
      </c>
    </row>
    <row r="97" spans="1:117" ht="15.75" x14ac:dyDescent="0.25">
      <c r="A97" s="52" t="s">
        <v>477</v>
      </c>
      <c r="B97" s="55" t="s">
        <v>342</v>
      </c>
      <c r="C97" t="s">
        <v>246</v>
      </c>
      <c r="D97" s="57">
        <v>43238</v>
      </c>
      <c r="E97" s="42" t="str">
        <f>A97&amp;D97</f>
        <v>68A43238</v>
      </c>
      <c r="F97" s="3">
        <f>VLOOKUP($E97,Water!$C$2:$E$90, 2, FALSE)</f>
        <v>10.6</v>
      </c>
      <c r="G97" s="3">
        <f>VLOOKUP($E97,Water!$C$2:$E$90, 3, FALSE)</f>
        <v>0.27</v>
      </c>
      <c r="H97" s="1">
        <f>F97+273.15</f>
        <v>283.75</v>
      </c>
      <c r="I97" s="3">
        <f>VLOOKUP($E97,Water!$C$2:$F$90, 4, FALSE)</f>
        <v>7.91</v>
      </c>
      <c r="J97">
        <f>10^(I97*-1)</f>
        <v>1.2302687708123783E-8</v>
      </c>
      <c r="K97" s="25">
        <v>439.52751160265137</v>
      </c>
      <c r="L97" s="25">
        <v>2.8430237635924795</v>
      </c>
      <c r="M97" s="25">
        <v>0.32236441181786135</v>
      </c>
      <c r="N97" s="21">
        <f>VLOOKUP($C97,Raw!$B$2:$F$353, 3, FALSE)</f>
        <v>1679.97629594506</v>
      </c>
      <c r="O97" s="21">
        <f>VLOOKUP($C97,Raw!$B$2:$F$353, 4, FALSE)</f>
        <v>702.74225580600307</v>
      </c>
      <c r="P97" s="21">
        <f>VLOOKUP($C97,Raw!$B$2:$F$353, 5, FALSE)</f>
        <v>0.32364143804894202</v>
      </c>
      <c r="Q97" s="14">
        <v>60</v>
      </c>
      <c r="R97" s="25">
        <v>1140</v>
      </c>
      <c r="S97">
        <f>EXP(24.4543-(100/H97*(67.4509))-(4.8489*LN(H97/100))-(0.000544*G97))</f>
        <v>1.2599220126729222E-2</v>
      </c>
      <c r="T97" s="8">
        <f>EXP(-58.0931+90.5069*(100/H97)+22.294*LN(H97/100)+G97*(0.027766-0.025888*(H97/100)+0.0050578*(H97/100)^2)*G97)</f>
        <v>5.2558760733704538E-2</v>
      </c>
      <c r="U97" s="9">
        <f>(EXP(-67.1962+99.1624*(100/H97)+27.9015*LN(H97/100)+G97*(-0.072909+0.041674*(H97/100)-0.0064603*(H97/100)^2)*G97))</f>
        <v>4.2832487398226413E-2</v>
      </c>
      <c r="V97" s="9">
        <f>(EXP(-64.8539+100.252*(100/H97)+25.2049*LN(H97/100)+(-0.062544+0.035337*(H97/100)-0.0054699*(H97/100)^2)*G97))</f>
        <v>3.9253120588820245E-2</v>
      </c>
      <c r="W97" s="9">
        <f>(EXP(-68.8862+101.4956*(100/H97)+28.7314*LN(H97/100)+G97*(-0.076146+0.04397*(H97/100)-0.0068672*(H97/100)^2)))</f>
        <v>4.2681997997598704E-2</v>
      </c>
      <c r="X97">
        <f>N97*(AZ97-S97)</f>
        <v>1561.5481192300472</v>
      </c>
      <c r="Y97">
        <f>O97*(AZ97-S97)</f>
        <v>653.20317346503305</v>
      </c>
      <c r="Z97">
        <f>((Y97/10^6)*AZ97)/(0.082056*H97)</f>
        <v>2.6430264133910351E-5</v>
      </c>
      <c r="AA97">
        <f>(((L97/10^6)*AZ97)/(0.082056*H97))</f>
        <v>1.1503598277413389E-7</v>
      </c>
      <c r="AB97">
        <f>((Y97/10^6)*U97*1)/(0.082056*H97)</f>
        <v>1.2016427460057375E-6</v>
      </c>
      <c r="AC97">
        <f>(Z97*(Q97/1000))+(AB97*(R97/1000))</f>
        <v>2.9556885784811615E-6</v>
      </c>
      <c r="AD97" s="39">
        <f>((AC97-(AA97*(Q97/1000)))/(R97/1000))*1000000</f>
        <v>2.5866547539602753</v>
      </c>
      <c r="AE97" s="39">
        <f>(AD97/((U97*AZ97*1))*(0.0821*273.15))</f>
        <v>1437.507444864304</v>
      </c>
      <c r="AF97" s="39">
        <f>L97*U97*AZ97*1/(0.0821*273.15)</f>
        <v>5.1157445897003391E-3</v>
      </c>
      <c r="AG97" s="39">
        <f>AD97-AF97</f>
        <v>2.5815390093705748</v>
      </c>
      <c r="AH97" s="42">
        <f>P97*(AZ97-S97)</f>
        <v>0.30082667244178823</v>
      </c>
      <c r="AI97">
        <f>(((X97/10^6)*(Q97/1000))/(0.082056*H97))</f>
        <v>4.0240225823560409E-6</v>
      </c>
      <c r="AJ97">
        <f>(((K97/10^6)*AZ97)*(Q97/1000))/(0.082056*H97)</f>
        <v>1.0670641568522895E-6</v>
      </c>
      <c r="AK97">
        <f>(X97/10^6)*T97*(R97/1000)</f>
        <v>9.356325872896734E-5</v>
      </c>
      <c r="AL97">
        <f>AI97+AK97</f>
        <v>9.7587281311323383E-5</v>
      </c>
      <c r="AM97" s="39">
        <f>((AL97-AJ97)/(R97/1000))*1000000</f>
        <v>84.66685715304483</v>
      </c>
      <c r="AN97" s="39">
        <f>AM97/(T97*AZ97)</f>
        <v>1709.8928346137577</v>
      </c>
      <c r="AO97" s="39">
        <f>(K97*AZ97)*T97</f>
        <v>21.763593768202998</v>
      </c>
      <c r="AP97" s="39">
        <f>AM97-AO97</f>
        <v>62.903263384841836</v>
      </c>
      <c r="AQ97">
        <f>(((AH97/10^6)*(Q97/1000))/(0.082056*H97))</f>
        <v>7.7521358988134003E-10</v>
      </c>
      <c r="AR97">
        <f>(((M97/10^6)*AZ97)*(Q97/1000))/(0.082056*H97)</f>
        <v>7.82621110658902E-10</v>
      </c>
      <c r="AS97">
        <f>(AH97/10^6)*V97*(R97/1000)</f>
        <v>1.3461559640647786E-8</v>
      </c>
      <c r="AT97">
        <f>AQ97+AS97</f>
        <v>1.4236773230529126E-8</v>
      </c>
      <c r="AU97" s="39">
        <f>((AT97-AR97)/(R97/1000))*1000000000</f>
        <v>11.801887824447567</v>
      </c>
      <c r="AV97" s="39">
        <f>(AU97/1000)/(V97*AZ97)</f>
        <v>0.31913751856911332</v>
      </c>
      <c r="AW97" s="39">
        <f>(M97*AZ97)*V97*1000</f>
        <v>11.921220180962534</v>
      </c>
      <c r="AX97" s="39">
        <f>AU97-AW97</f>
        <v>-0.11933235651496688</v>
      </c>
      <c r="AY97" s="26">
        <f>VLOOKUP($E97,Water!$C$2:$G$90, 5, FALSE)</f>
        <v>716</v>
      </c>
      <c r="AZ97">
        <f>AY97/760</f>
        <v>0.94210526315789478</v>
      </c>
      <c r="BA97" s="3">
        <f>Assumptions!$B$3</f>
        <v>406.07</v>
      </c>
      <c r="BB97" s="3">
        <f>BA97*AZ97*T97</f>
        <v>20.106915467543352</v>
      </c>
      <c r="BC97" s="3">
        <f>Assumptions!$B$4</f>
        <v>1.8474300000000001</v>
      </c>
      <c r="BD97" s="45">
        <f>BC97*AZ97*U97*1/(0.0821*273.15)</f>
        <v>3.3242704997329064E-3</v>
      </c>
      <c r="BE97" s="3">
        <f>Assumptions!$B$2</f>
        <v>0.33054499999999998</v>
      </c>
      <c r="BF97" s="44">
        <f>BE97*AZ97*V97*1000</f>
        <v>12.223743007161337</v>
      </c>
      <c r="BG97">
        <f>1923.6+(-125.06*F97)+(4.3773*(F97^2))+(-0.085681*(F97^3))+(0.00070284*(F97^4))</f>
        <v>996.6231791696639</v>
      </c>
      <c r="BH97">
        <f>1909.4+(-120.78*F97)+(4.1555*(F97^2))+(-0.080578*(F97^3))+(0.00065777*(F97^4))</f>
        <v>1008.3784874517919</v>
      </c>
      <c r="BI97">
        <f>2141.2+(-152.56*F97)+(5.8963*(F97^2))+(-0.12411*(F97^3))+(0.0010655*(F97^4))</f>
        <v>1052.2069642487997</v>
      </c>
      <c r="BJ97" s="25">
        <f>VLOOKUP(E97,Wind!$C$2:$E$109,3, FALSE)</f>
        <v>1.9166666666666667</v>
      </c>
      <c r="BK97" s="44">
        <v>1.66</v>
      </c>
      <c r="BL97">
        <f>BK97/(1-(((1.3*10^-3)^0.5)/0.41)*LN(10/1.5))</f>
        <v>1.9923982880693825</v>
      </c>
      <c r="BM97">
        <f>BK97*1.22</f>
        <v>2.0251999999999999</v>
      </c>
      <c r="BN97">
        <f>2.07+0.215*(BM97^1.7)*(24/100)</f>
        <v>2.241255750541113</v>
      </c>
      <c r="BO97">
        <f>BN97*((600/BG97)^0.67)</f>
        <v>1.5952802758575177</v>
      </c>
      <c r="BP97">
        <f>BN97*((600/BH97)^0.67)</f>
        <v>1.5827960632791691</v>
      </c>
      <c r="BQ97">
        <f>BN97*((600/BI97)^0.67)</f>
        <v>1.5383139182115195</v>
      </c>
      <c r="BR97" s="39">
        <f>BO97*(AM97-BB97)</f>
        <v>102.99120158139206</v>
      </c>
      <c r="BS97" s="39">
        <f>BP97*(AD97-BD97)</f>
        <v>4.0888853193704193</v>
      </c>
      <c r="BT97" s="39">
        <f>BQ97*(AU97-BF97)</f>
        <v>-0.64894569903825627</v>
      </c>
      <c r="BU97">
        <f>(2.51+1.48*BM97)+(0.39*BM97*LOG10(0.0015))</f>
        <v>3.2768938069574309</v>
      </c>
      <c r="BV97">
        <f>BU97*((600/$BG97)^0.67)</f>
        <v>2.3324263886692695</v>
      </c>
      <c r="BW97">
        <f>BU97*((600/$BH97)^0.67)</f>
        <v>2.3141734789454</v>
      </c>
      <c r="BX97">
        <f>BU97*((600/$BI97)^0.67)</f>
        <v>2.2491370520864078</v>
      </c>
      <c r="BY97" s="39">
        <f>BV97*($AM97-$BB97)</f>
        <v>150.58131163821287</v>
      </c>
      <c r="BZ97" s="39">
        <f>BW97*($AD97-$BD97)</f>
        <v>5.9782748921755857</v>
      </c>
      <c r="CA97" s="39">
        <f>BX97*($AU97-$BF97)</f>
        <v>-0.94881012205622206</v>
      </c>
      <c r="CB97" s="42">
        <f>AVERAGE(0.72,0.69,0.4,0.22)</f>
        <v>0.50750000000000006</v>
      </c>
      <c r="CC97">
        <f>CB97*((600/$BG97)^0.67)</f>
        <v>0.36122818192534478</v>
      </c>
      <c r="CD97">
        <f>CB97*((600/$BH97)^0.67)</f>
        <v>0.35840131226444943</v>
      </c>
      <c r="CE97">
        <f>CB97*((600/$BI97)^0.67)</f>
        <v>0.3483289728554454</v>
      </c>
      <c r="CF97" s="39">
        <f>CC97*($AM97-$BB97)</f>
        <v>23.320870360259981</v>
      </c>
      <c r="CG97" s="39">
        <f>CD97*($AD97-$BD97)</f>
        <v>0.92586903528501296</v>
      </c>
      <c r="CH97" s="39">
        <f>CE97*($AU97-$BF97)</f>
        <v>-0.14694438248843381</v>
      </c>
      <c r="CI97">
        <v>0.86263901889527161</v>
      </c>
      <c r="CJ97">
        <f>((BG97/BH97)^0.67)*CI97</f>
        <v>0.85588824973373501</v>
      </c>
      <c r="CK97">
        <f>((BH97/BH97)^0.67)*CI97</f>
        <v>0.86263901889527161</v>
      </c>
      <c r="CL97">
        <f>((BI97/BH97)^0.67)*CI97</f>
        <v>0.88758323445832565</v>
      </c>
      <c r="CM97" s="39">
        <f>CJ97*($AM97-$BB97)</f>
        <v>55.256095492115861</v>
      </c>
      <c r="CN97" s="39">
        <f>CK97*($AD97-$BD97)</f>
        <v>2.2284816737346498</v>
      </c>
      <c r="CO97" s="39">
        <f>CL97*($AU97-$BF97)</f>
        <v>-0.37443158754609612</v>
      </c>
      <c r="CP97" s="27">
        <f>VLOOKUP(A97,Water!$A$2:$E$109, 5, FALSE)/1000</f>
        <v>2.9E-4</v>
      </c>
      <c r="CQ97">
        <f>0.64*CP97</f>
        <v>1.8560000000000001E-4</v>
      </c>
      <c r="CR97" s="19">
        <f>CQ97*1000*(2.5*10^-5)</f>
        <v>4.6400000000000005E-6</v>
      </c>
      <c r="CS97" s="18">
        <f>(-0.0000009*F97^3)+(0.0002*F97^2)-(0.0134*F97)+6.579</f>
        <v>6.4583600855999999</v>
      </c>
      <c r="CT97" s="18">
        <f>CS97-(SQRT(CP97))/(1+1.4*SQRT(CP97))</f>
        <v>6.4417272451275487</v>
      </c>
      <c r="CU97" s="18">
        <f>10^(-CT97)</f>
        <v>3.6163691425222018E-7</v>
      </c>
      <c r="CV97" s="18">
        <f>(0.000001*F97^3)+(0.00006*F97^2)-(0.014*F97)+10.625</f>
        <v>10.484532615999999</v>
      </c>
      <c r="CW97" s="18">
        <f>CV97-(2*SQRT(CR97))/(1+1.4*SQRT(CR97))</f>
        <v>10.480237437092217</v>
      </c>
      <c r="CX97" s="18">
        <f>10^(-CW97)</f>
        <v>3.3095013524969398E-11</v>
      </c>
      <c r="CY97">
        <f>EXP(1246.98+-61900/H97-183*LN(H97))</f>
        <v>8.4727273134721434E-3</v>
      </c>
      <c r="CZ97">
        <f>12.225*(F97^2)+15.258*F97+1125.7</f>
        <v>2661.0357999999997</v>
      </c>
      <c r="DA97" s="15">
        <f>10^(-4470.99/H97+6.0875-0.01706*H97)</f>
        <v>3.0898119497132475E-15</v>
      </c>
      <c r="DB97">
        <f>(10^-I97)</f>
        <v>1.2302687708123783E-8</v>
      </c>
      <c r="DC97">
        <f>DB97^2</f>
        <v>1.5135612484362003E-16</v>
      </c>
      <c r="DD97" s="20">
        <f>((14.6836*10^-9)*((H97/217.2056)-1)^1.997)*100*100</f>
        <v>1.3831039283741109E-5</v>
      </c>
      <c r="DE97">
        <f>CY97+CZ97*DA97/DB97</f>
        <v>9.1410447095176834E-3</v>
      </c>
      <c r="DF97">
        <f>1+DC97*(CU97*CX97+CU97*DB97)^-1</f>
        <v>1.0339281776829012</v>
      </c>
      <c r="DG97">
        <f>(DE97*DF97/DD97)^0.5</f>
        <v>26.140608617640435</v>
      </c>
      <c r="DH97">
        <f>DD97/(BO97/60/60)</f>
        <v>3.1211908136144436E-2</v>
      </c>
      <c r="DI97" s="16">
        <f>DF97/((DF97-1)+TANH(DG97*DH97)/(DG97*DH97))</f>
        <v>1.2042318232561697</v>
      </c>
      <c r="DJ97">
        <f>$DI97*BR97</f>
        <v>124.02528245970348</v>
      </c>
      <c r="DK97">
        <f>$DI97*BY97</f>
        <v>181.33480746239056</v>
      </c>
      <c r="DL97">
        <f>$DI97*CF97</f>
        <v>28.083734233856646</v>
      </c>
      <c r="DM97">
        <f>$DI97*CM97</f>
        <v>66.541148620487704</v>
      </c>
    </row>
    <row r="98" spans="1:117" ht="15.75" x14ac:dyDescent="0.25">
      <c r="A98" s="51" t="s">
        <v>58</v>
      </c>
      <c r="B98" s="54" t="s">
        <v>339</v>
      </c>
      <c r="C98" s="48" t="s">
        <v>248</v>
      </c>
      <c r="D98" s="57">
        <v>43238</v>
      </c>
      <c r="E98" s="42" t="str">
        <f>A98&amp;D98</f>
        <v>14A43238</v>
      </c>
      <c r="F98" s="3">
        <f>VLOOKUP($E98,Water!$C$2:$E$90, 2, FALSE)</f>
        <v>11.3</v>
      </c>
      <c r="G98" s="3">
        <f>VLOOKUP($E98,Water!$C$2:$E$90, 3, FALSE)</f>
        <v>1.73</v>
      </c>
      <c r="H98" s="1">
        <f>F98+273.15</f>
        <v>284.45</v>
      </c>
      <c r="I98" s="3">
        <f>VLOOKUP($E98,Water!$C$2:$F$90, 4, FALSE)</f>
        <v>8.92</v>
      </c>
      <c r="J98">
        <f>10^(I98*-1)</f>
        <v>1.2022644346174128E-9</v>
      </c>
      <c r="K98" s="25">
        <f>VLOOKUP($E98,Atm!$D$2:$G$45, 2, FALSE)</f>
        <v>422.83804776972539</v>
      </c>
      <c r="L98" s="25">
        <f>VLOOKUP($E98,Atm!$D$2:$G$45, 3, FALSE)</f>
        <v>1.9830235765966211</v>
      </c>
      <c r="M98" s="25">
        <f>VLOOKUP($E98,Atm!$D$2:$G$45, 4, FALSE)</f>
        <v>0.32915243042986875</v>
      </c>
      <c r="N98" s="21">
        <f>VLOOKUP($C98,Raw!$B$2:$F$353, 3, FALSE)</f>
        <v>245.60900000000001</v>
      </c>
      <c r="O98" s="21">
        <f>VLOOKUP($C98,Raw!$B$2:$F$353, 4, FALSE)</f>
        <v>24.561</v>
      </c>
      <c r="P98" s="21">
        <f>VLOOKUP($C98,Raw!$B$2:$F$353, 5, FALSE)</f>
        <v>0.27700000000000002</v>
      </c>
      <c r="Q98" s="14">
        <v>60</v>
      </c>
      <c r="R98" s="25">
        <v>1140</v>
      </c>
      <c r="S98">
        <f>EXP(24.4543-(100/H98*(67.4509))-(4.8489*LN(H98/100))-(0.000544*G98))</f>
        <v>1.3189113613063836E-2</v>
      </c>
      <c r="T98" s="8">
        <f>EXP(-58.0931+90.5069*(100/H98)+22.294*LN(H98/100)+G98*(0.027766-0.025888*(H98/100)+0.0050578*(H98/100)^2)*G98)</f>
        <v>5.0598354010520902E-2</v>
      </c>
      <c r="U98" s="9">
        <f>(EXP(-67.1962+99.1624*(100/H98)+27.9015*LN(H98/100)+G98*(-0.072909+0.041674*(H98/100)-0.0064603*(H98/100)^2)*G98))</f>
        <v>4.1291654249864543E-2</v>
      </c>
      <c r="V98" s="9">
        <f>(EXP(-64.8539+100.252*(100/H98)+25.2049*LN(H98/100)+(-0.062544+0.035337*(H98/100)-0.0054699*(H98/100)^2)*G98))</f>
        <v>3.7940480703305107E-2</v>
      </c>
      <c r="W98" s="9">
        <f>(EXP(-68.8862+101.4956*(100/H98)+28.7314*LN(H98/100)+G98*(-0.076146+0.04397*(H98/100)-0.0068672*(H98/100)^2)))</f>
        <v>4.1548603524694742E-2</v>
      </c>
      <c r="X98">
        <f>N98*(AZ98-S98)</f>
        <v>229.31357762618796</v>
      </c>
      <c r="Y98">
        <f>O98*(AZ98-S98)</f>
        <v>22.93145112791796</v>
      </c>
      <c r="Z98">
        <f>((Y98/10^6)*AZ98)/(0.082056*H98)</f>
        <v>9.302353089793852E-7</v>
      </c>
      <c r="AA98">
        <f>(((L98/10^6)*AZ98)/(0.082056*H98))</f>
        <v>8.0443166862778874E-8</v>
      </c>
      <c r="AB98">
        <f>((Y98/10^6)*U98*1)/(0.082056*H98)</f>
        <v>4.0567434143327459E-8</v>
      </c>
      <c r="AC98">
        <f>(Z98*(Q98/1000))+(AB98*(R98/1000))</f>
        <v>1.0206099346215641E-7</v>
      </c>
      <c r="AD98" s="39">
        <f>((AC98-(AA98*(Q98/1000)))/(R98/1000))*1000000</f>
        <v>8.5293336359990951E-2</v>
      </c>
      <c r="AE98" s="39">
        <f>(AD98/((U98*AZ98*1))*(0.0821*273.15))</f>
        <v>48.923736692895119</v>
      </c>
      <c r="AF98" s="39">
        <f>L98*U98*AZ98*1/(0.0821*273.15)</f>
        <v>3.4571908926370053E-3</v>
      </c>
      <c r="AG98" s="39">
        <f>AD98-AF98</f>
        <v>8.1836145467353946E-2</v>
      </c>
      <c r="AH98" s="42">
        <f>P98*(AZ98-S98)</f>
        <v>0.25862187868707609</v>
      </c>
      <c r="AI98">
        <f>(((X98/10^6)*(Q98/1000))/(0.082056*H98))</f>
        <v>5.8947411592263725E-7</v>
      </c>
      <c r="AJ98">
        <f>(((K98/10^6)*AZ98)*(Q98/1000))/(0.082056*H98)</f>
        <v>1.0291687512172458E-6</v>
      </c>
      <c r="AK98">
        <f>(X98/10^6)*T98*(R98/1000)</f>
        <v>1.3227294121369772E-5</v>
      </c>
      <c r="AL98">
        <f>AI98+AK98</f>
        <v>1.381676823729241E-5</v>
      </c>
      <c r="AM98" s="39">
        <f>((AL98-AJ98)/(R98/1000))*1000000</f>
        <v>11.217192531644884</v>
      </c>
      <c r="AN98" s="39">
        <f>AM98/(T98*AZ98)</f>
        <v>234.1370933092401</v>
      </c>
      <c r="AO98" s="39">
        <f>(K98*AZ98)*T98</f>
        <v>20.257600897408441</v>
      </c>
      <c r="AP98" s="39">
        <f>AM98-AO98</f>
        <v>-9.0404083657635574</v>
      </c>
      <c r="AQ98">
        <f>(((AH98/10^6)*(Q98/1000))/(0.082056*H98))</f>
        <v>6.648141155681205E-10</v>
      </c>
      <c r="AR98">
        <f>(((M98/10^6)*AZ98)*(Q98/1000))/(0.082056*H98)</f>
        <v>8.0114218096596671E-10</v>
      </c>
      <c r="AS98">
        <f>(AH98/10^6)*V98*(R98/1000)</f>
        <v>1.1185951773468658E-8</v>
      </c>
      <c r="AT98">
        <f>AQ98+AS98</f>
        <v>1.1850765889036778E-8</v>
      </c>
      <c r="AU98" s="39">
        <f>((AT98-AR98)/(R98/1000))*1000000000</f>
        <v>9.6926523755007139</v>
      </c>
      <c r="AV98" s="39">
        <f>(AU98/1000)/(V98*AZ98)</f>
        <v>0.26981261163783749</v>
      </c>
      <c r="AW98" s="39">
        <f>(M98*AZ98)*V98*1000</f>
        <v>11.824354937827144</v>
      </c>
      <c r="AX98" s="39">
        <f>AU98-AW98</f>
        <v>-2.1317025623264296</v>
      </c>
      <c r="AY98" s="26">
        <f>VLOOKUP($E98,Water!$C$2:$G$90, 5, FALSE)</f>
        <v>719.6</v>
      </c>
      <c r="AZ98">
        <f>AY98/760</f>
        <v>0.94684210526315793</v>
      </c>
      <c r="BA98" s="3">
        <f>Assumptions!$B$3</f>
        <v>406.07</v>
      </c>
      <c r="BB98" s="3">
        <f>BA98*AZ98*T98</f>
        <v>19.45426633151629</v>
      </c>
      <c r="BC98" s="3">
        <f>Assumptions!$B$4</f>
        <v>1.8474300000000001</v>
      </c>
      <c r="BD98" s="45">
        <f>BC98*AZ98*U98*1/(0.0821*273.15)</f>
        <v>3.2207978998141716E-3</v>
      </c>
      <c r="BE98" s="3">
        <f>Assumptions!$B$2</f>
        <v>0.33054499999999998</v>
      </c>
      <c r="BF98" s="44">
        <f>BE98*AZ98*V98*1000</f>
        <v>11.874381112178474</v>
      </c>
      <c r="BG98">
        <f>1923.6+(-125.06*F98)+(4.3773*(F98^2))+(-0.085681*(F98^3))+(0.00070284*(F98^4))</f>
        <v>957.19019986352384</v>
      </c>
      <c r="BH98">
        <f>1909.4+(-120.78*F98)+(4.1555*(F98^2))+(-0.080578*(F98^3))+(0.00065777*(F98^4))</f>
        <v>969.66080679849699</v>
      </c>
      <c r="BI98">
        <f>2141.2+(-152.56*F98)+(5.8963*(F98^2))+(-0.12411*(F98^3))+(0.0010655*(F98^4))</f>
        <v>1008.4652966445497</v>
      </c>
      <c r="BJ98" s="25">
        <f>VLOOKUP(E98,Wind!$C$2:$E$109,3, FALSE)</f>
        <v>2.1944444444444442</v>
      </c>
      <c r="BK98" s="44">
        <v>1.66</v>
      </c>
      <c r="BL98">
        <f>BK98/(1-(((1.3*10^-3)^0.5)/0.41)*LN(10/1.5))</f>
        <v>1.9923982880693825</v>
      </c>
      <c r="BM98">
        <f>BK98*1.22</f>
        <v>2.0251999999999999</v>
      </c>
      <c r="BN98">
        <f>2.07+0.215*(BM98^1.7)*(24/100)</f>
        <v>2.241255750541113</v>
      </c>
      <c r="BO98">
        <f>BN98*((600/BG98)^0.67)</f>
        <v>1.6390187865211823</v>
      </c>
      <c r="BP98">
        <f>BN98*((600/BH98)^0.67)</f>
        <v>1.6248656604306122</v>
      </c>
      <c r="BQ98">
        <f>BN98*((600/BI98)^0.67)</f>
        <v>1.5827047759097133</v>
      </c>
      <c r="BR98" s="39">
        <f>BO98*(AM98-BB98)</f>
        <v>-13.500718703950657</v>
      </c>
      <c r="BS98" s="39">
        <f>BP98*(AD98-BD98)</f>
        <v>0.13335684940831197</v>
      </c>
      <c r="BT98" s="39">
        <f>BQ98*(AU98-BF98)</f>
        <v>-3.4530324912793562</v>
      </c>
      <c r="BU98">
        <f>(2.51+1.48*BM98)+(0.39*BM98*LOG10(0.0015))</f>
        <v>3.2768938069574309</v>
      </c>
      <c r="BV98">
        <f>BU98*((600/$BG98)^0.67)</f>
        <v>2.3963755630036578</v>
      </c>
      <c r="BW98">
        <f>BU98*((600/$BH98)^0.67)</f>
        <v>2.3756825692549173</v>
      </c>
      <c r="BX98">
        <f>BU98*((600/$BI98)^0.67)</f>
        <v>2.3140400095653209</v>
      </c>
      <c r="BY98" s="39">
        <f>BV98*($AM98-$BB98)</f>
        <v>-19.739122364669523</v>
      </c>
      <c r="BZ98" s="39">
        <f>BW98*($AD98-$BD98)</f>
        <v>0.1949782990343458</v>
      </c>
      <c r="CA98" s="39">
        <f>BX98*($AU98-$BF98)</f>
        <v>-5.0486075866907401</v>
      </c>
      <c r="CB98" s="42">
        <f>AVERAGE(0.72,0.69,0.4,0.22)</f>
        <v>0.50750000000000006</v>
      </c>
      <c r="CC98">
        <f>CB98*((600/$BG98)^0.67)</f>
        <v>0.37113213606197132</v>
      </c>
      <c r="CD98">
        <f>CB98*((600/$BH98)^0.67)</f>
        <v>0.36792736503607204</v>
      </c>
      <c r="CE98">
        <f>CB98*((600/$BI98)^0.67)</f>
        <v>0.35838064155786553</v>
      </c>
      <c r="CF98" s="39">
        <f>CC98*($AM98-$BB98)</f>
        <v>-3.057042794246374</v>
      </c>
      <c r="CG98" s="39">
        <f>CD98*($AD98-$BD98)</f>
        <v>3.0196732817474526E-2</v>
      </c>
      <c r="CH98" s="39">
        <f>CE98*($AU98-$BF98)</f>
        <v>-0.78188934435580715</v>
      </c>
      <c r="CI98">
        <v>0.86263901889527161</v>
      </c>
      <c r="CJ98">
        <f>((BG98/BH98)^0.67)*CI98</f>
        <v>0.85519002629953456</v>
      </c>
      <c r="CK98">
        <f>((BH98/BH98)^0.67)*CI98</f>
        <v>0.86263901889527161</v>
      </c>
      <c r="CL98">
        <f>((BI98/BH98)^0.67)*CI98</f>
        <v>0.88561843022481701</v>
      </c>
      <c r="CM98" s="39">
        <f>CJ98*($AM98-$BB98)</f>
        <v>-7.044263359543236</v>
      </c>
      <c r="CN98" s="39">
        <f>CK98*($AD98-$BD98)</f>
        <v>7.0798974055531344E-2</v>
      </c>
      <c r="CO98" s="39">
        <f>CL98*($AU98-$BF98)</f>
        <v>-1.9321791789529312</v>
      </c>
      <c r="CP98" s="27">
        <f>VLOOKUP(A98,Water!$A$2:$E$109, 5, FALSE)/1000</f>
        <v>9.1E-4</v>
      </c>
      <c r="CQ98">
        <f>0.64*CP98</f>
        <v>5.8240000000000006E-4</v>
      </c>
      <c r="CR98" s="19">
        <f>CQ98*1000*(2.5*10^-5)</f>
        <v>1.4560000000000001E-5</v>
      </c>
      <c r="CS98" s="18">
        <f>(-0.0000009*F98^3)+(0.0002*F98^2)-(0.0134*F98)+6.579</f>
        <v>6.4518193927</v>
      </c>
      <c r="CT98" s="18">
        <f>CS98-(SQRT(CP98))/(1+1.4*SQRT(CP98))</f>
        <v>6.4228755622259701</v>
      </c>
      <c r="CU98" s="18">
        <f>10^(-CT98)</f>
        <v>3.7768039164345209E-7</v>
      </c>
      <c r="CV98" s="18">
        <f>(0.000001*F98^3)+(0.00006*F98^2)-(0.014*F98)+10.625</f>
        <v>10.475904297</v>
      </c>
      <c r="CW98" s="18">
        <f>CV98-(2*SQRT(CR98))/(1+1.4*SQRT(CR98))</f>
        <v>10.46831333476082</v>
      </c>
      <c r="CX98" s="18">
        <f>10^(-CW98)</f>
        <v>3.4016268059312404E-11</v>
      </c>
      <c r="CY98">
        <f>EXP(1246.98+-61900/H98-183*LN(H98))</f>
        <v>9.2331211366839163E-3</v>
      </c>
      <c r="CZ98">
        <f>12.225*(F98^2)+15.258*F98+1125.7</f>
        <v>2859.12565</v>
      </c>
      <c r="DA98" s="15">
        <f>10^(-4470.99/H98+6.0875-0.01706*H98)</f>
        <v>3.2867432051998012E-15</v>
      </c>
      <c r="DB98">
        <f>(10^-I98)</f>
        <v>1.2022644346174128E-9</v>
      </c>
      <c r="DC98">
        <f>DB98^2</f>
        <v>1.4454397707459272E-18</v>
      </c>
      <c r="DD98" s="20">
        <f>((14.6836*10^-9)*((H98/217.2056)-1)^1.997)*100*100</f>
        <v>1.4123111882329383E-5</v>
      </c>
      <c r="DE98">
        <f>CY98+CZ98*DA98/DB98</f>
        <v>1.7049381463756109E-2</v>
      </c>
      <c r="DF98">
        <f>1+DC98*(CU98*CX98+CU98*DB98)^-1</f>
        <v>1.0030956971825056</v>
      </c>
      <c r="DG98">
        <f>(DE98*DF98/DD98)^0.5</f>
        <v>34.798481883726311</v>
      </c>
      <c r="DH98">
        <f>DD98/(BO98/60/60)</f>
        <v>3.1020512513038664E-2</v>
      </c>
      <c r="DI98" s="16">
        <f>DF98/((DF98-1)+TANH(DG98*DH98)/(DG98*DH98))</f>
        <v>1.3597262642412491</v>
      </c>
      <c r="DJ98">
        <f>$DI98*BR98</f>
        <v>-18.357281807894786</v>
      </c>
      <c r="DK98">
        <f>$DI98*BY98</f>
        <v>-26.839803112312982</v>
      </c>
      <c r="DL98">
        <f>$DI98*CF98</f>
        <v>-4.1567413782462515</v>
      </c>
      <c r="DM98">
        <f>$DI98*CM98</f>
        <v>-9.5782699022032354</v>
      </c>
    </row>
    <row r="99" spans="1:117" ht="15.75" x14ac:dyDescent="0.25">
      <c r="A99" s="52" t="s">
        <v>58</v>
      </c>
      <c r="B99" s="55" t="s">
        <v>340</v>
      </c>
      <c r="C99" t="s">
        <v>249</v>
      </c>
      <c r="D99" s="57">
        <v>43238</v>
      </c>
      <c r="E99" s="42" t="str">
        <f>A99&amp;D99</f>
        <v>14A43238</v>
      </c>
      <c r="F99" s="3">
        <f>VLOOKUP($E99,Water!$C$2:$E$90, 2, FALSE)</f>
        <v>11.3</v>
      </c>
      <c r="G99" s="3">
        <f>VLOOKUP($E99,Water!$C$2:$E$90, 3, FALSE)</f>
        <v>1.73</v>
      </c>
      <c r="H99" s="1">
        <f>F99+273.15</f>
        <v>284.45</v>
      </c>
      <c r="I99" s="3">
        <f>VLOOKUP($E99,Water!$C$2:$F$90, 4, FALSE)</f>
        <v>8.92</v>
      </c>
      <c r="J99">
        <f>10^(I99*-1)</f>
        <v>1.2022644346174128E-9</v>
      </c>
      <c r="K99" s="25">
        <f>VLOOKUP($E99,Atm!$D$2:$G$45, 2, FALSE)</f>
        <v>422.83804776972539</v>
      </c>
      <c r="L99" s="25">
        <f>VLOOKUP($E99,Atm!$D$2:$G$45, 3, FALSE)</f>
        <v>1.9830235765966211</v>
      </c>
      <c r="M99" s="25">
        <f>VLOOKUP($E99,Atm!$D$2:$G$45, 4, FALSE)</f>
        <v>0.32915243042986875</v>
      </c>
      <c r="N99" s="21">
        <f>VLOOKUP($C99,Raw!$B$2:$F$353, 3, FALSE)</f>
        <v>227.98702886637389</v>
      </c>
      <c r="O99" s="21">
        <f>VLOOKUP($C99,Raw!$B$2:$F$353, 4, FALSE)</f>
        <v>24.319669192824129</v>
      </c>
      <c r="P99" s="21">
        <f>VLOOKUP($C99,Raw!$B$2:$F$353, 5, FALSE)</f>
        <v>0.29926507194550328</v>
      </c>
      <c r="Q99" s="14">
        <v>60</v>
      </c>
      <c r="R99" s="25">
        <v>1140</v>
      </c>
      <c r="S99">
        <f>EXP(24.4543-(100/H99*(67.4509))-(4.8489*LN(H99/100))-(0.000544*G99))</f>
        <v>1.3189113613063836E-2</v>
      </c>
      <c r="T99" s="8">
        <f>EXP(-58.0931+90.5069*(100/H99)+22.294*LN(H99/100)+G99*(0.027766-0.025888*(H99/100)+0.0050578*(H99/100)^2)*G99)</f>
        <v>5.0598354010520902E-2</v>
      </c>
      <c r="U99" s="9">
        <f>(EXP(-67.1962+99.1624*(100/H99)+27.9015*LN(H99/100)+G99*(-0.072909+0.041674*(H99/100)-0.0064603*(H99/100)^2)*G99))</f>
        <v>4.1291654249864543E-2</v>
      </c>
      <c r="V99" s="9">
        <f>(EXP(-64.8539+100.252*(100/H99)+25.2049*LN(H99/100)+(-0.062544+0.035337*(H99/100)-0.0054699*(H99/100)^2)*G99))</f>
        <v>3.7940480703305107E-2</v>
      </c>
      <c r="W99" s="9">
        <f>(EXP(-68.8862+101.4956*(100/H99)+28.7314*LN(H99/100)+G99*(-0.076146+0.04397*(H99/100)-0.0068672*(H99/100)^2)))</f>
        <v>4.1548603524694742E-2</v>
      </c>
      <c r="X99">
        <f>N99*(AZ99-S99)</f>
        <v>212.86077155850634</v>
      </c>
      <c r="Y99">
        <f>O99*(AZ99-S99)</f>
        <v>22.706131897820878</v>
      </c>
      <c r="Z99">
        <f>((Y99/10^6)*AZ99)/(0.082056*H99)</f>
        <v>9.2109502812846348E-7</v>
      </c>
      <c r="AA99">
        <f>(((L99/10^6)*AZ99)/(0.082056*H99))</f>
        <v>8.0443166862778874E-8</v>
      </c>
      <c r="AB99">
        <f>((Y99/10^6)*U99*1)/(0.082056*H99)</f>
        <v>4.0168827749985856E-8</v>
      </c>
      <c r="AC99">
        <f>(Z99*(Q99/1000))+(AB99*(R99/1000))</f>
        <v>1.0105816532269167E-7</v>
      </c>
      <c r="AD99" s="39">
        <f>((AC99-(AA99*(Q99/1000)))/(R99/1000))*1000000</f>
        <v>8.4413662553442931E-2</v>
      </c>
      <c r="AE99" s="39">
        <f>(AD99/((U99*AZ99*1))*(0.0821*273.15))</f>
        <v>48.41916117124417</v>
      </c>
      <c r="AF99" s="39">
        <f>L99*U99*AZ99*1/(0.0821*273.15)</f>
        <v>3.4571908926370053E-3</v>
      </c>
      <c r="AG99" s="39">
        <f>AD99-AF99</f>
        <v>8.0956471660805926E-2</v>
      </c>
      <c r="AH99" s="42">
        <f>P99*(AZ99-S99)</f>
        <v>0.2794097297182998</v>
      </c>
      <c r="AI99">
        <f>(((X99/10^6)*(Q99/1000))/(0.082056*H99))</f>
        <v>5.471804872086712E-7</v>
      </c>
      <c r="AJ99">
        <f>(((K99/10^6)*AZ99)*(Q99/1000))/(0.082056*H99)</f>
        <v>1.0291687512172458E-6</v>
      </c>
      <c r="AK99">
        <f>(X99/10^6)*T99*(R99/1000)</f>
        <v>1.227826132866771E-5</v>
      </c>
      <c r="AL99">
        <f>AI99+AK99</f>
        <v>1.2825441815876382E-5</v>
      </c>
      <c r="AM99" s="39">
        <f>((AL99-AJ99)/(R99/1000))*1000000</f>
        <v>10.347607951455384</v>
      </c>
      <c r="AN99" s="39">
        <f>AM99/(T99*AZ99)</f>
        <v>215.98620524899488</v>
      </c>
      <c r="AO99" s="39">
        <f>(K99*AZ99)*T99</f>
        <v>20.257600897408441</v>
      </c>
      <c r="AP99" s="39">
        <f>AM99-AO99</f>
        <v>-9.9099929459530571</v>
      </c>
      <c r="AQ99">
        <f>(((AH99/10^6)*(Q99/1000))/(0.082056*H99))</f>
        <v>7.18251422837111E-10</v>
      </c>
      <c r="AR99">
        <f>(((M99/10^6)*AZ99)*(Q99/1000))/(0.082056*H99)</f>
        <v>8.0114218096596671E-10</v>
      </c>
      <c r="AS99">
        <f>(AH99/10^6)*V99*(R99/1000)</f>
        <v>1.2085070982909849E-8</v>
      </c>
      <c r="AT99">
        <f>AQ99+AS99</f>
        <v>1.280332240574696E-8</v>
      </c>
      <c r="AU99" s="39">
        <f>((AT99-AR99)/(R99/1000))*1000000000</f>
        <v>10.52822826735175</v>
      </c>
      <c r="AV99" s="39">
        <f>(AU99/1000)/(V99*AZ99)</f>
        <v>0.29307238665791263</v>
      </c>
      <c r="AW99" s="39">
        <f>(M99*AZ99)*V99*1000</f>
        <v>11.824354937827144</v>
      </c>
      <c r="AX99" s="39">
        <f>AU99-AW99</f>
        <v>-1.2961266704753935</v>
      </c>
      <c r="AY99" s="26">
        <f>VLOOKUP($E99,Water!$C$2:$G$90, 5, FALSE)</f>
        <v>719.6</v>
      </c>
      <c r="AZ99">
        <f>AY99/760</f>
        <v>0.94684210526315793</v>
      </c>
      <c r="BA99" s="3">
        <f>Assumptions!$B$3</f>
        <v>406.07</v>
      </c>
      <c r="BB99" s="3">
        <f>BA99*AZ99*T99</f>
        <v>19.45426633151629</v>
      </c>
      <c r="BC99" s="3">
        <f>Assumptions!$B$4</f>
        <v>1.8474300000000001</v>
      </c>
      <c r="BD99" s="45">
        <f>BC99*AZ99*U99*1/(0.0821*273.15)</f>
        <v>3.2207978998141716E-3</v>
      </c>
      <c r="BE99" s="3">
        <f>Assumptions!$B$2</f>
        <v>0.33054499999999998</v>
      </c>
      <c r="BF99" s="44">
        <f>BE99*AZ99*V99*1000</f>
        <v>11.874381112178474</v>
      </c>
      <c r="BG99">
        <f>1923.6+(-125.06*F99)+(4.3773*(F99^2))+(-0.085681*(F99^3))+(0.00070284*(F99^4))</f>
        <v>957.19019986352384</v>
      </c>
      <c r="BH99">
        <f>1909.4+(-120.78*F99)+(4.1555*(F99^2))+(-0.080578*(F99^3))+(0.00065777*(F99^4))</f>
        <v>969.66080679849699</v>
      </c>
      <c r="BI99">
        <f>2141.2+(-152.56*F99)+(5.8963*(F99^2))+(-0.12411*(F99^3))+(0.0010655*(F99^4))</f>
        <v>1008.4652966445497</v>
      </c>
      <c r="BJ99" s="25">
        <f>VLOOKUP(E99,Wind!$C$2:$E$109,3, FALSE)</f>
        <v>2.1944444444444442</v>
      </c>
      <c r="BK99" s="44">
        <v>1.66</v>
      </c>
      <c r="BL99">
        <f>BK99/(1-(((1.3*10^-3)^0.5)/0.41)*LN(10/1.5))</f>
        <v>1.9923982880693825</v>
      </c>
      <c r="BM99">
        <f>BK99*1.22</f>
        <v>2.0251999999999999</v>
      </c>
      <c r="BN99">
        <f>2.07+0.215*(BM99^1.7)*(24/100)</f>
        <v>2.241255750541113</v>
      </c>
      <c r="BO99">
        <f>BN99*((600/BG99)^0.67)</f>
        <v>1.6390187865211823</v>
      </c>
      <c r="BP99">
        <f>BN99*((600/BH99)^0.67)</f>
        <v>1.6248656604306122</v>
      </c>
      <c r="BQ99">
        <f>BN99*((600/BI99)^0.67)</f>
        <v>1.5827047759097133</v>
      </c>
      <c r="BR99" s="39">
        <f>BO99*(AM99-BB99)</f>
        <v>-14.925984167350382</v>
      </c>
      <c r="BS99" s="39">
        <f>BP99*(AD99-BD99)</f>
        <v>0.13192749764767181</v>
      </c>
      <c r="BT99" s="39">
        <f>BQ99*(AU99-BF99)</f>
        <v>-2.1305625366117034</v>
      </c>
      <c r="BU99">
        <f>(2.51+1.48*BM99)+(0.39*BM99*LOG10(0.0015))</f>
        <v>3.2768938069574309</v>
      </c>
      <c r="BV99">
        <f>BU99*((600/$BG99)^0.67)</f>
        <v>2.3963755630036578</v>
      </c>
      <c r="BW99">
        <f>BU99*((600/$BH99)^0.67)</f>
        <v>2.3756825692549173</v>
      </c>
      <c r="BX99">
        <f>BU99*((600/$BI99)^0.67)</f>
        <v>2.3140400095653209</v>
      </c>
      <c r="BY99" s="39">
        <f>BV99*($AM99-$BB99)</f>
        <v>-21.822973602600435</v>
      </c>
      <c r="BZ99" s="39">
        <f>BW99*($AD99-$BD99)</f>
        <v>0.19288847330549955</v>
      </c>
      <c r="CA99" s="39">
        <f>BX99*($AU99-$BF99)</f>
        <v>-3.1150515419192168</v>
      </c>
      <c r="CB99" s="42">
        <f>AVERAGE(0.72,0.69,0.4,0.22)</f>
        <v>0.50750000000000006</v>
      </c>
      <c r="CC99">
        <f>CB99*((600/$BG99)^0.67)</f>
        <v>0.37113213606197132</v>
      </c>
      <c r="CD99">
        <f>CB99*((600/$BH99)^0.67)</f>
        <v>0.36792736503607204</v>
      </c>
      <c r="CE99">
        <f>CB99*((600/$BI99)^0.67)</f>
        <v>0.35838064155786553</v>
      </c>
      <c r="CF99" s="39">
        <f>CC99*($AM99-$BB99)</f>
        <v>-3.3797735769786557</v>
      </c>
      <c r="CG99" s="39">
        <f>CD99*($AD99-$BD99)</f>
        <v>2.9873076751740061E-2</v>
      </c>
      <c r="CH99" s="39">
        <f>CE99*($AU99-$BF99)</f>
        <v>-0.48243512016394718</v>
      </c>
      <c r="CI99">
        <v>0.86263901889527161</v>
      </c>
      <c r="CJ99">
        <f>((BG99/BH99)^0.67)*CI99</f>
        <v>0.85519002629953456</v>
      </c>
      <c r="CK99">
        <f>((BH99/BH99)^0.67)*CI99</f>
        <v>0.86263901889527161</v>
      </c>
      <c r="CL99">
        <f>((BI99/BH99)^0.67)*CI99</f>
        <v>0.88561843022481701</v>
      </c>
      <c r="CM99" s="39">
        <f>CJ99*($AM99-$BB99)</f>
        <v>-7.7879234195451632</v>
      </c>
      <c r="CN99" s="39">
        <f>CK99*($AD99-$BD99)</f>
        <v>7.0040133106102895E-2</v>
      </c>
      <c r="CO99" s="39">
        <f>CL99*($AU99-$BF99)</f>
        <v>-1.192177769278115</v>
      </c>
      <c r="CP99" s="27">
        <f>VLOOKUP(A99,Water!$A$2:$E$109, 5, FALSE)/1000</f>
        <v>9.1E-4</v>
      </c>
      <c r="CQ99">
        <f>0.64*CP99</f>
        <v>5.8240000000000006E-4</v>
      </c>
      <c r="CR99" s="19">
        <f>CQ99*1000*(2.5*10^-5)</f>
        <v>1.4560000000000001E-5</v>
      </c>
      <c r="CS99" s="18">
        <f>(-0.0000009*F99^3)+(0.0002*F99^2)-(0.0134*F99)+6.579</f>
        <v>6.4518193927</v>
      </c>
      <c r="CT99" s="18">
        <f>CS99-(SQRT(CP99))/(1+1.4*SQRT(CP99))</f>
        <v>6.4228755622259701</v>
      </c>
      <c r="CU99" s="18">
        <f>10^(-CT99)</f>
        <v>3.7768039164345209E-7</v>
      </c>
      <c r="CV99" s="18">
        <f>(0.000001*F99^3)+(0.00006*F99^2)-(0.014*F99)+10.625</f>
        <v>10.475904297</v>
      </c>
      <c r="CW99" s="18">
        <f>CV99-(2*SQRT(CR99))/(1+1.4*SQRT(CR99))</f>
        <v>10.46831333476082</v>
      </c>
      <c r="CX99" s="18">
        <f>10^(-CW99)</f>
        <v>3.4016268059312404E-11</v>
      </c>
      <c r="CY99">
        <f>EXP(1246.98+-61900/H99-183*LN(H99))</f>
        <v>9.2331211366839163E-3</v>
      </c>
      <c r="CZ99">
        <f>12.225*(F99^2)+15.258*F99+1125.7</f>
        <v>2859.12565</v>
      </c>
      <c r="DA99" s="15">
        <f>10^(-4470.99/H99+6.0875-0.01706*H99)</f>
        <v>3.2867432051998012E-15</v>
      </c>
      <c r="DB99">
        <f>(10^-I99)</f>
        <v>1.2022644346174128E-9</v>
      </c>
      <c r="DC99">
        <f>DB99^2</f>
        <v>1.4454397707459272E-18</v>
      </c>
      <c r="DD99" s="20">
        <f>((14.6836*10^-9)*((H99/217.2056)-1)^1.997)*100*100</f>
        <v>1.4123111882329383E-5</v>
      </c>
      <c r="DE99">
        <f>CY99+CZ99*DA99/DB99</f>
        <v>1.7049381463756109E-2</v>
      </c>
      <c r="DF99">
        <f>1+DC99*(CU99*CX99+CU99*DB99)^-1</f>
        <v>1.0030956971825056</v>
      </c>
      <c r="DG99">
        <f>(DE99*DF99/DD99)^0.5</f>
        <v>34.798481883726311</v>
      </c>
      <c r="DH99">
        <f>DD99/(BO99/60/60)</f>
        <v>3.1020512513038664E-2</v>
      </c>
      <c r="DI99" s="16">
        <f>DF99/((DF99-1)+TANH(DG99*DH99)/(DG99*DH99))</f>
        <v>1.3597262642412491</v>
      </c>
      <c r="DJ99">
        <f>$DI99*BR99</f>
        <v>-20.295252691995366</v>
      </c>
      <c r="DK99">
        <f>$DI99*BY99</f>
        <v>-29.673270371299282</v>
      </c>
      <c r="DL99">
        <f>$DI99*CF99</f>
        <v>-4.5955668998064709</v>
      </c>
      <c r="DM99">
        <f>$DI99*CM99</f>
        <v>-10.589444017455079</v>
      </c>
    </row>
    <row r="100" spans="1:117" ht="15.75" x14ac:dyDescent="0.25">
      <c r="A100" s="52" t="s">
        <v>58</v>
      </c>
      <c r="B100" s="55" t="s">
        <v>341</v>
      </c>
      <c r="C100" t="s">
        <v>250</v>
      </c>
      <c r="D100" s="57">
        <v>43238</v>
      </c>
      <c r="E100" s="42" t="str">
        <f>A100&amp;D100</f>
        <v>14A43238</v>
      </c>
      <c r="F100" s="3">
        <f>VLOOKUP($E100,Water!$C$2:$E$90, 2, FALSE)</f>
        <v>11.3</v>
      </c>
      <c r="G100" s="3">
        <f>VLOOKUP($E100,Water!$C$2:$E$90, 3, FALSE)</f>
        <v>1.73</v>
      </c>
      <c r="H100" s="1">
        <f>F100+273.15</f>
        <v>284.45</v>
      </c>
      <c r="I100" s="3">
        <f>VLOOKUP($E100,Water!$C$2:$F$90, 4, FALSE)</f>
        <v>8.92</v>
      </c>
      <c r="J100">
        <f>10^(I100*-1)</f>
        <v>1.2022644346174128E-9</v>
      </c>
      <c r="K100" s="25">
        <f>VLOOKUP($E100,Atm!$D$2:$G$45, 2, FALSE)</f>
        <v>422.83804776972539</v>
      </c>
      <c r="L100" s="25">
        <f>VLOOKUP($E100,Atm!$D$2:$G$45, 3, FALSE)</f>
        <v>1.9830235765966211</v>
      </c>
      <c r="M100" s="25">
        <f>VLOOKUP($E100,Atm!$D$2:$G$45, 4, FALSE)</f>
        <v>0.32915243042986875</v>
      </c>
      <c r="N100" s="21">
        <f>VLOOKUP($C100,Raw!$B$2:$F$353, 3, FALSE)</f>
        <v>206.78241222470251</v>
      </c>
      <c r="O100" s="21">
        <f>VLOOKUP($C100,Raw!$B$2:$F$353, 4, FALSE)</f>
        <v>23.395524206368911</v>
      </c>
      <c r="P100" s="21">
        <f>VLOOKUP($C100,Raw!$B$2:$F$353, 5, FALSE)</f>
        <v>0.28388773502090558</v>
      </c>
      <c r="Q100" s="14">
        <v>60</v>
      </c>
      <c r="R100" s="25">
        <v>1140</v>
      </c>
      <c r="S100">
        <f>EXP(24.4543-(100/H100*(67.4509))-(4.8489*LN(H100/100))-(0.000544*G100))</f>
        <v>1.3189113613063836E-2</v>
      </c>
      <c r="T100" s="8">
        <f>EXP(-58.0931+90.5069*(100/H100)+22.294*LN(H100/100)+G100*(0.027766-0.025888*(H100/100)+0.0050578*(H100/100)^2)*G100)</f>
        <v>5.0598354010520902E-2</v>
      </c>
      <c r="U100" s="9">
        <f>(EXP(-67.1962+99.1624*(100/H100)+27.9015*LN(H100/100)+G100*(-0.072909+0.041674*(H100/100)-0.0064603*(H100/100)^2)*G100))</f>
        <v>4.1291654249864543E-2</v>
      </c>
      <c r="V100" s="9">
        <f>(EXP(-64.8539+100.252*(100/H100)+25.2049*LN(H100/100)+(-0.062544+0.035337*(H100/100)-0.0054699*(H100/100)^2)*G100))</f>
        <v>3.7940480703305107E-2</v>
      </c>
      <c r="W100" s="9">
        <f>(EXP(-68.8862+101.4956*(100/H100)+28.7314*LN(H100/100)+G100*(-0.076146+0.04397*(H100/100)-0.0068672*(H100/100)^2)))</f>
        <v>4.1548603524694742E-2</v>
      </c>
      <c r="X100">
        <f>N100*(AZ100-S100)</f>
        <v>193.06301779421648</v>
      </c>
      <c r="Y100">
        <f>O100*(AZ100-S100)</f>
        <v>21.843301166498527</v>
      </c>
      <c r="Z100">
        <f>((Y100/10^6)*AZ100)/(0.082056*H100)</f>
        <v>8.8609350958211263E-7</v>
      </c>
      <c r="AA100">
        <f>(((L100/10^6)*AZ100)/(0.082056*H100))</f>
        <v>8.0443166862778874E-8</v>
      </c>
      <c r="AB100">
        <f>((Y100/10^6)*U100*1)/(0.082056*H100)</f>
        <v>3.8642416330381267E-8</v>
      </c>
      <c r="AC100">
        <f>(Z100*(Q100/1000))+(AB100*(R100/1000))</f>
        <v>9.7217965191561394E-8</v>
      </c>
      <c r="AD100" s="39">
        <f>((AC100-(AA100*(Q100/1000)))/(R100/1000))*1000000</f>
        <v>8.1045065947188313E-2</v>
      </c>
      <c r="AE100" s="39">
        <f>(AD100/((U100*AZ100*1))*(0.0821*273.15))</f>
        <v>46.486954736108324</v>
      </c>
      <c r="AF100" s="39">
        <f>L100*U100*AZ100*1/(0.0821*273.15)</f>
        <v>3.4571908926370053E-3</v>
      </c>
      <c r="AG100" s="39">
        <f>AD100-AF100</f>
        <v>7.7587875054551309E-2</v>
      </c>
      <c r="AH100" s="42">
        <f>P100*(AZ100-S100)</f>
        <v>0.26505263309503768</v>
      </c>
      <c r="AI100">
        <f>(((X100/10^6)*(Q100/1000))/(0.082056*H100))</f>
        <v>4.9628832670833249E-7</v>
      </c>
      <c r="AJ100">
        <f>(((K100/10^6)*AZ100)*(Q100/1000))/(0.082056*H100)</f>
        <v>1.0291687512172458E-6</v>
      </c>
      <c r="AK100">
        <f>(X100/10^6)*T100*(R100/1000)</f>
        <v>1.1136284849588036E-5</v>
      </c>
      <c r="AL100">
        <f>AI100+AK100</f>
        <v>1.1632573176296368E-5</v>
      </c>
      <c r="AM100" s="39">
        <f>((AL100-AJ100)/(R100/1000))*1000000</f>
        <v>9.3012319518237927</v>
      </c>
      <c r="AN100" s="39">
        <f>AM100/(T100*AZ100)</f>
        <v>194.14513990478034</v>
      </c>
      <c r="AO100" s="39">
        <f>(K100*AZ100)*T100</f>
        <v>20.257600897408441</v>
      </c>
      <c r="AP100" s="39">
        <f>AM100-AO100</f>
        <v>-10.956368945584648</v>
      </c>
      <c r="AQ100">
        <f>(((AH100/10^6)*(Q100/1000))/(0.082056*H100))</f>
        <v>6.8134503060852092E-10</v>
      </c>
      <c r="AR100">
        <f>(((M100/10^6)*AZ100)*(Q100/1000))/(0.082056*H100)</f>
        <v>8.0114218096596671E-10</v>
      </c>
      <c r="AS100">
        <f>(AH100/10^6)*V100*(R100/1000)</f>
        <v>1.1464095714884832E-8</v>
      </c>
      <c r="AT100">
        <f>AQ100+AS100</f>
        <v>1.2145440745493353E-8</v>
      </c>
      <c r="AU100" s="39">
        <f>((AT100-AR100)/(R100/1000))*1000000000</f>
        <v>9.9511390916906901</v>
      </c>
      <c r="AV100" s="39">
        <f>(AU100/1000)/(V100*AZ100)</f>
        <v>0.2770080596191547</v>
      </c>
      <c r="AW100" s="39">
        <f>(M100*AZ100)*V100*1000</f>
        <v>11.824354937827144</v>
      </c>
      <c r="AX100" s="39">
        <f>AU100-AW100</f>
        <v>-1.8732158461364534</v>
      </c>
      <c r="AY100" s="26">
        <f>VLOOKUP($E100,Water!$C$2:$G$90, 5, FALSE)</f>
        <v>719.6</v>
      </c>
      <c r="AZ100">
        <f>AY100/760</f>
        <v>0.94684210526315793</v>
      </c>
      <c r="BA100" s="3">
        <f>Assumptions!$B$3</f>
        <v>406.07</v>
      </c>
      <c r="BB100" s="3">
        <f>BA100*AZ100*T100</f>
        <v>19.45426633151629</v>
      </c>
      <c r="BC100" s="3">
        <f>Assumptions!$B$4</f>
        <v>1.8474300000000001</v>
      </c>
      <c r="BD100" s="45">
        <f>BC100*AZ100*U100*1/(0.0821*273.15)</f>
        <v>3.2207978998141716E-3</v>
      </c>
      <c r="BE100" s="3">
        <f>Assumptions!$B$2</f>
        <v>0.33054499999999998</v>
      </c>
      <c r="BF100" s="44">
        <f>BE100*AZ100*V100*1000</f>
        <v>11.874381112178474</v>
      </c>
      <c r="BG100">
        <f>1923.6+(-125.06*F100)+(4.3773*(F100^2))+(-0.085681*(F100^3))+(0.00070284*(F100^4))</f>
        <v>957.19019986352384</v>
      </c>
      <c r="BH100">
        <f>1909.4+(-120.78*F100)+(4.1555*(F100^2))+(-0.080578*(F100^3))+(0.00065777*(F100^4))</f>
        <v>969.66080679849699</v>
      </c>
      <c r="BI100">
        <f>2141.2+(-152.56*F100)+(5.8963*(F100^2))+(-0.12411*(F100^3))+(0.0010655*(F100^4))</f>
        <v>1008.4652966445497</v>
      </c>
      <c r="BJ100" s="25">
        <f>VLOOKUP(E100,Wind!$C$2:$E$109,3, FALSE)</f>
        <v>2.1944444444444442</v>
      </c>
      <c r="BK100" s="44">
        <v>1.66</v>
      </c>
      <c r="BL100">
        <f>BK100/(1-(((1.3*10^-3)^0.5)/0.41)*LN(10/1.5))</f>
        <v>1.9923982880693825</v>
      </c>
      <c r="BM100">
        <f>BK100*1.22</f>
        <v>2.0251999999999999</v>
      </c>
      <c r="BN100">
        <f>2.07+0.215*(BM100^1.7)*(24/100)</f>
        <v>2.241255750541113</v>
      </c>
      <c r="BO100">
        <f>BN100*((600/BG100)^0.67)</f>
        <v>1.6390187865211823</v>
      </c>
      <c r="BP100">
        <f>BN100*((600/BH100)^0.67)</f>
        <v>1.6248656604306122</v>
      </c>
      <c r="BQ100">
        <f>BN100*((600/BI100)^0.67)</f>
        <v>1.5827047759097133</v>
      </c>
      <c r="BR100" s="39">
        <f>BO100*(AM100-BB100)</f>
        <v>-16.641014088511444</v>
      </c>
      <c r="BS100" s="39">
        <f>BP100*(AD100-BD100)</f>
        <v>0.12645398069832559</v>
      </c>
      <c r="BT100" s="39">
        <f>BQ100*(AU100-BF100)</f>
        <v>-3.0439243310562625</v>
      </c>
      <c r="BU100">
        <f>(2.51+1.48*BM100)+(0.39*BM100*LOG10(0.0015))</f>
        <v>3.2768938069574309</v>
      </c>
      <c r="BV100">
        <f>BU100*((600/$BG100)^0.67)</f>
        <v>2.3963755630036578</v>
      </c>
      <c r="BW100">
        <f>BU100*((600/$BH100)^0.67)</f>
        <v>2.3756825692549173</v>
      </c>
      <c r="BX100">
        <f>BU100*((600/$BI100)^0.67)</f>
        <v>2.3140400095653209</v>
      </c>
      <c r="BY100" s="39">
        <f>BV100*($AM100-$BB100)</f>
        <v>-24.330483477831102</v>
      </c>
      <c r="BZ100" s="39">
        <f>BW100*($AD100-$BD100)</f>
        <v>0.18488575706516919</v>
      </c>
      <c r="CA100" s="39">
        <f>BX100*($AU100-$BF100)</f>
        <v>-4.4504589834859791</v>
      </c>
      <c r="CB100" s="42">
        <f>AVERAGE(0.72,0.69,0.4,0.22)</f>
        <v>0.50750000000000006</v>
      </c>
      <c r="CC100">
        <f>CB100*((600/$BG100)^0.67)</f>
        <v>0.37113213606197132</v>
      </c>
      <c r="CD100">
        <f>CB100*((600/$BH100)^0.67)</f>
        <v>0.36792736503607204</v>
      </c>
      <c r="CE100">
        <f>CB100*((600/$BI100)^0.67)</f>
        <v>0.35838064155786553</v>
      </c>
      <c r="CF100" s="39">
        <f>CC100*($AM100-$BB100)</f>
        <v>-3.7681173368459087</v>
      </c>
      <c r="CG100" s="39">
        <f>CD100*($AD100-$BD100)</f>
        <v>2.8633677878531345E-2</v>
      </c>
      <c r="CH100" s="39">
        <f>CE100*($AU100-$BF100)</f>
        <v>-0.6892527091734576</v>
      </c>
      <c r="CI100">
        <v>0.86263901889527161</v>
      </c>
      <c r="CJ100">
        <f>((BG100/BH100)^0.67)*CI100</f>
        <v>0.85519002629953456</v>
      </c>
      <c r="CK100">
        <f>((BH100/BH100)^0.67)*CI100</f>
        <v>0.86263901889527161</v>
      </c>
      <c r="CL100">
        <f>((BI100/BH100)^0.67)*CI100</f>
        <v>0.88561843022481701</v>
      </c>
      <c r="CM100" s="39">
        <f>CJ100*($AM100-$BB100)</f>
        <v>-8.6827737381893062</v>
      </c>
      <c r="CN100" s="39">
        <f>CK100*($AD100-$BD100)</f>
        <v>6.7134250234629475E-2</v>
      </c>
      <c r="CO100" s="39">
        <f>CL100*($AU100-$BF100)</f>
        <v>-1.7032585791267967</v>
      </c>
      <c r="CP100" s="27">
        <f>VLOOKUP(A100,Water!$A$2:$E$109, 5, FALSE)/1000</f>
        <v>9.1E-4</v>
      </c>
      <c r="CQ100">
        <f>0.64*CP100</f>
        <v>5.8240000000000006E-4</v>
      </c>
      <c r="CR100" s="19">
        <f>CQ100*1000*(2.5*10^-5)</f>
        <v>1.4560000000000001E-5</v>
      </c>
      <c r="CS100" s="18">
        <f>(-0.0000009*F100^3)+(0.0002*F100^2)-(0.0134*F100)+6.579</f>
        <v>6.4518193927</v>
      </c>
      <c r="CT100" s="18">
        <f>CS100-(SQRT(CP100))/(1+1.4*SQRT(CP100))</f>
        <v>6.4228755622259701</v>
      </c>
      <c r="CU100" s="18">
        <f>10^(-CT100)</f>
        <v>3.7768039164345209E-7</v>
      </c>
      <c r="CV100" s="18">
        <f>(0.000001*F100^3)+(0.00006*F100^2)-(0.014*F100)+10.625</f>
        <v>10.475904297</v>
      </c>
      <c r="CW100" s="18">
        <f>CV100-(2*SQRT(CR100))/(1+1.4*SQRT(CR100))</f>
        <v>10.46831333476082</v>
      </c>
      <c r="CX100" s="18">
        <f>10^(-CW100)</f>
        <v>3.4016268059312404E-11</v>
      </c>
      <c r="CY100">
        <f>EXP(1246.98+-61900/H100-183*LN(H100))</f>
        <v>9.2331211366839163E-3</v>
      </c>
      <c r="CZ100">
        <f>12.225*(F100^2)+15.258*F100+1125.7</f>
        <v>2859.12565</v>
      </c>
      <c r="DA100" s="15">
        <f>10^(-4470.99/H100+6.0875-0.01706*H100)</f>
        <v>3.2867432051998012E-15</v>
      </c>
      <c r="DB100">
        <f>(10^-I100)</f>
        <v>1.2022644346174128E-9</v>
      </c>
      <c r="DC100">
        <f>DB100^2</f>
        <v>1.4454397707459272E-18</v>
      </c>
      <c r="DD100" s="20">
        <f>((14.6836*10^-9)*((H100/217.2056)-1)^1.997)*100*100</f>
        <v>1.4123111882329383E-5</v>
      </c>
      <c r="DE100">
        <f>CY100+CZ100*DA100/DB100</f>
        <v>1.7049381463756109E-2</v>
      </c>
      <c r="DF100">
        <f>1+DC100*(CU100*CX100+CU100*DB100)^-1</f>
        <v>1.0030956971825056</v>
      </c>
      <c r="DG100">
        <f>(DE100*DF100/DD100)^0.5</f>
        <v>34.798481883726311</v>
      </c>
      <c r="DH100">
        <f>DD100/(BO100/60/60)</f>
        <v>3.1020512513038664E-2</v>
      </c>
      <c r="DI100" s="16">
        <f>DF100/((DF100-1)+TANH(DG100*DH100)/(DG100*DH100))</f>
        <v>1.3597262642412491</v>
      </c>
      <c r="DJ100">
        <f>$DI100*BR100</f>
        <v>-22.627223919757661</v>
      </c>
      <c r="DK100">
        <f>$DI100*BY100</f>
        <v>-33.08279740649472</v>
      </c>
      <c r="DL100">
        <f>$DI100*CF100</f>
        <v>-5.1236081096521717</v>
      </c>
      <c r="DM100">
        <f>$DI100*CM100</f>
        <v>-11.806195498280172</v>
      </c>
    </row>
    <row r="101" spans="1:117" ht="15.75" x14ac:dyDescent="0.25">
      <c r="A101" s="51" t="s">
        <v>58</v>
      </c>
      <c r="B101" s="54" t="s">
        <v>342</v>
      </c>
      <c r="C101" s="48" t="s">
        <v>251</v>
      </c>
      <c r="D101" s="57">
        <v>43238</v>
      </c>
      <c r="E101" s="42" t="str">
        <f>A101&amp;D101</f>
        <v>14A43238</v>
      </c>
      <c r="F101" s="3">
        <f>VLOOKUP($E101,Water!$C$2:$E$90, 2, FALSE)</f>
        <v>11.3</v>
      </c>
      <c r="G101" s="3">
        <f>VLOOKUP($E101,Water!$C$2:$E$90, 3, FALSE)</f>
        <v>1.73</v>
      </c>
      <c r="H101" s="1">
        <f>F101+273.15</f>
        <v>284.45</v>
      </c>
      <c r="I101" s="3">
        <f>VLOOKUP($E101,Water!$C$2:$F$90, 4, FALSE)</f>
        <v>8.92</v>
      </c>
      <c r="J101">
        <f>10^(I101*-1)</f>
        <v>1.2022644346174128E-9</v>
      </c>
      <c r="K101" s="25">
        <f>VLOOKUP($E101,Atm!$D$2:$G$45, 2, FALSE)</f>
        <v>422.83804776972539</v>
      </c>
      <c r="L101" s="25">
        <f>VLOOKUP($E101,Atm!$D$2:$G$45, 3, FALSE)</f>
        <v>1.9830235765966211</v>
      </c>
      <c r="M101" s="25">
        <f>VLOOKUP($E101,Atm!$D$2:$G$45, 4, FALSE)</f>
        <v>0.32915243042986875</v>
      </c>
      <c r="N101" s="21">
        <f>VLOOKUP($C101,Raw!$B$2:$F$353, 3, FALSE)</f>
        <v>256.791</v>
      </c>
      <c r="O101" s="21">
        <f>VLOOKUP($C101,Raw!$B$2:$F$353, 4, FALSE)</f>
        <v>22.920999999999999</v>
      </c>
      <c r="P101" s="21">
        <f>VLOOKUP($C101,Raw!$B$2:$F$353, 5, FALSE)</f>
        <v>0.26</v>
      </c>
      <c r="Q101" s="14">
        <v>60</v>
      </c>
      <c r="R101" s="25">
        <v>1140</v>
      </c>
      <c r="S101">
        <f>EXP(24.4543-(100/H101*(67.4509))-(4.8489*LN(H101/100))-(0.000544*G101))</f>
        <v>1.3189113613063836E-2</v>
      </c>
      <c r="T101" s="8">
        <f>EXP(-58.0931+90.5069*(100/H101)+22.294*LN(H101/100)+G101*(0.027766-0.025888*(H101/100)+0.0050578*(H101/100)^2)*G101)</f>
        <v>5.0598354010520902E-2</v>
      </c>
      <c r="U101" s="9">
        <f>(EXP(-67.1962+99.1624*(100/H101)+27.9015*LN(H101/100)+G101*(-0.072909+0.041674*(H101/100)-0.0064603*(H101/100)^2)*G101))</f>
        <v>4.1291654249864543E-2</v>
      </c>
      <c r="V101" s="9">
        <f>(EXP(-64.8539+100.252*(100/H101)+25.2049*LN(H101/100)+(-0.062544+0.035337*(H101/100)-0.0054699*(H101/100)^2)*G101))</f>
        <v>3.7940480703305107E-2</v>
      </c>
      <c r="W101" s="9">
        <f>(EXP(-68.8862+101.4956*(100/H101)+28.7314*LN(H101/100)+G101*(-0.076146+0.04397*(H101/100)-0.0068672*(H101/100)^2)))</f>
        <v>4.1548603524694742E-2</v>
      </c>
      <c r="X101">
        <f>N101*(AZ101-S101)</f>
        <v>239.75368537881931</v>
      </c>
      <c r="Y101">
        <f>O101*(AZ101-S101)</f>
        <v>21.400260221611806</v>
      </c>
      <c r="Z101">
        <f>((Y101/10^6)*AZ101)/(0.082056*H101)</f>
        <v>8.6812114804431777E-7</v>
      </c>
      <c r="AA101">
        <f>(((L101/10^6)*AZ101)/(0.082056*H101))</f>
        <v>8.0443166862778874E-8</v>
      </c>
      <c r="AB101">
        <f>((Y101/10^6)*U101*1)/(0.082056*H101)</f>
        <v>3.7858644110549599E-8</v>
      </c>
      <c r="AC101">
        <f>(Z101*(Q101/1000))+(AB101*(R101/1000))</f>
        <v>9.5246123168685606E-8</v>
      </c>
      <c r="AD101" s="39">
        <f>((AC101-(AA101*(Q101/1000)))/(R101/1000))*1000000</f>
        <v>7.931537996220954E-2</v>
      </c>
      <c r="AE101" s="39">
        <f>(AD101/((U101*AZ101*1))*(0.0821*273.15))</f>
        <v>45.494817421496407</v>
      </c>
      <c r="AF101" s="39">
        <f>L101*U101*AZ101*1/(0.0821*273.15)</f>
        <v>3.4571908926370053E-3</v>
      </c>
      <c r="AG101" s="39">
        <f>AD101-AF101</f>
        <v>7.5858189069572535E-2</v>
      </c>
      <c r="AH101" s="42">
        <f>P101*(AZ101-S101)</f>
        <v>0.24274977782902446</v>
      </c>
      <c r="AI101">
        <f>(((X101/10^6)*(Q101/1000))/(0.082056*H101))</f>
        <v>6.1631148574315249E-7</v>
      </c>
      <c r="AJ101">
        <f>(((K101/10^6)*AZ101)*(Q101/1000))/(0.082056*H101)</f>
        <v>1.0291687512172458E-6</v>
      </c>
      <c r="AK101">
        <f>(X101/10^6)*T101*(R101/1000)</f>
        <v>1.3829501706861984E-5</v>
      </c>
      <c r="AL101">
        <f>AI101+AK101</f>
        <v>1.4445813192605137E-5</v>
      </c>
      <c r="AM101" s="39">
        <f>((AL101-AJ101)/(R101/1000))*1000000</f>
        <v>11.768986352094643</v>
      </c>
      <c r="AN101" s="39">
        <f>AM101/(T101*AZ101)</f>
        <v>245.65471689122228</v>
      </c>
      <c r="AO101" s="39">
        <f>(K101*AZ101)*T101</f>
        <v>20.257600897408441</v>
      </c>
      <c r="AP101" s="39">
        <f>AM101-AO101</f>
        <v>-8.4886145453137978</v>
      </c>
      <c r="AQ101">
        <f>(((AH101/10^6)*(Q101/1000))/(0.082056*H101))</f>
        <v>6.2401324926971605E-10</v>
      </c>
      <c r="AR101">
        <f>(((M101/10^6)*AZ101)*(Q101/1000))/(0.082056*H101)</f>
        <v>8.0114218096596671E-10</v>
      </c>
      <c r="AS101">
        <f>(AH101/10^6)*V101*(R101/1000)</f>
        <v>1.0499449318057222E-8</v>
      </c>
      <c r="AT101">
        <f>AQ101+AS101</f>
        <v>1.1123462567326938E-8</v>
      </c>
      <c r="AU101" s="39">
        <f>((AT101-AR101)/(R101/1000))*1000000000</f>
        <v>9.0546670055798</v>
      </c>
      <c r="AV101" s="39">
        <f>(AU101/1000)/(V101*AZ101)</f>
        <v>0.25205312825017484</v>
      </c>
      <c r="AW101" s="39">
        <f>(M101*AZ101)*V101*1000</f>
        <v>11.824354937827144</v>
      </c>
      <c r="AX101" s="39">
        <f>AU101-AW101</f>
        <v>-2.7696879322473436</v>
      </c>
      <c r="AY101" s="26">
        <f>VLOOKUP($E101,Water!$C$2:$G$90, 5, FALSE)</f>
        <v>719.6</v>
      </c>
      <c r="AZ101">
        <f>AY101/760</f>
        <v>0.94684210526315793</v>
      </c>
      <c r="BA101" s="3">
        <f>Assumptions!$B$3</f>
        <v>406.07</v>
      </c>
      <c r="BB101" s="3">
        <f>BA101*AZ101*T101</f>
        <v>19.45426633151629</v>
      </c>
      <c r="BC101" s="3">
        <f>Assumptions!$B$4</f>
        <v>1.8474300000000001</v>
      </c>
      <c r="BD101" s="45">
        <f>BC101*AZ101*U101*1/(0.0821*273.15)</f>
        <v>3.2207978998141716E-3</v>
      </c>
      <c r="BE101" s="3">
        <f>Assumptions!$B$2</f>
        <v>0.33054499999999998</v>
      </c>
      <c r="BF101" s="44">
        <f>BE101*AZ101*V101*1000</f>
        <v>11.874381112178474</v>
      </c>
      <c r="BG101">
        <f>1923.6+(-125.06*F101)+(4.3773*(F101^2))+(-0.085681*(F101^3))+(0.00070284*(F101^4))</f>
        <v>957.19019986352384</v>
      </c>
      <c r="BH101">
        <f>1909.4+(-120.78*F101)+(4.1555*(F101^2))+(-0.080578*(F101^3))+(0.00065777*(F101^4))</f>
        <v>969.66080679849699</v>
      </c>
      <c r="BI101">
        <f>2141.2+(-152.56*F101)+(5.8963*(F101^2))+(-0.12411*(F101^3))+(0.0010655*(F101^4))</f>
        <v>1008.4652966445497</v>
      </c>
      <c r="BJ101" s="25">
        <f>VLOOKUP(E101,Wind!$C$2:$E$109,3, FALSE)</f>
        <v>2.1944444444444442</v>
      </c>
      <c r="BK101" s="44">
        <v>1.66</v>
      </c>
      <c r="BL101">
        <f>BK101/(1-(((1.3*10^-3)^0.5)/0.41)*LN(10/1.5))</f>
        <v>1.9923982880693825</v>
      </c>
      <c r="BM101">
        <f>BK101*1.22</f>
        <v>2.0251999999999999</v>
      </c>
      <c r="BN101">
        <f>2.07+0.215*(BM101^1.7)*(24/100)</f>
        <v>2.241255750541113</v>
      </c>
      <c r="BO101">
        <f>BN101*((600/BG101)^0.67)</f>
        <v>1.6390187865211823</v>
      </c>
      <c r="BP101">
        <f>BN101*((600/BH101)^0.67)</f>
        <v>1.6248656604306122</v>
      </c>
      <c r="BQ101">
        <f>BN101*((600/BI101)^0.67)</f>
        <v>1.5827047759097133</v>
      </c>
      <c r="BR101" s="39">
        <f>BO101*(AM101-BB101)</f>
        <v>-12.596318265947206</v>
      </c>
      <c r="BS101" s="39">
        <f>BP101*(AD101-BD101)</f>
        <v>0.12364347333800547</v>
      </c>
      <c r="BT101" s="39">
        <f>BQ101*(AU101-BF101)</f>
        <v>-4.4627749832137118</v>
      </c>
      <c r="BU101">
        <f>(2.51+1.48*BM101)+(0.39*BM101*LOG10(0.0015))</f>
        <v>3.2768938069574309</v>
      </c>
      <c r="BV101">
        <f>BU101*((600/$BG101)^0.67)</f>
        <v>2.3963755630036578</v>
      </c>
      <c r="BW101">
        <f>BU101*((600/$BH101)^0.67)</f>
        <v>2.3756825692549173</v>
      </c>
      <c r="BX101">
        <f>BU101*((600/$BI101)^0.67)</f>
        <v>2.3140400095653209</v>
      </c>
      <c r="BY101" s="39">
        <f>BV101*($AM101-$BB101)</f>
        <v>-18.416817137527289</v>
      </c>
      <c r="BZ101" s="39">
        <f>BW101*($AD101-$BD101)</f>
        <v>0.18077657222037058</v>
      </c>
      <c r="CA101" s="39">
        <f>BX101*($AU101-$BF101)</f>
        <v>-6.5249312582050658</v>
      </c>
      <c r="CB101" s="42">
        <f>AVERAGE(0.72,0.69,0.4,0.22)</f>
        <v>0.50750000000000006</v>
      </c>
      <c r="CC101">
        <f>CB101*((600/$BG101)^0.67)</f>
        <v>0.37113213606197132</v>
      </c>
      <c r="CD101">
        <f>CB101*((600/$BH101)^0.67)</f>
        <v>0.36792736503607204</v>
      </c>
      <c r="CE101">
        <f>CB101*((600/$BI101)^0.67)</f>
        <v>0.35838064155786553</v>
      </c>
      <c r="CF101" s="39">
        <f>CC101*($AM101-$BB101)</f>
        <v>-2.852254374997059</v>
      </c>
      <c r="CG101" s="39">
        <f>CD101*($AD101-$BD101)</f>
        <v>2.7997279071738282E-2</v>
      </c>
      <c r="CH101" s="39">
        <f>CE101*($AU101-$BF101)</f>
        <v>-1.0105309505325966</v>
      </c>
      <c r="CI101">
        <v>0.86263901889527161</v>
      </c>
      <c r="CJ101">
        <f>((BG101/BH101)^0.67)*CI101</f>
        <v>0.85519002629953456</v>
      </c>
      <c r="CK101">
        <f>((BH101/BH101)^0.67)*CI101</f>
        <v>0.86263901889527161</v>
      </c>
      <c r="CL101">
        <f>((BI101/BH101)^0.67)*CI101</f>
        <v>0.88561843022481701</v>
      </c>
      <c r="CM101" s="39">
        <f>CJ101*($AM101-$BB101)</f>
        <v>-6.5723747877208849</v>
      </c>
      <c r="CN101" s="39">
        <f>CK101*($AD101-$BD101)</f>
        <v>6.5642155613550482E-2</v>
      </c>
      <c r="CO101" s="39">
        <f>CL101*($AU101-$BF101)</f>
        <v>-2.4971907807686899</v>
      </c>
      <c r="CP101" s="27">
        <f>VLOOKUP(A101,Water!$A$2:$E$109, 5, FALSE)/1000</f>
        <v>9.1E-4</v>
      </c>
      <c r="CQ101">
        <f>0.64*CP101</f>
        <v>5.8240000000000006E-4</v>
      </c>
      <c r="CR101" s="19">
        <f>CQ101*1000*(2.5*10^-5)</f>
        <v>1.4560000000000001E-5</v>
      </c>
      <c r="CS101" s="18">
        <f>(-0.0000009*F101^3)+(0.0002*F101^2)-(0.0134*F101)+6.579</f>
        <v>6.4518193927</v>
      </c>
      <c r="CT101" s="18">
        <f>CS101-(SQRT(CP101))/(1+1.4*SQRT(CP101))</f>
        <v>6.4228755622259701</v>
      </c>
      <c r="CU101" s="18">
        <f>10^(-CT101)</f>
        <v>3.7768039164345209E-7</v>
      </c>
      <c r="CV101" s="18">
        <f>(0.000001*F101^3)+(0.00006*F101^2)-(0.014*F101)+10.625</f>
        <v>10.475904297</v>
      </c>
      <c r="CW101" s="18">
        <f>CV101-(2*SQRT(CR101))/(1+1.4*SQRT(CR101))</f>
        <v>10.46831333476082</v>
      </c>
      <c r="CX101" s="18">
        <f>10^(-CW101)</f>
        <v>3.4016268059312404E-11</v>
      </c>
      <c r="CY101">
        <f>EXP(1246.98+-61900/H101-183*LN(H101))</f>
        <v>9.2331211366839163E-3</v>
      </c>
      <c r="CZ101">
        <f>12.225*(F101^2)+15.258*F101+1125.7</f>
        <v>2859.12565</v>
      </c>
      <c r="DA101" s="15">
        <f>10^(-4470.99/H101+6.0875-0.01706*H101)</f>
        <v>3.2867432051998012E-15</v>
      </c>
      <c r="DB101">
        <f>(10^-I101)</f>
        <v>1.2022644346174128E-9</v>
      </c>
      <c r="DC101">
        <f>DB101^2</f>
        <v>1.4454397707459272E-18</v>
      </c>
      <c r="DD101" s="20">
        <f>((14.6836*10^-9)*((H101/217.2056)-1)^1.997)*100*100</f>
        <v>1.4123111882329383E-5</v>
      </c>
      <c r="DE101">
        <f>CY101+CZ101*DA101/DB101</f>
        <v>1.7049381463756109E-2</v>
      </c>
      <c r="DF101">
        <f>1+DC101*(CU101*CX101+CU101*DB101)^-1</f>
        <v>1.0030956971825056</v>
      </c>
      <c r="DG101">
        <f>(DE101*DF101/DD101)^0.5</f>
        <v>34.798481883726311</v>
      </c>
      <c r="DH101">
        <f>DD101/(BO101/60/60)</f>
        <v>3.1020512513038664E-2</v>
      </c>
      <c r="DI101" s="16">
        <f>DF101/((DF101-1)+TANH(DG101*DH101)/(DG101*DH101))</f>
        <v>1.3597262642412491</v>
      </c>
      <c r="DJ101">
        <f>$DI101*BR101</f>
        <v>-17.127544778950202</v>
      </c>
      <c r="DK101">
        <f>$DI101*BY101</f>
        <v>-25.041829965624196</v>
      </c>
      <c r="DL101">
        <f>$DI101*CF101</f>
        <v>-3.8782851859805101</v>
      </c>
      <c r="DM101">
        <f>$DI101*CM101</f>
        <v>-8.9366306173010912</v>
      </c>
    </row>
    <row r="102" spans="1:117" ht="15.75" x14ac:dyDescent="0.25">
      <c r="A102" s="52" t="s">
        <v>325</v>
      </c>
      <c r="B102" s="55" t="s">
        <v>339</v>
      </c>
      <c r="C102" t="s">
        <v>253</v>
      </c>
      <c r="D102" s="57">
        <v>43237</v>
      </c>
      <c r="E102" s="42" t="str">
        <f>A102&amp;D102</f>
        <v>32C43237</v>
      </c>
      <c r="F102" s="3">
        <f>VLOOKUP($E102,Water!$C$2:$E$90, 2, FALSE)</f>
        <v>13.4</v>
      </c>
      <c r="G102" s="3">
        <f>VLOOKUP($E102,Water!$C$2:$E$90, 3, FALSE)</f>
        <v>1.1000000000000001</v>
      </c>
      <c r="H102" s="1">
        <f>F102+273.15</f>
        <v>286.54999999999995</v>
      </c>
      <c r="I102" s="3">
        <f>VLOOKUP($E102,Water!$C$2:$F$90, 4, FALSE)</f>
        <v>8.6</v>
      </c>
      <c r="J102">
        <f>10^(I102*-1)</f>
        <v>2.5118864315095812E-9</v>
      </c>
      <c r="K102" s="25">
        <f>VLOOKUP($E102,Atm!$D$2:$G$45, 2, FALSE)</f>
        <v>423.31444862609908</v>
      </c>
      <c r="L102" s="25">
        <f>VLOOKUP($E102,Atm!$D$2:$G$45, 3, FALSE)</f>
        <v>2.0531488750049749</v>
      </c>
      <c r="M102" s="25">
        <f>VLOOKUP($E102,Atm!$D$2:$G$45, 4, FALSE)</f>
        <v>0.32429558325815616</v>
      </c>
      <c r="N102" s="21">
        <f>VLOOKUP($C102,Raw!$B$2:$F$353, 3, FALSE)</f>
        <v>403.60327027938308</v>
      </c>
      <c r="O102" s="21">
        <f>VLOOKUP($C102,Raw!$B$2:$F$353, 4, FALSE)</f>
        <v>61.064345928775843</v>
      </c>
      <c r="P102" s="21">
        <f>VLOOKUP($C102,Raw!$B$2:$F$353, 5, FALSE)</f>
        <v>0.3057037163759343</v>
      </c>
      <c r="Q102" s="14">
        <v>60</v>
      </c>
      <c r="R102" s="25">
        <v>1140</v>
      </c>
      <c r="S102">
        <f>EXP(24.4543-(100/H102*(67.4509))-(4.8489*LN(H102/100))-(0.000544*G102))</f>
        <v>1.5147697158400503E-2</v>
      </c>
      <c r="T102" s="8">
        <f>EXP(-58.0931+90.5069*(100/H102)+22.294*LN(H102/100)+G102*(0.027766-0.025888*(H102/100)+0.0050578*(H102/100)^2)*G102)</f>
        <v>4.7637544729573912E-2</v>
      </c>
      <c r="U102" s="9">
        <f>(EXP(-67.1962+99.1624*(100/H102)+27.9015*LN(H102/100)+G102*(-0.072909+0.041674*(H102/100)-0.0064603*(H102/100)^2)*G102))</f>
        <v>3.9740360952182273E-2</v>
      </c>
      <c r="V102" s="9">
        <f>(EXP(-64.8539+100.252*(100/H102)+25.2049*LN(H102/100)+(-0.062544+0.035337*(H102/100)-0.0054699*(H102/100)^2)*G102))</f>
        <v>3.5416590558703595E-2</v>
      </c>
      <c r="W102" s="9">
        <f>(EXP(-68.8862+101.4956*(100/H102)+28.7314*LN(H102/100)+G102*(-0.076146+0.04397*(H102/100)-0.0068672*(H102/100)^2)))</f>
        <v>3.9685956380964643E-2</v>
      </c>
      <c r="X102">
        <f>N102*(AZ102-S102)</f>
        <v>370.51191789248168</v>
      </c>
      <c r="Y102">
        <f>O102*(AZ102-S102)</f>
        <v>56.057692271073826</v>
      </c>
      <c r="Z102">
        <f>((Y102/10^6)*AZ102)/(0.082056*H102)</f>
        <v>2.224741696567854E-6</v>
      </c>
      <c r="AA102">
        <f>(((L102/10^6)*AZ102)/(0.082056*H102))</f>
        <v>8.1482589211791874E-8</v>
      </c>
      <c r="AB102">
        <f>((Y102/10^6)*U102*1)/(0.082056*H102)</f>
        <v>9.4744992830939695E-8</v>
      </c>
      <c r="AC102">
        <f>(Z102*(Q102/1000))+(AB102*(R102/1000))</f>
        <v>2.4149379362134247E-7</v>
      </c>
      <c r="AD102" s="39">
        <f>((AC102-(AA102*(Q102/1000)))/(R102/1000))*1000000</f>
        <v>0.20754810374441662</v>
      </c>
      <c r="AE102" s="39">
        <f>(AD102/((U102*AZ102*1))*(0.0821*273.15))</f>
        <v>125.50938159846709</v>
      </c>
      <c r="AF102" s="39">
        <f>L102*U102*AZ102*1/(0.0821*273.15)</f>
        <v>3.3951817010424126E-3</v>
      </c>
      <c r="AG102" s="39">
        <f>AD102-AF102</f>
        <v>0.20415292204337421</v>
      </c>
      <c r="AH102" s="42">
        <f>P102*(AZ102-S102)</f>
        <v>0.28063912907073535</v>
      </c>
      <c r="AI102">
        <f>(((X102/10^6)*(Q102/1000))/(0.082056*H102))</f>
        <v>9.4545894952473569E-7</v>
      </c>
      <c r="AJ102">
        <f>(((K102/10^6)*AZ102)*(Q102/1000))/(0.082056*H102)</f>
        <v>1.0079957983972213E-6</v>
      </c>
      <c r="AK102">
        <f>(X102/10^6)*T102*(R102/1000)</f>
        <v>2.0121316990045374E-5</v>
      </c>
      <c r="AL102">
        <f>AI102+AK102</f>
        <v>2.1066775939570109E-5</v>
      </c>
      <c r="AM102" s="39">
        <f>((AL102-AJ102)/(R102/1000))*1000000</f>
        <v>17.595421176467447</v>
      </c>
      <c r="AN102" s="39">
        <f>AM102/(T102*AZ102)</f>
        <v>395.81765604457962</v>
      </c>
      <c r="AO102" s="39">
        <f>(K102*AZ102)*T102</f>
        <v>18.817745747100826</v>
      </c>
      <c r="AP102" s="39">
        <f>AM102-AO102</f>
        <v>-1.2223245706333792</v>
      </c>
      <c r="AQ102">
        <f>(((AH102/10^6)*(Q102/1000))/(0.082056*H102))</f>
        <v>7.1612480828147275E-10</v>
      </c>
      <c r="AR102">
        <f>(((M102/10^6)*AZ102)*(Q102/1000))/(0.082056*H102)</f>
        <v>7.7221220873499743E-10</v>
      </c>
      <c r="AS102">
        <f>(AH102/10^6)*V102*(R102/1000)</f>
        <v>1.1330780487116321E-8</v>
      </c>
      <c r="AT102">
        <f>AQ102+AS102</f>
        <v>1.2046905295397794E-8</v>
      </c>
      <c r="AU102" s="39">
        <f>((AT102-AR102)/(R102/1000))*1000000000</f>
        <v>9.8900816549673642</v>
      </c>
      <c r="AV102" s="39">
        <f>(AU102/1000)/(V102*AZ102)</f>
        <v>0.29925264099397408</v>
      </c>
      <c r="AW102" s="39">
        <f>(M102*AZ102)*V102*1000</f>
        <v>10.717732642610216</v>
      </c>
      <c r="AX102" s="39">
        <f>AU102-AW102</f>
        <v>-0.82765098764285128</v>
      </c>
      <c r="AY102" s="26">
        <f>VLOOKUP($E102,Water!$C$2:$G$90, 5, FALSE)</f>
        <v>709.2</v>
      </c>
      <c r="AZ102">
        <f>AY102/760</f>
        <v>0.93315789473684219</v>
      </c>
      <c r="BA102" s="3">
        <f>Assumptions!$B$3</f>
        <v>406.07</v>
      </c>
      <c r="BB102" s="3">
        <f>BA102*AZ102*T102</f>
        <v>18.051172220380746</v>
      </c>
      <c r="BC102" s="3">
        <f>Assumptions!$B$4</f>
        <v>1.8474300000000001</v>
      </c>
      <c r="BD102" s="45">
        <f>BC102*AZ102*U102*1/(0.0821*273.15)</f>
        <v>3.0549954785629402E-3</v>
      </c>
      <c r="BE102" s="3">
        <f>Assumptions!$B$2</f>
        <v>0.33054499999999998</v>
      </c>
      <c r="BF102" s="44">
        <f>BE102*AZ102*V102*1000</f>
        <v>10.924271310631529</v>
      </c>
      <c r="BG102">
        <f>1923.6+(-125.06*F102)+(4.3773*(F102^2))+(-0.085681*(F102^3))+(0.00070284*(F102^4))</f>
        <v>850.28741338982366</v>
      </c>
      <c r="BH102">
        <f>1909.4+(-120.78*F102)+(4.1555*(F102^2))+(-0.080578*(F102^3))+(0.00065777*(F102^4))</f>
        <v>864.43821646427205</v>
      </c>
      <c r="BI102">
        <f>2141.2+(-152.56*F102)+(5.8963*(F102^2))+(-0.12411*(F102^3))+(0.0010655*(F102^4))</f>
        <v>891.36769164079976</v>
      </c>
      <c r="BJ102" s="25">
        <f>VLOOKUP(E102,Wind!$C$2:$E$109,3, FALSE)</f>
        <v>6.5</v>
      </c>
      <c r="BK102" s="44">
        <v>1.66</v>
      </c>
      <c r="BL102">
        <f>BK102/(1-(((1.3*10^-3)^0.5)/0.41)*LN(10/1.5))</f>
        <v>1.9923982880693825</v>
      </c>
      <c r="BM102">
        <f>BK102*1.22</f>
        <v>2.0251999999999999</v>
      </c>
      <c r="BN102">
        <f>2.07+0.215*(BM102^1.7)*(24/100)</f>
        <v>2.241255750541113</v>
      </c>
      <c r="BO102">
        <f>BN102*((600/BG102)^0.67)</f>
        <v>1.7743680217847857</v>
      </c>
      <c r="BP102">
        <f>BN102*((600/BH102)^0.67)</f>
        <v>1.7548540500847969</v>
      </c>
      <c r="BQ102">
        <f>BN102*((600/BI102)^0.67)</f>
        <v>1.71915343451236</v>
      </c>
      <c r="BR102" s="39">
        <f>BO102*(AM102-BB102)</f>
        <v>-0.80867007821479142</v>
      </c>
      <c r="BS102" s="39">
        <f>BP102*(AD102-BD102)</f>
        <v>0.3588555592547622</v>
      </c>
      <c r="BT102" s="39">
        <f>BQ102*(AU102-BF102)</f>
        <v>-1.777930698472203</v>
      </c>
      <c r="BU102">
        <f>(2.51+1.48*BM102)+(0.39*BM102*LOG10(0.0015))</f>
        <v>3.2768938069574309</v>
      </c>
      <c r="BV102">
        <f>BU102*((600/$BG102)^0.67)</f>
        <v>2.5942668883040594</v>
      </c>
      <c r="BW102">
        <f>BU102*((600/$BH102)^0.67)</f>
        <v>2.5657359127572494</v>
      </c>
      <c r="BX102">
        <f>BU102*((600/$BI102)^0.67)</f>
        <v>2.5135387790541266</v>
      </c>
      <c r="BY102" s="39">
        <f>BV102*($AM102-$BB102)</f>
        <v>-1.182339842534281</v>
      </c>
      <c r="BZ102" s="39">
        <f>BW102*($AD102-$BD102)</f>
        <v>0.52467531178905713</v>
      </c>
      <c r="CA102" s="39">
        <f>BX102*($AU102-$BF102)</f>
        <v>-2.5994758044085113</v>
      </c>
      <c r="CB102" s="42">
        <f>AVERAGE(0.72,0.69,0.4,0.22)</f>
        <v>0.50750000000000006</v>
      </c>
      <c r="CC102">
        <f>CB102*((600/$BG102)^0.67)</f>
        <v>0.40178001588545642</v>
      </c>
      <c r="CD102">
        <f>CB102*((600/$BH102)^0.67)</f>
        <v>0.39736135878425172</v>
      </c>
      <c r="CE102">
        <f>CB102*((600/$BI102)^0.67)</f>
        <v>0.38927746992032464</v>
      </c>
      <c r="CF102" s="39">
        <f>CC102*($AM102-$BB102)</f>
        <v>-0.18311166166329862</v>
      </c>
      <c r="CG102" s="39">
        <f>CD102*($AD102-$BD102)</f>
        <v>8.125765936253472E-2</v>
      </c>
      <c r="CH102" s="39">
        <f>CE102*($AU102-$BF102)</f>
        <v>-0.40258673257471761</v>
      </c>
      <c r="CI102">
        <v>0.86263901889527161</v>
      </c>
      <c r="CJ102">
        <f>((BG102/BH102)^0.67)*CI102</f>
        <v>0.85315197156610711</v>
      </c>
      <c r="CK102">
        <f>((BH102/BH102)^0.67)*CI102</f>
        <v>0.86263901889527161</v>
      </c>
      <c r="CL102">
        <f>((BI102/BH102)^0.67)*CI102</f>
        <v>0.88055291964032045</v>
      </c>
      <c r="CM102" s="39">
        <f>CJ102*($AM102-$BB102)</f>
        <v>-0.38882490165794253</v>
      </c>
      <c r="CN102" s="39">
        <f>CK102*($AD102-$BD102)</f>
        <v>0.17640373428530057</v>
      </c>
      <c r="CO102" s="39">
        <f>CL102*($AU102-$BF102)</f>
        <v>-0.91065872075689758</v>
      </c>
      <c r="CP102" s="27">
        <f>VLOOKUP(A102,Water!$A$2:$E$109, 5, FALSE)/1000</f>
        <v>7.9000000000000001E-4</v>
      </c>
      <c r="CQ102">
        <f>0.64*CP102</f>
        <v>5.0560000000000004E-4</v>
      </c>
      <c r="CR102" s="19">
        <f>CQ102*1000*(2.5*10^-5)</f>
        <v>1.2640000000000003E-5</v>
      </c>
      <c r="CS102" s="18">
        <f>(-0.0000009*F102^3)+(0.0002*F102^2)-(0.0134*F102)+6.579</f>
        <v>6.4331865063999993</v>
      </c>
      <c r="CT102" s="18">
        <f>CS102-(SQRT(CP102))/(1+1.4*SQRT(CP102))</f>
        <v>6.4061436946651984</v>
      </c>
      <c r="CU102" s="18">
        <f>10^(-CT102)</f>
        <v>3.9251504277620282E-7</v>
      </c>
      <c r="CV102" s="18">
        <f>(0.000001*F102^3)+(0.00006*F102^2)-(0.014*F102)+10.625</f>
        <v>10.450579704000001</v>
      </c>
      <c r="CW102" s="18">
        <f>CV102-(2*SQRT(CR102))/(1+1.4*SQRT(CR102))</f>
        <v>10.443504365178875</v>
      </c>
      <c r="CX102" s="18">
        <f>10^(-CW102)</f>
        <v>3.6016013033654213E-11</v>
      </c>
      <c r="CY102">
        <f>EXP(1246.98+-61900/H102-183*LN(H102))</f>
        <v>1.1840452612547538E-2</v>
      </c>
      <c r="CZ102">
        <f>12.225*(F102^2)+15.258*F102+1125.7</f>
        <v>3525.2781999999997</v>
      </c>
      <c r="DA102" s="15">
        <f>10^(-4470.99/H102+6.0875-0.01706*H102)</f>
        <v>3.9457563870743219E-15</v>
      </c>
      <c r="DB102">
        <f>(10^-I102)</f>
        <v>2.5118864315095812E-9</v>
      </c>
      <c r="DC102">
        <f>DB102^2</f>
        <v>6.3095734448019377E-18</v>
      </c>
      <c r="DD102" s="20">
        <f>((14.6836*10^-9)*((H102/217.2056)-1)^1.997)*100*100</f>
        <v>1.5017611932462007E-5</v>
      </c>
      <c r="DE102">
        <f>CY102+CZ102*DA102/DB102</f>
        <v>1.737807915464577E-2</v>
      </c>
      <c r="DF102">
        <f>1+DC102*(CU102*CX102+CU102*DB102)^-1</f>
        <v>1.0063090054008228</v>
      </c>
      <c r="DG102">
        <f>(DE102*DF102/DD102)^0.5</f>
        <v>34.124486610494074</v>
      </c>
      <c r="DH102">
        <f>DD102/(BO102/60/60)</f>
        <v>3.0469103530440321E-2</v>
      </c>
      <c r="DI102" s="16">
        <f>DF102/((DF102-1)+TANH(DG102*DH102)/(DG102*DH102))</f>
        <v>1.3339802980747764</v>
      </c>
      <c r="DJ102">
        <f>$DI102*BR102</f>
        <v>-1.0787499519811201</v>
      </c>
      <c r="DK102">
        <f>$DI102*BY102</f>
        <v>-1.5772180555695643</v>
      </c>
      <c r="DL102">
        <f>$DI102*CF102</f>
        <v>-0.24426734900657468</v>
      </c>
      <c r="DM102">
        <f>$DI102*CM102</f>
        <v>-0.51868475821255777</v>
      </c>
    </row>
    <row r="103" spans="1:117" ht="15.75" x14ac:dyDescent="0.25">
      <c r="A103" s="52" t="s">
        <v>325</v>
      </c>
      <c r="B103" s="55" t="s">
        <v>340</v>
      </c>
      <c r="C103" t="s">
        <v>254</v>
      </c>
      <c r="D103" s="57">
        <v>43237</v>
      </c>
      <c r="E103" s="42" t="str">
        <f>A103&amp;D103</f>
        <v>32C43237</v>
      </c>
      <c r="F103" s="3">
        <f>VLOOKUP($E103,Water!$C$2:$E$90, 2, FALSE)</f>
        <v>13.4</v>
      </c>
      <c r="G103" s="3">
        <f>VLOOKUP($E103,Water!$C$2:$E$90, 3, FALSE)</f>
        <v>1.1000000000000001</v>
      </c>
      <c r="H103" s="1">
        <f>F103+273.15</f>
        <v>286.54999999999995</v>
      </c>
      <c r="I103" s="3">
        <f>VLOOKUP($E103,Water!$C$2:$F$90, 4, FALSE)</f>
        <v>8.6</v>
      </c>
      <c r="J103">
        <f>10^(I103*-1)</f>
        <v>2.5118864315095812E-9</v>
      </c>
      <c r="K103" s="25">
        <f>VLOOKUP($E103,Atm!$D$2:$G$45, 2, FALSE)</f>
        <v>423.31444862609908</v>
      </c>
      <c r="L103" s="25">
        <f>VLOOKUP($E103,Atm!$D$2:$G$45, 3, FALSE)</f>
        <v>2.0531488750049749</v>
      </c>
      <c r="M103" s="25">
        <f>VLOOKUP($E103,Atm!$D$2:$G$45, 4, FALSE)</f>
        <v>0.32429558325815616</v>
      </c>
      <c r="N103" s="21">
        <f>VLOOKUP($C103,Raw!$B$2:$F$353, 3, FALSE)</f>
        <v>401.34953463214117</v>
      </c>
      <c r="O103" s="21">
        <f>VLOOKUP($C103,Raw!$B$2:$F$353, 4, FALSE)</f>
        <v>61.436946220505348</v>
      </c>
      <c r="P103" s="21">
        <f>VLOOKUP($C103,Raw!$B$2:$F$353, 5, FALSE)</f>
        <v>0.30677504246947646</v>
      </c>
      <c r="Q103" s="14">
        <v>60</v>
      </c>
      <c r="R103" s="25">
        <v>1140</v>
      </c>
      <c r="S103">
        <f>EXP(24.4543-(100/H103*(67.4509))-(4.8489*LN(H103/100))-(0.000544*G103))</f>
        <v>1.5147697158400503E-2</v>
      </c>
      <c r="T103" s="8">
        <f>EXP(-58.0931+90.5069*(100/H103)+22.294*LN(H103/100)+G103*(0.027766-0.025888*(H103/100)+0.0050578*(H103/100)^2)*G103)</f>
        <v>4.7637544729573912E-2</v>
      </c>
      <c r="U103" s="9">
        <f>(EXP(-67.1962+99.1624*(100/H103)+27.9015*LN(H103/100)+G103*(-0.072909+0.041674*(H103/100)-0.0064603*(H103/100)^2)*G103))</f>
        <v>3.9740360952182273E-2</v>
      </c>
      <c r="V103" s="9">
        <f>(EXP(-64.8539+100.252*(100/H103)+25.2049*LN(H103/100)+(-0.062544+0.035337*(H103/100)-0.0054699*(H103/100)^2)*G103))</f>
        <v>3.5416590558703595E-2</v>
      </c>
      <c r="W103" s="9">
        <f>(EXP(-68.8862+101.4956*(100/H103)+28.7314*LN(H103/100)+G103*(-0.076146+0.04397*(H103/100)-0.0068672*(H103/100)^2)))</f>
        <v>3.9685956380964643E-2</v>
      </c>
      <c r="X103">
        <f>N103*(AZ103-S103)</f>
        <v>368.44296558566754</v>
      </c>
      <c r="Y103">
        <f>O103*(AZ103-S103)</f>
        <v>56.39974313850221</v>
      </c>
      <c r="Z103">
        <f>((Y103/10^6)*AZ103)/(0.082056*H103)</f>
        <v>2.2383165476950704E-6</v>
      </c>
      <c r="AA103">
        <f>(((L103/10^6)*AZ103)/(0.082056*H103))</f>
        <v>8.1482589211791874E-8</v>
      </c>
      <c r="AB103">
        <f>((Y103/10^6)*U103*1)/(0.082056*H103)</f>
        <v>9.5323104516765212E-8</v>
      </c>
      <c r="AC103">
        <f>(Z103*(Q103/1000))+(AB103*(R103/1000))</f>
        <v>2.4296733201081653E-7</v>
      </c>
      <c r="AD103" s="39">
        <f>((AC103-(AA103*(Q103/1000)))/(R103/1000))*1000000</f>
        <v>0.20884068127904301</v>
      </c>
      <c r="AE103" s="39">
        <f>(AD103/((U103*AZ103*1))*(0.0821*273.15))</f>
        <v>126.2910346423263</v>
      </c>
      <c r="AF103" s="39">
        <f>L103*U103*AZ103*1/(0.0821*273.15)</f>
        <v>3.3951817010424126E-3</v>
      </c>
      <c r="AG103" s="39">
        <f>AD103-AF103</f>
        <v>0.2054454995780006</v>
      </c>
      <c r="AH103" s="42">
        <f>P103*(AZ103-S103)</f>
        <v>0.28162261734953892</v>
      </c>
      <c r="AI103">
        <f>(((X103/10^6)*(Q103/1000))/(0.082056*H103))</f>
        <v>9.4017947164520117E-7</v>
      </c>
      <c r="AJ103">
        <f>(((K103/10^6)*AZ103)*(Q103/1000))/(0.082056*H103)</f>
        <v>1.0079957983972213E-6</v>
      </c>
      <c r="AK103">
        <f>(X103/10^6)*T103*(R103/1000)</f>
        <v>2.000895880885787E-5</v>
      </c>
      <c r="AL103">
        <f>AI103+AK103</f>
        <v>2.0949138280503071E-5</v>
      </c>
      <c r="AM103" s="39">
        <f>((AL103-AJ103)/(R103/1000))*1000000</f>
        <v>17.492230247461272</v>
      </c>
      <c r="AN103" s="39">
        <f>AM103/(T103*AZ103)</f>
        <v>393.49632532821613</v>
      </c>
      <c r="AO103" s="39">
        <f>(K103*AZ103)*T103</f>
        <v>18.817745747100826</v>
      </c>
      <c r="AP103" s="39">
        <f>AM103-AO103</f>
        <v>-1.325515499639554</v>
      </c>
      <c r="AQ103">
        <f>(((AH103/10^6)*(Q103/1000))/(0.082056*H103))</f>
        <v>7.1863443820171003E-10</v>
      </c>
      <c r="AR103">
        <f>(((M103/10^6)*AZ103)*(Q103/1000))/(0.082056*H103)</f>
        <v>7.7221220873499743E-10</v>
      </c>
      <c r="AS103">
        <f>(AH103/10^6)*V103*(R103/1000)</f>
        <v>1.1370488741042545E-8</v>
      </c>
      <c r="AT103">
        <f>AQ103+AS103</f>
        <v>1.2089123179244255E-8</v>
      </c>
      <c r="AU103" s="39">
        <f>((AT103-AR103)/(R103/1000))*1000000000</f>
        <v>9.9271148864116299</v>
      </c>
      <c r="AV103" s="39">
        <f>(AU103/1000)/(V103*AZ103)</f>
        <v>0.30037318708255684</v>
      </c>
      <c r="AW103" s="39">
        <f>(M103*AZ103)*V103*1000</f>
        <v>10.717732642610216</v>
      </c>
      <c r="AX103" s="39">
        <f>AU103-AW103</f>
        <v>-0.79061775619858565</v>
      </c>
      <c r="AY103" s="26">
        <f>VLOOKUP($E103,Water!$C$2:$G$90, 5, FALSE)</f>
        <v>709.2</v>
      </c>
      <c r="AZ103">
        <f>AY103/760</f>
        <v>0.93315789473684219</v>
      </c>
      <c r="BA103" s="3">
        <f>Assumptions!$B$3</f>
        <v>406.07</v>
      </c>
      <c r="BB103" s="3">
        <f>BA103*AZ103*T103</f>
        <v>18.051172220380746</v>
      </c>
      <c r="BC103" s="3">
        <f>Assumptions!$B$4</f>
        <v>1.8474300000000001</v>
      </c>
      <c r="BD103" s="45">
        <f>BC103*AZ103*U103*1/(0.0821*273.15)</f>
        <v>3.0549954785629402E-3</v>
      </c>
      <c r="BE103" s="3">
        <f>Assumptions!$B$2</f>
        <v>0.33054499999999998</v>
      </c>
      <c r="BF103" s="44">
        <f>BE103*AZ103*V103*1000</f>
        <v>10.924271310631529</v>
      </c>
      <c r="BG103">
        <f>1923.6+(-125.06*F103)+(4.3773*(F103^2))+(-0.085681*(F103^3))+(0.00070284*(F103^4))</f>
        <v>850.28741338982366</v>
      </c>
      <c r="BH103">
        <f>1909.4+(-120.78*F103)+(4.1555*(F103^2))+(-0.080578*(F103^3))+(0.00065777*(F103^4))</f>
        <v>864.43821646427205</v>
      </c>
      <c r="BI103">
        <f>2141.2+(-152.56*F103)+(5.8963*(F103^2))+(-0.12411*(F103^3))+(0.0010655*(F103^4))</f>
        <v>891.36769164079976</v>
      </c>
      <c r="BJ103" s="25">
        <f>VLOOKUP(E103,Wind!$C$2:$E$109,3, FALSE)</f>
        <v>6.5</v>
      </c>
      <c r="BK103" s="44">
        <v>1.66</v>
      </c>
      <c r="BL103">
        <f>BK103/(1-(((1.3*10^-3)^0.5)/0.41)*LN(10/1.5))</f>
        <v>1.9923982880693825</v>
      </c>
      <c r="BM103">
        <f>BK103*1.22</f>
        <v>2.0251999999999999</v>
      </c>
      <c r="BN103">
        <f>2.07+0.215*(BM103^1.7)*(24/100)</f>
        <v>2.241255750541113</v>
      </c>
      <c r="BO103">
        <f>BN103*((600/BG103)^0.67)</f>
        <v>1.7743680217847857</v>
      </c>
      <c r="BP103">
        <f>BN103*((600/BH103)^0.67)</f>
        <v>1.7548540500847969</v>
      </c>
      <c r="BQ103">
        <f>BN103*((600/BI103)^0.67)</f>
        <v>1.71915343451236</v>
      </c>
      <c r="BR103" s="39">
        <f>BO103*(AM103-BB103)</f>
        <v>-0.99176876278161197</v>
      </c>
      <c r="BS103" s="39">
        <f>BP103*(AD103-BD103)</f>
        <v>0.36112384417644994</v>
      </c>
      <c r="BT103" s="39">
        <f>BQ103*(AU103-BF103)</f>
        <v>-1.7142648914437026</v>
      </c>
      <c r="BU103">
        <f>(2.51+1.48*BM103)+(0.39*BM103*LOG10(0.0015))</f>
        <v>3.2768938069574309</v>
      </c>
      <c r="BV103">
        <f>BU103*((600/$BG103)^0.67)</f>
        <v>2.5942668883040594</v>
      </c>
      <c r="BW103">
        <f>BU103*((600/$BH103)^0.67)</f>
        <v>2.5657359127572494</v>
      </c>
      <c r="BX103">
        <f>BU103*((600/$BI103)^0.67)</f>
        <v>2.5135387790541266</v>
      </c>
      <c r="BY103" s="39">
        <f>BV103*($AM103-$BB103)</f>
        <v>-1.4500446528283351</v>
      </c>
      <c r="BZ103" s="39">
        <f>BW103*($AD103-$BD103)</f>
        <v>0.52799172438967124</v>
      </c>
      <c r="CA103" s="39">
        <f>BX103*($AU103-$BF103)</f>
        <v>-2.506391341059663</v>
      </c>
      <c r="CB103" s="42">
        <f>AVERAGE(0.72,0.69,0.4,0.22)</f>
        <v>0.50750000000000006</v>
      </c>
      <c r="CC103">
        <f>CB103*((600/$BG103)^0.67)</f>
        <v>0.40178001588545642</v>
      </c>
      <c r="CD103">
        <f>CB103*((600/$BH103)^0.67)</f>
        <v>0.39736135878425172</v>
      </c>
      <c r="CE103">
        <f>CB103*((600/$BI103)^0.67)</f>
        <v>0.38927746992032464</v>
      </c>
      <c r="CF103" s="39">
        <f>CC103*($AM103-$BB103)</f>
        <v>-0.22457171475863452</v>
      </c>
      <c r="CG103" s="39">
        <f>CD103*($AD103-$BD103)</f>
        <v>8.1771279728027849E-2</v>
      </c>
      <c r="CH103" s="39">
        <f>CE103*($AU103-$BF103)</f>
        <v>-0.38817052993512008</v>
      </c>
      <c r="CI103">
        <v>0.86263901889527161</v>
      </c>
      <c r="CJ103">
        <f>((BG103/BH103)^0.67)*CI103</f>
        <v>0.85315197156610711</v>
      </c>
      <c r="CK103">
        <f>((BH103/BH103)^0.67)*CI103</f>
        <v>0.86263901889527161</v>
      </c>
      <c r="CL103">
        <f>((BI103/BH103)^0.67)*CI103</f>
        <v>0.88055291964032045</v>
      </c>
      <c r="CM103" s="39">
        <f>CJ103*($AM103-$BB103)</f>
        <v>-0.47686244618729873</v>
      </c>
      <c r="CN103" s="39">
        <f>CK103*($AD103-$BD103)</f>
        <v>0.17751876210161674</v>
      </c>
      <c r="CO103" s="39">
        <f>CL103*($AU103-$BF103)</f>
        <v>-0.87804900068493374</v>
      </c>
      <c r="CP103" s="27">
        <f>VLOOKUP(A103,Water!$A$2:$E$109, 5, FALSE)/1000</f>
        <v>7.9000000000000001E-4</v>
      </c>
      <c r="CQ103">
        <f>0.64*CP103</f>
        <v>5.0560000000000004E-4</v>
      </c>
      <c r="CR103" s="19">
        <f>CQ103*1000*(2.5*10^-5)</f>
        <v>1.2640000000000003E-5</v>
      </c>
      <c r="CS103" s="18">
        <f>(-0.0000009*F103^3)+(0.0002*F103^2)-(0.0134*F103)+6.579</f>
        <v>6.4331865063999993</v>
      </c>
      <c r="CT103" s="18">
        <f>CS103-(SQRT(CP103))/(1+1.4*SQRT(CP103))</f>
        <v>6.4061436946651984</v>
      </c>
      <c r="CU103" s="18">
        <f>10^(-CT103)</f>
        <v>3.9251504277620282E-7</v>
      </c>
      <c r="CV103" s="18">
        <f>(0.000001*F103^3)+(0.00006*F103^2)-(0.014*F103)+10.625</f>
        <v>10.450579704000001</v>
      </c>
      <c r="CW103" s="18">
        <f>CV103-(2*SQRT(CR103))/(1+1.4*SQRT(CR103))</f>
        <v>10.443504365178875</v>
      </c>
      <c r="CX103" s="18">
        <f>10^(-CW103)</f>
        <v>3.6016013033654213E-11</v>
      </c>
      <c r="CY103">
        <f>EXP(1246.98+-61900/H103-183*LN(H103))</f>
        <v>1.1840452612547538E-2</v>
      </c>
      <c r="CZ103">
        <f>12.225*(F103^2)+15.258*F103+1125.7</f>
        <v>3525.2781999999997</v>
      </c>
      <c r="DA103" s="15">
        <f>10^(-4470.99/H103+6.0875-0.01706*H103)</f>
        <v>3.9457563870743219E-15</v>
      </c>
      <c r="DB103">
        <f>(10^-I103)</f>
        <v>2.5118864315095812E-9</v>
      </c>
      <c r="DC103">
        <f>DB103^2</f>
        <v>6.3095734448019377E-18</v>
      </c>
      <c r="DD103" s="20">
        <f>((14.6836*10^-9)*((H103/217.2056)-1)^1.997)*100*100</f>
        <v>1.5017611932462007E-5</v>
      </c>
      <c r="DE103">
        <f>CY103+CZ103*DA103/DB103</f>
        <v>1.737807915464577E-2</v>
      </c>
      <c r="DF103">
        <f>1+DC103*(CU103*CX103+CU103*DB103)^-1</f>
        <v>1.0063090054008228</v>
      </c>
      <c r="DG103">
        <f>(DE103*DF103/DD103)^0.5</f>
        <v>34.124486610494074</v>
      </c>
      <c r="DH103">
        <f>DD103/(BO103/60/60)</f>
        <v>3.0469103530440321E-2</v>
      </c>
      <c r="DI103" s="16">
        <f>DF103/((DF103-1)+TANH(DG103*DH103)/(DG103*DH103))</f>
        <v>1.3339802980747764</v>
      </c>
      <c r="DJ103">
        <f>$DI103*BR103</f>
        <v>-1.3229999897966669</v>
      </c>
      <c r="DK103">
        <f>$DI103*BY103</f>
        <v>-1.9343309982016781</v>
      </c>
      <c r="DL103">
        <f>$DI103*CF103</f>
        <v>-0.29957424299288693</v>
      </c>
      <c r="DM103">
        <f>$DI103*CM103</f>
        <v>-0.63612510810559975</v>
      </c>
    </row>
    <row r="104" spans="1:117" ht="15.75" x14ac:dyDescent="0.25">
      <c r="A104" s="51" t="s">
        <v>325</v>
      </c>
      <c r="B104" s="54" t="s">
        <v>341</v>
      </c>
      <c r="C104" s="48" t="s">
        <v>255</v>
      </c>
      <c r="D104" s="57">
        <v>43237</v>
      </c>
      <c r="E104" s="42" t="str">
        <f>A104&amp;D104</f>
        <v>32C43237</v>
      </c>
      <c r="F104" s="3">
        <f>VLOOKUP($E104,Water!$C$2:$E$90, 2, FALSE)</f>
        <v>13.4</v>
      </c>
      <c r="G104" s="3">
        <f>VLOOKUP($E104,Water!$C$2:$E$90, 3, FALSE)</f>
        <v>1.1000000000000001</v>
      </c>
      <c r="H104" s="1">
        <f>F104+273.15</f>
        <v>286.54999999999995</v>
      </c>
      <c r="I104" s="3">
        <f>VLOOKUP($E104,Water!$C$2:$F$90, 4, FALSE)</f>
        <v>8.6</v>
      </c>
      <c r="J104">
        <f>10^(I104*-1)</f>
        <v>2.5118864315095812E-9</v>
      </c>
      <c r="K104" s="25">
        <f>VLOOKUP($E104,Atm!$D$2:$G$45, 2, FALSE)</f>
        <v>423.31444862609908</v>
      </c>
      <c r="L104" s="25">
        <f>VLOOKUP($E104,Atm!$D$2:$G$45, 3, FALSE)</f>
        <v>2.0531488750049749</v>
      </c>
      <c r="M104" s="25">
        <f>VLOOKUP($E104,Atm!$D$2:$G$45, 4, FALSE)</f>
        <v>0.32429558325815616</v>
      </c>
      <c r="N104" s="21">
        <f>VLOOKUP($C104,Raw!$B$2:$F$353, 3, FALSE)</f>
        <v>454.3079495895214</v>
      </c>
      <c r="O104" s="21">
        <f>VLOOKUP($C104,Raw!$B$2:$F$353, 4, FALSE)</f>
        <v>2.0854075607911691</v>
      </c>
      <c r="P104" s="21">
        <f>VLOOKUP($C104,Raw!$B$2:$F$353, 5, FALSE)</f>
        <v>0.33845918938155789</v>
      </c>
      <c r="Q104" s="14">
        <v>60</v>
      </c>
      <c r="R104" s="25">
        <v>1140</v>
      </c>
      <c r="S104">
        <f>EXP(24.4543-(100/H104*(67.4509))-(4.8489*LN(H104/100))-(0.000544*G104))</f>
        <v>1.5147697158400503E-2</v>
      </c>
      <c r="T104" s="8">
        <f>EXP(-58.0931+90.5069*(100/H104)+22.294*LN(H104/100)+G104*(0.027766-0.025888*(H104/100)+0.0050578*(H104/100)^2)*G104)</f>
        <v>4.7637544729573912E-2</v>
      </c>
      <c r="U104" s="9">
        <f>(EXP(-67.1962+99.1624*(100/H104)+27.9015*LN(H104/100)+G104*(-0.072909+0.041674*(H104/100)-0.0064603*(H104/100)^2)*G104))</f>
        <v>3.9740360952182273E-2</v>
      </c>
      <c r="V104" s="9">
        <f>(EXP(-64.8539+100.252*(100/H104)+25.2049*LN(H104/100)+(-0.062544+0.035337*(H104/100)-0.0054699*(H104/100)^2)*G104))</f>
        <v>3.5416590558703595E-2</v>
      </c>
      <c r="W104" s="9">
        <f>(EXP(-68.8862+101.4956*(100/H104)+28.7314*LN(H104/100)+G104*(-0.076146+0.04397*(H104/100)-0.0068672*(H104/100)^2)))</f>
        <v>3.9685956380964643E-2</v>
      </c>
      <c r="X104">
        <f>N104*(AZ104-S104)</f>
        <v>417.05933056413329</v>
      </c>
      <c r="Y104">
        <f>O104*(AZ104-S104)</f>
        <v>1.9144254069134774</v>
      </c>
      <c r="Z104">
        <f>((Y104/10^6)*AZ104)/(0.082056*H104)</f>
        <v>7.597712026984424E-8</v>
      </c>
      <c r="AA104">
        <f>(((L104/10^6)*AZ104)/(0.082056*H104))</f>
        <v>8.1482589211791874E-8</v>
      </c>
      <c r="AB104">
        <f>((Y104/10^6)*U104*1)/(0.082056*H104)</f>
        <v>3.2356348273541178E-9</v>
      </c>
      <c r="AC104">
        <f>(Z104*(Q104/1000))+(AB104*(R104/1000))</f>
        <v>8.2472509193743483E-9</v>
      </c>
      <c r="AD104" s="39">
        <f>((AC104-(AA104*(Q104/1000)))/(R104/1000))*1000000</f>
        <v>2.9458733040937158E-3</v>
      </c>
      <c r="AE104" s="39">
        <f>(AD104/((U104*AZ104*1))*(0.0821*273.15))</f>
        <v>1.7814411695109582</v>
      </c>
      <c r="AF104" s="39">
        <f>L104*U104*AZ104*1/(0.0821*273.15)</f>
        <v>3.3951817010424126E-3</v>
      </c>
      <c r="AG104" s="39">
        <f>AD104-AF104</f>
        <v>-4.4930839694869683E-4</v>
      </c>
      <c r="AH104" s="42">
        <f>P104*(AZ104-S104)</f>
        <v>0.31070898731640317</v>
      </c>
      <c r="AI104">
        <f>(((X104/10^6)*(Q104/1000))/(0.082056*H104))</f>
        <v>1.0642369584426701E-6</v>
      </c>
      <c r="AJ104">
        <f>(((K104/10^6)*AZ104)*(Q104/1000))/(0.082056*H104)</f>
        <v>1.0079957983972213E-6</v>
      </c>
      <c r="AK104">
        <f>(X104/10^6)*T104*(R104/1000)</f>
        <v>2.2649158066683958E-5</v>
      </c>
      <c r="AL104">
        <f>AI104+AK104</f>
        <v>2.3713395025126628E-5</v>
      </c>
      <c r="AM104" s="39">
        <f>((AL104-AJ104)/(R104/1000))*1000000</f>
        <v>19.917016865552114</v>
      </c>
      <c r="AN104" s="39">
        <f>AM104/(T104*AZ104)</f>
        <v>448.0430932603532</v>
      </c>
      <c r="AO104" s="39">
        <f>(K104*AZ104)*T104</f>
        <v>18.817745747100826</v>
      </c>
      <c r="AP104" s="39">
        <f>AM104-AO104</f>
        <v>1.0992711184512878</v>
      </c>
      <c r="AQ104">
        <f>(((AH104/10^6)*(Q104/1000))/(0.082056*H104))</f>
        <v>7.9285598808000421E-10</v>
      </c>
      <c r="AR104">
        <f>(((M104/10^6)*AZ104)*(Q104/1000))/(0.082056*H104)</f>
        <v>7.7221220873499743E-10</v>
      </c>
      <c r="AS104">
        <f>(AH104/10^6)*V104*(R104/1000)</f>
        <v>1.2544848404831705E-8</v>
      </c>
      <c r="AT104">
        <f>AQ104+AS104</f>
        <v>1.3337704392911709E-8</v>
      </c>
      <c r="AU104" s="39">
        <f>((AT104-AR104)/(R104/1000))*1000000000</f>
        <v>11.022361565067291</v>
      </c>
      <c r="AV104" s="39">
        <f>(AU104/1000)/(V104*AZ104)</f>
        <v>0.33351300054031202</v>
      </c>
      <c r="AW104" s="39">
        <f>(M104*AZ104)*V104*1000</f>
        <v>10.717732642610216</v>
      </c>
      <c r="AX104" s="39">
        <f>AU104-AW104</f>
        <v>0.30462892245707529</v>
      </c>
      <c r="AY104" s="26">
        <f>VLOOKUP($E104,Water!$C$2:$G$90, 5, FALSE)</f>
        <v>709.2</v>
      </c>
      <c r="AZ104">
        <f>AY104/760</f>
        <v>0.93315789473684219</v>
      </c>
      <c r="BA104" s="3">
        <f>Assumptions!$B$3</f>
        <v>406.07</v>
      </c>
      <c r="BB104" s="3">
        <f>BA104*AZ104*T104</f>
        <v>18.051172220380746</v>
      </c>
      <c r="BC104" s="3">
        <f>Assumptions!$B$4</f>
        <v>1.8474300000000001</v>
      </c>
      <c r="BD104" s="45">
        <f>BC104*AZ104*U104*1/(0.0821*273.15)</f>
        <v>3.0549954785629402E-3</v>
      </c>
      <c r="BE104" s="3">
        <f>Assumptions!$B$2</f>
        <v>0.33054499999999998</v>
      </c>
      <c r="BF104" s="44">
        <f>BE104*AZ104*V104*1000</f>
        <v>10.924271310631529</v>
      </c>
      <c r="BG104">
        <f>1923.6+(-125.06*F104)+(4.3773*(F104^2))+(-0.085681*(F104^3))+(0.00070284*(F104^4))</f>
        <v>850.28741338982366</v>
      </c>
      <c r="BH104">
        <f>1909.4+(-120.78*F104)+(4.1555*(F104^2))+(-0.080578*(F104^3))+(0.00065777*(F104^4))</f>
        <v>864.43821646427205</v>
      </c>
      <c r="BI104">
        <f>2141.2+(-152.56*F104)+(5.8963*(F104^2))+(-0.12411*(F104^3))+(0.0010655*(F104^4))</f>
        <v>891.36769164079976</v>
      </c>
      <c r="BJ104" s="25">
        <f>VLOOKUP(E104,Wind!$C$2:$E$109,3, FALSE)</f>
        <v>6.5</v>
      </c>
      <c r="BK104" s="44">
        <v>1.66</v>
      </c>
      <c r="BL104">
        <f>BK104/(1-(((1.3*10^-3)^0.5)/0.41)*LN(10/1.5))</f>
        <v>1.9923982880693825</v>
      </c>
      <c r="BM104">
        <f>BK104*1.22</f>
        <v>2.0251999999999999</v>
      </c>
      <c r="BN104">
        <f>2.07+0.215*(BM104^1.7)*(24/100)</f>
        <v>2.241255750541113</v>
      </c>
      <c r="BO104">
        <f>BN104*((600/BG104)^0.67)</f>
        <v>1.7743680217847857</v>
      </c>
      <c r="BP104">
        <f>BN104*((600/BH104)^0.67)</f>
        <v>1.7548540500847969</v>
      </c>
      <c r="BQ104">
        <f>BN104*((600/BI104)^0.67)</f>
        <v>1.71915343451236</v>
      </c>
      <c r="BR104" s="39">
        <f>BO104*(AM104-BB104)</f>
        <v>3.3106950720104553</v>
      </c>
      <c r="BS104" s="39">
        <f>BP104*(AD104-BD104)</f>
        <v>-1.9149348982137816E-4</v>
      </c>
      <c r="BT104" s="39">
        <f>BQ104*(AU104-BF104)</f>
        <v>0.16863219780543193</v>
      </c>
      <c r="BU104">
        <f>(2.51+1.48*BM104)+(0.39*BM104*LOG10(0.0015))</f>
        <v>3.2768938069574309</v>
      </c>
      <c r="BV104">
        <f>BU104*((600/$BG104)^0.67)</f>
        <v>2.5942668883040594</v>
      </c>
      <c r="BW104">
        <f>BU104*((600/$BH104)^0.67)</f>
        <v>2.5657359127572494</v>
      </c>
      <c r="BX104">
        <f>BU104*((600/$BI104)^0.67)</f>
        <v>2.5135387790541266</v>
      </c>
      <c r="BY104" s="39">
        <f>BV104*($AM104-$BB104)</f>
        <v>4.8404989816875164</v>
      </c>
      <c r="BZ104" s="39">
        <f>BW104*($AD104-$BD104)</f>
        <v>-2.7997868191385113E-4</v>
      </c>
      <c r="CA104" s="39">
        <f>BX104*($AU104-$BF104)</f>
        <v>0.24655365837157447</v>
      </c>
      <c r="CB104" s="42">
        <f>AVERAGE(0.72,0.69,0.4,0.22)</f>
        <v>0.50750000000000006</v>
      </c>
      <c r="CC104">
        <f>CB104*((600/$BG104)^0.67)</f>
        <v>0.40178001588545642</v>
      </c>
      <c r="CD104">
        <f>CB104*((600/$BH104)^0.67)</f>
        <v>0.39736135878425172</v>
      </c>
      <c r="CE104">
        <f>CB104*((600/$BI104)^0.67)</f>
        <v>0.38927746992032464</v>
      </c>
      <c r="CF104" s="39">
        <f>CC104*($AM104-$BB104)</f>
        <v>0.74965909117674601</v>
      </c>
      <c r="CG104" s="39">
        <f>CD104*($AD104-$BD104)</f>
        <v>-4.3360935520583172E-5</v>
      </c>
      <c r="CH104" s="39">
        <f>CE104*($AU104-$BF104)</f>
        <v>3.8184326070594431E-2</v>
      </c>
      <c r="CI104">
        <v>0.86263901889527161</v>
      </c>
      <c r="CJ104">
        <f>((BG104/BH104)^0.67)*CI104</f>
        <v>0.85315197156610711</v>
      </c>
      <c r="CK104">
        <f>((BH104/BH104)^0.67)*CI104</f>
        <v>0.86263901889527161</v>
      </c>
      <c r="CL104">
        <f>((BI104/BH104)^0.67)*CI104</f>
        <v>0.88055291964032045</v>
      </c>
      <c r="CM104" s="39">
        <f>CJ104*($AM104-$BB104)</f>
        <v>1.5918490376640162</v>
      </c>
      <c r="CN104" s="39">
        <f>CK104*($AD104-$BD104)</f>
        <v>-9.4133045523850343E-5</v>
      </c>
      <c r="CO104" s="39">
        <f>CL104*($AU104-$BF104)</f>
        <v>8.6373659931672342E-2</v>
      </c>
      <c r="CP104" s="27">
        <f>VLOOKUP(A104,Water!$A$2:$E$109, 5, FALSE)/1000</f>
        <v>7.9000000000000001E-4</v>
      </c>
      <c r="CQ104">
        <f>0.64*CP104</f>
        <v>5.0560000000000004E-4</v>
      </c>
      <c r="CR104" s="19">
        <f>CQ104*1000*(2.5*10^-5)</f>
        <v>1.2640000000000003E-5</v>
      </c>
      <c r="CS104" s="18">
        <f>(-0.0000009*F104^3)+(0.0002*F104^2)-(0.0134*F104)+6.579</f>
        <v>6.4331865063999993</v>
      </c>
      <c r="CT104" s="18">
        <f>CS104-(SQRT(CP104))/(1+1.4*SQRT(CP104))</f>
        <v>6.4061436946651984</v>
      </c>
      <c r="CU104" s="18">
        <f>10^(-CT104)</f>
        <v>3.9251504277620282E-7</v>
      </c>
      <c r="CV104" s="18">
        <f>(0.000001*F104^3)+(0.00006*F104^2)-(0.014*F104)+10.625</f>
        <v>10.450579704000001</v>
      </c>
      <c r="CW104" s="18">
        <f>CV104-(2*SQRT(CR104))/(1+1.4*SQRT(CR104))</f>
        <v>10.443504365178875</v>
      </c>
      <c r="CX104" s="18">
        <f>10^(-CW104)</f>
        <v>3.6016013033654213E-11</v>
      </c>
      <c r="CY104">
        <f>EXP(1246.98+-61900/H104-183*LN(H104))</f>
        <v>1.1840452612547538E-2</v>
      </c>
      <c r="CZ104">
        <f>12.225*(F104^2)+15.258*F104+1125.7</f>
        <v>3525.2781999999997</v>
      </c>
      <c r="DA104" s="15">
        <f>10^(-4470.99/H104+6.0875-0.01706*H104)</f>
        <v>3.9457563870743219E-15</v>
      </c>
      <c r="DB104">
        <f>(10^-I104)</f>
        <v>2.5118864315095812E-9</v>
      </c>
      <c r="DC104">
        <f>DB104^2</f>
        <v>6.3095734448019377E-18</v>
      </c>
      <c r="DD104" s="20">
        <f>((14.6836*10^-9)*((H104/217.2056)-1)^1.997)*100*100</f>
        <v>1.5017611932462007E-5</v>
      </c>
      <c r="DE104">
        <f>CY104+CZ104*DA104/DB104</f>
        <v>1.737807915464577E-2</v>
      </c>
      <c r="DF104">
        <f>1+DC104*(CU104*CX104+CU104*DB104)^-1</f>
        <v>1.0063090054008228</v>
      </c>
      <c r="DG104">
        <f>(DE104*DF104/DD104)^0.5</f>
        <v>34.124486610494074</v>
      </c>
      <c r="DH104">
        <f>DD104/(BO104/60/60)</f>
        <v>3.0469103530440321E-2</v>
      </c>
      <c r="DI104" s="16">
        <f>DF104/((DF104-1)+TANH(DG104*DH104)/(DG104*DH104))</f>
        <v>1.3339802980747764</v>
      </c>
      <c r="DJ104">
        <f>$DI104*BR104</f>
        <v>4.4164019989952008</v>
      </c>
      <c r="DK104">
        <f>$DI104*BY104</f>
        <v>6.4571302744221644</v>
      </c>
      <c r="DL104">
        <f>$DI104*CF104</f>
        <v>1.0000304579024215</v>
      </c>
      <c r="DM104">
        <f>$DI104*CM104</f>
        <v>2.1234952537530902</v>
      </c>
    </row>
    <row r="105" spans="1:117" ht="15.75" x14ac:dyDescent="0.25">
      <c r="A105" s="52" t="s">
        <v>325</v>
      </c>
      <c r="B105" s="55" t="s">
        <v>342</v>
      </c>
      <c r="C105" t="s">
        <v>256</v>
      </c>
      <c r="D105" s="57">
        <v>43237</v>
      </c>
      <c r="E105" s="42" t="str">
        <f>A105&amp;D105</f>
        <v>32C43237</v>
      </c>
      <c r="F105" s="3">
        <f>VLOOKUP($E105,Water!$C$2:$E$90, 2, FALSE)</f>
        <v>13.4</v>
      </c>
      <c r="G105" s="3">
        <f>VLOOKUP($E105,Water!$C$2:$E$90, 3, FALSE)</f>
        <v>1.1000000000000001</v>
      </c>
      <c r="H105" s="1">
        <f>F105+273.15</f>
        <v>286.54999999999995</v>
      </c>
      <c r="I105" s="3">
        <f>VLOOKUP($E105,Water!$C$2:$F$90, 4, FALSE)</f>
        <v>8.6</v>
      </c>
      <c r="J105">
        <f>10^(I105*-1)</f>
        <v>2.5118864315095812E-9</v>
      </c>
      <c r="K105" s="25">
        <f>VLOOKUP($E105,Atm!$D$2:$G$45, 2, FALSE)</f>
        <v>423.31444862609908</v>
      </c>
      <c r="L105" s="25">
        <f>VLOOKUP($E105,Atm!$D$2:$G$45, 3, FALSE)</f>
        <v>2.0531488750049749</v>
      </c>
      <c r="M105" s="25">
        <f>VLOOKUP($E105,Atm!$D$2:$G$45, 4, FALSE)</f>
        <v>0.32429558325815616</v>
      </c>
      <c r="N105" s="21">
        <f>VLOOKUP($C105,Raw!$B$2:$F$353, 3, FALSE)</f>
        <v>427.87924872660301</v>
      </c>
      <c r="O105" s="21">
        <f>VLOOKUP($C105,Raw!$B$2:$F$353, 4, FALSE)</f>
        <v>1.9373659633747931</v>
      </c>
      <c r="P105" s="21">
        <f>VLOOKUP($C105,Raw!$B$2:$F$353, 5, FALSE)</f>
        <v>0.33112638983601805</v>
      </c>
      <c r="Q105" s="14">
        <v>60</v>
      </c>
      <c r="R105" s="25">
        <v>1140</v>
      </c>
      <c r="S105">
        <f>EXP(24.4543-(100/H105*(67.4509))-(4.8489*LN(H105/100))-(0.000544*G105))</f>
        <v>1.5147697158400503E-2</v>
      </c>
      <c r="T105" s="8">
        <f>EXP(-58.0931+90.5069*(100/H105)+22.294*LN(H105/100)+G105*(0.027766-0.025888*(H105/100)+0.0050578*(H105/100)^2)*G105)</f>
        <v>4.7637544729573912E-2</v>
      </c>
      <c r="U105" s="9">
        <f>(EXP(-67.1962+99.1624*(100/H105)+27.9015*LN(H105/100)+G105*(-0.072909+0.041674*(H105/100)-0.0064603*(H105/100)^2)*G105))</f>
        <v>3.9740360952182273E-2</v>
      </c>
      <c r="V105" s="9">
        <f>(EXP(-64.8539+100.252*(100/H105)+25.2049*LN(H105/100)+(-0.062544+0.035337*(H105/100)-0.0054699*(H105/100)^2)*G105))</f>
        <v>3.5416590558703595E-2</v>
      </c>
      <c r="W105" s="9">
        <f>(EXP(-68.8862+101.4956*(100/H105)+28.7314*LN(H105/100)+G105*(-0.076146+0.04397*(H105/100)-0.0068672*(H105/100)^2)))</f>
        <v>3.9685956380964643E-2</v>
      </c>
      <c r="X105">
        <f>N105*(AZ105-S105)</f>
        <v>392.79751366322404</v>
      </c>
      <c r="Y105">
        <f>O105*(AZ105-S105)</f>
        <v>1.7785217108194418</v>
      </c>
      <c r="Z105">
        <f>((Y105/10^6)*AZ105)/(0.082056*H105)</f>
        <v>7.0583558616324257E-8</v>
      </c>
      <c r="AA105">
        <f>(((L105/10^6)*AZ105)/(0.082056*H105))</f>
        <v>8.1482589211791874E-8</v>
      </c>
      <c r="AB105">
        <f>((Y105/10^6)*U105*1)/(0.082056*H105)</f>
        <v>3.0059394155297567E-9</v>
      </c>
      <c r="AC105">
        <f>(Z105*(Q105/1000))+(AB105*(R105/1000))</f>
        <v>7.6617844506833779E-9</v>
      </c>
      <c r="AD105" s="39">
        <f>((AC105-(AA105*(Q105/1000)))/(R105/1000))*1000000</f>
        <v>2.4323062262946189E-3</v>
      </c>
      <c r="AE105" s="39">
        <f>(AD105/((U105*AZ105*1))*(0.0821*273.15))</f>
        <v>1.4708746782686577</v>
      </c>
      <c r="AF105" s="39">
        <f>L105*U105*AZ105*1/(0.0821*273.15)</f>
        <v>3.3951817010424126E-3</v>
      </c>
      <c r="AG105" s="39">
        <f>AD105-AF105</f>
        <v>-9.6287547474779378E-4</v>
      </c>
      <c r="AH105" s="42">
        <f>P105*(AZ105-S105)</f>
        <v>0.30397740255679906</v>
      </c>
      <c r="AI105">
        <f>(((X105/10^6)*(Q105/1000))/(0.082056*H105))</f>
        <v>1.0023265290800399E-6</v>
      </c>
      <c r="AJ105">
        <f>(((K105/10^6)*AZ105)*(Q105/1000))/(0.082056*H105)</f>
        <v>1.0079957983972213E-6</v>
      </c>
      <c r="AK105">
        <f>(X105/10^6)*T105*(R105/1000)</f>
        <v>2.133157640454887E-5</v>
      </c>
      <c r="AL105">
        <f>AI105+AK105</f>
        <v>2.2333902933628909E-5</v>
      </c>
      <c r="AM105" s="39">
        <f>((AL105-AJ105)/(R105/1000))*1000000</f>
        <v>18.706936083536569</v>
      </c>
      <c r="AN105" s="39">
        <f>AM105/(T105*AZ105)</f>
        <v>420.82173072754989</v>
      </c>
      <c r="AO105" s="39">
        <f>(K105*AZ105)*T105</f>
        <v>18.817745747100826</v>
      </c>
      <c r="AP105" s="39">
        <f>AM105-AO105</f>
        <v>-0.11080966356425748</v>
      </c>
      <c r="AQ105">
        <f>(((AH105/10^6)*(Q105/1000))/(0.082056*H105))</f>
        <v>7.7567857286579556E-10</v>
      </c>
      <c r="AR105">
        <f>(((M105/10^6)*AZ105)*(Q105/1000))/(0.082056*H105)</f>
        <v>7.7221220873499743E-10</v>
      </c>
      <c r="AS105">
        <f>(AH105/10^6)*V105*(R105/1000)</f>
        <v>1.2273061254215703E-8</v>
      </c>
      <c r="AT105">
        <f>AQ105+AS105</f>
        <v>1.3048739827081499E-8</v>
      </c>
      <c r="AU105" s="39">
        <f>((AT105-AR105)/(R105/1000))*1000000000</f>
        <v>10.768883875742546</v>
      </c>
      <c r="AV105" s="39">
        <f>(AU105/1000)/(V105*AZ105)</f>
        <v>0.32584330977235137</v>
      </c>
      <c r="AW105" s="39">
        <f>(M105*AZ105)*V105*1000</f>
        <v>10.717732642610216</v>
      </c>
      <c r="AX105" s="39">
        <f>AU105-AW105</f>
        <v>5.1151233132330276E-2</v>
      </c>
      <c r="AY105" s="26">
        <f>VLOOKUP($E105,Water!$C$2:$G$90, 5, FALSE)</f>
        <v>709.2</v>
      </c>
      <c r="AZ105">
        <f>AY105/760</f>
        <v>0.93315789473684219</v>
      </c>
      <c r="BA105" s="3">
        <f>Assumptions!$B$3</f>
        <v>406.07</v>
      </c>
      <c r="BB105" s="3">
        <f>BA105*AZ105*T105</f>
        <v>18.051172220380746</v>
      </c>
      <c r="BC105" s="3">
        <f>Assumptions!$B$4</f>
        <v>1.8474300000000001</v>
      </c>
      <c r="BD105" s="45">
        <f>BC105*AZ105*U105*1/(0.0821*273.15)</f>
        <v>3.0549954785629402E-3</v>
      </c>
      <c r="BE105" s="3">
        <f>Assumptions!$B$2</f>
        <v>0.33054499999999998</v>
      </c>
      <c r="BF105" s="44">
        <f>BE105*AZ105*V105*1000</f>
        <v>10.924271310631529</v>
      </c>
      <c r="BG105">
        <f>1923.6+(-125.06*F105)+(4.3773*(F105^2))+(-0.085681*(F105^3))+(0.00070284*(F105^4))</f>
        <v>850.28741338982366</v>
      </c>
      <c r="BH105">
        <f>1909.4+(-120.78*F105)+(4.1555*(F105^2))+(-0.080578*(F105^3))+(0.00065777*(F105^4))</f>
        <v>864.43821646427205</v>
      </c>
      <c r="BI105">
        <f>2141.2+(-152.56*F105)+(5.8963*(F105^2))+(-0.12411*(F105^3))+(0.0010655*(F105^4))</f>
        <v>891.36769164079976</v>
      </c>
      <c r="BJ105" s="25">
        <f>VLOOKUP(E105,Wind!$C$2:$E$109,3, FALSE)</f>
        <v>6.5</v>
      </c>
      <c r="BK105" s="44">
        <v>1.66</v>
      </c>
      <c r="BL105">
        <f>BK105/(1-(((1.3*10^-3)^0.5)/0.41)*LN(10/1.5))</f>
        <v>1.9923982880693825</v>
      </c>
      <c r="BM105">
        <f>BK105*1.22</f>
        <v>2.0251999999999999</v>
      </c>
      <c r="BN105">
        <f>2.07+0.215*(BM105^1.7)*(24/100)</f>
        <v>2.241255750541113</v>
      </c>
      <c r="BO105">
        <f>BN105*((600/BG105)^0.67)</f>
        <v>1.7743680217847857</v>
      </c>
      <c r="BP105">
        <f>BN105*((600/BH105)^0.67)</f>
        <v>1.7548540500847969</v>
      </c>
      <c r="BQ105">
        <f>BN105*((600/BI105)^0.67)</f>
        <v>1.71915343451236</v>
      </c>
      <c r="BR105" s="39">
        <f>BO105*(AM105-BB105)</f>
        <v>1.1635664286257461</v>
      </c>
      <c r="BS105" s="39">
        <f>BP105*(AD105-BD105)</f>
        <v>-1.0927287562873375E-3</v>
      </c>
      <c r="BT105" s="39">
        <f>BQ105*(AU105-BF105)</f>
        <v>-0.26713484236946045</v>
      </c>
      <c r="BU105">
        <f>(2.51+1.48*BM105)+(0.39*BM105*LOG10(0.0015))</f>
        <v>3.2768938069574309</v>
      </c>
      <c r="BV105">
        <f>BU105*((600/$BG105)^0.67)</f>
        <v>2.5942668883040594</v>
      </c>
      <c r="BW105">
        <f>BU105*((600/$BH105)^0.67)</f>
        <v>2.5657359127572494</v>
      </c>
      <c r="BX105">
        <f>BU105*((600/$BI105)^0.67)</f>
        <v>2.5135387790541266</v>
      </c>
      <c r="BY105" s="39">
        <f>BV105*($AM105-$BB105)</f>
        <v>1.7012264767315051</v>
      </c>
      <c r="BZ105" s="39">
        <f>BW105*($AD105-$BD105)</f>
        <v>-1.5976561770327906E-3</v>
      </c>
      <c r="CA105" s="39">
        <f>BX105*($AU105-$BF105)</f>
        <v>-0.39057234337120633</v>
      </c>
      <c r="CB105" s="42">
        <f>AVERAGE(0.72,0.69,0.4,0.22)</f>
        <v>0.50750000000000006</v>
      </c>
      <c r="CC105">
        <f>CB105*((600/$BG105)^0.67)</f>
        <v>0.40178001588545642</v>
      </c>
      <c r="CD105">
        <f>CB105*((600/$BH105)^0.67)</f>
        <v>0.39736135878425172</v>
      </c>
      <c r="CE105">
        <f>CB105*((600/$BI105)^0.67)</f>
        <v>0.38927746992032464</v>
      </c>
      <c r="CF105" s="39">
        <f>CC105*($AM105-$BB105)</f>
        <v>0.26347281535585471</v>
      </c>
      <c r="CG105" s="39">
        <f>CD105*($AD105-$BD105)</f>
        <v>-2.4743264738168983E-4</v>
      </c>
      <c r="CH105" s="39">
        <f>CE105*($AU105-$BF105)</f>
        <v>-6.0488827510992389E-2</v>
      </c>
      <c r="CI105">
        <v>0.86263901889527161</v>
      </c>
      <c r="CJ105">
        <f>((BG105/BH105)^0.67)*CI105</f>
        <v>0.85315197156610711</v>
      </c>
      <c r="CK105">
        <f>((BH105/BH105)^0.67)*CI105</f>
        <v>0.86263901889527161</v>
      </c>
      <c r="CL105">
        <f>((BI105/BH105)^0.67)*CI105</f>
        <v>0.88055291964032045</v>
      </c>
      <c r="CM105" s="39">
        <f>CJ105*($AM105-$BB105)</f>
        <v>0.55946623273319696</v>
      </c>
      <c r="CN105" s="39">
        <f>CK105*($AD105-$BD105)</f>
        <v>-5.3715604565337497E-4</v>
      </c>
      <c r="CO105" s="39">
        <f>CL105*($AU105-$BF105)</f>
        <v>-0.13682685946691397</v>
      </c>
      <c r="CP105" s="27">
        <f>VLOOKUP(A105,Water!$A$2:$E$109, 5, FALSE)/1000</f>
        <v>7.9000000000000001E-4</v>
      </c>
      <c r="CQ105">
        <f>0.64*CP105</f>
        <v>5.0560000000000004E-4</v>
      </c>
      <c r="CR105" s="19">
        <f>CQ105*1000*(2.5*10^-5)</f>
        <v>1.2640000000000003E-5</v>
      </c>
      <c r="CS105" s="18">
        <f>(-0.0000009*F105^3)+(0.0002*F105^2)-(0.0134*F105)+6.579</f>
        <v>6.4331865063999993</v>
      </c>
      <c r="CT105" s="18">
        <f>CS105-(SQRT(CP105))/(1+1.4*SQRT(CP105))</f>
        <v>6.4061436946651984</v>
      </c>
      <c r="CU105" s="18">
        <f>10^(-CT105)</f>
        <v>3.9251504277620282E-7</v>
      </c>
      <c r="CV105" s="18">
        <f>(0.000001*F105^3)+(0.00006*F105^2)-(0.014*F105)+10.625</f>
        <v>10.450579704000001</v>
      </c>
      <c r="CW105" s="18">
        <f>CV105-(2*SQRT(CR105))/(1+1.4*SQRT(CR105))</f>
        <v>10.443504365178875</v>
      </c>
      <c r="CX105" s="18">
        <f>10^(-CW105)</f>
        <v>3.6016013033654213E-11</v>
      </c>
      <c r="CY105">
        <f>EXP(1246.98+-61900/H105-183*LN(H105))</f>
        <v>1.1840452612547538E-2</v>
      </c>
      <c r="CZ105">
        <f>12.225*(F105^2)+15.258*F105+1125.7</f>
        <v>3525.2781999999997</v>
      </c>
      <c r="DA105" s="15">
        <f>10^(-4470.99/H105+6.0875-0.01706*H105)</f>
        <v>3.9457563870743219E-15</v>
      </c>
      <c r="DB105">
        <f>(10^-I105)</f>
        <v>2.5118864315095812E-9</v>
      </c>
      <c r="DC105">
        <f>DB105^2</f>
        <v>6.3095734448019377E-18</v>
      </c>
      <c r="DD105" s="20">
        <f>((14.6836*10^-9)*((H105/217.2056)-1)^1.997)*100*100</f>
        <v>1.5017611932462007E-5</v>
      </c>
      <c r="DE105">
        <f>CY105+CZ105*DA105/DB105</f>
        <v>1.737807915464577E-2</v>
      </c>
      <c r="DF105">
        <f>1+DC105*(CU105*CX105+CU105*DB105)^-1</f>
        <v>1.0063090054008228</v>
      </c>
      <c r="DG105">
        <f>(DE105*DF105/DD105)^0.5</f>
        <v>34.124486610494074</v>
      </c>
      <c r="DH105">
        <f>DD105/(BO105/60/60)</f>
        <v>3.0469103530440321E-2</v>
      </c>
      <c r="DI105" s="16">
        <f>DF105/((DF105-1)+TANH(DG105*DH105)/(DG105*DH105))</f>
        <v>1.3339802980747764</v>
      </c>
      <c r="DJ105">
        <f>$DI105*BR105</f>
        <v>1.5521746912879757</v>
      </c>
      <c r="DK105">
        <f>$DI105*BY105</f>
        <v>2.2694026025229945</v>
      </c>
      <c r="DL105">
        <f>$DI105*CF105</f>
        <v>0.35146754476300357</v>
      </c>
      <c r="DM105">
        <f>$DI105*CM105</f>
        <v>0.74631693190420223</v>
      </c>
    </row>
    <row r="106" spans="1:117" ht="15.75" x14ac:dyDescent="0.25">
      <c r="A106" s="51" t="s">
        <v>478</v>
      </c>
      <c r="B106" s="54" t="s">
        <v>339</v>
      </c>
      <c r="C106" s="48" t="s">
        <v>258</v>
      </c>
      <c r="D106" s="57">
        <v>43237</v>
      </c>
      <c r="E106" s="42" t="str">
        <f>A106&amp;D106</f>
        <v>23A43237</v>
      </c>
      <c r="F106" s="3">
        <f>VLOOKUP($E106,Water!$C$2:$E$90, 2, FALSE)</f>
        <v>12.6</v>
      </c>
      <c r="G106" s="3">
        <f>VLOOKUP($E106,Water!$C$2:$E$90, 3, FALSE)</f>
        <v>0.09</v>
      </c>
      <c r="H106" s="1">
        <f>F106+273.15</f>
        <v>285.75</v>
      </c>
      <c r="I106" s="3">
        <f>VLOOKUP($E106,Water!$C$2:$F$90, 4, FALSE)</f>
        <v>9.41</v>
      </c>
      <c r="J106">
        <f>10^(I106*-1)</f>
        <v>3.8904514499427963E-10</v>
      </c>
      <c r="K106" s="25">
        <v>439.52751160265137</v>
      </c>
      <c r="L106" s="25">
        <v>2.8430237635924795</v>
      </c>
      <c r="M106" s="25">
        <v>0.32236441181786135</v>
      </c>
      <c r="N106" s="21">
        <f>VLOOKUP($C106,Raw!$B$2:$F$353, 3, FALSE)</f>
        <v>137.20099999999999</v>
      </c>
      <c r="O106" s="21">
        <f>VLOOKUP($C106,Raw!$B$2:$F$353, 4, FALSE)</f>
        <v>1487.827</v>
      </c>
      <c r="P106" s="21">
        <f>VLOOKUP($C106,Raw!$B$2:$F$353, 5, FALSE)</f>
        <v>0.28199999999999997</v>
      </c>
      <c r="Q106" s="14">
        <v>60</v>
      </c>
      <c r="R106" s="25">
        <v>1140</v>
      </c>
      <c r="S106">
        <f>EXP(24.4543-(100/H106*(67.4509))-(4.8489*LN(H106/100))-(0.000544*G106))</f>
        <v>1.4383092041521522E-2</v>
      </c>
      <c r="T106" s="8">
        <f>EXP(-58.0931+90.5069*(100/H106)+22.294*LN(H106/100)+G106*(0.027766-0.025888*(H106/100)+0.0050578*(H106/100)^2)*G106)</f>
        <v>4.9185179162420094E-2</v>
      </c>
      <c r="U106" s="9">
        <f>(EXP(-67.1962+99.1624*(100/H106)+27.9015*LN(H106/100)+G106*(-0.072909+0.041674*(H106/100)-0.0064603*(H106/100)^2)*G106))</f>
        <v>4.0817204762255949E-2</v>
      </c>
      <c r="V106" s="9">
        <f>(EXP(-64.8539+100.252*(100/H106)+25.2049*LN(H106/100)+(-0.062544+0.035337*(H106/100)-0.0054699*(H106/100)^2)*G106))</f>
        <v>3.6631957301314147E-2</v>
      </c>
      <c r="W106" s="9">
        <f>(EXP(-68.8862+101.4956*(100/H106)+28.7314*LN(H106/100)+G106*(-0.076146+0.04397*(H106/100)-0.0068672*(H106/100)^2)))</f>
        <v>4.0708392836777331E-2</v>
      </c>
      <c r="X106">
        <f>N106*(AZ106-S106)</f>
        <v>126.09292723091646</v>
      </c>
      <c r="Y106">
        <f>O106*(AZ106-S106)</f>
        <v>1367.3694917908233</v>
      </c>
      <c r="Z106">
        <f>((Y106/10^6)*AZ106)/(0.082056*H106)</f>
        <v>5.4433579763153344E-5</v>
      </c>
      <c r="AA106">
        <f>(((L106/10^6)*AZ106)/(0.082056*H106))</f>
        <v>1.1317786577303996E-7</v>
      </c>
      <c r="AB106">
        <f>((Y106/10^6)*U106*1)/(0.082056*H106)</f>
        <v>2.3803047562204236E-6</v>
      </c>
      <c r="AC106">
        <f>(Z106*(Q106/1000))+(AB106*(R106/1000))</f>
        <v>5.9795622078804832E-6</v>
      </c>
      <c r="AD106" s="39">
        <f>((AC106-(AA106*(Q106/1000)))/(R106/1000))*1000000</f>
        <v>5.2392732771351769</v>
      </c>
      <c r="AE106" s="39">
        <f>(AD106/((U106*AZ106*1))*(0.0821*273.15))</f>
        <v>3083.8593445205993</v>
      </c>
      <c r="AF106" s="39">
        <f>L106*U106*AZ106*1/(0.0821*273.15)</f>
        <v>4.8301095370372393E-3</v>
      </c>
      <c r="AG106" s="39">
        <f>AD106-AF106</f>
        <v>5.2344431675981395</v>
      </c>
      <c r="AH106" s="42">
        <f>P106*(AZ106-S106)</f>
        <v>0.25916870488639615</v>
      </c>
      <c r="AI106">
        <f>(((X106/10^6)*(Q106/1000))/(0.082056*H106))</f>
        <v>3.2266019782640333E-7</v>
      </c>
      <c r="AJ106">
        <f>(((K106/10^6)*AZ106)*(Q106/1000))/(0.082056*H106)</f>
        <v>1.0498284189267206E-6</v>
      </c>
      <c r="AK106">
        <f>(X106/10^6)*T106*(R106/1000)</f>
        <v>7.0701696673419521E-6</v>
      </c>
      <c r="AL106">
        <f>AI106+AK106</f>
        <v>7.3928298651683554E-6</v>
      </c>
      <c r="AM106" s="39">
        <f>((AL106-AJ106)/(R106/1000))*1000000</f>
        <v>5.5640363563523119</v>
      </c>
      <c r="AN106" s="39">
        <f>AM106/(T106*AZ106)</f>
        <v>121.19316002350065</v>
      </c>
      <c r="AO106" s="39">
        <f>(K106*AZ106)*T106</f>
        <v>20.178919781446389</v>
      </c>
      <c r="AP106" s="39">
        <f>AM106-AO106</f>
        <v>-14.614883425094078</v>
      </c>
      <c r="AQ106">
        <f>(((AH106/10^6)*(Q106/1000))/(0.082056*H106))</f>
        <v>6.6318886733366177E-10</v>
      </c>
      <c r="AR106">
        <f>(((M106/10^6)*AZ106)*(Q106/1000))/(0.082056*H106)</f>
        <v>7.6997983480710557E-10</v>
      </c>
      <c r="AS106">
        <f>(AH106/10^6)*V106*(R106/1000)</f>
        <v>1.0822996901608298E-8</v>
      </c>
      <c r="AT106">
        <f>AQ106+AS106</f>
        <v>1.1486185768941959E-8</v>
      </c>
      <c r="AU106" s="39">
        <f>((AT106-AR106)/(R106/1000))*1000000000</f>
        <v>9.4001806439779436</v>
      </c>
      <c r="AV106" s="39">
        <f>(AU106/1000)/(V106*AZ106)</f>
        <v>0.27491502961858827</v>
      </c>
      <c r="AW106" s="39">
        <f>(M106*AZ106)*V106*1000</f>
        <v>11.022619274332694</v>
      </c>
      <c r="AX106" s="39">
        <f>AU106-AW106</f>
        <v>-1.6224386303547504</v>
      </c>
      <c r="AY106" s="26">
        <f>VLOOKUP($E106,Water!$C$2:$G$90, 5, FALSE)</f>
        <v>709.4</v>
      </c>
      <c r="AZ106">
        <f>AY106/760</f>
        <v>0.93342105263157893</v>
      </c>
      <c r="BA106" s="3">
        <f>Assumptions!$B$3</f>
        <v>406.07</v>
      </c>
      <c r="BB106" s="3">
        <f>BA106*AZ106*T106</f>
        <v>18.642869307029077</v>
      </c>
      <c r="BC106" s="3">
        <f>Assumptions!$B$4</f>
        <v>1.8474300000000001</v>
      </c>
      <c r="BD106" s="45">
        <f>BC106*AZ106*U106*1/(0.0821*273.15)</f>
        <v>3.1386615111275505E-3</v>
      </c>
      <c r="BE106" s="3">
        <f>Assumptions!$B$2</f>
        <v>0.33054499999999998</v>
      </c>
      <c r="BF106" s="44">
        <f>BE106*AZ106*V106*1000</f>
        <v>11.302338454447304</v>
      </c>
      <c r="BG106">
        <f>1923.6+(-125.06*F106)+(4.3773*(F106^2))+(-0.085681*(F106^3))+(0.00070284*(F106^4))</f>
        <v>889.10482971878378</v>
      </c>
      <c r="BH106">
        <f>1909.4+(-120.78*F106)+(4.1555*(F106^2))+(-0.080578*(F106^3))+(0.00065777*(F106^4))</f>
        <v>902.69180292315207</v>
      </c>
      <c r="BI106">
        <f>2141.2+(-152.56*F106)+(5.8963*(F106^2))+(-0.12411*(F106^3))+(0.0010655*(F106^4))</f>
        <v>933.62957055279992</v>
      </c>
      <c r="BJ106" s="25">
        <f>VLOOKUP(E106,Wind!$C$2:$E$109,3, FALSE)</f>
        <v>2.2222222222222223</v>
      </c>
      <c r="BK106" s="44">
        <v>1.66</v>
      </c>
      <c r="BL106">
        <f>BK106/(1-(((1.3*10^-3)^0.5)/0.41)*LN(10/1.5))</f>
        <v>1.9923982880693825</v>
      </c>
      <c r="BM106">
        <f>BK106*1.22</f>
        <v>2.0251999999999999</v>
      </c>
      <c r="BN106">
        <f>2.07+0.215*(BM106^1.7)*(24/100)</f>
        <v>2.241255750541113</v>
      </c>
      <c r="BO106">
        <f>BN106*((600/BG106)^0.67)</f>
        <v>1.7220837360695813</v>
      </c>
      <c r="BP106">
        <f>BN106*((600/BH106)^0.67)</f>
        <v>1.7046738162276189</v>
      </c>
      <c r="BQ106">
        <f>BN106*((600/BI106)^0.67)</f>
        <v>1.6666168701640971</v>
      </c>
      <c r="BR106" s="39">
        <f>BO106*(AM106-BB106)</f>
        <v>-22.52284551113139</v>
      </c>
      <c r="BS106" s="39">
        <f>BP106*(AD106-BD106)</f>
        <v>8.9259015774973847</v>
      </c>
      <c r="BT106" s="39">
        <f>BQ106*(AU106-BF106)</f>
        <v>-3.1701682966426366</v>
      </c>
      <c r="BU106">
        <f>(2.51+1.48*BM106)+(0.39*BM106*LOG10(0.0015))</f>
        <v>3.2768938069574309</v>
      </c>
      <c r="BV106">
        <f>BU106*((600/$BG106)^0.67)</f>
        <v>2.5178231125234589</v>
      </c>
      <c r="BW106">
        <f>BU106*((600/$BH106)^0.67)</f>
        <v>2.4923684278021914</v>
      </c>
      <c r="BX106">
        <f>BU106*((600/$BI106)^0.67)</f>
        <v>2.4367261518873793</v>
      </c>
      <c r="BY106" s="39">
        <f>BV106*($AM106-$BB106)</f>
        <v>-32.93018788804735</v>
      </c>
      <c r="BZ106" s="39">
        <f>BW106*($AD106-$BD106)</f>
        <v>13.050376599703544</v>
      </c>
      <c r="CA106" s="39">
        <f>BX106*($AU106-$BF106)</f>
        <v>-4.6350376817875265</v>
      </c>
      <c r="CB106" s="42">
        <f>AVERAGE(0.72,0.69,0.4,0.22)</f>
        <v>0.50750000000000006</v>
      </c>
      <c r="CC106">
        <f>CB106*((600/$BG106)^0.67)</f>
        <v>0.38994099439312557</v>
      </c>
      <c r="CD106">
        <f>CB106*((600/$BH106)^0.67)</f>
        <v>0.38599876945174499</v>
      </c>
      <c r="CE106">
        <f>CB106*((600/$BI106)^0.67)</f>
        <v>0.37738132357455123</v>
      </c>
      <c r="CF106" s="39">
        <f>CC106*($AM106-$BB106)</f>
        <v>-5.0999731262884751</v>
      </c>
      <c r="CG106" s="39">
        <f>CD106*($AD106-$BD106)</f>
        <v>2.0211415183145687</v>
      </c>
      <c r="CH106" s="39">
        <f>CE106*($AU106-$BF106)</f>
        <v>-0.71783883216259736</v>
      </c>
      <c r="CI106">
        <v>0.86263901889527161</v>
      </c>
      <c r="CJ106">
        <f>((BG106/BH106)^0.67)*CI106</f>
        <v>0.85391791210066648</v>
      </c>
      <c r="CK106">
        <f>((BH106/BH106)^0.67)*CI106</f>
        <v>0.86263901889527161</v>
      </c>
      <c r="CL106">
        <f>((BI106/BH106)^0.67)*CI106</f>
        <v>0.88233725140575514</v>
      </c>
      <c r="CM106" s="39">
        <f>CJ106*($AM106-$BB106)</f>
        <v>-11.168249725955302</v>
      </c>
      <c r="CN106" s="39">
        <f>CK106*($AD106-$BD106)</f>
        <v>4.5168940276254999</v>
      </c>
      <c r="CO106" s="39">
        <f>CL106*($AU106-$BF106)</f>
        <v>-1.6783446942295244</v>
      </c>
      <c r="CP106" s="27">
        <f>VLOOKUP(A106,Water!$A$2:$E$109, 5, FALSE)/1000</f>
        <v>1E-4</v>
      </c>
      <c r="CQ106">
        <f>0.64*CP106</f>
        <v>6.4000000000000011E-5</v>
      </c>
      <c r="CR106" s="19">
        <f>CQ106*1000*(2.5*10^-5)</f>
        <v>1.6000000000000004E-6</v>
      </c>
      <c r="CS106" s="18">
        <f>(-0.0000009*F106^3)+(0.0002*F106^2)-(0.0134*F106)+6.579</f>
        <v>6.4401116615999996</v>
      </c>
      <c r="CT106" s="18">
        <f>CS106-(SQRT(CP106))/(1+1.4*SQRT(CP106))</f>
        <v>6.4302497286611437</v>
      </c>
      <c r="CU106" s="18">
        <f>10^(-CT106)</f>
        <v>3.7132164976747915E-7</v>
      </c>
      <c r="CV106" s="18">
        <f>(0.000001*F106^3)+(0.00006*F106^2)-(0.014*F106)+10.625</f>
        <v>10.460125976</v>
      </c>
      <c r="CW106" s="18">
        <f>CV106-(2*SQRT(CR106))/(1+1.4*SQRT(CR106))</f>
        <v>10.457600625952368</v>
      </c>
      <c r="CX106" s="18">
        <f>10^(-CW106)</f>
        <v>3.4865779082903994E-11</v>
      </c>
      <c r="CY106">
        <f>EXP(1246.98+-61900/H106-183*LN(H106))</f>
        <v>1.0787270210671593E-2</v>
      </c>
      <c r="CZ106">
        <f>12.225*(F106^2)+15.258*F106+1125.7</f>
        <v>3258.7918</v>
      </c>
      <c r="DA106" s="15">
        <f>10^(-4470.99/H106+6.0875-0.01706*H106)</f>
        <v>3.6821019887696965E-15</v>
      </c>
      <c r="DB106">
        <f>(10^-I106)</f>
        <v>3.8904514499427963E-10</v>
      </c>
      <c r="DC106">
        <f>DB106^2</f>
        <v>1.5135612484362006E-19</v>
      </c>
      <c r="DD106" s="20">
        <f>((14.6836*10^-9)*((H106/217.2056)-1)^1.997)*100*100</f>
        <v>1.4673616507814016E-5</v>
      </c>
      <c r="DE106">
        <f>CY106+CZ106*DA106/DB106</f>
        <v>4.1629972971922627E-2</v>
      </c>
      <c r="DF106">
        <f>1+DC106*(CU106*CX106+CU106*DB106)^-1</f>
        <v>1.0009615571914543</v>
      </c>
      <c r="DG106">
        <f>(DE106*DF106/DD106)^0.5</f>
        <v>53.289688459439802</v>
      </c>
      <c r="DH106">
        <f>DD106/(BO106/60/60)</f>
        <v>3.0675058547789482E-2</v>
      </c>
      <c r="DI106" s="16">
        <f>DF106/((DF106-1)+TANH(DG106*DH106)/(DG106*DH106))</f>
        <v>1.7626255780455165</v>
      </c>
      <c r="DJ106">
        <f>$DI106*BR106</f>
        <v>-39.699343588287832</v>
      </c>
      <c r="DK106">
        <f>$DI106*BY106</f>
        <v>-58.043591461316922</v>
      </c>
      <c r="DL106">
        <f>$DI106*CF106</f>
        <v>-8.9893430797408236</v>
      </c>
      <c r="DM106">
        <f>$DI106*CM106</f>
        <v>-19.685442628968644</v>
      </c>
    </row>
    <row r="107" spans="1:117" ht="15.75" x14ac:dyDescent="0.25">
      <c r="A107" s="51" t="s">
        <v>478</v>
      </c>
      <c r="B107" s="55" t="s">
        <v>340</v>
      </c>
      <c r="C107" t="s">
        <v>259</v>
      </c>
      <c r="D107" s="57">
        <v>43237</v>
      </c>
      <c r="E107" s="42" t="str">
        <f>A107&amp;D107</f>
        <v>23A43237</v>
      </c>
      <c r="F107" s="3">
        <f>VLOOKUP($E107,Water!$C$2:$E$90, 2, FALSE)</f>
        <v>12.6</v>
      </c>
      <c r="G107" s="3">
        <f>VLOOKUP($E107,Water!$C$2:$E$90, 3, FALSE)</f>
        <v>0.09</v>
      </c>
      <c r="H107" s="1">
        <f>F107+273.15</f>
        <v>285.75</v>
      </c>
      <c r="I107" s="3">
        <f>VLOOKUP($E107,Water!$C$2:$F$90, 4, FALSE)</f>
        <v>9.41</v>
      </c>
      <c r="J107">
        <f>10^(I107*-1)</f>
        <v>3.8904514499427963E-10</v>
      </c>
      <c r="K107" s="25">
        <v>439.52751160265137</v>
      </c>
      <c r="L107" s="25">
        <v>2.8430237635924795</v>
      </c>
      <c r="M107" s="25">
        <v>0.32236441181786135</v>
      </c>
      <c r="N107" s="21">
        <f>VLOOKUP($C107,Raw!$B$2:$F$353, 3, FALSE)</f>
        <v>78.534181977103344</v>
      </c>
      <c r="O107" s="21">
        <f>VLOOKUP($C107,Raw!$B$2:$F$353, 4, FALSE)</f>
        <v>1421.7246731783241</v>
      </c>
      <c r="P107" s="21">
        <f>VLOOKUP($C107,Raw!$B$2:$F$353, 5, FALSE)</f>
        <v>0.29888138615248616</v>
      </c>
      <c r="Q107" s="14">
        <v>60</v>
      </c>
      <c r="R107" s="25">
        <v>1140</v>
      </c>
      <c r="S107">
        <f>EXP(24.4543-(100/H107*(67.4509))-(4.8489*LN(H107/100))-(0.000544*G107))</f>
        <v>1.4383092041521522E-2</v>
      </c>
      <c r="T107" s="8">
        <f>EXP(-58.0931+90.5069*(100/H107)+22.294*LN(H107/100)+G107*(0.027766-0.025888*(H107/100)+0.0050578*(H107/100)^2)*G107)</f>
        <v>4.9185179162420094E-2</v>
      </c>
      <c r="U107" s="9">
        <f>(EXP(-67.1962+99.1624*(100/H107)+27.9015*LN(H107/100)+G107*(-0.072909+0.041674*(H107/100)-0.0064603*(H107/100)^2)*G107))</f>
        <v>4.0817204762255949E-2</v>
      </c>
      <c r="V107" s="9">
        <f>(EXP(-64.8539+100.252*(100/H107)+25.2049*LN(H107/100)+(-0.062544+0.035337*(H107/100)-0.0054699*(H107/100)^2)*G107))</f>
        <v>3.6631957301314147E-2</v>
      </c>
      <c r="W107" s="9">
        <f>(EXP(-68.8862+101.4956*(100/H107)+28.7314*LN(H107/100)+G107*(-0.076146+0.04397*(H107/100)-0.0068672*(H107/100)^2)))</f>
        <v>4.0708392836777331E-2</v>
      </c>
      <c r="X107">
        <f>N107*(AZ107-S107)</f>
        <v>72.175894440845497</v>
      </c>
      <c r="Y107">
        <f>O107*(AZ107-S107)</f>
        <v>1306.6189441583729</v>
      </c>
      <c r="Z107">
        <f>((Y107/10^6)*AZ107)/(0.082056*H107)</f>
        <v>5.2015162649081794E-5</v>
      </c>
      <c r="AA107">
        <f>(((L107/10^6)*AZ107)/(0.082056*H107))</f>
        <v>1.1317786577303996E-7</v>
      </c>
      <c r="AB107">
        <f>((Y107/10^6)*U107*1)/(0.082056*H107)</f>
        <v>2.2745507384946584E-6</v>
      </c>
      <c r="AC107">
        <f>(Z107*(Q107/1000))+(AB107*(R107/1000))</f>
        <v>5.7138976008288177E-6</v>
      </c>
      <c r="AD107" s="39">
        <f>((AC107-(AA107*(Q107/1000)))/(R107/1000))*1000000</f>
        <v>5.0062341481424877</v>
      </c>
      <c r="AE107" s="39">
        <f>(AD107/((U107*AZ107*1))*(0.0821*273.15))</f>
        <v>2946.6914860087395</v>
      </c>
      <c r="AF107" s="39">
        <f>L107*U107*AZ107*1/(0.0821*273.15)</f>
        <v>4.8301095370372393E-3</v>
      </c>
      <c r="AG107" s="39">
        <f>AD107-AF107</f>
        <v>5.0014040386054504</v>
      </c>
      <c r="AH107" s="42">
        <f>P107*(AZ107-S107)</f>
        <v>0.2746833395879103</v>
      </c>
      <c r="AI107">
        <f>(((X107/10^6)*(Q107/1000))/(0.082056*H107))</f>
        <v>1.8469147231337176E-7</v>
      </c>
      <c r="AJ107">
        <f>(((K107/10^6)*AZ107)*(Q107/1000))/(0.082056*H107)</f>
        <v>1.0498284189267206E-6</v>
      </c>
      <c r="AK107">
        <f>(X107/10^6)*T107*(R107/1000)</f>
        <v>4.0469821011802322E-6</v>
      </c>
      <c r="AL107">
        <f>AI107+AK107</f>
        <v>4.2316735734936036E-6</v>
      </c>
      <c r="AM107" s="39">
        <f>((AL107-AJ107)/(R107/1000))*1000000</f>
        <v>2.7910922408481431</v>
      </c>
      <c r="AN107" s="39">
        <f>AM107/(T107*AZ107)</f>
        <v>60.794226874394184</v>
      </c>
      <c r="AO107" s="39">
        <f>(K107*AZ107)*T107</f>
        <v>20.178919781446389</v>
      </c>
      <c r="AP107" s="39">
        <f>AM107-AO107</f>
        <v>-17.387827540598245</v>
      </c>
      <c r="AQ107">
        <f>(((AH107/10^6)*(Q107/1000))/(0.082056*H107))</f>
        <v>7.0288938989213504E-10</v>
      </c>
      <c r="AR107">
        <f>(((M107/10^6)*AZ107)*(Q107/1000))/(0.082056*H107)</f>
        <v>7.6997983480710557E-10</v>
      </c>
      <c r="AS107">
        <f>(AH107/10^6)*V107*(R107/1000)</f>
        <v>1.1470894738570041E-8</v>
      </c>
      <c r="AT107">
        <f>AQ107+AS107</f>
        <v>1.2173784128462176E-8</v>
      </c>
      <c r="AU107" s="39">
        <f>((AT107-AR107)/(R107/1000))*1000000000</f>
        <v>10.003337099697431</v>
      </c>
      <c r="AV107" s="39">
        <f>(AU107/1000)/(V107*AZ107)</f>
        <v>0.29255477306277339</v>
      </c>
      <c r="AW107" s="39">
        <f>(M107*AZ107)*V107*1000</f>
        <v>11.022619274332694</v>
      </c>
      <c r="AX107" s="39">
        <f>AU107-AW107</f>
        <v>-1.0192821746352632</v>
      </c>
      <c r="AY107" s="26">
        <f>VLOOKUP($E107,Water!$C$2:$G$90, 5, FALSE)</f>
        <v>709.4</v>
      </c>
      <c r="AZ107">
        <f>AY107/760</f>
        <v>0.93342105263157893</v>
      </c>
      <c r="BA107" s="3">
        <f>Assumptions!$B$3</f>
        <v>406.07</v>
      </c>
      <c r="BB107" s="3">
        <f>BA107*AZ107*T107</f>
        <v>18.642869307029077</v>
      </c>
      <c r="BC107" s="3">
        <f>Assumptions!$B$4</f>
        <v>1.8474300000000001</v>
      </c>
      <c r="BD107" s="45">
        <f>BC107*AZ107*U107*1/(0.0821*273.15)</f>
        <v>3.1386615111275505E-3</v>
      </c>
      <c r="BE107" s="3">
        <f>Assumptions!$B$2</f>
        <v>0.33054499999999998</v>
      </c>
      <c r="BF107" s="44">
        <f>BE107*AZ107*V107*1000</f>
        <v>11.302338454447304</v>
      </c>
      <c r="BG107">
        <f>1923.6+(-125.06*F107)+(4.3773*(F107^2))+(-0.085681*(F107^3))+(0.00070284*(F107^4))</f>
        <v>889.10482971878378</v>
      </c>
      <c r="BH107">
        <f>1909.4+(-120.78*F107)+(4.1555*(F107^2))+(-0.080578*(F107^3))+(0.00065777*(F107^4))</f>
        <v>902.69180292315207</v>
      </c>
      <c r="BI107">
        <f>2141.2+(-152.56*F107)+(5.8963*(F107^2))+(-0.12411*(F107^3))+(0.0010655*(F107^4))</f>
        <v>933.62957055279992</v>
      </c>
      <c r="BJ107" s="25">
        <f>VLOOKUP(E107,Wind!$C$2:$E$109,3, FALSE)</f>
        <v>2.2222222222222223</v>
      </c>
      <c r="BK107" s="44">
        <v>1.66</v>
      </c>
      <c r="BL107">
        <f>BK107/(1-(((1.3*10^-3)^0.5)/0.41)*LN(10/1.5))</f>
        <v>1.9923982880693825</v>
      </c>
      <c r="BM107">
        <f>BK107*1.22</f>
        <v>2.0251999999999999</v>
      </c>
      <c r="BN107">
        <f>2.07+0.215*(BM107^1.7)*(24/100)</f>
        <v>2.241255750541113</v>
      </c>
      <c r="BO107">
        <f>BN107*((600/BG107)^0.67)</f>
        <v>1.7220837360695813</v>
      </c>
      <c r="BP107">
        <f>BN107*((600/BH107)^0.67)</f>
        <v>1.7046738162276189</v>
      </c>
      <c r="BQ107">
        <f>BN107*((600/BI107)^0.67)</f>
        <v>1.6666168701640971</v>
      </c>
      <c r="BR107" s="39">
        <f>BO107*(AM107-BB107)</f>
        <v>-27.298087473470968</v>
      </c>
      <c r="BS107" s="39">
        <f>BP107*(AD107-BD107)</f>
        <v>8.5286458761470563</v>
      </c>
      <c r="BT107" s="39">
        <f>BQ107*(AU107-BF107)</f>
        <v>-2.1649375721921547</v>
      </c>
      <c r="BU107">
        <f>(2.51+1.48*BM107)+(0.39*BM107*LOG10(0.0015))</f>
        <v>3.2768938069574309</v>
      </c>
      <c r="BV107">
        <f>BU107*((600/$BG107)^0.67)</f>
        <v>2.5178231125234589</v>
      </c>
      <c r="BW107">
        <f>BU107*((600/$BH107)^0.67)</f>
        <v>2.4923684278021914</v>
      </c>
      <c r="BX107">
        <f>BU107*((600/$BI107)^0.67)</f>
        <v>2.4367261518873793</v>
      </c>
      <c r="BY107" s="39">
        <f>BV107*($AM107-$BB107)</f>
        <v>-39.911970671799658</v>
      </c>
      <c r="BZ107" s="39">
        <f>BW107*($AD107-$BD107)</f>
        <v>12.469557232159643</v>
      </c>
      <c r="CA107" s="39">
        <f>BX107*($AU107-$BF107)</f>
        <v>-3.1653105724561499</v>
      </c>
      <c r="CB107" s="42">
        <f>AVERAGE(0.72,0.69,0.4,0.22)</f>
        <v>0.50750000000000006</v>
      </c>
      <c r="CC107">
        <f>CB107*((600/$BG107)^0.67)</f>
        <v>0.38994099439312557</v>
      </c>
      <c r="CD107">
        <f>CB107*((600/$BH107)^0.67)</f>
        <v>0.38599876945174499</v>
      </c>
      <c r="CE107">
        <f>CB107*((600/$BI107)^0.67)</f>
        <v>0.37738132357455123</v>
      </c>
      <c r="CF107" s="39">
        <f>CC107*($AM107-$BB107)</f>
        <v>-6.1812577120847356</v>
      </c>
      <c r="CG107" s="39">
        <f>CD107*($AD107-$BD107)</f>
        <v>1.9311887012892843</v>
      </c>
      <c r="CH107" s="39">
        <f>CE107*($AU107-$BF107)</f>
        <v>-0.49021885058064213</v>
      </c>
      <c r="CI107">
        <v>0.86263901889527161</v>
      </c>
      <c r="CJ107">
        <f>((BG107/BH107)^0.67)*CI107</f>
        <v>0.85391791210066648</v>
      </c>
      <c r="CK107">
        <f>((BH107/BH107)^0.67)*CI107</f>
        <v>0.86263901889527161</v>
      </c>
      <c r="CL107">
        <f>((BI107/BH107)^0.67)*CI107</f>
        <v>0.88233725140575514</v>
      </c>
      <c r="CM107" s="39">
        <f>CJ107*($AM107-$BB107)</f>
        <v>-13.53611637543845</v>
      </c>
      <c r="CN107" s="39">
        <f>CK107*($AD107-$BD107)</f>
        <v>4.3158653820270381</v>
      </c>
      <c r="CO107" s="39">
        <f>CL107*($AU107-$BF107)</f>
        <v>-1.1461572849223549</v>
      </c>
      <c r="CP107" s="27">
        <f>VLOOKUP(A107,Water!$A$2:$E$109, 5, FALSE)/1000</f>
        <v>1E-4</v>
      </c>
      <c r="CQ107">
        <f>0.64*CP107</f>
        <v>6.4000000000000011E-5</v>
      </c>
      <c r="CR107" s="19">
        <f>CQ107*1000*(2.5*10^-5)</f>
        <v>1.6000000000000004E-6</v>
      </c>
      <c r="CS107" s="18">
        <f>(-0.0000009*F107^3)+(0.0002*F107^2)-(0.0134*F107)+6.579</f>
        <v>6.4401116615999996</v>
      </c>
      <c r="CT107" s="18">
        <f>CS107-(SQRT(CP107))/(1+1.4*SQRT(CP107))</f>
        <v>6.4302497286611437</v>
      </c>
      <c r="CU107" s="18">
        <f>10^(-CT107)</f>
        <v>3.7132164976747915E-7</v>
      </c>
      <c r="CV107" s="18">
        <f>(0.000001*F107^3)+(0.00006*F107^2)-(0.014*F107)+10.625</f>
        <v>10.460125976</v>
      </c>
      <c r="CW107" s="18">
        <f>CV107-(2*SQRT(CR107))/(1+1.4*SQRT(CR107))</f>
        <v>10.457600625952368</v>
      </c>
      <c r="CX107" s="18">
        <f>10^(-CW107)</f>
        <v>3.4865779082903994E-11</v>
      </c>
      <c r="CY107">
        <f>EXP(1246.98+-61900/H107-183*LN(H107))</f>
        <v>1.0787270210671593E-2</v>
      </c>
      <c r="CZ107">
        <f>12.225*(F107^2)+15.258*F107+1125.7</f>
        <v>3258.7918</v>
      </c>
      <c r="DA107" s="15">
        <f>10^(-4470.99/H107+6.0875-0.01706*H107)</f>
        <v>3.6821019887696965E-15</v>
      </c>
      <c r="DB107">
        <f>(10^-I107)</f>
        <v>3.8904514499427963E-10</v>
      </c>
      <c r="DC107">
        <f>DB107^2</f>
        <v>1.5135612484362006E-19</v>
      </c>
      <c r="DD107" s="20">
        <f>((14.6836*10^-9)*((H107/217.2056)-1)^1.997)*100*100</f>
        <v>1.4673616507814016E-5</v>
      </c>
      <c r="DE107">
        <f>CY107+CZ107*DA107/DB107</f>
        <v>4.1629972971922627E-2</v>
      </c>
      <c r="DF107">
        <f>1+DC107*(CU107*CX107+CU107*DB107)^-1</f>
        <v>1.0009615571914543</v>
      </c>
      <c r="DG107">
        <f>(DE107*DF107/DD107)^0.5</f>
        <v>53.289688459439802</v>
      </c>
      <c r="DH107">
        <f>DD107/(BO107/60/60)</f>
        <v>3.0675058547789482E-2</v>
      </c>
      <c r="DI107" s="16">
        <f>DF107/((DF107-1)+TANH(DG107*DH107)/(DG107*DH107))</f>
        <v>1.7626255780455165</v>
      </c>
      <c r="DJ107">
        <f>$DI107*BR107</f>
        <v>-48.116307212463838</v>
      </c>
      <c r="DK107">
        <f>$DI107*BY107</f>
        <v>-70.34986037631657</v>
      </c>
      <c r="DL107">
        <f>$DI107*CF107</f>
        <v>-10.895242947811663</v>
      </c>
      <c r="DM107">
        <f>$DI107*CM107</f>
        <v>-23.859104950748577</v>
      </c>
    </row>
    <row r="108" spans="1:117" ht="15.75" x14ac:dyDescent="0.25">
      <c r="A108" s="51" t="s">
        <v>478</v>
      </c>
      <c r="B108" s="54" t="s">
        <v>341</v>
      </c>
      <c r="C108" s="48" t="s">
        <v>260</v>
      </c>
      <c r="D108" s="57">
        <v>43237</v>
      </c>
      <c r="E108" s="42" t="str">
        <f>A108&amp;D108</f>
        <v>23A43237</v>
      </c>
      <c r="F108" s="3">
        <f>VLOOKUP($E108,Water!$C$2:$E$90, 2, FALSE)</f>
        <v>12.6</v>
      </c>
      <c r="G108" s="3">
        <f>VLOOKUP($E108,Water!$C$2:$E$90, 3, FALSE)</f>
        <v>0.09</v>
      </c>
      <c r="H108" s="1">
        <f>F108+273.15</f>
        <v>285.75</v>
      </c>
      <c r="I108" s="3">
        <f>VLOOKUP($E108,Water!$C$2:$F$90, 4, FALSE)</f>
        <v>9.41</v>
      </c>
      <c r="J108">
        <f>10^(I108*-1)</f>
        <v>3.8904514499427963E-10</v>
      </c>
      <c r="K108" s="25">
        <v>439.52751160265137</v>
      </c>
      <c r="L108" s="25">
        <v>2.8430237635924795</v>
      </c>
      <c r="M108" s="25">
        <v>0.32236441181786135</v>
      </c>
      <c r="N108" s="21">
        <f>VLOOKUP($C108,Raw!$B$2:$F$353, 3, FALSE)</f>
        <v>115.965</v>
      </c>
      <c r="O108" s="21">
        <f>VLOOKUP($C108,Raw!$B$2:$F$353, 4, FALSE)</f>
        <v>1474.0119999999999</v>
      </c>
      <c r="P108" s="21">
        <f>VLOOKUP($C108,Raw!$B$2:$F$353, 5, FALSE)</f>
        <v>0.26200000000000001</v>
      </c>
      <c r="Q108" s="14">
        <v>60</v>
      </c>
      <c r="R108" s="25">
        <v>1140</v>
      </c>
      <c r="S108">
        <f>EXP(24.4543-(100/H108*(67.4509))-(4.8489*LN(H108/100))-(0.000544*G108))</f>
        <v>1.4383092041521522E-2</v>
      </c>
      <c r="T108" s="8">
        <f>EXP(-58.0931+90.5069*(100/H108)+22.294*LN(H108/100)+G108*(0.027766-0.025888*(H108/100)+0.0050578*(H108/100)^2)*G108)</f>
        <v>4.9185179162420094E-2</v>
      </c>
      <c r="U108" s="9">
        <f>(EXP(-67.1962+99.1624*(100/H108)+27.9015*LN(H108/100)+G108*(-0.072909+0.041674*(H108/100)-0.0064603*(H108/100)^2)*G108))</f>
        <v>4.0817204762255949E-2</v>
      </c>
      <c r="V108" s="9">
        <f>(EXP(-64.8539+100.252*(100/H108)+25.2049*LN(H108/100)+(-0.062544+0.035337*(H108/100)-0.0054699*(H108/100)^2)*G108))</f>
        <v>3.6631957301314147E-2</v>
      </c>
      <c r="W108" s="9">
        <f>(EXP(-68.8862+101.4956*(100/H108)+28.7314*LN(H108/100)+G108*(-0.076146+0.04397*(H108/100)-0.0068672*(H108/100)^2)))</f>
        <v>4.0708392836777331E-2</v>
      </c>
      <c r="X108">
        <f>N108*(AZ108-S108)</f>
        <v>106.576237099826</v>
      </c>
      <c r="Y108">
        <f>O108*(AZ108-S108)</f>
        <v>1354.6729823652715</v>
      </c>
      <c r="Z108">
        <f>((Y108/10^6)*AZ108)/(0.082056*H108)</f>
        <v>5.3928144719678545E-5</v>
      </c>
      <c r="AA108">
        <f>(((L108/10^6)*AZ108)/(0.082056*H108))</f>
        <v>1.1317786577303996E-7</v>
      </c>
      <c r="AB108">
        <f>((Y108/10^6)*U108*1)/(0.082056*H108)</f>
        <v>2.3582027845481888E-6</v>
      </c>
      <c r="AC108">
        <f>(Z108*(Q108/1000))+(AB108*(R108/1000))</f>
        <v>5.9240398575656473E-6</v>
      </c>
      <c r="AD108" s="39">
        <f>((AC108-(AA108*(Q108/1000)))/(R108/1000))*1000000</f>
        <v>5.190569461069531</v>
      </c>
      <c r="AE108" s="39">
        <f>(AD108/((U108*AZ108*1))*(0.0821*273.15))</f>
        <v>3055.1920637083294</v>
      </c>
      <c r="AF108" s="39">
        <f>L108*U108*AZ108*1/(0.0821*273.15)</f>
        <v>4.8301095370372393E-3</v>
      </c>
      <c r="AG108" s="39">
        <f>AD108-AF108</f>
        <v>5.1857393515324937</v>
      </c>
      <c r="AH108" s="42">
        <f>P108*(AZ108-S108)</f>
        <v>0.24078794567459505</v>
      </c>
      <c r="AI108">
        <f>(((X108/10^6)*(Q108/1000))/(0.082056*H108))</f>
        <v>2.7271878368917761E-7</v>
      </c>
      <c r="AJ108">
        <f>(((K108/10^6)*AZ108)*(Q108/1000))/(0.082056*H108)</f>
        <v>1.0498284189267206E-6</v>
      </c>
      <c r="AK108">
        <f>(X108/10^6)*T108*(R108/1000)</f>
        <v>5.9758473004811144E-6</v>
      </c>
      <c r="AL108">
        <f>AI108+AK108</f>
        <v>6.2485660841702917E-6</v>
      </c>
      <c r="AM108" s="39">
        <f>((AL108-AJ108)/(R108/1000))*1000000</f>
        <v>4.5602961975820797</v>
      </c>
      <c r="AN108" s="39">
        <f>AM108/(T108*AZ108)</f>
        <v>99.330175331645748</v>
      </c>
      <c r="AO108" s="39">
        <f>(K108*AZ108)*T108</f>
        <v>20.178919781446389</v>
      </c>
      <c r="AP108" s="39">
        <f>AM108-AO108</f>
        <v>-15.618623583864309</v>
      </c>
      <c r="AQ108">
        <f>(((AH108/10^6)*(Q108/1000))/(0.082056*H108))</f>
        <v>6.1615419589155828E-10</v>
      </c>
      <c r="AR108">
        <f>(((M108/10^6)*AZ108)*(Q108/1000))/(0.082056*H108)</f>
        <v>7.6997983480710557E-10</v>
      </c>
      <c r="AS108">
        <f>(AH108/10^6)*V108*(R108/1000)</f>
        <v>1.0055408468870124E-8</v>
      </c>
      <c r="AT108">
        <f>AQ108+AS108</f>
        <v>1.0671562664761681E-8</v>
      </c>
      <c r="AU108" s="39">
        <f>((AT108-AR108)/(R108/1000))*1000000000</f>
        <v>8.6855989736443675</v>
      </c>
      <c r="AV108" s="39">
        <f>(AU108/1000)/(V108*AZ108)</f>
        <v>0.25401657580105375</v>
      </c>
      <c r="AW108" s="39">
        <f>(M108*AZ108)*V108*1000</f>
        <v>11.022619274332694</v>
      </c>
      <c r="AX108" s="39">
        <f>AU108-AW108</f>
        <v>-2.3370203006883266</v>
      </c>
      <c r="AY108" s="26">
        <f>VLOOKUP($E108,Water!$C$2:$G$90, 5, FALSE)</f>
        <v>709.4</v>
      </c>
      <c r="AZ108">
        <f>AY108/760</f>
        <v>0.93342105263157893</v>
      </c>
      <c r="BA108" s="3">
        <f>Assumptions!$B$3</f>
        <v>406.07</v>
      </c>
      <c r="BB108" s="3">
        <f>BA108*AZ108*T108</f>
        <v>18.642869307029077</v>
      </c>
      <c r="BC108" s="3">
        <f>Assumptions!$B$4</f>
        <v>1.8474300000000001</v>
      </c>
      <c r="BD108" s="45">
        <f>BC108*AZ108*U108*1/(0.0821*273.15)</f>
        <v>3.1386615111275505E-3</v>
      </c>
      <c r="BE108" s="3">
        <f>Assumptions!$B$2</f>
        <v>0.33054499999999998</v>
      </c>
      <c r="BF108" s="44">
        <f>BE108*AZ108*V108*1000</f>
        <v>11.302338454447304</v>
      </c>
      <c r="BG108">
        <f>1923.6+(-125.06*F108)+(4.3773*(F108^2))+(-0.085681*(F108^3))+(0.00070284*(F108^4))</f>
        <v>889.10482971878378</v>
      </c>
      <c r="BH108">
        <f>1909.4+(-120.78*F108)+(4.1555*(F108^2))+(-0.080578*(F108^3))+(0.00065777*(F108^4))</f>
        <v>902.69180292315207</v>
      </c>
      <c r="BI108">
        <f>2141.2+(-152.56*F108)+(5.8963*(F108^2))+(-0.12411*(F108^3))+(0.0010655*(F108^4))</f>
        <v>933.62957055279992</v>
      </c>
      <c r="BJ108" s="25">
        <f>VLOOKUP(E108,Wind!$C$2:$E$109,3, FALSE)</f>
        <v>2.2222222222222223</v>
      </c>
      <c r="BK108" s="44">
        <v>1.66</v>
      </c>
      <c r="BL108">
        <f>BK108/(1-(((1.3*10^-3)^0.5)/0.41)*LN(10/1.5))</f>
        <v>1.9923982880693825</v>
      </c>
      <c r="BM108">
        <f>BK108*1.22</f>
        <v>2.0251999999999999</v>
      </c>
      <c r="BN108">
        <f>2.07+0.215*(BM108^1.7)*(24/100)</f>
        <v>2.241255750541113</v>
      </c>
      <c r="BO108">
        <f>BN108*((600/BG108)^0.67)</f>
        <v>1.7220837360695813</v>
      </c>
      <c r="BP108">
        <f>BN108*((600/BH108)^0.67)</f>
        <v>1.7046738162276189</v>
      </c>
      <c r="BQ108">
        <f>BN108*((600/BI108)^0.67)</f>
        <v>1.6666168701640971</v>
      </c>
      <c r="BR108" s="39">
        <f>BO108*(AM108-BB108)</f>
        <v>-24.251370113789505</v>
      </c>
      <c r="BS108" s="39">
        <f>BP108*(AD108-BD108)</f>
        <v>8.8428774574999114</v>
      </c>
      <c r="BT108" s="39">
        <f>BQ108*(AU108-BF108)</f>
        <v>-4.3611021635306138</v>
      </c>
      <c r="BU108">
        <f>(2.51+1.48*BM108)+(0.39*BM108*LOG10(0.0015))</f>
        <v>3.2768938069574309</v>
      </c>
      <c r="BV108">
        <f>BU108*((600/$BG108)^0.67)</f>
        <v>2.5178231125234589</v>
      </c>
      <c r="BW108">
        <f>BU108*((600/$BH108)^0.67)</f>
        <v>2.4923684278021914</v>
      </c>
      <c r="BX108">
        <f>BU108*((600/$BI108)^0.67)</f>
        <v>2.4367261518873793</v>
      </c>
      <c r="BY108" s="39">
        <f>BV108*($AM108-$BB108)</f>
        <v>-35.457428058767</v>
      </c>
      <c r="BZ108" s="39">
        <f>BW108*($AD108-$BD108)</f>
        <v>12.928988746228043</v>
      </c>
      <c r="CA108" s="39">
        <f>BX108*($AU108-$BF108)</f>
        <v>-6.3762775255487174</v>
      </c>
      <c r="CB108" s="42">
        <f>AVERAGE(0.72,0.69,0.4,0.22)</f>
        <v>0.50750000000000006</v>
      </c>
      <c r="CC108">
        <f>CB108*((600/$BG108)^0.67)</f>
        <v>0.38994099439312557</v>
      </c>
      <c r="CD108">
        <f>CB108*((600/$BH108)^0.67)</f>
        <v>0.38599876945174499</v>
      </c>
      <c r="CE108">
        <f>CB108*((600/$BI108)^0.67)</f>
        <v>0.37738132357455123</v>
      </c>
      <c r="CF108" s="39">
        <f>CC108*($AM108-$BB108)</f>
        <v>-5.4913725619116525</v>
      </c>
      <c r="CG108" s="39">
        <f>CD108*($AD108-$BD108)</f>
        <v>2.0023419052456255</v>
      </c>
      <c r="CH108" s="39">
        <f>CE108*($AU108-$BF108)</f>
        <v>-0.98750860871519597</v>
      </c>
      <c r="CI108">
        <v>0.86263901889527161</v>
      </c>
      <c r="CJ108">
        <f>((BG108/BH108)^0.67)*CI108</f>
        <v>0.85391791210066648</v>
      </c>
      <c r="CK108">
        <f>((BH108/BH108)^0.67)*CI108</f>
        <v>0.86263901889527161</v>
      </c>
      <c r="CL108">
        <f>((BI108/BH108)^0.67)*CI108</f>
        <v>0.88233725140575514</v>
      </c>
      <c r="CM108" s="39">
        <f>CJ108*($AM108-$BB108)</f>
        <v>-12.02536142662397</v>
      </c>
      <c r="CN108" s="39">
        <f>CK108*($AD108-$BD108)</f>
        <v>4.4748802155181755</v>
      </c>
      <c r="CO108" s="39">
        <f>CL108*($AU108-$BF108)</f>
        <v>-2.3088467211365855</v>
      </c>
      <c r="CP108" s="27">
        <f>VLOOKUP(A108,Water!$A$2:$E$109, 5, FALSE)/1000</f>
        <v>1E-4</v>
      </c>
      <c r="CQ108">
        <f>0.64*CP108</f>
        <v>6.4000000000000011E-5</v>
      </c>
      <c r="CR108" s="19">
        <f>CQ108*1000*(2.5*10^-5)</f>
        <v>1.6000000000000004E-6</v>
      </c>
      <c r="CS108" s="18">
        <f>(-0.0000009*F108^3)+(0.0002*F108^2)-(0.0134*F108)+6.579</f>
        <v>6.4401116615999996</v>
      </c>
      <c r="CT108" s="18">
        <f>CS108-(SQRT(CP108))/(1+1.4*SQRT(CP108))</f>
        <v>6.4302497286611437</v>
      </c>
      <c r="CU108" s="18">
        <f>10^(-CT108)</f>
        <v>3.7132164976747915E-7</v>
      </c>
      <c r="CV108" s="18">
        <f>(0.000001*F108^3)+(0.00006*F108^2)-(0.014*F108)+10.625</f>
        <v>10.460125976</v>
      </c>
      <c r="CW108" s="18">
        <f>CV108-(2*SQRT(CR108))/(1+1.4*SQRT(CR108))</f>
        <v>10.457600625952368</v>
      </c>
      <c r="CX108" s="18">
        <f>10^(-CW108)</f>
        <v>3.4865779082903994E-11</v>
      </c>
      <c r="CY108">
        <f>EXP(1246.98+-61900/H108-183*LN(H108))</f>
        <v>1.0787270210671593E-2</v>
      </c>
      <c r="CZ108">
        <f>12.225*(F108^2)+15.258*F108+1125.7</f>
        <v>3258.7918</v>
      </c>
      <c r="DA108" s="15">
        <f>10^(-4470.99/H108+6.0875-0.01706*H108)</f>
        <v>3.6821019887696965E-15</v>
      </c>
      <c r="DB108">
        <f>(10^-I108)</f>
        <v>3.8904514499427963E-10</v>
      </c>
      <c r="DC108">
        <f>DB108^2</f>
        <v>1.5135612484362006E-19</v>
      </c>
      <c r="DD108" s="20">
        <f>((14.6836*10^-9)*((H108/217.2056)-1)^1.997)*100*100</f>
        <v>1.4673616507814016E-5</v>
      </c>
      <c r="DE108">
        <f>CY108+CZ108*DA108/DB108</f>
        <v>4.1629972971922627E-2</v>
      </c>
      <c r="DF108">
        <f>1+DC108*(CU108*CX108+CU108*DB108)^-1</f>
        <v>1.0009615571914543</v>
      </c>
      <c r="DG108">
        <f>(DE108*DF108/DD108)^0.5</f>
        <v>53.289688459439802</v>
      </c>
      <c r="DH108">
        <f>DD108/(BO108/60/60)</f>
        <v>3.0675058547789482E-2</v>
      </c>
      <c r="DI108" s="16">
        <f>DF108/((DF108-1)+TANH(DG108*DH108)/(DG108*DH108))</f>
        <v>1.7626255780455165</v>
      </c>
      <c r="DJ108">
        <f>$DI108*BR108</f>
        <v>-42.746085265213992</v>
      </c>
      <c r="DK108">
        <f>$DI108*BY108</f>
        <v>-62.498169628091496</v>
      </c>
      <c r="DL108">
        <f>$DI108*CF108</f>
        <v>-9.6792337362028142</v>
      </c>
      <c r="DM108">
        <f>$DI108*CM108</f>
        <v>-21.196209635809332</v>
      </c>
    </row>
    <row r="109" spans="1:117" ht="15.75" x14ac:dyDescent="0.25">
      <c r="A109" s="51" t="s">
        <v>478</v>
      </c>
      <c r="B109" s="54" t="s">
        <v>342</v>
      </c>
      <c r="C109" s="48" t="s">
        <v>261</v>
      </c>
      <c r="D109" s="57">
        <v>43237</v>
      </c>
      <c r="E109" s="42" t="str">
        <f>A109&amp;D109</f>
        <v>23A43237</v>
      </c>
      <c r="F109" s="3">
        <f>VLOOKUP($E109,Water!$C$2:$E$90, 2, FALSE)</f>
        <v>12.6</v>
      </c>
      <c r="G109" s="3">
        <f>VLOOKUP($E109,Water!$C$2:$E$90, 3, FALSE)</f>
        <v>0.09</v>
      </c>
      <c r="H109" s="1">
        <f>F109+273.15</f>
        <v>285.75</v>
      </c>
      <c r="I109" s="3">
        <f>VLOOKUP($E109,Water!$C$2:$F$90, 4, FALSE)</f>
        <v>9.41</v>
      </c>
      <c r="J109">
        <f>10^(I109*-1)</f>
        <v>3.8904514499427963E-10</v>
      </c>
      <c r="K109" s="25">
        <v>439.52751160265137</v>
      </c>
      <c r="L109" s="25">
        <v>2.8430237635924795</v>
      </c>
      <c r="M109" s="25">
        <v>0.32236441181786135</v>
      </c>
      <c r="N109" s="21">
        <f>VLOOKUP($C109,Raw!$B$2:$F$353, 3, FALSE)</f>
        <v>100.791</v>
      </c>
      <c r="O109" s="21">
        <f>VLOOKUP($C109,Raw!$B$2:$F$353, 4, FALSE)</f>
        <v>1472.876</v>
      </c>
      <c r="P109" s="21">
        <f>VLOOKUP($C109,Raw!$B$2:$F$353, 5, FALSE)</f>
        <v>0.26100000000000001</v>
      </c>
      <c r="Q109" s="14">
        <v>60</v>
      </c>
      <c r="R109" s="25">
        <v>1140</v>
      </c>
      <c r="S109">
        <f>EXP(24.4543-(100/H109*(67.4509))-(4.8489*LN(H109/100))-(0.000544*G109))</f>
        <v>1.4383092041521522E-2</v>
      </c>
      <c r="T109" s="8">
        <f>EXP(-58.0931+90.5069*(100/H109)+22.294*LN(H109/100)+G109*(0.027766-0.025888*(H109/100)+0.0050578*(H109/100)^2)*G109)</f>
        <v>4.9185179162420094E-2</v>
      </c>
      <c r="U109" s="9">
        <f>(EXP(-67.1962+99.1624*(100/H109)+27.9015*LN(H109/100)+G109*(-0.072909+0.041674*(H109/100)-0.0064603*(H109/100)^2)*G109))</f>
        <v>4.0817204762255949E-2</v>
      </c>
      <c r="V109" s="9">
        <f>(EXP(-64.8539+100.252*(100/H109)+25.2049*LN(H109/100)+(-0.062544+0.035337*(H109/100)-0.0054699*(H109/100)^2)*G109))</f>
        <v>3.6631957301314147E-2</v>
      </c>
      <c r="W109" s="9">
        <f>(EXP(-68.8862+101.4956*(100/H109)+28.7314*LN(H109/100)+G109*(-0.076146+0.04397*(H109/100)-0.0068672*(H109/100)^2)))</f>
        <v>4.0708392836777331E-2</v>
      </c>
      <c r="X109">
        <f>N109*(AZ109-S109)</f>
        <v>92.630755085832476</v>
      </c>
      <c r="Y109">
        <f>O109*(AZ109-S109)</f>
        <v>1353.6289552420412</v>
      </c>
      <c r="Z109">
        <f>((Y109/10^6)*AZ109)/(0.082056*H109)</f>
        <v>5.388658306861902E-5</v>
      </c>
      <c r="AA109">
        <f>(((L109/10^6)*AZ109)/(0.082056*H109))</f>
        <v>1.1317786577303996E-7</v>
      </c>
      <c r="AB109">
        <f>((Y109/10^6)*U109*1)/(0.082056*H109)</f>
        <v>2.3563853513364876E-6</v>
      </c>
      <c r="AC109">
        <f>(Z109*(Q109/1000))+(AB109*(R109/1000))</f>
        <v>5.9194742846407365E-6</v>
      </c>
      <c r="AD109" s="39">
        <f>((AC109-(AA109*(Q109/1000)))/(R109/1000))*1000000</f>
        <v>5.1865645725389076</v>
      </c>
      <c r="AE109" s="39">
        <f>(AD109/((U109*AZ109*1))*(0.0821*273.15))</f>
        <v>3052.8347686665106</v>
      </c>
      <c r="AF109" s="39">
        <f>L109*U109*AZ109*1/(0.0821*273.15)</f>
        <v>4.8301095370372393E-3</v>
      </c>
      <c r="AG109" s="39">
        <f>AD109-AF109</f>
        <v>5.1817344630018702</v>
      </c>
      <c r="AH109" s="42">
        <f>P109*(AZ109-S109)</f>
        <v>0.23986890771400499</v>
      </c>
      <c r="AI109">
        <f>(((X109/10^6)*(Q109/1000))/(0.082056*H109))</f>
        <v>2.3703357846605358E-7</v>
      </c>
      <c r="AJ109">
        <f>(((K109/10^6)*AZ109)*(Q109/1000))/(0.082056*H109)</f>
        <v>1.0498284189267206E-6</v>
      </c>
      <c r="AK109">
        <f>(X109/10^6)*T109*(R109/1000)</f>
        <v>5.1939087247254958E-6</v>
      </c>
      <c r="AL109">
        <f>AI109+AK109</f>
        <v>5.4309423031915495E-6</v>
      </c>
      <c r="AM109" s="39">
        <f>((AL109-AJ109)/(R109/1000))*1000000</f>
        <v>3.843082354618272</v>
      </c>
      <c r="AN109" s="39">
        <f>AM109/(T109*AZ109)</f>
        <v>83.708168846704879</v>
      </c>
      <c r="AO109" s="39">
        <f>(K109*AZ109)*T109</f>
        <v>20.178919781446389</v>
      </c>
      <c r="AP109" s="39">
        <f>AM109-AO109</f>
        <v>-16.335837426828117</v>
      </c>
      <c r="AQ109">
        <f>(((AH109/10^6)*(Q109/1000))/(0.082056*H109))</f>
        <v>6.1380246231945299E-10</v>
      </c>
      <c r="AR109">
        <f>(((M109/10^6)*AZ109)*(Q109/1000))/(0.082056*H109)</f>
        <v>7.6997983480710557E-10</v>
      </c>
      <c r="AS109">
        <f>(AH109/10^6)*V109*(R109/1000)</f>
        <v>1.0017029047233215E-8</v>
      </c>
      <c r="AT109">
        <f>AQ109+AS109</f>
        <v>1.0630831509552667E-8</v>
      </c>
      <c r="AU109" s="39">
        <f>((AT109-AR109)/(R109/1000))*1000000000</f>
        <v>8.649869890127686</v>
      </c>
      <c r="AV109" s="39">
        <f>(AU109/1000)/(V109*AZ109)</f>
        <v>0.25297165311017694</v>
      </c>
      <c r="AW109" s="39">
        <f>(M109*AZ109)*V109*1000</f>
        <v>11.022619274332694</v>
      </c>
      <c r="AX109" s="39">
        <f>AU109-AW109</f>
        <v>-2.372749384205008</v>
      </c>
      <c r="AY109" s="26">
        <f>VLOOKUP($E109,Water!$C$2:$G$90, 5, FALSE)</f>
        <v>709.4</v>
      </c>
      <c r="AZ109">
        <f>AY109/760</f>
        <v>0.93342105263157893</v>
      </c>
      <c r="BA109" s="3">
        <f>Assumptions!$B$3</f>
        <v>406.07</v>
      </c>
      <c r="BB109" s="3">
        <f>BA109*AZ109*T109</f>
        <v>18.642869307029077</v>
      </c>
      <c r="BC109" s="3">
        <f>Assumptions!$B$4</f>
        <v>1.8474300000000001</v>
      </c>
      <c r="BD109" s="45">
        <f>BC109*AZ109*U109*1/(0.0821*273.15)</f>
        <v>3.1386615111275505E-3</v>
      </c>
      <c r="BE109" s="3">
        <f>Assumptions!$B$2</f>
        <v>0.33054499999999998</v>
      </c>
      <c r="BF109" s="44">
        <f>BE109*AZ109*V109*1000</f>
        <v>11.302338454447304</v>
      </c>
      <c r="BG109">
        <f>1923.6+(-125.06*F109)+(4.3773*(F109^2))+(-0.085681*(F109^3))+(0.00070284*(F109^4))</f>
        <v>889.10482971878378</v>
      </c>
      <c r="BH109">
        <f>1909.4+(-120.78*F109)+(4.1555*(F109^2))+(-0.080578*(F109^3))+(0.00065777*(F109^4))</f>
        <v>902.69180292315207</v>
      </c>
      <c r="BI109">
        <f>2141.2+(-152.56*F109)+(5.8963*(F109^2))+(-0.12411*(F109^3))+(0.0010655*(F109^4))</f>
        <v>933.62957055279992</v>
      </c>
      <c r="BJ109" s="25">
        <f>VLOOKUP(E109,Wind!$C$2:$E$109,3, FALSE)</f>
        <v>2.2222222222222223</v>
      </c>
      <c r="BK109" s="44">
        <v>1.66</v>
      </c>
      <c r="BL109">
        <f>BK109/(1-(((1.3*10^-3)^0.5)/0.41)*LN(10/1.5))</f>
        <v>1.9923982880693825</v>
      </c>
      <c r="BM109">
        <f>BK109*1.22</f>
        <v>2.0251999999999999</v>
      </c>
      <c r="BN109">
        <f>2.07+0.215*(BM109^1.7)*(24/100)</f>
        <v>2.241255750541113</v>
      </c>
      <c r="BO109">
        <f>BN109*((600/BG109)^0.67)</f>
        <v>1.7220837360695813</v>
      </c>
      <c r="BP109">
        <f>BN109*((600/BH109)^0.67)</f>
        <v>1.7046738162276189</v>
      </c>
      <c r="BQ109">
        <f>BN109*((600/BI109)^0.67)</f>
        <v>1.6666168701640971</v>
      </c>
      <c r="BR109" s="39">
        <f>BO109*(AM109-BB109)</f>
        <v>-25.486472408041443</v>
      </c>
      <c r="BS109" s="39">
        <f>BP109*(AD109-BD109)</f>
        <v>8.8360504288848478</v>
      </c>
      <c r="BT109" s="39">
        <f>BQ109*(AU109-BF109)</f>
        <v>-4.4206488568750171</v>
      </c>
      <c r="BU109">
        <f>(2.51+1.48*BM109)+(0.39*BM109*LOG10(0.0015))</f>
        <v>3.2768938069574309</v>
      </c>
      <c r="BV109">
        <f>BU109*((600/$BG109)^0.67)</f>
        <v>2.5178231125234589</v>
      </c>
      <c r="BW109">
        <f>BU109*((600/$BH109)^0.67)</f>
        <v>2.4923684278021914</v>
      </c>
      <c r="BX109">
        <f>BU109*((600/$BI109)^0.67)</f>
        <v>2.4367261518873793</v>
      </c>
      <c r="BY109" s="39">
        <f>BV109*($AM109-$BB109)</f>
        <v>-37.26324564920305</v>
      </c>
      <c r="BZ109" s="39">
        <f>BW109*($AD109-$BD109)</f>
        <v>12.91900708849745</v>
      </c>
      <c r="CA109" s="39">
        <f>BX109*($AU109-$BF109)</f>
        <v>-6.4633395177367836</v>
      </c>
      <c r="CB109" s="42">
        <f>AVERAGE(0.72,0.69,0.4,0.22)</f>
        <v>0.50750000000000006</v>
      </c>
      <c r="CC109">
        <f>CB109*((600/$BG109)^0.67)</f>
        <v>0.38994099439312557</v>
      </c>
      <c r="CD109">
        <f>CB109*((600/$BH109)^0.67)</f>
        <v>0.38599876945174499</v>
      </c>
      <c r="CE109">
        <f>CB109*((600/$BI109)^0.67)</f>
        <v>0.37738132357455123</v>
      </c>
      <c r="CF109" s="39">
        <f>CC109*($AM109-$BB109)</f>
        <v>-5.7710436410294745</v>
      </c>
      <c r="CG109" s="39">
        <f>CD109*($AD109-$BD109)</f>
        <v>2.0007960232010134</v>
      </c>
      <c r="CH109" s="39">
        <f>CE109*($AU109-$BF109)</f>
        <v>-1.000992097542827</v>
      </c>
      <c r="CI109">
        <v>0.86263901889527161</v>
      </c>
      <c r="CJ109">
        <f>((BG109/BH109)^0.67)*CI109</f>
        <v>0.85391791210066648</v>
      </c>
      <c r="CK109">
        <f>((BH109/BH109)^0.67)*CI109</f>
        <v>0.86263901889527161</v>
      </c>
      <c r="CL109">
        <f>((BI109/BH109)^0.67)*CI109</f>
        <v>0.88233725140575514</v>
      </c>
      <c r="CM109" s="39">
        <f>CJ109*($AM109-$BB109)</f>
        <v>-12.637803173937321</v>
      </c>
      <c r="CN109" s="39">
        <f>CK109*($AD109-$BD109)</f>
        <v>4.4714254424053337</v>
      </c>
      <c r="CO109" s="39">
        <f>CL109*($AU109-$BF109)</f>
        <v>-2.340371822481941</v>
      </c>
      <c r="CP109" s="27">
        <f>VLOOKUP(A109,Water!$A$2:$E$109, 5, FALSE)/1000</f>
        <v>1E-4</v>
      </c>
      <c r="CQ109">
        <f>0.64*CP109</f>
        <v>6.4000000000000011E-5</v>
      </c>
      <c r="CR109" s="19">
        <f>CQ109*1000*(2.5*10^-5)</f>
        <v>1.6000000000000004E-6</v>
      </c>
      <c r="CS109" s="18">
        <f>(-0.0000009*F109^3)+(0.0002*F109^2)-(0.0134*F109)+6.579</f>
        <v>6.4401116615999996</v>
      </c>
      <c r="CT109" s="18">
        <f>CS109-(SQRT(CP109))/(1+1.4*SQRT(CP109))</f>
        <v>6.4302497286611437</v>
      </c>
      <c r="CU109" s="18">
        <f>10^(-CT109)</f>
        <v>3.7132164976747915E-7</v>
      </c>
      <c r="CV109" s="18">
        <f>(0.000001*F109^3)+(0.00006*F109^2)-(0.014*F109)+10.625</f>
        <v>10.460125976</v>
      </c>
      <c r="CW109" s="18">
        <f>CV109-(2*SQRT(CR109))/(1+1.4*SQRT(CR109))</f>
        <v>10.457600625952368</v>
      </c>
      <c r="CX109" s="18">
        <f>10^(-CW109)</f>
        <v>3.4865779082903994E-11</v>
      </c>
      <c r="CY109">
        <f>EXP(1246.98+-61900/H109-183*LN(H109))</f>
        <v>1.0787270210671593E-2</v>
      </c>
      <c r="CZ109">
        <f>12.225*(F109^2)+15.258*F109+1125.7</f>
        <v>3258.7918</v>
      </c>
      <c r="DA109" s="15">
        <f>10^(-4470.99/H109+6.0875-0.01706*H109)</f>
        <v>3.6821019887696965E-15</v>
      </c>
      <c r="DB109">
        <f>(10^-I109)</f>
        <v>3.8904514499427963E-10</v>
      </c>
      <c r="DC109">
        <f>DB109^2</f>
        <v>1.5135612484362006E-19</v>
      </c>
      <c r="DD109" s="20">
        <f>((14.6836*10^-9)*((H109/217.2056)-1)^1.997)*100*100</f>
        <v>1.4673616507814016E-5</v>
      </c>
      <c r="DE109">
        <f>CY109+CZ109*DA109/DB109</f>
        <v>4.1629972971922627E-2</v>
      </c>
      <c r="DF109">
        <f>1+DC109*(CU109*CX109+CU109*DB109)^-1</f>
        <v>1.0009615571914543</v>
      </c>
      <c r="DG109">
        <f>(DE109*DF109/DD109)^0.5</f>
        <v>53.289688459439802</v>
      </c>
      <c r="DH109">
        <f>DD109/(BO109/60/60)</f>
        <v>3.0675058547789482E-2</v>
      </c>
      <c r="DI109" s="16">
        <f>DF109/((DF109-1)+TANH(DG109*DH109)/(DG109*DH109))</f>
        <v>1.7626255780455165</v>
      </c>
      <c r="DJ109">
        <f>$DI109*BR109</f>
        <v>-44.923108160565157</v>
      </c>
      <c r="DK109">
        <f>$DI109*BY109</f>
        <v>-65.681149902278605</v>
      </c>
      <c r="DL109">
        <f>$DI109*CF109</f>
        <v>-10.172189133695479</v>
      </c>
      <c r="DM109">
        <f>$DI109*CM109</f>
        <v>-22.275715124686734</v>
      </c>
    </row>
    <row r="110" spans="1:117" ht="15.75" x14ac:dyDescent="0.25">
      <c r="A110" s="52" t="s">
        <v>334</v>
      </c>
      <c r="B110" s="55" t="s">
        <v>339</v>
      </c>
      <c r="C110" t="s">
        <v>263</v>
      </c>
      <c r="D110" s="57">
        <v>43235</v>
      </c>
      <c r="E110" s="42" t="str">
        <f>A110&amp;D110</f>
        <v>61B43235</v>
      </c>
      <c r="F110" s="3">
        <f>VLOOKUP($E110,Water!$C$2:$E$90, 2, FALSE)</f>
        <v>16.5</v>
      </c>
      <c r="G110" s="3">
        <f>VLOOKUP($E110,Water!$C$2:$E$90, 3, FALSE)</f>
        <v>0</v>
      </c>
      <c r="H110" s="1">
        <f>F110+273.15</f>
        <v>289.64999999999998</v>
      </c>
      <c r="I110" s="3">
        <f>VLOOKUP($E110,Water!$C$2:$F$90, 4, FALSE)</f>
        <v>7.93</v>
      </c>
      <c r="J110">
        <f>10^(I110*-1)</f>
        <v>1.1748975549395268E-8</v>
      </c>
      <c r="K110" s="25">
        <f>VLOOKUP($E110,Atm!$D$2:$G$45, 2, FALSE)</f>
        <v>426.23782653193172</v>
      </c>
      <c r="L110" s="25">
        <f>VLOOKUP($E110,Atm!$D$2:$G$45, 3, FALSE)</f>
        <v>2.1662444800994161</v>
      </c>
      <c r="M110" s="25">
        <f>VLOOKUP($E110,Atm!$D$2:$G$45, 4, FALSE)</f>
        <v>0.32446247359764185</v>
      </c>
      <c r="N110" s="21">
        <f>VLOOKUP($C110,Raw!$B$2:$F$353, 3, FALSE)</f>
        <v>1268.2669438712271</v>
      </c>
      <c r="O110" s="21">
        <f>VLOOKUP($C110,Raw!$B$2:$F$353, 4, FALSE)</f>
        <v>28.544116501026959</v>
      </c>
      <c r="P110" s="21">
        <f>VLOOKUP($C110,Raw!$B$2:$F$353, 5, FALSE)</f>
        <v>0.41902727208503193</v>
      </c>
      <c r="Q110" s="14">
        <v>60</v>
      </c>
      <c r="R110" s="25">
        <v>1140</v>
      </c>
      <c r="S110">
        <f>EXP(24.4543-(100/H110*(67.4509))-(4.8489*LN(H110/100))-(0.000544*G110))</f>
        <v>1.8507923974758665E-2</v>
      </c>
      <c r="T110" s="8">
        <f>EXP(-58.0931+90.5069*(100/H110)+22.294*LN(H110/100)+G110*(0.027766-0.025888*(H110/100)+0.0050578*(H110/100)^2)*G110)</f>
        <v>4.3440031110964769E-2</v>
      </c>
      <c r="U110" s="9">
        <f>(EXP(-67.1962+99.1624*(100/H110)+27.9015*LN(H110/100)+G110*(-0.072909+0.041674*(H110/100)-0.0064603*(H110/100)^2)*G110))</f>
        <v>3.7342675390551881E-2</v>
      </c>
      <c r="V110" s="9">
        <f>(EXP(-64.8539+100.252*(100/H110)+25.2049*LN(H110/100)+(-0.062544+0.035337*(H110/100)-0.0054699*(H110/100)^2)*G110))</f>
        <v>3.2161575753462977E-2</v>
      </c>
      <c r="W110" s="9">
        <f>(EXP(-68.8862+101.4956*(100/H110)+28.7314*LN(H110/100)+G110*(-0.076146+0.04397*(H110/100)-0.0068672*(H110/100)^2)))</f>
        <v>3.7272728709345671E-2</v>
      </c>
      <c r="X110">
        <f>N110*(AZ110-S110)</f>
        <v>1138.3262833009587</v>
      </c>
      <c r="Y110">
        <f>O110*(AZ110-S110)</f>
        <v>25.619620698734142</v>
      </c>
      <c r="Z110">
        <f>((Y110/10^6)*AZ110)/(0.082056*H110)</f>
        <v>9.8743666003668972E-7</v>
      </c>
      <c r="AA110">
        <f>(((L110/10^6)*AZ110)/(0.082056*H110))</f>
        <v>8.3491837736612986E-8</v>
      </c>
      <c r="AB110">
        <f>((Y110/10^6)*U110*1)/(0.082056*H110)</f>
        <v>4.0252628935658485E-8</v>
      </c>
      <c r="AC110">
        <f>(Z110*(Q110/1000))+(AB110*(R110/1000))</f>
        <v>1.0513419658885205E-7</v>
      </c>
      <c r="AD110" s="39">
        <f>((AC110-(AA110*(Q110/1000)))/(R110/1000))*1000000</f>
        <v>8.782867221460991E-2</v>
      </c>
      <c r="AE110" s="39">
        <f>(AD110/((U110*AZ110*1))*(0.0821*273.15))</f>
        <v>57.577767676896109</v>
      </c>
      <c r="AF110" s="39">
        <f>L110*U110*AZ110*1/(0.0821*273.15)</f>
        <v>3.3043722265686856E-3</v>
      </c>
      <c r="AG110" s="39">
        <f>AD110-AF110</f>
        <v>8.4524299988041229E-2</v>
      </c>
      <c r="AH110" s="42">
        <f>P110*(AZ110-S110)</f>
        <v>0.37609571040174083</v>
      </c>
      <c r="AI110">
        <f>(((X110/10^6)*(Q110/1000))/(0.082056*H110))</f>
        <v>2.8736517671425884E-6</v>
      </c>
      <c r="AJ110">
        <f>(((K110/10^6)*AZ110)*(Q110/1000))/(0.082056*H110)</f>
        <v>9.8568872840365855E-7</v>
      </c>
      <c r="AK110">
        <f>(X110/10^6)*T110*(R110/1000)</f>
        <v>5.637177924356569E-5</v>
      </c>
      <c r="AL110">
        <f>AI110+AK110</f>
        <v>5.9245431010708277E-5</v>
      </c>
      <c r="AM110" s="39">
        <f>((AL110-AJ110)/(R110/1000))*1000000</f>
        <v>51.105037089740897</v>
      </c>
      <c r="AN110" s="39">
        <f>AM110/(T110*AZ110)</f>
        <v>1284.2605838899083</v>
      </c>
      <c r="AO110" s="39">
        <f>(K110*AZ110)*T110</f>
        <v>16.961433066789681</v>
      </c>
      <c r="AP110" s="39">
        <f>AM110-AO110</f>
        <v>34.143604022951216</v>
      </c>
      <c r="AQ110">
        <f>(((AH110/10^6)*(Q110/1000))/(0.082056*H110))</f>
        <v>9.4943613150762032E-10</v>
      </c>
      <c r="AR110">
        <f>(((M110/10^6)*AZ110)*(Q110/1000))/(0.082056*H110)</f>
        <v>7.5032994048735825E-10</v>
      </c>
      <c r="AS110">
        <f>(AH110/10^6)*V110*(R110/1000)</f>
        <v>1.3789246975927389E-8</v>
      </c>
      <c r="AT110">
        <f>AQ110+AS110</f>
        <v>1.4738683107435009E-8</v>
      </c>
      <c r="AU110" s="39">
        <f>((AT110-AR110)/(R110/1000))*1000000000</f>
        <v>12.270485234164607</v>
      </c>
      <c r="AV110" s="39">
        <f>(AU110/1000)/(V110*AZ110)</f>
        <v>0.41648943735500604</v>
      </c>
      <c r="AW110" s="39">
        <f>(M110*AZ110)*V110*1000</f>
        <v>9.5592147945082431</v>
      </c>
      <c r="AX110" s="39">
        <f>AU110-AW110</f>
        <v>2.7112704396563636</v>
      </c>
      <c r="AY110" s="26">
        <f>VLOOKUP($E110,Water!$C$2:$G$90, 5, FALSE)</f>
        <v>696.2</v>
      </c>
      <c r="AZ110">
        <f>AY110/760</f>
        <v>0.91605263157894745</v>
      </c>
      <c r="BA110" s="3">
        <f>Assumptions!$B$3</f>
        <v>406.07</v>
      </c>
      <c r="BB110" s="3">
        <f>BA110*AZ110*T110</f>
        <v>16.158887589755729</v>
      </c>
      <c r="BC110" s="3">
        <f>Assumptions!$B$4</f>
        <v>1.8474300000000001</v>
      </c>
      <c r="BD110" s="45">
        <f>BC110*AZ110*U110*1/(0.0821*273.15)</f>
        <v>2.8180551357941033E-3</v>
      </c>
      <c r="BE110" s="3">
        <f>Assumptions!$B$2</f>
        <v>0.33054499999999998</v>
      </c>
      <c r="BF110" s="44">
        <f>BE110*AZ110*V110*1000</f>
        <v>9.7384163389232459</v>
      </c>
      <c r="BG110">
        <f>1923.6+(-125.06*F110)+(4.3773*(F110^2))+(-0.085681*(F110^3))+(0.00070284*(F110^4))</f>
        <v>719.03470760249979</v>
      </c>
      <c r="BH110">
        <f>1909.4+(-120.78*F110)+(4.1555*(F110^2))+(-0.080578*(F110^3))+(0.00065777*(F110^4))</f>
        <v>734.65238026062502</v>
      </c>
      <c r="BI110">
        <f>2141.2+(-152.56*F110)+(5.8963*(F110^2))+(-0.12411*(F110^3))+(0.0010655*(F110^4))</f>
        <v>750.68496784374963</v>
      </c>
      <c r="BJ110" s="25">
        <f>VLOOKUP(E110,Wind!$C$2:$E$109,3, FALSE)</f>
        <v>6.7777777777777777</v>
      </c>
      <c r="BK110" s="44">
        <v>1.66</v>
      </c>
      <c r="BL110">
        <f>BK110/(1-(((1.3*10^-3)^0.5)/0.41)*LN(10/1.5))</f>
        <v>1.9923982880693825</v>
      </c>
      <c r="BM110">
        <f>BK110*1.22</f>
        <v>2.0251999999999999</v>
      </c>
      <c r="BN110">
        <f>2.07+0.215*(BM110^1.7)*(24/100)</f>
        <v>2.241255750541113</v>
      </c>
      <c r="BO110">
        <f>BN110*((600/BG110)^0.67)</f>
        <v>1.9853192442359771</v>
      </c>
      <c r="BP110">
        <f>BN110*((600/BH110)^0.67)</f>
        <v>1.9569417030742853</v>
      </c>
      <c r="BQ110">
        <f>BN110*((600/BI110)^0.67)</f>
        <v>1.9288394618942553</v>
      </c>
      <c r="BR110" s="39">
        <f>BO110*(AM110-BB110)</f>
        <v>69.379263114268028</v>
      </c>
      <c r="BS110" s="39">
        <f>BP110*(AD110-BD110)</f>
        <v>0.16636082176561373</v>
      </c>
      <c r="BT110" s="39">
        <f>BQ110*(AU110-BF110)</f>
        <v>4.883954405376528</v>
      </c>
      <c r="BU110">
        <f>(2.51+1.48*BM110)+(0.39*BM110*LOG10(0.0015))</f>
        <v>3.2768938069574309</v>
      </c>
      <c r="BV110">
        <f>BU110*((600/$BG110)^0.67)</f>
        <v>2.902694319780148</v>
      </c>
      <c r="BW110">
        <f>BU110*((600/$BH110)^0.67)</f>
        <v>2.8612041021345371</v>
      </c>
      <c r="BX110">
        <f>BU110*((600/$BI110)^0.67)</f>
        <v>2.8201163949140504</v>
      </c>
      <c r="BY110" s="39">
        <f>BV110*($AM110-$BB110)</f>
        <v>101.43798965179481</v>
      </c>
      <c r="BZ110" s="39">
        <f>BW110*($AD110-$BD110)</f>
        <v>0.24323272631089615</v>
      </c>
      <c r="CA110" s="39">
        <f>BX110*($AU110-$BF110)</f>
        <v>7.1407290045220693</v>
      </c>
      <c r="CB110" s="42">
        <f>AVERAGE(0.72,0.69,0.4,0.22)</f>
        <v>0.50750000000000006</v>
      </c>
      <c r="CC110">
        <f>CB110*((600/$BG110)^0.67)</f>
        <v>0.44954687398191967</v>
      </c>
      <c r="CD110">
        <f>CB110*((600/$BH110)^0.67)</f>
        <v>0.44312118956991908</v>
      </c>
      <c r="CE110">
        <f>CB110*((600/$BI110)^0.67)</f>
        <v>0.43675784286331415</v>
      </c>
      <c r="CF110" s="39">
        <f>CC110*($AM110-$BB110)</f>
        <v>15.709932265423157</v>
      </c>
      <c r="CG110" s="39">
        <f>CD110*($AD110-$BD110)</f>
        <v>3.767000576603774E-2</v>
      </c>
      <c r="CH110" s="39">
        <f>CE110*($AU110-$BF110)</f>
        <v>1.1059009486669118</v>
      </c>
      <c r="CI110">
        <v>0.86263901889527161</v>
      </c>
      <c r="CJ110">
        <f>((BG110/BH110)^0.67)*CI110</f>
        <v>0.85030872272882174</v>
      </c>
      <c r="CK110">
        <f>((BH110/BH110)^0.67)*CI110</f>
        <v>0.86263901889527161</v>
      </c>
      <c r="CL110">
        <f>((BI110/BH110)^0.67)*CI110</f>
        <v>0.87520724462852773</v>
      </c>
      <c r="CM110" s="39">
        <f>CJ110*($AM110-$BB110)</f>
        <v>29.715015745622839</v>
      </c>
      <c r="CN110" s="39">
        <f>CK110*($AD110-$BD110)</f>
        <v>7.3333475312551299E-2</v>
      </c>
      <c r="CO110" s="39">
        <f>CL110*($AU110-$BF110)</f>
        <v>2.2160850410137916</v>
      </c>
      <c r="CP110" s="27">
        <f>VLOOKUP(A110,Water!$A$2:$E$109, 5, FALSE)/1000</f>
        <v>1.1000000000000001E-3</v>
      </c>
      <c r="CQ110">
        <f>0.64*CP110</f>
        <v>7.0400000000000009E-4</v>
      </c>
      <c r="CR110" s="19">
        <f>CQ110*1000*(2.5*10^-5)</f>
        <v>1.7600000000000004E-5</v>
      </c>
      <c r="CS110" s="18">
        <f>(-0.0000009*F110^3)+(0.0002*F110^2)-(0.0134*F110)+6.579</f>
        <v>6.4083070874999999</v>
      </c>
      <c r="CT110" s="18">
        <f>CS110-(SQRT(CP110))/(1+1.4*SQRT(CP110))</f>
        <v>6.3766125060789021</v>
      </c>
      <c r="CU110" s="18">
        <f>10^(-CT110)</f>
        <v>4.2013367592477869E-7</v>
      </c>
      <c r="CV110" s="18">
        <f>(0.000001*F110^3)+(0.00006*F110^2)-(0.014*F110)+10.625</f>
        <v>10.414827125</v>
      </c>
      <c r="CW110" s="18">
        <f>CV110-(2*SQRT(CR110))/(1+1.4*SQRT(CR110))</f>
        <v>10.406485646466995</v>
      </c>
      <c r="CX110" s="18">
        <f>10^(-CW110)</f>
        <v>3.9220610862098412E-11</v>
      </c>
      <c r="CY110">
        <f>EXP(1246.98+-61900/H110-183*LN(H110))</f>
        <v>1.6682240229004691E-2</v>
      </c>
      <c r="CZ110">
        <f>12.225*(F110^2)+15.258*F110+1125.7</f>
        <v>4705.7132499999998</v>
      </c>
      <c r="DA110" s="15">
        <f>10^(-4470.99/H110+6.0875-0.01706*H110)</f>
        <v>5.1313855369902282E-15</v>
      </c>
      <c r="DB110">
        <f>(10^-I110)</f>
        <v>1.1748975549395268E-8</v>
      </c>
      <c r="DC110">
        <f>DB110^2</f>
        <v>1.3803842646028784E-16</v>
      </c>
      <c r="DD110" s="20">
        <f>((14.6836*10^-9)*((H110/217.2056)-1)^1.997)*100*100</f>
        <v>1.6388180832602313E-5</v>
      </c>
      <c r="DE110">
        <f>CY110+CZ110*DA110/DB110</f>
        <v>1.8737468687924766E-2</v>
      </c>
      <c r="DF110">
        <f>1+DC110*(CU110*CX110+CU110*DB110)^-1</f>
        <v>1.0278718086666021</v>
      </c>
      <c r="DG110">
        <f>(DE110*DF110/DD110)^0.5</f>
        <v>34.281480058945803</v>
      </c>
      <c r="DH110">
        <f>DD110/(BO110/60/60)</f>
        <v>2.9716858469315186E-2</v>
      </c>
      <c r="DI110" s="16">
        <f>DF110/((DF110-1)+TANH(DG110*DH110)/(DG110*DH110))</f>
        <v>1.31261317050707</v>
      </c>
      <c r="DJ110">
        <f>$DI110*BR110</f>
        <v>91.068134523863577</v>
      </c>
      <c r="DK110">
        <f>$DI110*BY110</f>
        <v>133.14884120670575</v>
      </c>
      <c r="DL110">
        <f>$DI110*CF110</f>
        <v>20.62106399936841</v>
      </c>
      <c r="DM110">
        <f>$DI110*CM110</f>
        <v>39.0043210295295</v>
      </c>
    </row>
    <row r="111" spans="1:117" ht="15.75" x14ac:dyDescent="0.25">
      <c r="A111" s="52" t="s">
        <v>334</v>
      </c>
      <c r="B111" s="55" t="s">
        <v>340</v>
      </c>
      <c r="C111" t="s">
        <v>264</v>
      </c>
      <c r="D111" s="57">
        <v>43235</v>
      </c>
      <c r="E111" s="42" t="str">
        <f>A111&amp;D111</f>
        <v>61B43235</v>
      </c>
      <c r="F111" s="3">
        <f>VLOOKUP($E111,Water!$C$2:$E$90, 2, FALSE)</f>
        <v>16.5</v>
      </c>
      <c r="G111" s="3">
        <f>VLOOKUP($E111,Water!$C$2:$E$90, 3, FALSE)</f>
        <v>0</v>
      </c>
      <c r="H111" s="1">
        <f>F111+273.15</f>
        <v>289.64999999999998</v>
      </c>
      <c r="I111" s="3">
        <f>VLOOKUP($E111,Water!$C$2:$F$90, 4, FALSE)</f>
        <v>7.93</v>
      </c>
      <c r="J111">
        <f>10^(I111*-1)</f>
        <v>1.1748975549395268E-8</v>
      </c>
      <c r="K111" s="25">
        <f>VLOOKUP($E111,Atm!$D$2:$G$45, 2, FALSE)</f>
        <v>426.23782653193172</v>
      </c>
      <c r="L111" s="25">
        <f>VLOOKUP($E111,Atm!$D$2:$G$45, 3, FALSE)</f>
        <v>2.1662444800994161</v>
      </c>
      <c r="M111" s="25">
        <f>VLOOKUP($E111,Atm!$D$2:$G$45, 4, FALSE)</f>
        <v>0.32446247359764185</v>
      </c>
      <c r="N111" s="21">
        <f>VLOOKUP($C111,Raw!$B$2:$F$353, 3, FALSE)</f>
        <v>1286.511188960051</v>
      </c>
      <c r="O111" s="21">
        <f>VLOOKUP($C111,Raw!$B$2:$F$353, 4, FALSE)</f>
        <v>28.573923064872918</v>
      </c>
      <c r="P111" s="21">
        <f>VLOOKUP($C111,Raw!$B$2:$F$353, 5, FALSE)</f>
        <v>0.4236132142107194</v>
      </c>
      <c r="Q111" s="14">
        <v>60</v>
      </c>
      <c r="R111" s="25">
        <v>1140</v>
      </c>
      <c r="S111">
        <f>EXP(24.4543-(100/H111*(67.4509))-(4.8489*LN(H111/100))-(0.000544*G111))</f>
        <v>1.8507923974758665E-2</v>
      </c>
      <c r="T111" s="8">
        <f>EXP(-58.0931+90.5069*(100/H111)+22.294*LN(H111/100)+G111*(0.027766-0.025888*(H111/100)+0.0050578*(H111/100)^2)*G111)</f>
        <v>4.3440031110964769E-2</v>
      </c>
      <c r="U111" s="9">
        <f>(EXP(-67.1962+99.1624*(100/H111)+27.9015*LN(H111/100)+G111*(-0.072909+0.041674*(H111/100)-0.0064603*(H111/100)^2)*G111))</f>
        <v>3.7342675390551881E-2</v>
      </c>
      <c r="V111" s="9">
        <f>(EXP(-64.8539+100.252*(100/H111)+25.2049*LN(H111/100)+(-0.062544+0.035337*(H111/100)-0.0054699*(H111/100)^2)*G111))</f>
        <v>3.2161575753462977E-2</v>
      </c>
      <c r="W111" s="9">
        <f>(EXP(-68.8862+101.4956*(100/H111)+28.7314*LN(H111/100)+G111*(-0.076146+0.04397*(H111/100)-0.0068672*(H111/100)^2)))</f>
        <v>3.7272728709345671E-2</v>
      </c>
      <c r="X111">
        <f>N111*(AZ111-S111)</f>
        <v>1154.7013089246661</v>
      </c>
      <c r="Y111">
        <f>O111*(AZ111-S111)</f>
        <v>25.646373422365951</v>
      </c>
      <c r="Z111">
        <f>((Y111/10^6)*AZ111)/(0.082056*H111)</f>
        <v>9.8846776898168589E-7</v>
      </c>
      <c r="AA111">
        <f>(((L111/10^6)*AZ111)/(0.082056*H111))</f>
        <v>8.3491837736612986E-8</v>
      </c>
      <c r="AB111">
        <f>((Y111/10^6)*U111*1)/(0.082056*H111)</f>
        <v>4.0294661855272406E-8</v>
      </c>
      <c r="AC111">
        <f>(Z111*(Q111/1000))+(AB111*(R111/1000))</f>
        <v>1.0524398065391169E-7</v>
      </c>
      <c r="AD111" s="39">
        <f>((AC111-(AA111*(Q111/1000)))/(R111/1000))*1000000</f>
        <v>8.7924974026065722E-2</v>
      </c>
      <c r="AE111" s="39">
        <f>(AD111/((U111*AZ111*1))*(0.0821*273.15))</f>
        <v>57.640900173233049</v>
      </c>
      <c r="AF111" s="39">
        <f>L111*U111*AZ111*1/(0.0821*273.15)</f>
        <v>3.3043722265686856E-3</v>
      </c>
      <c r="AG111" s="39">
        <f>AD111-AF111</f>
        <v>8.4620601799497042E-2</v>
      </c>
      <c r="AH111" s="42">
        <f>P111*(AZ111-S111)</f>
        <v>0.38021179848603076</v>
      </c>
      <c r="AI111">
        <f>(((X111/10^6)*(Q111/1000))/(0.082056*H111))</f>
        <v>2.9149897578495385E-6</v>
      </c>
      <c r="AJ111">
        <f>(((K111/10^6)*AZ111)*(Q111/1000))/(0.082056*H111)</f>
        <v>9.8568872840365855E-7</v>
      </c>
      <c r="AK111">
        <f>(X111/10^6)*T111*(R111/1000)</f>
        <v>5.7182697293257527E-5</v>
      </c>
      <c r="AL111">
        <f>AI111+AK111</f>
        <v>6.0097687051107064E-5</v>
      </c>
      <c r="AM111" s="39">
        <f>((AL111-AJ111)/(R111/1000))*1000000</f>
        <v>51.852630107634575</v>
      </c>
      <c r="AN111" s="39">
        <f>AM111/(T111*AZ111)</f>
        <v>1303.0474647992442</v>
      </c>
      <c r="AO111" s="39">
        <f>(K111*AZ111)*T111</f>
        <v>16.961433066789681</v>
      </c>
      <c r="AP111" s="39">
        <f>AM111-AO111</f>
        <v>34.891197040844894</v>
      </c>
      <c r="AQ111">
        <f>(((AH111/10^6)*(Q111/1000))/(0.082056*H111))</f>
        <v>9.5982700446790612E-10</v>
      </c>
      <c r="AR111">
        <f>(((M111/10^6)*AZ111)*(Q111/1000))/(0.082056*H111)</f>
        <v>7.5032994048735825E-10</v>
      </c>
      <c r="AS111">
        <f>(AH111/10^6)*V111*(R111/1000)</f>
        <v>1.3940160037680521E-8</v>
      </c>
      <c r="AT111">
        <f>AQ111+AS111</f>
        <v>1.4899987042148428E-8</v>
      </c>
      <c r="AU111" s="39">
        <f>((AT111-AR111)/(R111/1000))*1000000000</f>
        <v>12.411979913737779</v>
      </c>
      <c r="AV111" s="39">
        <f>(AU111/1000)/(V111*AZ111)</f>
        <v>0.4212921031306085</v>
      </c>
      <c r="AW111" s="39">
        <f>(M111*AZ111)*V111*1000</f>
        <v>9.5592147945082431</v>
      </c>
      <c r="AX111" s="39">
        <f>AU111-AW111</f>
        <v>2.8527651192295362</v>
      </c>
      <c r="AY111" s="26">
        <f>VLOOKUP($E111,Water!$C$2:$G$90, 5, FALSE)</f>
        <v>696.2</v>
      </c>
      <c r="AZ111">
        <f>AY111/760</f>
        <v>0.91605263157894745</v>
      </c>
      <c r="BA111" s="3">
        <f>Assumptions!$B$3</f>
        <v>406.07</v>
      </c>
      <c r="BB111" s="3">
        <f>BA111*AZ111*T111</f>
        <v>16.158887589755729</v>
      </c>
      <c r="BC111" s="3">
        <f>Assumptions!$B$4</f>
        <v>1.8474300000000001</v>
      </c>
      <c r="BD111" s="45">
        <f>BC111*AZ111*U111*1/(0.0821*273.15)</f>
        <v>2.8180551357941033E-3</v>
      </c>
      <c r="BE111" s="3">
        <f>Assumptions!$B$2</f>
        <v>0.33054499999999998</v>
      </c>
      <c r="BF111" s="44">
        <f>BE111*AZ111*V111*1000</f>
        <v>9.7384163389232459</v>
      </c>
      <c r="BG111">
        <f>1923.6+(-125.06*F111)+(4.3773*(F111^2))+(-0.085681*(F111^3))+(0.00070284*(F111^4))</f>
        <v>719.03470760249979</v>
      </c>
      <c r="BH111">
        <f>1909.4+(-120.78*F111)+(4.1555*(F111^2))+(-0.080578*(F111^3))+(0.00065777*(F111^4))</f>
        <v>734.65238026062502</v>
      </c>
      <c r="BI111">
        <f>2141.2+(-152.56*F111)+(5.8963*(F111^2))+(-0.12411*(F111^3))+(0.0010655*(F111^4))</f>
        <v>750.68496784374963</v>
      </c>
      <c r="BJ111" s="25">
        <f>VLOOKUP(E111,Wind!$C$2:$E$109,3, FALSE)</f>
        <v>6.7777777777777777</v>
      </c>
      <c r="BK111" s="44">
        <v>1.66</v>
      </c>
      <c r="BL111">
        <f>BK111/(1-(((1.3*10^-3)^0.5)/0.41)*LN(10/1.5))</f>
        <v>1.9923982880693825</v>
      </c>
      <c r="BM111">
        <f>BK111*1.22</f>
        <v>2.0251999999999999</v>
      </c>
      <c r="BN111">
        <f>2.07+0.215*(BM111^1.7)*(24/100)</f>
        <v>2.241255750541113</v>
      </c>
      <c r="BO111">
        <f>BN111*((600/BG111)^0.67)</f>
        <v>1.9853192442359771</v>
      </c>
      <c r="BP111">
        <f>BN111*((600/BH111)^0.67)</f>
        <v>1.9569417030742853</v>
      </c>
      <c r="BQ111">
        <f>BN111*((600/BI111)^0.67)</f>
        <v>1.9288394618942553</v>
      </c>
      <c r="BR111" s="39">
        <f>BO111*(AM111-BB111)</f>
        <v>70.863473919548795</v>
      </c>
      <c r="BS111" s="39">
        <f>BP111*(AD111-BD111)</f>
        <v>0.16654927879653322</v>
      </c>
      <c r="BT111" s="39">
        <f>BQ111*(AU111-BF111)</f>
        <v>5.1568749269853464</v>
      </c>
      <c r="BU111">
        <f>(2.51+1.48*BM111)+(0.39*BM111*LOG10(0.0015))</f>
        <v>3.2768938069574309</v>
      </c>
      <c r="BV111">
        <f>BU111*((600/$BG111)^0.67)</f>
        <v>2.902694319780148</v>
      </c>
      <c r="BW111">
        <f>BU111*((600/$BH111)^0.67)</f>
        <v>2.8612041021345371</v>
      </c>
      <c r="BX111">
        <f>BU111*((600/$BI111)^0.67)</f>
        <v>2.8201163949140504</v>
      </c>
      <c r="BY111" s="39">
        <f>BV111*($AM111-$BB111)</f>
        <v>103.60802365834209</v>
      </c>
      <c r="BZ111" s="39">
        <f>BW111*($AD111-$BD111)</f>
        <v>0.24350826544887649</v>
      </c>
      <c r="CA111" s="39">
        <f>BX111*($AU111-$BF111)</f>
        <v>7.5397604701794831</v>
      </c>
      <c r="CB111" s="42">
        <f>AVERAGE(0.72,0.69,0.4,0.22)</f>
        <v>0.50750000000000006</v>
      </c>
      <c r="CC111">
        <f>CB111*((600/$BG111)^0.67)</f>
        <v>0.44954687398191967</v>
      </c>
      <c r="CD111">
        <f>CB111*((600/$BH111)^0.67)</f>
        <v>0.44312118956991908</v>
      </c>
      <c r="CE111">
        <f>CB111*((600/$BI111)^0.67)</f>
        <v>0.43675784286331415</v>
      </c>
      <c r="CF111" s="39">
        <f>CC111*($AM111-$BB111)</f>
        <v>16.046010369627968</v>
      </c>
      <c r="CG111" s="39">
        <f>CD111*($AD111-$BD111)</f>
        <v>3.7712679139287782E-2</v>
      </c>
      <c r="CH111" s="39">
        <f>CE111*($AU111-$BF111)</f>
        <v>1.1676998596939265</v>
      </c>
      <c r="CI111">
        <v>0.86263901889527161</v>
      </c>
      <c r="CJ111">
        <f>((BG111/BH111)^0.67)*CI111</f>
        <v>0.85030872272882174</v>
      </c>
      <c r="CK111">
        <f>((BH111/BH111)^0.67)*CI111</f>
        <v>0.86263901889527161</v>
      </c>
      <c r="CL111">
        <f>((BI111/BH111)^0.67)*CI111</f>
        <v>0.87520724462852773</v>
      </c>
      <c r="CM111" s="39">
        <f>CJ111*($AM111-$BB111)</f>
        <v>30.350700609788998</v>
      </c>
      <c r="CN111" s="39">
        <f>CK111*($AD111-$BD111)</f>
        <v>7.3416549012703378E-2</v>
      </c>
      <c r="CO111" s="39">
        <f>CL111*($AU111-$BF111)</f>
        <v>2.3399222096526247</v>
      </c>
      <c r="CP111" s="27">
        <f>VLOOKUP(A111,Water!$A$2:$E$109, 5, FALSE)/1000</f>
        <v>1.1000000000000001E-3</v>
      </c>
      <c r="CQ111">
        <f>0.64*CP111</f>
        <v>7.0400000000000009E-4</v>
      </c>
      <c r="CR111" s="19">
        <f>CQ111*1000*(2.5*10^-5)</f>
        <v>1.7600000000000004E-5</v>
      </c>
      <c r="CS111" s="18">
        <f>(-0.0000009*F111^3)+(0.0002*F111^2)-(0.0134*F111)+6.579</f>
        <v>6.4083070874999999</v>
      </c>
      <c r="CT111" s="18">
        <f>CS111-(SQRT(CP111))/(1+1.4*SQRT(CP111))</f>
        <v>6.3766125060789021</v>
      </c>
      <c r="CU111" s="18">
        <f>10^(-CT111)</f>
        <v>4.2013367592477869E-7</v>
      </c>
      <c r="CV111" s="18">
        <f>(0.000001*F111^3)+(0.00006*F111^2)-(0.014*F111)+10.625</f>
        <v>10.414827125</v>
      </c>
      <c r="CW111" s="18">
        <f>CV111-(2*SQRT(CR111))/(1+1.4*SQRT(CR111))</f>
        <v>10.406485646466995</v>
      </c>
      <c r="CX111" s="18">
        <f>10^(-CW111)</f>
        <v>3.9220610862098412E-11</v>
      </c>
      <c r="CY111">
        <f>EXP(1246.98+-61900/H111-183*LN(H111))</f>
        <v>1.6682240229004691E-2</v>
      </c>
      <c r="CZ111">
        <f>12.225*(F111^2)+15.258*F111+1125.7</f>
        <v>4705.7132499999998</v>
      </c>
      <c r="DA111" s="15">
        <f>10^(-4470.99/H111+6.0875-0.01706*H111)</f>
        <v>5.1313855369902282E-15</v>
      </c>
      <c r="DB111">
        <f>(10^-I111)</f>
        <v>1.1748975549395268E-8</v>
      </c>
      <c r="DC111">
        <f>DB111^2</f>
        <v>1.3803842646028784E-16</v>
      </c>
      <c r="DD111" s="20">
        <f>((14.6836*10^-9)*((H111/217.2056)-1)^1.997)*100*100</f>
        <v>1.6388180832602313E-5</v>
      </c>
      <c r="DE111">
        <f>CY111+CZ111*DA111/DB111</f>
        <v>1.8737468687924766E-2</v>
      </c>
      <c r="DF111">
        <f>1+DC111*(CU111*CX111+CU111*DB111)^-1</f>
        <v>1.0278718086666021</v>
      </c>
      <c r="DG111">
        <f>(DE111*DF111/DD111)^0.5</f>
        <v>34.281480058945803</v>
      </c>
      <c r="DH111">
        <f>DD111/(BO111/60/60)</f>
        <v>2.9716858469315186E-2</v>
      </c>
      <c r="DI111" s="16">
        <f>DF111/((DF111-1)+TANH(DG111*DH111)/(DG111*DH111))</f>
        <v>1.31261317050707</v>
      </c>
      <c r="DJ111">
        <f>$DI111*BR111</f>
        <v>93.016329174684017</v>
      </c>
      <c r="DK111">
        <f>$DI111*BY111</f>
        <v>135.99725642414793</v>
      </c>
      <c r="DL111">
        <f>$DI111*CF111</f>
        <v>21.062204545266692</v>
      </c>
      <c r="DM111">
        <f>$DI111*CM111</f>
        <v>39.838729354526002</v>
      </c>
    </row>
    <row r="112" spans="1:117" ht="15.75" x14ac:dyDescent="0.25">
      <c r="A112" s="52" t="s">
        <v>334</v>
      </c>
      <c r="B112" s="55" t="s">
        <v>341</v>
      </c>
      <c r="C112" t="s">
        <v>265</v>
      </c>
      <c r="D112" s="57">
        <v>43235</v>
      </c>
      <c r="E112" s="42" t="str">
        <f>A112&amp;D112</f>
        <v>61B43235</v>
      </c>
      <c r="F112" s="3">
        <f>VLOOKUP($E112,Water!$C$2:$E$90, 2, FALSE)</f>
        <v>16.5</v>
      </c>
      <c r="G112" s="3">
        <f>VLOOKUP($E112,Water!$C$2:$E$90, 3, FALSE)</f>
        <v>0</v>
      </c>
      <c r="H112" s="1">
        <f>F112+273.15</f>
        <v>289.64999999999998</v>
      </c>
      <c r="I112" s="3">
        <f>VLOOKUP($E112,Water!$C$2:$F$90, 4, FALSE)</f>
        <v>7.93</v>
      </c>
      <c r="J112">
        <f>10^(I112*-1)</f>
        <v>1.1748975549395268E-8</v>
      </c>
      <c r="K112" s="25">
        <f>VLOOKUP($E112,Atm!$D$2:$G$45, 2, FALSE)</f>
        <v>426.23782653193172</v>
      </c>
      <c r="L112" s="25">
        <f>VLOOKUP($E112,Atm!$D$2:$G$45, 3, FALSE)</f>
        <v>2.1662444800994161</v>
      </c>
      <c r="M112" s="25">
        <f>VLOOKUP($E112,Atm!$D$2:$G$45, 4, FALSE)</f>
        <v>0.32446247359764185</v>
      </c>
      <c r="N112" s="21">
        <f>VLOOKUP($C112,Raw!$B$2:$F$353, 3, FALSE)</f>
        <v>1236.653026717114</v>
      </c>
      <c r="O112" s="21">
        <f>VLOOKUP($C112,Raw!$B$2:$F$353, 4, FALSE)</f>
        <v>23.809451858998329</v>
      </c>
      <c r="P112" s="21">
        <f>VLOOKUP($C112,Raw!$B$2:$F$353, 5, FALSE)</f>
        <v>0.41691205529706016</v>
      </c>
      <c r="Q112" s="14">
        <v>60</v>
      </c>
      <c r="R112" s="25">
        <v>1140</v>
      </c>
      <c r="S112">
        <f>EXP(24.4543-(100/H112*(67.4509))-(4.8489*LN(H112/100))-(0.000544*G112))</f>
        <v>1.8507923974758665E-2</v>
      </c>
      <c r="T112" s="8">
        <f>EXP(-58.0931+90.5069*(100/H112)+22.294*LN(H112/100)+G112*(0.027766-0.025888*(H112/100)+0.0050578*(H112/100)^2)*G112)</f>
        <v>4.3440031110964769E-2</v>
      </c>
      <c r="U112" s="9">
        <f>(EXP(-67.1962+99.1624*(100/H112)+27.9015*LN(H112/100)+G112*(-0.072909+0.041674*(H112/100)-0.0064603*(H112/100)^2)*G112))</f>
        <v>3.7342675390551881E-2</v>
      </c>
      <c r="V112" s="9">
        <f>(EXP(-64.8539+100.252*(100/H112)+25.2049*LN(H112/100)+(-0.062544+0.035337*(H112/100)-0.0054699*(H112/100)^2)*G112))</f>
        <v>3.2161575753462977E-2</v>
      </c>
      <c r="W112" s="9">
        <f>(EXP(-68.8862+101.4956*(100/H112)+28.7314*LN(H112/100)+G112*(-0.076146+0.04397*(H112/100)-0.0068672*(H112/100)^2)))</f>
        <v>3.7272728709345671E-2</v>
      </c>
      <c r="X112">
        <f>N112*(AZ112-S112)</f>
        <v>1109.9513792726473</v>
      </c>
      <c r="Y112">
        <f>O112*(AZ112-S112)</f>
        <v>21.370047507000667</v>
      </c>
      <c r="Z112">
        <f>((Y112/10^6)*AZ112)/(0.082056*H112)</f>
        <v>8.2364874106745647E-7</v>
      </c>
      <c r="AA112">
        <f>(((L112/10^6)*AZ112)/(0.082056*H112))</f>
        <v>8.3491837736612986E-8</v>
      </c>
      <c r="AB112">
        <f>((Y112/10^6)*U112*1)/(0.082056*H112)</f>
        <v>3.3575851990626603E-8</v>
      </c>
      <c r="AC112">
        <f>(Z112*(Q112/1000))+(AB112*(R112/1000))</f>
        <v>8.7695395733361704E-8</v>
      </c>
      <c r="AD112" s="39">
        <f>((AC112-(AA112*(Q112/1000)))/(R112/1000))*1000000</f>
        <v>7.253147848172363E-2</v>
      </c>
      <c r="AE112" s="39">
        <f>(AD112/((U112*AZ112*1))*(0.0821*273.15))</f>
        <v>47.549399438464697</v>
      </c>
      <c r="AF112" s="39">
        <f>L112*U112*AZ112*1/(0.0821*273.15)</f>
        <v>3.3043722265686856E-3</v>
      </c>
      <c r="AG112" s="39">
        <f>AD112-AF112</f>
        <v>6.9227106255154949E-2</v>
      </c>
      <c r="AH112" s="42">
        <f>P112*(AZ112-S112)</f>
        <v>0.37419720876826124</v>
      </c>
      <c r="AI112">
        <f>(((X112/10^6)*(Q112/1000))/(0.082056*H112))</f>
        <v>2.8020206414279056E-6</v>
      </c>
      <c r="AJ112">
        <f>(((K112/10^6)*AZ112)*(Q112/1000))/(0.082056*H112)</f>
        <v>9.8568872840365855E-7</v>
      </c>
      <c r="AK112">
        <f>(X112/10^6)*T112*(R112/1000)</f>
        <v>5.4966607589878734E-5</v>
      </c>
      <c r="AL112">
        <f>AI112+AK112</f>
        <v>5.7768628231306637E-5</v>
      </c>
      <c r="AM112" s="39">
        <f>((AL112-AJ112)/(R112/1000))*1000000</f>
        <v>49.809596055178055</v>
      </c>
      <c r="AN112" s="39">
        <f>AM112/(T112*AZ112)</f>
        <v>1251.7063787824709</v>
      </c>
      <c r="AO112" s="39">
        <f>(K112*AZ112)*T112</f>
        <v>16.961433066789681</v>
      </c>
      <c r="AP112" s="39">
        <f>AM112-AO112</f>
        <v>32.848162988388374</v>
      </c>
      <c r="AQ112">
        <f>(((AH112/10^6)*(Q112/1000))/(0.082056*H112))</f>
        <v>9.4464345241902789E-10</v>
      </c>
      <c r="AR112">
        <f>(((M112/10^6)*AZ112)*(Q112/1000))/(0.082056*H112)</f>
        <v>7.5032994048735825E-10</v>
      </c>
      <c r="AS112">
        <f>(AH112/10^6)*V112*(R112/1000)</f>
        <v>1.3719639939249711E-8</v>
      </c>
      <c r="AT112">
        <f>AQ112+AS112</f>
        <v>1.4664283391668739E-8</v>
      </c>
      <c r="AU112" s="39">
        <f>((AT112-AR112)/(R112/1000))*1000000000</f>
        <v>12.205222325597703</v>
      </c>
      <c r="AV112" s="39">
        <f>(AU112/1000)/(V112*AZ112)</f>
        <v>0.41427425909999288</v>
      </c>
      <c r="AW112" s="39">
        <f>(M112*AZ112)*V112*1000</f>
        <v>9.5592147945082431</v>
      </c>
      <c r="AX112" s="39">
        <f>AU112-AW112</f>
        <v>2.6460075310894595</v>
      </c>
      <c r="AY112" s="26">
        <f>VLOOKUP($E112,Water!$C$2:$G$90, 5, FALSE)</f>
        <v>696.2</v>
      </c>
      <c r="AZ112">
        <f>AY112/760</f>
        <v>0.91605263157894745</v>
      </c>
      <c r="BA112" s="3">
        <f>Assumptions!$B$3</f>
        <v>406.07</v>
      </c>
      <c r="BB112" s="3">
        <f>BA112*AZ112*T112</f>
        <v>16.158887589755729</v>
      </c>
      <c r="BC112" s="3">
        <f>Assumptions!$B$4</f>
        <v>1.8474300000000001</v>
      </c>
      <c r="BD112" s="45">
        <f>BC112*AZ112*U112*1/(0.0821*273.15)</f>
        <v>2.8180551357941033E-3</v>
      </c>
      <c r="BE112" s="3">
        <f>Assumptions!$B$2</f>
        <v>0.33054499999999998</v>
      </c>
      <c r="BF112" s="44">
        <f>BE112*AZ112*V112*1000</f>
        <v>9.7384163389232459</v>
      </c>
      <c r="BG112">
        <f>1923.6+(-125.06*F112)+(4.3773*(F112^2))+(-0.085681*(F112^3))+(0.00070284*(F112^4))</f>
        <v>719.03470760249979</v>
      </c>
      <c r="BH112">
        <f>1909.4+(-120.78*F112)+(4.1555*(F112^2))+(-0.080578*(F112^3))+(0.00065777*(F112^4))</f>
        <v>734.65238026062502</v>
      </c>
      <c r="BI112">
        <f>2141.2+(-152.56*F112)+(5.8963*(F112^2))+(-0.12411*(F112^3))+(0.0010655*(F112^4))</f>
        <v>750.68496784374963</v>
      </c>
      <c r="BJ112" s="25">
        <f>VLOOKUP(E112,Wind!$C$2:$E$109,3, FALSE)</f>
        <v>6.7777777777777777</v>
      </c>
      <c r="BK112" s="44">
        <v>1.66</v>
      </c>
      <c r="BL112">
        <f>BK112/(1-(((1.3*10^-3)^0.5)/0.41)*LN(10/1.5))</f>
        <v>1.9923982880693825</v>
      </c>
      <c r="BM112">
        <f>BK112*1.22</f>
        <v>2.0251999999999999</v>
      </c>
      <c r="BN112">
        <f>2.07+0.215*(BM112^1.7)*(24/100)</f>
        <v>2.241255750541113</v>
      </c>
      <c r="BO112">
        <f>BN112*((600/BG112)^0.67)</f>
        <v>1.9853192442359771</v>
      </c>
      <c r="BP112">
        <f>BN112*((600/BH112)^0.67)</f>
        <v>1.9569417030742853</v>
      </c>
      <c r="BQ112">
        <f>BN112*((600/BI112)^0.67)</f>
        <v>1.9288394618942553</v>
      </c>
      <c r="BR112" s="39">
        <f>BO112*(AM112-BB112)</f>
        <v>66.807399098577449</v>
      </c>
      <c r="BS112" s="39">
        <f>BP112*(AD112-BD112)</f>
        <v>0.13642510540972197</v>
      </c>
      <c r="BT112" s="39">
        <f>BQ112*(AU112-BF112)</f>
        <v>4.7580727319346865</v>
      </c>
      <c r="BU112">
        <f>(2.51+1.48*BM112)+(0.39*BM112*LOG10(0.0015))</f>
        <v>3.2768938069574309</v>
      </c>
      <c r="BV112">
        <f>BU112*((600/$BG112)^0.67)</f>
        <v>2.902694319780148</v>
      </c>
      <c r="BW112">
        <f>BU112*((600/$BH112)^0.67)</f>
        <v>2.8612041021345371</v>
      </c>
      <c r="BX112">
        <f>BU112*((600/$BI112)^0.67)</f>
        <v>2.8201163949140504</v>
      </c>
      <c r="BY112" s="39">
        <f>BV112*($AM112-$BB112)</f>
        <v>97.677720319159121</v>
      </c>
      <c r="BZ112" s="39">
        <f>BW112*($AD112-$BD112)</f>
        <v>0.19946433285121518</v>
      </c>
      <c r="CA112" s="39">
        <f>BX112*($AU112-$BF112)</f>
        <v>6.9566800060927658</v>
      </c>
      <c r="CB112" s="42">
        <f>AVERAGE(0.72,0.69,0.4,0.22)</f>
        <v>0.50750000000000006</v>
      </c>
      <c r="CC112">
        <f>CB112*((600/$BG112)^0.67)</f>
        <v>0.44954687398191967</v>
      </c>
      <c r="CD112">
        <f>CB112*((600/$BH112)^0.67)</f>
        <v>0.44312118956991908</v>
      </c>
      <c r="CE112">
        <f>CB112*((600/$BI112)^0.67)</f>
        <v>0.43675784286331415</v>
      </c>
      <c r="CF112" s="39">
        <f>CC112*($AM112-$BB112)</f>
        <v>15.127570797907527</v>
      </c>
      <c r="CG112" s="39">
        <f>CD112*($AD112-$BD112)</f>
        <v>3.0891495082039661E-2</v>
      </c>
      <c r="CH112" s="39">
        <f>CE112*($AU112-$BF112)</f>
        <v>1.0773968615022449</v>
      </c>
      <c r="CI112">
        <v>0.86263901889527161</v>
      </c>
      <c r="CJ112">
        <f>((BG112/BH112)^0.67)*CI112</f>
        <v>0.85030872272882174</v>
      </c>
      <c r="CK112">
        <f>((BH112/BH112)^0.67)*CI112</f>
        <v>0.86263901889527161</v>
      </c>
      <c r="CL112">
        <f>((BI112/BH112)^0.67)*CI112</f>
        <v>0.87520724462852773</v>
      </c>
      <c r="CM112" s="39">
        <f>CJ112*($AM112-$BB112)</f>
        <v>28.613490934153209</v>
      </c>
      <c r="CN112" s="39">
        <f>CK112*($AD112-$BD112)</f>
        <v>6.0137519118963374E-2</v>
      </c>
      <c r="CO112" s="39">
        <f>CL112*($AU112-$BF112)</f>
        <v>2.1589664706305078</v>
      </c>
      <c r="CP112" s="27">
        <f>VLOOKUP(A112,Water!$A$2:$E$109, 5, FALSE)/1000</f>
        <v>1.1000000000000001E-3</v>
      </c>
      <c r="CQ112">
        <f>0.64*CP112</f>
        <v>7.0400000000000009E-4</v>
      </c>
      <c r="CR112" s="19">
        <f>CQ112*1000*(2.5*10^-5)</f>
        <v>1.7600000000000004E-5</v>
      </c>
      <c r="CS112" s="18">
        <f>(-0.0000009*F112^3)+(0.0002*F112^2)-(0.0134*F112)+6.579</f>
        <v>6.4083070874999999</v>
      </c>
      <c r="CT112" s="18">
        <f>CS112-(SQRT(CP112))/(1+1.4*SQRT(CP112))</f>
        <v>6.3766125060789021</v>
      </c>
      <c r="CU112" s="18">
        <f>10^(-CT112)</f>
        <v>4.2013367592477869E-7</v>
      </c>
      <c r="CV112" s="18">
        <f>(0.000001*F112^3)+(0.00006*F112^2)-(0.014*F112)+10.625</f>
        <v>10.414827125</v>
      </c>
      <c r="CW112" s="18">
        <f>CV112-(2*SQRT(CR112))/(1+1.4*SQRT(CR112))</f>
        <v>10.406485646466995</v>
      </c>
      <c r="CX112" s="18">
        <f>10^(-CW112)</f>
        <v>3.9220610862098412E-11</v>
      </c>
      <c r="CY112">
        <f>EXP(1246.98+-61900/H112-183*LN(H112))</f>
        <v>1.6682240229004691E-2</v>
      </c>
      <c r="CZ112">
        <f>12.225*(F112^2)+15.258*F112+1125.7</f>
        <v>4705.7132499999998</v>
      </c>
      <c r="DA112" s="15">
        <f>10^(-4470.99/H112+6.0875-0.01706*H112)</f>
        <v>5.1313855369902282E-15</v>
      </c>
      <c r="DB112">
        <f>(10^-I112)</f>
        <v>1.1748975549395268E-8</v>
      </c>
      <c r="DC112">
        <f>DB112^2</f>
        <v>1.3803842646028784E-16</v>
      </c>
      <c r="DD112" s="20">
        <f>((14.6836*10^-9)*((H112/217.2056)-1)^1.997)*100*100</f>
        <v>1.6388180832602313E-5</v>
      </c>
      <c r="DE112">
        <f>CY112+CZ112*DA112/DB112</f>
        <v>1.8737468687924766E-2</v>
      </c>
      <c r="DF112">
        <f>1+DC112*(CU112*CX112+CU112*DB112)^-1</f>
        <v>1.0278718086666021</v>
      </c>
      <c r="DG112">
        <f>(DE112*DF112/DD112)^0.5</f>
        <v>34.281480058945803</v>
      </c>
      <c r="DH112">
        <f>DD112/(BO112/60/60)</f>
        <v>2.9716858469315186E-2</v>
      </c>
      <c r="DI112" s="16">
        <f>DF112/((DF112-1)+TANH(DG112*DH112)/(DG112*DH112))</f>
        <v>1.31261317050707</v>
      </c>
      <c r="DJ112">
        <f>$DI112*BR112</f>
        <v>87.692271944114921</v>
      </c>
      <c r="DK112">
        <f>$DI112*BY112</f>
        <v>128.21306215603431</v>
      </c>
      <c r="DL112">
        <f>$DI112*CF112</f>
        <v>19.856648667111568</v>
      </c>
      <c r="DM112">
        <f>$DI112*CM112</f>
        <v>37.558445054354152</v>
      </c>
    </row>
    <row r="113" spans="1:117" ht="15.75" x14ac:dyDescent="0.25">
      <c r="A113" s="52" t="s">
        <v>334</v>
      </c>
      <c r="B113" s="55" t="s">
        <v>342</v>
      </c>
      <c r="C113" t="s">
        <v>266</v>
      </c>
      <c r="D113" s="57">
        <v>43235</v>
      </c>
      <c r="E113" s="42" t="str">
        <f>A113&amp;D113</f>
        <v>61B43235</v>
      </c>
      <c r="F113" s="3">
        <f>VLOOKUP($E113,Water!$C$2:$E$90, 2, FALSE)</f>
        <v>16.5</v>
      </c>
      <c r="G113" s="3">
        <f>VLOOKUP($E113,Water!$C$2:$E$90, 3, FALSE)</f>
        <v>0</v>
      </c>
      <c r="H113" s="1">
        <f>F113+273.15</f>
        <v>289.64999999999998</v>
      </c>
      <c r="I113" s="3">
        <f>VLOOKUP($E113,Water!$C$2:$F$90, 4, FALSE)</f>
        <v>7.93</v>
      </c>
      <c r="J113">
        <f>10^(I113*-1)</f>
        <v>1.1748975549395268E-8</v>
      </c>
      <c r="K113" s="25">
        <f>VLOOKUP($E113,Atm!$D$2:$G$45, 2, FALSE)</f>
        <v>426.23782653193172</v>
      </c>
      <c r="L113" s="25">
        <f>VLOOKUP($E113,Atm!$D$2:$G$45, 3, FALSE)</f>
        <v>2.1662444800994161</v>
      </c>
      <c r="M113" s="25">
        <f>VLOOKUP($E113,Atm!$D$2:$G$45, 4, FALSE)</f>
        <v>0.32446247359764185</v>
      </c>
      <c r="N113" s="21">
        <f>VLOOKUP($C113,Raw!$B$2:$F$353, 3, FALSE)</f>
        <v>1278.0262973052829</v>
      </c>
      <c r="O113" s="21">
        <f>VLOOKUP($C113,Raw!$B$2:$F$353, 4, FALSE)</f>
        <v>24.987603738945509</v>
      </c>
      <c r="P113" s="21">
        <f>VLOOKUP($C113,Raw!$B$2:$F$353, 5, FALSE)</f>
        <v>0.41878261382138221</v>
      </c>
      <c r="Q113" s="14">
        <v>60</v>
      </c>
      <c r="R113" s="25">
        <v>1140</v>
      </c>
      <c r="S113">
        <f>EXP(24.4543-(100/H113*(67.4509))-(4.8489*LN(H113/100))-(0.000544*G113))</f>
        <v>1.8507923974758665E-2</v>
      </c>
      <c r="T113" s="8">
        <f>EXP(-58.0931+90.5069*(100/H113)+22.294*LN(H113/100)+G113*(0.027766-0.025888*(H113/100)+0.0050578*(H113/100)^2)*G113)</f>
        <v>4.3440031110964769E-2</v>
      </c>
      <c r="U113" s="9">
        <f>(EXP(-67.1962+99.1624*(100/H113)+27.9015*LN(H113/100)+G113*(-0.072909+0.041674*(H113/100)-0.0064603*(H113/100)^2)*G113))</f>
        <v>3.7342675390551881E-2</v>
      </c>
      <c r="V113" s="9">
        <f>(EXP(-64.8539+100.252*(100/H113)+25.2049*LN(H113/100)+(-0.062544+0.035337*(H113/100)-0.0054699*(H113/100)^2)*G113))</f>
        <v>3.2161575753462977E-2</v>
      </c>
      <c r="W113" s="9">
        <f>(EXP(-68.8862+101.4956*(100/H113)+28.7314*LN(H113/100)+G113*(-0.076146+0.04397*(H113/100)-0.0068672*(H113/100)^2)))</f>
        <v>3.7272728709345671E-2</v>
      </c>
      <c r="X113">
        <f>N113*(AZ113-S113)</f>
        <v>1147.0857393253343</v>
      </c>
      <c r="Y113">
        <f>O113*(AZ113-S113)</f>
        <v>22.427491491601181</v>
      </c>
      <c r="Z113">
        <f>((Y113/10^6)*AZ113)/(0.082056*H113)</f>
        <v>8.6440496336318363E-7</v>
      </c>
      <c r="AA113">
        <f>(((L113/10^6)*AZ113)/(0.082056*H113))</f>
        <v>8.3491837736612986E-8</v>
      </c>
      <c r="AB113">
        <f>((Y113/10^6)*U113*1)/(0.082056*H113)</f>
        <v>3.5237270043333054E-8</v>
      </c>
      <c r="AC113">
        <f>(Z113*(Q113/1000))+(AB113*(R113/1000))</f>
        <v>9.2034785651190702E-8</v>
      </c>
      <c r="AD113" s="39">
        <f>((AC113-(AA113*(Q113/1000)))/(R113/1000))*1000000</f>
        <v>7.6337960865784163E-2</v>
      </c>
      <c r="AE113" s="39">
        <f>(AD113/((U113*AZ113*1))*(0.0821*273.15))</f>
        <v>50.044811845931079</v>
      </c>
      <c r="AF113" s="39">
        <f>L113*U113*AZ113*1/(0.0821*273.15)</f>
        <v>3.3043722265686856E-3</v>
      </c>
      <c r="AG113" s="39">
        <f>AD113-AF113</f>
        <v>7.3033588639215483E-2</v>
      </c>
      <c r="AH113" s="42">
        <f>P113*(AZ113-S113)</f>
        <v>0.37587611867203041</v>
      </c>
      <c r="AI113">
        <f>(((X113/10^6)*(Q113/1000))/(0.082056*H113))</f>
        <v>2.8957646065392695E-6</v>
      </c>
      <c r="AJ113">
        <f>(((K113/10^6)*AZ113)*(Q113/1000))/(0.082056*H113)</f>
        <v>9.8568872840365855E-7</v>
      </c>
      <c r="AK113">
        <f>(X113/10^6)*T113*(R113/1000)</f>
        <v>5.6805561831689661E-5</v>
      </c>
      <c r="AL113">
        <f>AI113+AK113</f>
        <v>5.9701326438228929E-5</v>
      </c>
      <c r="AM113" s="39">
        <f>((AL113-AJ113)/(R113/1000))*1000000</f>
        <v>51.504945359495856</v>
      </c>
      <c r="AN113" s="39">
        <f>AM113/(T113*AZ113)</f>
        <v>1294.3102082961298</v>
      </c>
      <c r="AO113" s="39">
        <f>(K113*AZ113)*T113</f>
        <v>16.961433066789681</v>
      </c>
      <c r="AP113" s="39">
        <f>AM113-AO113</f>
        <v>34.543512292706176</v>
      </c>
      <c r="AQ113">
        <f>(((AH113/10^6)*(Q113/1000))/(0.082056*H113))</f>
        <v>9.4888178239753731E-10</v>
      </c>
      <c r="AR113">
        <f>(((M113/10^6)*AZ113)*(Q113/1000))/(0.082056*H113)</f>
        <v>7.5032994048735825E-10</v>
      </c>
      <c r="AS113">
        <f>(AH113/10^6)*V113*(R113/1000)</f>
        <v>1.3781195821630486E-8</v>
      </c>
      <c r="AT113">
        <f>AQ113+AS113</f>
        <v>1.4730077604028024E-8</v>
      </c>
      <c r="AU113" s="39">
        <f>((AT113-AR113)/(R113/1000))*1000000000</f>
        <v>12.262936546965497</v>
      </c>
      <c r="AV113" s="39">
        <f>(AU113/1000)/(V113*AZ113)</f>
        <v>0.41623321696727655</v>
      </c>
      <c r="AW113" s="39">
        <f>(M113*AZ113)*V113*1000</f>
        <v>9.5592147945082431</v>
      </c>
      <c r="AX113" s="39">
        <f>AU113-AW113</f>
        <v>2.7037217524572537</v>
      </c>
      <c r="AY113" s="26">
        <f>VLOOKUP($E113,Water!$C$2:$G$90, 5, FALSE)</f>
        <v>696.2</v>
      </c>
      <c r="AZ113">
        <f>AY113/760</f>
        <v>0.91605263157894745</v>
      </c>
      <c r="BA113" s="3">
        <f>Assumptions!$B$3</f>
        <v>406.07</v>
      </c>
      <c r="BB113" s="3">
        <f>BA113*AZ113*T113</f>
        <v>16.158887589755729</v>
      </c>
      <c r="BC113" s="3">
        <f>Assumptions!$B$4</f>
        <v>1.8474300000000001</v>
      </c>
      <c r="BD113" s="45">
        <f>BC113*AZ113*U113*1/(0.0821*273.15)</f>
        <v>2.8180551357941033E-3</v>
      </c>
      <c r="BE113" s="3">
        <f>Assumptions!$B$2</f>
        <v>0.33054499999999998</v>
      </c>
      <c r="BF113" s="44">
        <f>BE113*AZ113*V113*1000</f>
        <v>9.7384163389232459</v>
      </c>
      <c r="BG113">
        <f>1923.6+(-125.06*F113)+(4.3773*(F113^2))+(-0.085681*(F113^3))+(0.00070284*(F113^4))</f>
        <v>719.03470760249979</v>
      </c>
      <c r="BH113">
        <f>1909.4+(-120.78*F113)+(4.1555*(F113^2))+(-0.080578*(F113^3))+(0.00065777*(F113^4))</f>
        <v>734.65238026062502</v>
      </c>
      <c r="BI113">
        <f>2141.2+(-152.56*F113)+(5.8963*(F113^2))+(-0.12411*(F113^3))+(0.0010655*(F113^4))</f>
        <v>750.68496784374963</v>
      </c>
      <c r="BJ113" s="25">
        <f>VLOOKUP(E113,Wind!$C$2:$E$109,3, FALSE)</f>
        <v>6.7777777777777777</v>
      </c>
      <c r="BK113" s="44">
        <v>1.66</v>
      </c>
      <c r="BL113">
        <f>BK113/(1-(((1.3*10^-3)^0.5)/0.41)*LN(10/1.5))</f>
        <v>1.9923982880693825</v>
      </c>
      <c r="BM113">
        <f>BK113*1.22</f>
        <v>2.0251999999999999</v>
      </c>
      <c r="BN113">
        <f>2.07+0.215*(BM113^1.7)*(24/100)</f>
        <v>2.241255750541113</v>
      </c>
      <c r="BO113">
        <f>BN113*((600/BG113)^0.67)</f>
        <v>1.9853192442359771</v>
      </c>
      <c r="BP113">
        <f>BN113*((600/BH113)^0.67)</f>
        <v>1.9569417030742853</v>
      </c>
      <c r="BQ113">
        <f>BN113*((600/BI113)^0.67)</f>
        <v>1.9288394618942553</v>
      </c>
      <c r="BR113" s="39">
        <f>BO113*(AM113-BB113)</f>
        <v>70.17320869814165</v>
      </c>
      <c r="BS113" s="39">
        <f>BP113*(AD113-BD113)</f>
        <v>0.14387416952910767</v>
      </c>
      <c r="BT113" s="39">
        <f>BQ113*(AU113-BF113)</f>
        <v>4.8693941996213885</v>
      </c>
      <c r="BU113">
        <f>(2.51+1.48*BM113)+(0.39*BM113*LOG10(0.0015))</f>
        <v>3.2768938069574309</v>
      </c>
      <c r="BV113">
        <f>BU113*((600/$BG113)^0.67)</f>
        <v>2.902694319780148</v>
      </c>
      <c r="BW113">
        <f>BU113*((600/$BH113)^0.67)</f>
        <v>2.8612041021345371</v>
      </c>
      <c r="BX113">
        <f>BU113*((600/$BI113)^0.67)</f>
        <v>2.8201163949140504</v>
      </c>
      <c r="BY113" s="39">
        <f>BV113*($AM113-$BB113)</f>
        <v>102.59880111484564</v>
      </c>
      <c r="BZ113" s="39">
        <f>BW113*($AD113-$BD113)</f>
        <v>0.21035545586319204</v>
      </c>
      <c r="CA113" s="39">
        <f>BX113*($AU113-$BF113)</f>
        <v>7.1194408279917809</v>
      </c>
      <c r="CB113" s="42">
        <f>AVERAGE(0.72,0.69,0.4,0.22)</f>
        <v>0.50750000000000006</v>
      </c>
      <c r="CC113">
        <f>CB113*((600/$BG113)^0.67)</f>
        <v>0.44954687398191967</v>
      </c>
      <c r="CD113">
        <f>CB113*((600/$BH113)^0.67)</f>
        <v>0.44312118956991908</v>
      </c>
      <c r="CE113">
        <f>CB113*((600/$BI113)^0.67)</f>
        <v>0.43675784286331415</v>
      </c>
      <c r="CF113" s="39">
        <f>CC113*($AM113-$BB113)</f>
        <v>15.889709777971017</v>
      </c>
      <c r="CG113" s="39">
        <f>CD113*($AD113-$BD113)</f>
        <v>3.2578228084141507E-2</v>
      </c>
      <c r="CH113" s="39">
        <f>CE113*($AU113-$BF113)</f>
        <v>1.1026040003293784</v>
      </c>
      <c r="CI113">
        <v>0.86263901889527161</v>
      </c>
      <c r="CJ113">
        <f>((BG113/BH113)^0.67)*CI113</f>
        <v>0.85030872272882174</v>
      </c>
      <c r="CK113">
        <f>((BH113/BH113)^0.67)*CI113</f>
        <v>0.86263901889527161</v>
      </c>
      <c r="CL113">
        <f>((BI113/BH113)^0.67)*CI113</f>
        <v>0.87520724462852773</v>
      </c>
      <c r="CM113" s="39">
        <f>CJ113*($AM113-$BB113)</f>
        <v>30.055061235686875</v>
      </c>
      <c r="CN113" s="39">
        <f>CK113*($AD113-$BD113)</f>
        <v>6.3421139348191491E-2</v>
      </c>
      <c r="CO113" s="39">
        <f>CL113*($AU113-$BF113)</f>
        <v>2.209478375289696</v>
      </c>
      <c r="CP113" s="27">
        <f>VLOOKUP(A113,Water!$A$2:$E$109, 5, FALSE)/1000</f>
        <v>1.1000000000000001E-3</v>
      </c>
      <c r="CQ113">
        <f>0.64*CP113</f>
        <v>7.0400000000000009E-4</v>
      </c>
      <c r="CR113" s="19">
        <f>CQ113*1000*(2.5*10^-5)</f>
        <v>1.7600000000000004E-5</v>
      </c>
      <c r="CS113" s="18">
        <f>(-0.0000009*F113^3)+(0.0002*F113^2)-(0.0134*F113)+6.579</f>
        <v>6.4083070874999999</v>
      </c>
      <c r="CT113" s="18">
        <f>CS113-(SQRT(CP113))/(1+1.4*SQRT(CP113))</f>
        <v>6.3766125060789021</v>
      </c>
      <c r="CU113" s="18">
        <f>10^(-CT113)</f>
        <v>4.2013367592477869E-7</v>
      </c>
      <c r="CV113" s="18">
        <f>(0.000001*F113^3)+(0.00006*F113^2)-(0.014*F113)+10.625</f>
        <v>10.414827125</v>
      </c>
      <c r="CW113" s="18">
        <f>CV113-(2*SQRT(CR113))/(1+1.4*SQRT(CR113))</f>
        <v>10.406485646466995</v>
      </c>
      <c r="CX113" s="18">
        <f>10^(-CW113)</f>
        <v>3.9220610862098412E-11</v>
      </c>
      <c r="CY113">
        <f>EXP(1246.98+-61900/H113-183*LN(H113))</f>
        <v>1.6682240229004691E-2</v>
      </c>
      <c r="CZ113">
        <f>12.225*(F113^2)+15.258*F113+1125.7</f>
        <v>4705.7132499999998</v>
      </c>
      <c r="DA113" s="15">
        <f>10^(-4470.99/H113+6.0875-0.01706*H113)</f>
        <v>5.1313855369902282E-15</v>
      </c>
      <c r="DB113">
        <f>(10^-I113)</f>
        <v>1.1748975549395268E-8</v>
      </c>
      <c r="DC113">
        <f>DB113^2</f>
        <v>1.3803842646028784E-16</v>
      </c>
      <c r="DD113" s="20">
        <f>((14.6836*10^-9)*((H113/217.2056)-1)^1.997)*100*100</f>
        <v>1.6388180832602313E-5</v>
      </c>
      <c r="DE113">
        <f>CY113+CZ113*DA113/DB113</f>
        <v>1.8737468687924766E-2</v>
      </c>
      <c r="DF113">
        <f>1+DC113*(CU113*CX113+CU113*DB113)^-1</f>
        <v>1.0278718086666021</v>
      </c>
      <c r="DG113">
        <f>(DE113*DF113/DD113)^0.5</f>
        <v>34.281480058945803</v>
      </c>
      <c r="DH113">
        <f>DD113/(BO113/60/60)</f>
        <v>2.9716858469315186E-2</v>
      </c>
      <c r="DI113" s="16">
        <f>DF113/((DF113-1)+TANH(DG113*DH113)/(DG113*DH113))</f>
        <v>1.31261317050707</v>
      </c>
      <c r="DJ113">
        <f>$DI113*BR113</f>
        <v>92.110277953922022</v>
      </c>
      <c r="DK113">
        <f>$DI113*BY113</f>
        <v>134.67253762158185</v>
      </c>
      <c r="DL113">
        <f>$DI113*CF113</f>
        <v>20.857042330099731</v>
      </c>
      <c r="DM113">
        <f>$DI113*CM113</f>
        <v>39.450669218359089</v>
      </c>
    </row>
    <row r="114" spans="1:117" ht="15.75" x14ac:dyDescent="0.25">
      <c r="A114" s="52" t="s">
        <v>333</v>
      </c>
      <c r="B114" s="55" t="s">
        <v>339</v>
      </c>
      <c r="C114" t="s">
        <v>268</v>
      </c>
      <c r="D114" s="57">
        <v>43235</v>
      </c>
      <c r="E114" s="42" t="str">
        <f>A114&amp;D114</f>
        <v>61C43235</v>
      </c>
      <c r="F114" s="3">
        <f>VLOOKUP($E114,Water!$C$2:$E$90, 2, FALSE)</f>
        <v>17.600000000000001</v>
      </c>
      <c r="G114" s="3">
        <f>VLOOKUP($E114,Water!$C$2:$E$90, 3, FALSE)</f>
        <v>0</v>
      </c>
      <c r="H114" s="1">
        <f>F114+273.15</f>
        <v>290.75</v>
      </c>
      <c r="I114" s="3">
        <f>VLOOKUP($E114,Water!$C$2:$F$90, 4, FALSE)</f>
        <v>8.19</v>
      </c>
      <c r="J114">
        <f>10^(I114*-1)</f>
        <v>6.456542290346555E-9</v>
      </c>
      <c r="K114" s="25">
        <f>VLOOKUP($E114,Atm!$D$2:$G$45, 2, FALSE)</f>
        <v>437.07427938659731</v>
      </c>
      <c r="L114" s="25">
        <f>VLOOKUP($E114,Atm!$D$2:$G$45, 3, FALSE)</f>
        <v>2.764880422108881</v>
      </c>
      <c r="M114" s="25">
        <f>VLOOKUP($E114,Atm!$D$2:$G$45, 4, FALSE)</f>
        <v>0.33154069582859014</v>
      </c>
      <c r="N114" s="21">
        <f>VLOOKUP($C114,Raw!$B$2:$F$353, 3, FALSE)</f>
        <v>938.06528476627943</v>
      </c>
      <c r="O114" s="21">
        <f>VLOOKUP($C114,Raw!$B$2:$F$353, 4, FALSE)</f>
        <v>92.353246995764266</v>
      </c>
      <c r="P114" s="21">
        <f>VLOOKUP($C114,Raw!$B$2:$F$353, 5, FALSE)</f>
        <v>0.34427419949841787</v>
      </c>
      <c r="Q114" s="14">
        <v>60</v>
      </c>
      <c r="R114" s="25">
        <v>1140</v>
      </c>
      <c r="S114">
        <f>EXP(24.4543-(100/H114*(67.4509))-(4.8489*LN(H114/100))-(0.000544*G114))</f>
        <v>1.9844393497523202E-2</v>
      </c>
      <c r="T114" s="8">
        <f>EXP(-58.0931+90.5069*(100/H114)+22.294*LN(H114/100)+G114*(0.027766-0.025888*(H114/100)+0.0050578*(H114/100)^2)*G114)</f>
        <v>4.1999988284046608E-2</v>
      </c>
      <c r="U114" s="9">
        <f>(EXP(-67.1962+99.1624*(100/H114)+27.9015*LN(H114/100)+G114*(-0.072909+0.041674*(H114/100)-0.0064603*(H114/100)^2)*G114))</f>
        <v>3.6465783390736792E-2</v>
      </c>
      <c r="V114" s="9">
        <f>(EXP(-64.8539+100.252*(100/H114)+25.2049*LN(H114/100)+(-0.062544+0.035337*(H114/100)-0.0054699*(H114/100)^2)*G114))</f>
        <v>3.1042753122091895E-2</v>
      </c>
      <c r="W114" s="9">
        <f>(EXP(-68.8862+101.4956*(100/H114)+28.7314*LN(H114/100)+G114*(-0.076146+0.04397*(H114/100)-0.0068672*(H114/100)^2)))</f>
        <v>3.6401052787297397E-2</v>
      </c>
      <c r="X114">
        <f>N114*(AZ114-S114)</f>
        <v>839.9612582093423</v>
      </c>
      <c r="Y114">
        <f>O114*(AZ114-S114)</f>
        <v>82.694830313017931</v>
      </c>
      <c r="Z114">
        <f>((Y114/10^6)*AZ114)/(0.082056*H114)</f>
        <v>3.1724462707330552E-6</v>
      </c>
      <c r="AA114">
        <f>(((L114/10^6)*AZ114)/(0.082056*H114))</f>
        <v>1.0606992663193534E-7</v>
      </c>
      <c r="AB114">
        <f>((Y114/10^6)*U114*1)/(0.082056*H114)</f>
        <v>1.2639614905225667E-7</v>
      </c>
      <c r="AC114">
        <f>(Z114*(Q114/1000))+(AB114*(R114/1000))</f>
        <v>3.3443838616355586E-7</v>
      </c>
      <c r="AD114" s="39">
        <f>((AC114-(AA114*(Q114/1000)))/(R114/1000))*1000000</f>
        <v>0.28778437768915766</v>
      </c>
      <c r="AE114" s="39">
        <f>(AD114/((U114*AZ114*1))*(0.0821*273.15))</f>
        <v>193.36597072153438</v>
      </c>
      <c r="AF114" s="39">
        <f>L114*U114*AZ114*1/(0.0821*273.15)</f>
        <v>4.114940124637592E-3</v>
      </c>
      <c r="AG114" s="39">
        <f>AD114-AF114</f>
        <v>0.28366943756452007</v>
      </c>
      <c r="AH114" s="42">
        <f>P114*(AZ114-S114)</f>
        <v>0.30826957832871316</v>
      </c>
      <c r="AI114">
        <f>(((X114/10^6)*(Q114/1000))/(0.082056*H114))</f>
        <v>2.112420823216531E-6</v>
      </c>
      <c r="AJ114">
        <f>(((K114/10^6)*AZ114)*(Q114/1000))/(0.082056*H114)</f>
        <v>1.0060566028793713E-6</v>
      </c>
      <c r="AK114">
        <f>(X114/10^6)*T114*(R114/1000)</f>
        <v>4.0217333824383783E-5</v>
      </c>
      <c r="AL114">
        <f>AI114+AK114</f>
        <v>4.2329754647600317E-5</v>
      </c>
      <c r="AM114" s="39">
        <f>((AL114-AJ114)/(R114/1000))*1000000</f>
        <v>36.248857933965745</v>
      </c>
      <c r="AN114" s="39">
        <f>AM114/(T114*AZ114)</f>
        <v>942.97282629184497</v>
      </c>
      <c r="AO114" s="39">
        <f>(K114*AZ114)*T114</f>
        <v>16.80159069098324</v>
      </c>
      <c r="AP114" s="39">
        <f>AM114-AO114</f>
        <v>19.447267242982505</v>
      </c>
      <c r="AQ114">
        <f>(((AH114/10^6)*(Q114/1000))/(0.082056*H114))</f>
        <v>7.752679901142021E-10</v>
      </c>
      <c r="AR114">
        <f>(((M114/10^6)*AZ114)*(Q114/1000))/(0.082056*H114)</f>
        <v>7.6313963528049792E-10</v>
      </c>
      <c r="AS114">
        <f>(AH114/10^6)*V114*(R114/1000)</f>
        <v>1.0909271513224956E-8</v>
      </c>
      <c r="AT114">
        <f>AQ114+AS114</f>
        <v>1.1684539503339158E-8</v>
      </c>
      <c r="AU114" s="39">
        <f>((AT114-AR114)/(R114/1000))*1000000000</f>
        <v>9.5801753228584747</v>
      </c>
      <c r="AV114" s="39">
        <f>(AU114/1000)/(V114*AZ114)</f>
        <v>0.33718422246727042</v>
      </c>
      <c r="AW114" s="39">
        <f>(M114*AZ114)*V114*1000</f>
        <v>9.4198298172409132</v>
      </c>
      <c r="AX114" s="39">
        <f>AU114-AW114</f>
        <v>0.16034550561756156</v>
      </c>
      <c r="AY114" s="26">
        <f>VLOOKUP($E114,Water!$C$2:$G$90, 5, FALSE)</f>
        <v>695.6</v>
      </c>
      <c r="AZ114">
        <f>AY114/760</f>
        <v>0.91526315789473689</v>
      </c>
      <c r="BA114" s="3">
        <f>Assumptions!$B$3</f>
        <v>406.07</v>
      </c>
      <c r="BB114" s="3">
        <f>BA114*AZ114*T114</f>
        <v>15.609753887743357</v>
      </c>
      <c r="BC114" s="3">
        <f>Assumptions!$B$4</f>
        <v>1.8474300000000001</v>
      </c>
      <c r="BD114" s="45">
        <f>BC114*AZ114*U114*1/(0.0821*273.15)</f>
        <v>2.7495090831670906E-3</v>
      </c>
      <c r="BE114" s="3">
        <f>Assumptions!$B$2</f>
        <v>0.33054499999999998</v>
      </c>
      <c r="BF114" s="44">
        <f>BE114*AZ114*V114*1000</f>
        <v>9.3915398203474236</v>
      </c>
      <c r="BG114">
        <f>1923.6+(-125.06*F114)+(4.3773*(F114^2))+(-0.085681*(F114^3))+(0.00070284*(F114^4))</f>
        <v>678.78121043558406</v>
      </c>
      <c r="BH114">
        <f>1909.4+(-120.78*F114)+(4.1555*(F114^2))+(-0.080578*(F114^3))+(0.00065777*(F114^4))</f>
        <v>694.70033218355206</v>
      </c>
      <c r="BI114">
        <f>2141.2+(-152.56*F114)+(5.8963*(F114^2))+(-0.12411*(F114^3))+(0.0010655*(F114^4))</f>
        <v>708.19803361280003</v>
      </c>
      <c r="BJ114" s="25">
        <f>VLOOKUP(E114,Wind!$C$2:$E$109,3, FALSE)</f>
        <v>5.3611111111111116</v>
      </c>
      <c r="BK114" s="44">
        <v>1.66</v>
      </c>
      <c r="BL114">
        <f>BK114/(1-(((1.3*10^-3)^0.5)/0.41)*LN(10/1.5))</f>
        <v>1.9923982880693825</v>
      </c>
      <c r="BM114">
        <f>BK114*1.22</f>
        <v>2.0251999999999999</v>
      </c>
      <c r="BN114">
        <f>2.07+0.215*(BM114^1.7)*(24/100)</f>
        <v>2.241255750541113</v>
      </c>
      <c r="BO114">
        <f>BN114*((600/BG114)^0.67)</f>
        <v>2.0634491959620469</v>
      </c>
      <c r="BP114">
        <f>BN114*((600/BH114)^0.67)</f>
        <v>2.0316478141201446</v>
      </c>
      <c r="BQ114">
        <f>BN114*((600/BI114)^0.67)</f>
        <v>2.0056220448348636</v>
      </c>
      <c r="BR114" s="39">
        <f>BO114*(AM114-BB114)</f>
        <v>42.587742649554613</v>
      </c>
      <c r="BS114" s="39">
        <f>BP114*(AD114-BD114)</f>
        <v>0.5790904677513834</v>
      </c>
      <c r="BT114" s="39">
        <f>BQ114*(AU114-BF114)</f>
        <v>0.37833152227466638</v>
      </c>
      <c r="BU114">
        <f>(2.51+1.48*BM114)+(0.39*BM114*LOG10(0.0015))</f>
        <v>3.2768938069574309</v>
      </c>
      <c r="BV114">
        <f>BU114*((600/$BG114)^0.67)</f>
        <v>3.0169265107682706</v>
      </c>
      <c r="BW114">
        <f>BU114*((600/$BH114)^0.67)</f>
        <v>2.9704303662808513</v>
      </c>
      <c r="BX114">
        <f>BU114*((600/$BI114)^0.67)</f>
        <v>2.9323786257904372</v>
      </c>
      <c r="BY114" s="39">
        <f>BV114*($AM114-$BB114)</f>
        <v>62.266660155552998</v>
      </c>
      <c r="BZ114" s="39">
        <f>BW114*($AD114-$BD114)</f>
        <v>0.84667622915610696</v>
      </c>
      <c r="CA114" s="39">
        <f>BX114*($AU114-$BF114)</f>
        <v>0.5531507156286446</v>
      </c>
      <c r="CB114" s="42">
        <f>AVERAGE(0.72,0.69,0.4,0.22)</f>
        <v>0.50750000000000006</v>
      </c>
      <c r="CC114">
        <f>CB114*((600/$BG114)^0.67)</f>
        <v>0.46723827331972723</v>
      </c>
      <c r="CD114">
        <f>CB114*((600/$BH114)^0.67)</f>
        <v>0.46003730962744493</v>
      </c>
      <c r="CE114">
        <f>CB114*((600/$BI114)^0.67)</f>
        <v>0.45414414999624658</v>
      </c>
      <c r="CF114" s="39">
        <f>CC114*($AM114-$BB114)</f>
        <v>9.6433793374231431</v>
      </c>
      <c r="CG114" s="39">
        <f>CD114*($AD114-$BD114)</f>
        <v>0.13112667410351217</v>
      </c>
      <c r="CH114" s="39">
        <f>CE114*($AU114-$BF114)</f>
        <v>8.5667709946996143E-2</v>
      </c>
      <c r="CI114">
        <v>0.86263901889527161</v>
      </c>
      <c r="CJ114">
        <f>((BG114/BH114)^0.67)*CI114</f>
        <v>0.84934423417980753</v>
      </c>
      <c r="CK114">
        <f>((BH114/BH114)^0.67)*CI114</f>
        <v>0.86263901889527161</v>
      </c>
      <c r="CL114">
        <f>((BI114/BH114)^0.67)*CI114</f>
        <v>0.87383297447631803</v>
      </c>
      <c r="CM114" s="39">
        <f>CJ114*($AM114-$BB114)</f>
        <v>17.529704020296119</v>
      </c>
      <c r="CN114" s="39">
        <f>CK114*($AD114-$BD114)</f>
        <v>0.24588219940521439</v>
      </c>
      <c r="CO114" s="39">
        <f>CL114*($AU114-$BF114)</f>
        <v>0.16483592225106675</v>
      </c>
      <c r="CP114" s="27">
        <f>VLOOKUP(A114,Water!$A$2:$E$109, 5, FALSE)/1000</f>
        <v>2.0999999999999998E-4</v>
      </c>
      <c r="CQ114">
        <f>0.64*CP114</f>
        <v>1.3439999999999999E-4</v>
      </c>
      <c r="CR114" s="19">
        <f>CQ114*1000*(2.5*10^-5)</f>
        <v>3.36E-6</v>
      </c>
      <c r="CS114" s="18">
        <f>(-0.0000009*F114^3)+(0.0002*F114^2)-(0.0134*F114)+6.579</f>
        <v>6.4002054016000001</v>
      </c>
      <c r="CT114" s="18">
        <f>CS114-(SQRT(CP114))/(1+1.4*SQRT(CP114))</f>
        <v>6.3860021788073089</v>
      </c>
      <c r="CU114" s="18">
        <f>10^(-CT114)</f>
        <v>4.1114765841708813E-7</v>
      </c>
      <c r="CV114" s="18">
        <f>(0.000001*F114^3)+(0.00006*F114^2)-(0.014*F114)+10.625</f>
        <v>10.402637375999999</v>
      </c>
      <c r="CW114" s="18">
        <f>CV114-(2*SQRT(CR114))/(1+1.4*SQRT(CR114))</f>
        <v>10.398980699362625</v>
      </c>
      <c r="CX114" s="18">
        <f>10^(-CW114)</f>
        <v>3.9904263596548865E-11</v>
      </c>
      <c r="CY114">
        <f>EXP(1246.98+-61900/H114-183*LN(H114))</f>
        <v>1.8712711178790781E-2</v>
      </c>
      <c r="CZ114">
        <f>12.225*(F114^2)+15.258*F114+1125.7</f>
        <v>5181.0568000000003</v>
      </c>
      <c r="DA114" s="15">
        <f>10^(-4470.99/H114+6.0875-0.01706*H114)</f>
        <v>5.6216957653329322E-15</v>
      </c>
      <c r="DB114">
        <f>(10^-I114)</f>
        <v>6.456542290346555E-9</v>
      </c>
      <c r="DC114">
        <f>DB114^2</f>
        <v>4.1686938347033538E-17</v>
      </c>
      <c r="DD114" s="20">
        <f>((14.6836*10^-9)*((H114/217.2056)-1)^1.997)*100*100</f>
        <v>1.6888873849530566E-5</v>
      </c>
      <c r="DE114">
        <f>CY114+CZ114*DA114/DB114</f>
        <v>2.3223844810805763E-2</v>
      </c>
      <c r="DF114">
        <f>1+DC114*(CU114*CX114+CU114*DB114)^-1</f>
        <v>1.0156072471929312</v>
      </c>
      <c r="DG114">
        <f>(DE114*DF114/DD114)^0.5</f>
        <v>37.370560368949725</v>
      </c>
      <c r="DH114">
        <f>DD114/(BO114/60/60)</f>
        <v>2.9465201264605466E-2</v>
      </c>
      <c r="DI114" s="16">
        <f>DF114/((DF114-1)+TANH(DG114*DH114)/(DG114*DH114))</f>
        <v>1.3669839928476959</v>
      </c>
      <c r="DJ114">
        <f>$DI114*BR114</f>
        <v>58.216762493458276</v>
      </c>
      <c r="DK114">
        <f>$DI114*BY114</f>
        <v>85.117527720728376</v>
      </c>
      <c r="DL114">
        <f>$DI114*CF114</f>
        <v>13.182345191215656</v>
      </c>
      <c r="DM114">
        <f>$DI114*CM114</f>
        <v>23.962824795102698</v>
      </c>
    </row>
    <row r="115" spans="1:117" ht="15.75" x14ac:dyDescent="0.25">
      <c r="A115" s="52" t="s">
        <v>333</v>
      </c>
      <c r="B115" s="55" t="s">
        <v>340</v>
      </c>
      <c r="C115" t="s">
        <v>269</v>
      </c>
      <c r="D115" s="57">
        <v>43235</v>
      </c>
      <c r="E115" s="42" t="str">
        <f>A115&amp;D115</f>
        <v>61C43235</v>
      </c>
      <c r="F115" s="3">
        <f>VLOOKUP($E115,Water!$C$2:$E$90, 2, FALSE)</f>
        <v>17.600000000000001</v>
      </c>
      <c r="G115" s="3">
        <f>VLOOKUP($E115,Water!$C$2:$E$90, 3, FALSE)</f>
        <v>0</v>
      </c>
      <c r="H115" s="1">
        <f>F115+273.15</f>
        <v>290.75</v>
      </c>
      <c r="I115" s="3">
        <f>VLOOKUP($E115,Water!$C$2:$F$90, 4, FALSE)</f>
        <v>8.19</v>
      </c>
      <c r="J115">
        <f>10^(I115*-1)</f>
        <v>6.456542290346555E-9</v>
      </c>
      <c r="K115" s="25">
        <f>VLOOKUP($E115,Atm!$D$2:$G$45, 2, FALSE)</f>
        <v>437.07427938659731</v>
      </c>
      <c r="L115" s="25">
        <f>VLOOKUP($E115,Atm!$D$2:$G$45, 3, FALSE)</f>
        <v>2.764880422108881</v>
      </c>
      <c r="M115" s="25">
        <f>VLOOKUP($E115,Atm!$D$2:$G$45, 4, FALSE)</f>
        <v>0.33154069582859014</v>
      </c>
      <c r="N115" s="21">
        <f>VLOOKUP($C115,Raw!$B$2:$F$353, 3, FALSE)</f>
        <v>949.49341521581448</v>
      </c>
      <c r="O115" s="21">
        <f>VLOOKUP($C115,Raw!$B$2:$F$353, 4, FALSE)</f>
        <v>94.154050999797732</v>
      </c>
      <c r="P115" s="21">
        <f>VLOOKUP($C115,Raw!$B$2:$F$353, 5, FALSE)</f>
        <v>0.34194863109652734</v>
      </c>
      <c r="Q115" s="14">
        <v>60</v>
      </c>
      <c r="R115" s="25">
        <v>1140</v>
      </c>
      <c r="S115">
        <f>EXP(24.4543-(100/H115*(67.4509))-(4.8489*LN(H115/100))-(0.000544*G115))</f>
        <v>1.9844393497523202E-2</v>
      </c>
      <c r="T115" s="8">
        <f>EXP(-58.0931+90.5069*(100/H115)+22.294*LN(H115/100)+G115*(0.027766-0.025888*(H115/100)+0.0050578*(H115/100)^2)*G115)</f>
        <v>4.1999988284046608E-2</v>
      </c>
      <c r="U115" s="9">
        <f>(EXP(-67.1962+99.1624*(100/H115)+27.9015*LN(H115/100)+G115*(-0.072909+0.041674*(H115/100)-0.0064603*(H115/100)^2)*G115))</f>
        <v>3.6465783390736792E-2</v>
      </c>
      <c r="V115" s="9">
        <f>(EXP(-64.8539+100.252*(100/H115)+25.2049*LN(H115/100)+(-0.062544+0.035337*(H115/100)-0.0054699*(H115/100)^2)*G115))</f>
        <v>3.1042753122091895E-2</v>
      </c>
      <c r="W115" s="9">
        <f>(EXP(-68.8862+101.4956*(100/H115)+28.7314*LN(H115/100)+G115*(-0.076146+0.04397*(H115/100)-0.0068672*(H115/100)^2)))</f>
        <v>3.6401052787297397E-2</v>
      </c>
      <c r="X115">
        <f>N115*(AZ115-S115)</f>
        <v>850.19422065583512</v>
      </c>
      <c r="Y115">
        <f>O115*(AZ115-S115)</f>
        <v>84.307304009231132</v>
      </c>
      <c r="Z115">
        <f>((Y115/10^6)*AZ115)/(0.082056*H115)</f>
        <v>3.234306076779497E-6</v>
      </c>
      <c r="AA115">
        <f>(((L115/10^6)*AZ115)/(0.082056*H115))</f>
        <v>1.0606992663193534E-7</v>
      </c>
      <c r="AB115">
        <f>((Y115/10^6)*U115*1)/(0.082056*H115)</f>
        <v>1.2886075856748201E-7</v>
      </c>
      <c r="AC115">
        <f>(Z115*(Q115/1000))+(AB115*(R115/1000))</f>
        <v>3.4095962937369927E-7</v>
      </c>
      <c r="AD115" s="39">
        <f>((AC115-(AA115*(Q115/1000)))/(R115/1000))*1000000</f>
        <v>0.29350476646998525</v>
      </c>
      <c r="AE115" s="39">
        <f>(AD115/((U115*AZ115*1))*(0.0821*273.15))</f>
        <v>197.20957244304293</v>
      </c>
      <c r="AF115" s="39">
        <f>L115*U115*AZ115*1/(0.0821*273.15)</f>
        <v>4.114940124637592E-3</v>
      </c>
      <c r="AG115" s="39">
        <f>AD115-AF115</f>
        <v>0.28938982634534766</v>
      </c>
      <c r="AH115" s="42">
        <f>P115*(AZ115-S115)</f>
        <v>0.30618722074377114</v>
      </c>
      <c r="AI115">
        <f>(((X115/10^6)*(Q115/1000))/(0.082056*H115))</f>
        <v>2.1381557279444546E-6</v>
      </c>
      <c r="AJ115">
        <f>(((K115/10^6)*AZ115)*(Q115/1000))/(0.082056*H115)</f>
        <v>1.0060566028793713E-6</v>
      </c>
      <c r="AK115">
        <f>(X115/10^6)*T115*(R115/1000)</f>
        <v>4.0707287929648502E-5</v>
      </c>
      <c r="AL115">
        <f>AI115+AK115</f>
        <v>4.2845443657592957E-5</v>
      </c>
      <c r="AM115" s="39">
        <f>((AL115-AJ115)/(R115/1000))*1000000</f>
        <v>36.701216714661051</v>
      </c>
      <c r="AN115" s="39">
        <f>AM115/(T115*AZ115)</f>
        <v>954.74042566579635</v>
      </c>
      <c r="AO115" s="39">
        <f>(K115*AZ115)*T115</f>
        <v>16.80159069098324</v>
      </c>
      <c r="AP115" s="39">
        <f>AM115-AO115</f>
        <v>19.899626023677811</v>
      </c>
      <c r="AQ115">
        <f>(((AH115/10^6)*(Q115/1000))/(0.082056*H115))</f>
        <v>7.7003106343356938E-10</v>
      </c>
      <c r="AR115">
        <f>(((M115/10^6)*AZ115)*(Q115/1000))/(0.082056*H115)</f>
        <v>7.6313963528049792E-10</v>
      </c>
      <c r="AS115">
        <f>(AH115/10^6)*V115*(R115/1000)</f>
        <v>1.083557950506471E-8</v>
      </c>
      <c r="AT115">
        <f>AQ115+AS115</f>
        <v>1.1605610568498279E-8</v>
      </c>
      <c r="AU115" s="39">
        <f>((AT115-AR115)/(R115/1000))*1000000000</f>
        <v>9.5109394151033158</v>
      </c>
      <c r="AV115" s="39">
        <f>(AU115/1000)/(V115*AZ115)</f>
        <v>0.33474739277089349</v>
      </c>
      <c r="AW115" s="39">
        <f>(M115*AZ115)*V115*1000</f>
        <v>9.4198298172409132</v>
      </c>
      <c r="AX115" s="39">
        <f>AU115-AW115</f>
        <v>9.110959786240258E-2</v>
      </c>
      <c r="AY115" s="26">
        <f>VLOOKUP($E115,Water!$C$2:$G$90, 5, FALSE)</f>
        <v>695.6</v>
      </c>
      <c r="AZ115">
        <f>AY115/760</f>
        <v>0.91526315789473689</v>
      </c>
      <c r="BA115" s="3">
        <f>Assumptions!$B$3</f>
        <v>406.07</v>
      </c>
      <c r="BB115" s="3">
        <f>BA115*AZ115*T115</f>
        <v>15.609753887743357</v>
      </c>
      <c r="BC115" s="3">
        <f>Assumptions!$B$4</f>
        <v>1.8474300000000001</v>
      </c>
      <c r="BD115" s="45">
        <f>BC115*AZ115*U115*1/(0.0821*273.15)</f>
        <v>2.7495090831670906E-3</v>
      </c>
      <c r="BE115" s="3">
        <f>Assumptions!$B$2</f>
        <v>0.33054499999999998</v>
      </c>
      <c r="BF115" s="44">
        <f>BE115*AZ115*V115*1000</f>
        <v>9.3915398203474236</v>
      </c>
      <c r="BG115">
        <f>1923.6+(-125.06*F115)+(4.3773*(F115^2))+(-0.085681*(F115^3))+(0.00070284*(F115^4))</f>
        <v>678.78121043558406</v>
      </c>
      <c r="BH115">
        <f>1909.4+(-120.78*F115)+(4.1555*(F115^2))+(-0.080578*(F115^3))+(0.00065777*(F115^4))</f>
        <v>694.70033218355206</v>
      </c>
      <c r="BI115">
        <f>2141.2+(-152.56*F115)+(5.8963*(F115^2))+(-0.12411*(F115^3))+(0.0010655*(F115^4))</f>
        <v>708.19803361280003</v>
      </c>
      <c r="BJ115" s="25">
        <f>VLOOKUP(E115,Wind!$C$2:$E$109,3, FALSE)</f>
        <v>5.3611111111111116</v>
      </c>
      <c r="BK115" s="44">
        <v>1.66</v>
      </c>
      <c r="BL115">
        <f>BK115/(1-(((1.3*10^-3)^0.5)/0.41)*LN(10/1.5))</f>
        <v>1.9923982880693825</v>
      </c>
      <c r="BM115">
        <f>BK115*1.22</f>
        <v>2.0251999999999999</v>
      </c>
      <c r="BN115">
        <f>2.07+0.215*(BM115^1.7)*(24/100)</f>
        <v>2.241255750541113</v>
      </c>
      <c r="BO115">
        <f>BN115*((600/BG115)^0.67)</f>
        <v>2.0634491959620469</v>
      </c>
      <c r="BP115">
        <f>BN115*((600/BH115)^0.67)</f>
        <v>2.0316478141201446</v>
      </c>
      <c r="BQ115">
        <f>BN115*((600/BI115)^0.67)</f>
        <v>2.0056220448348636</v>
      </c>
      <c r="BR115" s="39">
        <f>BO115*(AM115-BB115)</f>
        <v>43.521162011866714</v>
      </c>
      <c r="BS115" s="39">
        <f>BP115*(AD115-BD115)</f>
        <v>0.59071228311386914</v>
      </c>
      <c r="BT115" s="39">
        <f>BQ115*(AU115-BF115)</f>
        <v>0.23947045938676642</v>
      </c>
      <c r="BU115">
        <f>(2.51+1.48*BM115)+(0.39*BM115*LOG10(0.0015))</f>
        <v>3.2768938069574309</v>
      </c>
      <c r="BV115">
        <f>BU115*((600/$BG115)^0.67)</f>
        <v>3.0169265107682706</v>
      </c>
      <c r="BW115">
        <f>BU115*((600/$BH115)^0.67)</f>
        <v>2.9704303662808513</v>
      </c>
      <c r="BX115">
        <f>BU115*((600/$BI115)^0.67)</f>
        <v>2.9323786257904372</v>
      </c>
      <c r="BY115" s="39">
        <f>BV115*($AM115-$BB115)</f>
        <v>63.631393353411475</v>
      </c>
      <c r="BZ115" s="39">
        <f>BW115*($AD115-$BD115)</f>
        <v>0.86366824569760947</v>
      </c>
      <c r="CA115" s="39">
        <f>BX115*($AU115-$BF115)</f>
        <v>0.35012481959021802</v>
      </c>
      <c r="CB115" s="42">
        <f>AVERAGE(0.72,0.69,0.4,0.22)</f>
        <v>0.50750000000000006</v>
      </c>
      <c r="CC115">
        <f>CB115*((600/$BG115)^0.67)</f>
        <v>0.46723827331972723</v>
      </c>
      <c r="CD115">
        <f>CB115*((600/$BH115)^0.67)</f>
        <v>0.46003730962744493</v>
      </c>
      <c r="CE115">
        <f>CB115*((600/$BI115)^0.67)</f>
        <v>0.45414414999624658</v>
      </c>
      <c r="CF115" s="39">
        <f>CC115*($AM115-$BB115)</f>
        <v>9.8547386730362359</v>
      </c>
      <c r="CG115" s="39">
        <f>CD115*($AD115-$BD115)</f>
        <v>0.13375826636826713</v>
      </c>
      <c r="CH115" s="39">
        <f>CE115*($AU115-$BF115)</f>
        <v>5.4224627470310927E-2</v>
      </c>
      <c r="CI115">
        <v>0.86263901889527161</v>
      </c>
      <c r="CJ115">
        <f>((BG115/BH115)^0.67)*CI115</f>
        <v>0.84934423417980753</v>
      </c>
      <c r="CK115">
        <f>((BH115/BH115)^0.67)*CI115</f>
        <v>0.86263901889527161</v>
      </c>
      <c r="CL115">
        <f>((BI115/BH115)^0.67)*CI115</f>
        <v>0.87383297447631803</v>
      </c>
      <c r="CM115" s="39">
        <f>CJ115*($AM115-$BB115)</f>
        <v>17.913912342460286</v>
      </c>
      <c r="CN115" s="39">
        <f>CK115*($AD115-$BD115)</f>
        <v>0.25081682997080701</v>
      </c>
      <c r="CO115" s="39">
        <f>CL115*($AU115-$BF115)</f>
        <v>0.1043353030368082</v>
      </c>
      <c r="CP115" s="27">
        <f>VLOOKUP(A115,Water!$A$2:$E$109, 5, FALSE)/1000</f>
        <v>2.0999999999999998E-4</v>
      </c>
      <c r="CQ115">
        <f>0.64*CP115</f>
        <v>1.3439999999999999E-4</v>
      </c>
      <c r="CR115" s="19">
        <f>CQ115*1000*(2.5*10^-5)</f>
        <v>3.36E-6</v>
      </c>
      <c r="CS115" s="18">
        <f>(-0.0000009*F115^3)+(0.0002*F115^2)-(0.0134*F115)+6.579</f>
        <v>6.4002054016000001</v>
      </c>
      <c r="CT115" s="18">
        <f>CS115-(SQRT(CP115))/(1+1.4*SQRT(CP115))</f>
        <v>6.3860021788073089</v>
      </c>
      <c r="CU115" s="18">
        <f>10^(-CT115)</f>
        <v>4.1114765841708813E-7</v>
      </c>
      <c r="CV115" s="18">
        <f>(0.000001*F115^3)+(0.00006*F115^2)-(0.014*F115)+10.625</f>
        <v>10.402637375999999</v>
      </c>
      <c r="CW115" s="18">
        <f>CV115-(2*SQRT(CR115))/(1+1.4*SQRT(CR115))</f>
        <v>10.398980699362625</v>
      </c>
      <c r="CX115" s="18">
        <f>10^(-CW115)</f>
        <v>3.9904263596548865E-11</v>
      </c>
      <c r="CY115">
        <f>EXP(1246.98+-61900/H115-183*LN(H115))</f>
        <v>1.8712711178790781E-2</v>
      </c>
      <c r="CZ115">
        <f>12.225*(F115^2)+15.258*F115+1125.7</f>
        <v>5181.0568000000003</v>
      </c>
      <c r="DA115" s="15">
        <f>10^(-4470.99/H115+6.0875-0.01706*H115)</f>
        <v>5.6216957653329322E-15</v>
      </c>
      <c r="DB115">
        <f>(10^-I115)</f>
        <v>6.456542290346555E-9</v>
      </c>
      <c r="DC115">
        <f>DB115^2</f>
        <v>4.1686938347033538E-17</v>
      </c>
      <c r="DD115" s="20">
        <f>((14.6836*10^-9)*((H115/217.2056)-1)^1.997)*100*100</f>
        <v>1.6888873849530566E-5</v>
      </c>
      <c r="DE115">
        <f>CY115+CZ115*DA115/DB115</f>
        <v>2.3223844810805763E-2</v>
      </c>
      <c r="DF115">
        <f>1+DC115*(CU115*CX115+CU115*DB115)^-1</f>
        <v>1.0156072471929312</v>
      </c>
      <c r="DG115">
        <f>(DE115*DF115/DD115)^0.5</f>
        <v>37.370560368949725</v>
      </c>
      <c r="DH115">
        <f>DD115/(BO115/60/60)</f>
        <v>2.9465201264605466E-2</v>
      </c>
      <c r="DI115" s="16">
        <f>DF115/((DF115-1)+TANH(DG115*DH115)/(DG115*DH115))</f>
        <v>1.3669839928476959</v>
      </c>
      <c r="DJ115">
        <f>$DI115*BR115</f>
        <v>59.492731820353022</v>
      </c>
      <c r="DK115">
        <f>$DI115*BY115</f>
        <v>86.983096156708754</v>
      </c>
      <c r="DL115">
        <f>$DI115*CF115</f>
        <v>13.471270019737679</v>
      </c>
      <c r="DM115">
        <f>$DI115*CM115</f>
        <v>24.488031421419983</v>
      </c>
    </row>
    <row r="116" spans="1:117" ht="15.75" x14ac:dyDescent="0.25">
      <c r="A116" s="51" t="s">
        <v>333</v>
      </c>
      <c r="B116" s="54" t="s">
        <v>341</v>
      </c>
      <c r="C116" s="48" t="s">
        <v>270</v>
      </c>
      <c r="D116" s="57">
        <v>43235</v>
      </c>
      <c r="E116" s="42" t="str">
        <f>A116&amp;D116</f>
        <v>61C43235</v>
      </c>
      <c r="F116" s="3">
        <f>VLOOKUP($E116,Water!$C$2:$E$90, 2, FALSE)</f>
        <v>17.600000000000001</v>
      </c>
      <c r="G116" s="3">
        <f>VLOOKUP($E116,Water!$C$2:$E$90, 3, FALSE)</f>
        <v>0</v>
      </c>
      <c r="H116" s="1">
        <f>F116+273.15</f>
        <v>290.75</v>
      </c>
      <c r="I116" s="3">
        <f>VLOOKUP($E116,Water!$C$2:$F$90, 4, FALSE)</f>
        <v>8.19</v>
      </c>
      <c r="J116">
        <f>10^(I116*-1)</f>
        <v>6.456542290346555E-9</v>
      </c>
      <c r="K116" s="25">
        <f>VLOOKUP($E116,Atm!$D$2:$G$45, 2, FALSE)</f>
        <v>437.07427938659731</v>
      </c>
      <c r="L116" s="25">
        <f>VLOOKUP($E116,Atm!$D$2:$G$45, 3, FALSE)</f>
        <v>2.764880422108881</v>
      </c>
      <c r="M116" s="25">
        <f>VLOOKUP($E116,Atm!$D$2:$G$45, 4, FALSE)</f>
        <v>0.33154069582859014</v>
      </c>
      <c r="N116" s="21">
        <f>VLOOKUP($C116,Raw!$B$2:$F$353, 3, FALSE)</f>
        <v>881.65499999999997</v>
      </c>
      <c r="O116" s="21">
        <f>VLOOKUP($C116,Raw!$B$2:$F$353, 4, FALSE)</f>
        <v>97.031999999999996</v>
      </c>
      <c r="P116" s="21">
        <f>VLOOKUP($C116,Raw!$B$2:$F$353, 5, FALSE)</f>
        <v>0.312</v>
      </c>
      <c r="Q116" s="14">
        <v>60</v>
      </c>
      <c r="R116" s="25">
        <v>1140</v>
      </c>
      <c r="S116">
        <f>EXP(24.4543-(100/H116*(67.4509))-(4.8489*LN(H116/100))-(0.000544*G116))</f>
        <v>1.9844393497523202E-2</v>
      </c>
      <c r="T116" s="8">
        <f>EXP(-58.0931+90.5069*(100/H116)+22.294*LN(H116/100)+G116*(0.027766-0.025888*(H116/100)+0.0050578*(H116/100)^2)*G116)</f>
        <v>4.1999988284046608E-2</v>
      </c>
      <c r="U116" s="9">
        <f>(EXP(-67.1962+99.1624*(100/H116)+27.9015*LN(H116/100)+G116*(-0.072909+0.041674*(H116/100)-0.0064603*(H116/100)^2)*G116))</f>
        <v>3.6465783390736792E-2</v>
      </c>
      <c r="V116" s="9">
        <f>(EXP(-64.8539+100.252*(100/H116)+25.2049*LN(H116/100)+(-0.062544+0.035337*(H116/100)-0.0054699*(H116/100)^2)*G116))</f>
        <v>3.1042753122091895E-2</v>
      </c>
      <c r="W116" s="9">
        <f>(EXP(-68.8862+101.4956*(100/H116)+28.7314*LN(H116/100)+G116*(-0.076146+0.04397*(H116/100)-0.0068672*(H116/100)^2)))</f>
        <v>3.6401052787297397E-2</v>
      </c>
      <c r="X116">
        <f>N116*(AZ116-S116)</f>
        <v>789.45043072462545</v>
      </c>
      <c r="Y116">
        <f>O116*(AZ116-S116)</f>
        <v>86.884273546990428</v>
      </c>
      <c r="Z116">
        <f>((Y116/10^6)*AZ116)/(0.082056*H116)</f>
        <v>3.3331671224931393E-6</v>
      </c>
      <c r="AA116">
        <f>(((L116/10^6)*AZ116)/(0.082056*H116))</f>
        <v>1.0606992663193534E-7</v>
      </c>
      <c r="AB116">
        <f>((Y116/10^6)*U116*1)/(0.082056*H116)</f>
        <v>1.3279956616361385E-7</v>
      </c>
      <c r="AC116">
        <f>(Z116*(Q116/1000))+(AB116*(R116/1000))</f>
        <v>3.5138153277610809E-7</v>
      </c>
      <c r="AD116" s="39">
        <f>((AC116-(AA116*(Q116/1000)))/(R116/1000))*1000000</f>
        <v>0.30264678699841402</v>
      </c>
      <c r="AE116" s="39">
        <f>(AD116/((U116*AZ116*1))*(0.0821*273.15))</f>
        <v>203.35221190120424</v>
      </c>
      <c r="AF116" s="39">
        <f>L116*U116*AZ116*1/(0.0821*273.15)</f>
        <v>4.114940124637592E-3</v>
      </c>
      <c r="AG116" s="39">
        <f>AD116-AF116</f>
        <v>0.29853184687377643</v>
      </c>
      <c r="AH116" s="42">
        <f>P116*(AZ116-S116)</f>
        <v>0.27937065449193066</v>
      </c>
      <c r="AI116">
        <f>(((X116/10^6)*(Q116/1000))/(0.082056*H116))</f>
        <v>1.9853910075746993E-6</v>
      </c>
      <c r="AJ116">
        <f>(((K116/10^6)*AZ116)*(Q116/1000))/(0.082056*H116)</f>
        <v>1.0060566028793713E-6</v>
      </c>
      <c r="AK116">
        <f>(X116/10^6)*T116*(R116/1000)</f>
        <v>3.7798876079047591E-5</v>
      </c>
      <c r="AL116">
        <f>AI116+AK116</f>
        <v>3.9784267086622293E-5</v>
      </c>
      <c r="AM116" s="39">
        <f>((AL116-AJ116)/(R116/1000))*1000000</f>
        <v>34.01597410854643</v>
      </c>
      <c r="AN116" s="39">
        <f>AM116/(T116*AZ116)</f>
        <v>884.886892233656</v>
      </c>
      <c r="AO116" s="39">
        <f>(K116*AZ116)*T116</f>
        <v>16.80159069098324</v>
      </c>
      <c r="AP116" s="39">
        <f>AM116-AO116</f>
        <v>17.214383417563191</v>
      </c>
      <c r="AQ116">
        <f>(((AH116/10^6)*(Q116/1000))/(0.082056*H116))</f>
        <v>7.0259000897551333E-10</v>
      </c>
      <c r="AR116">
        <f>(((M116/10^6)*AZ116)*(Q116/1000))/(0.082056*H116)</f>
        <v>7.6313963528049792E-10</v>
      </c>
      <c r="AS116">
        <f>(AH116/10^6)*V116*(R116/1000)</f>
        <v>9.8865750529232684E-9</v>
      </c>
      <c r="AT116">
        <f>AQ116+AS116</f>
        <v>1.0589165061898782E-8</v>
      </c>
      <c r="AU116" s="39">
        <f>((AT116-AR116)/(R116/1000))*1000000000</f>
        <v>8.6193205496651615</v>
      </c>
      <c r="AV116" s="39">
        <f>(AU116/1000)/(V116*AZ116)</f>
        <v>0.30336594057945171</v>
      </c>
      <c r="AW116" s="39">
        <f>(M116*AZ116)*V116*1000</f>
        <v>9.4198298172409132</v>
      </c>
      <c r="AX116" s="39">
        <f>AU116-AW116</f>
        <v>-0.80050926757575169</v>
      </c>
      <c r="AY116" s="26">
        <f>VLOOKUP($E116,Water!$C$2:$G$90, 5, FALSE)</f>
        <v>695.6</v>
      </c>
      <c r="AZ116">
        <f>AY116/760</f>
        <v>0.91526315789473689</v>
      </c>
      <c r="BA116" s="3">
        <f>Assumptions!$B$3</f>
        <v>406.07</v>
      </c>
      <c r="BB116" s="3">
        <f>BA116*AZ116*T116</f>
        <v>15.609753887743357</v>
      </c>
      <c r="BC116" s="3">
        <f>Assumptions!$B$4</f>
        <v>1.8474300000000001</v>
      </c>
      <c r="BD116" s="45">
        <f>BC116*AZ116*U116*1/(0.0821*273.15)</f>
        <v>2.7495090831670906E-3</v>
      </c>
      <c r="BE116" s="3">
        <f>Assumptions!$B$2</f>
        <v>0.33054499999999998</v>
      </c>
      <c r="BF116" s="44">
        <f>BE116*AZ116*V116*1000</f>
        <v>9.3915398203474236</v>
      </c>
      <c r="BG116">
        <f>1923.6+(-125.06*F116)+(4.3773*(F116^2))+(-0.085681*(F116^3))+(0.00070284*(F116^4))</f>
        <v>678.78121043558406</v>
      </c>
      <c r="BH116">
        <f>1909.4+(-120.78*F116)+(4.1555*(F116^2))+(-0.080578*(F116^3))+(0.00065777*(F116^4))</f>
        <v>694.70033218355206</v>
      </c>
      <c r="BI116">
        <f>2141.2+(-152.56*F116)+(5.8963*(F116^2))+(-0.12411*(F116^3))+(0.0010655*(F116^4))</f>
        <v>708.19803361280003</v>
      </c>
      <c r="BJ116" s="25">
        <f>VLOOKUP(E116,Wind!$C$2:$E$109,3, FALSE)</f>
        <v>5.3611111111111116</v>
      </c>
      <c r="BK116" s="44">
        <v>1.66</v>
      </c>
      <c r="BL116">
        <f>BK116/(1-(((1.3*10^-3)^0.5)/0.41)*LN(10/1.5))</f>
        <v>1.9923982880693825</v>
      </c>
      <c r="BM116">
        <f>BK116*1.22</f>
        <v>2.0251999999999999</v>
      </c>
      <c r="BN116">
        <f>2.07+0.215*(BM116^1.7)*(24/100)</f>
        <v>2.241255750541113</v>
      </c>
      <c r="BO116">
        <f>BN116*((600/BG116)^0.67)</f>
        <v>2.0634491959620469</v>
      </c>
      <c r="BP116">
        <f>BN116*((600/BH116)^0.67)</f>
        <v>2.0316478141201446</v>
      </c>
      <c r="BQ116">
        <f>BN116*((600/BI116)^0.67)</f>
        <v>2.0056220448348636</v>
      </c>
      <c r="BR116" s="39">
        <f>BO116*(AM116-BB116)</f>
        <v>37.98030031531647</v>
      </c>
      <c r="BS116" s="39">
        <f>BP116*(AD116-BD116)</f>
        <v>0.60928564913709304</v>
      </c>
      <c r="BT116" s="39">
        <f>BQ116*(AU116-BF116)</f>
        <v>-1.5487799927266457</v>
      </c>
      <c r="BU116">
        <f>(2.51+1.48*BM116)+(0.39*BM116*LOG10(0.0015))</f>
        <v>3.2768938069574309</v>
      </c>
      <c r="BV116">
        <f>BU116*((600/$BG116)^0.67)</f>
        <v>3.0169265107682706</v>
      </c>
      <c r="BW116">
        <f>BU116*((600/$BH116)^0.67)</f>
        <v>2.9704303662808513</v>
      </c>
      <c r="BX116">
        <f>BU116*((600/$BI116)^0.67)</f>
        <v>2.9323786257904372</v>
      </c>
      <c r="BY116" s="39">
        <f>BV116*($AM116-$BB116)</f>
        <v>55.530213747179793</v>
      </c>
      <c r="BZ116" s="39">
        <f>BW116*($AD116-$BD116)</f>
        <v>0.89082398108441729</v>
      </c>
      <c r="CA116" s="39">
        <f>BX116*($AU116-$BF116)</f>
        <v>-2.2644392837721457</v>
      </c>
      <c r="CB116" s="42">
        <f>AVERAGE(0.72,0.69,0.4,0.22)</f>
        <v>0.50750000000000006</v>
      </c>
      <c r="CC116">
        <f>CB116*((600/$BG116)^0.67)</f>
        <v>0.46723827331972723</v>
      </c>
      <c r="CD116">
        <f>CB116*((600/$BH116)^0.67)</f>
        <v>0.46003730962744493</v>
      </c>
      <c r="CE116">
        <f>CB116*((600/$BI116)^0.67)</f>
        <v>0.45414414999624658</v>
      </c>
      <c r="CF116" s="39">
        <f>CC116*($AM116-$BB116)</f>
        <v>8.6000905543106754</v>
      </c>
      <c r="CG116" s="39">
        <f>CD116*($AD116-$BD116)</f>
        <v>0.13796393689672437</v>
      </c>
      <c r="CH116" s="39">
        <f>CE116*($AU116-$BF116)</f>
        <v>-0.35069886429471742</v>
      </c>
      <c r="CI116">
        <v>0.86263901889527161</v>
      </c>
      <c r="CJ116">
        <f>((BG116/BH116)^0.67)*CI116</f>
        <v>0.84934423417980753</v>
      </c>
      <c r="CK116">
        <f>((BH116/BH116)^0.67)*CI116</f>
        <v>0.86263901889527161</v>
      </c>
      <c r="CL116">
        <f>((BI116/BH116)^0.67)*CI116</f>
        <v>0.87383297447631803</v>
      </c>
      <c r="CM116" s="39">
        <f>CJ116*($AM116-$BB116)</f>
        <v>15.633217017582872</v>
      </c>
      <c r="CN116" s="39">
        <f>CK116*($AD116-$BD116)</f>
        <v>0.25870309359017124</v>
      </c>
      <c r="CO116" s="39">
        <f>CL116*($AU116-$BF116)</f>
        <v>-0.67479066224821405</v>
      </c>
      <c r="CP116" s="27">
        <f>VLOOKUP(A116,Water!$A$2:$E$109, 5, FALSE)/1000</f>
        <v>2.0999999999999998E-4</v>
      </c>
      <c r="CQ116">
        <f>0.64*CP116</f>
        <v>1.3439999999999999E-4</v>
      </c>
      <c r="CR116" s="19">
        <f>CQ116*1000*(2.5*10^-5)</f>
        <v>3.36E-6</v>
      </c>
      <c r="CS116" s="18">
        <f>(-0.0000009*F116^3)+(0.0002*F116^2)-(0.0134*F116)+6.579</f>
        <v>6.4002054016000001</v>
      </c>
      <c r="CT116" s="18">
        <f>CS116-(SQRT(CP116))/(1+1.4*SQRT(CP116))</f>
        <v>6.3860021788073089</v>
      </c>
      <c r="CU116" s="18">
        <f>10^(-CT116)</f>
        <v>4.1114765841708813E-7</v>
      </c>
      <c r="CV116" s="18">
        <f>(0.000001*F116^3)+(0.00006*F116^2)-(0.014*F116)+10.625</f>
        <v>10.402637375999999</v>
      </c>
      <c r="CW116" s="18">
        <f>CV116-(2*SQRT(CR116))/(1+1.4*SQRT(CR116))</f>
        <v>10.398980699362625</v>
      </c>
      <c r="CX116" s="18">
        <f>10^(-CW116)</f>
        <v>3.9904263596548865E-11</v>
      </c>
      <c r="CY116">
        <f>EXP(1246.98+-61900/H116-183*LN(H116))</f>
        <v>1.8712711178790781E-2</v>
      </c>
      <c r="CZ116">
        <f>12.225*(F116^2)+15.258*F116+1125.7</f>
        <v>5181.0568000000003</v>
      </c>
      <c r="DA116" s="15">
        <f>10^(-4470.99/H116+6.0875-0.01706*H116)</f>
        <v>5.6216957653329322E-15</v>
      </c>
      <c r="DB116">
        <f>(10^-I116)</f>
        <v>6.456542290346555E-9</v>
      </c>
      <c r="DC116">
        <f>DB116^2</f>
        <v>4.1686938347033538E-17</v>
      </c>
      <c r="DD116" s="20">
        <f>((14.6836*10^-9)*((H116/217.2056)-1)^1.997)*100*100</f>
        <v>1.6888873849530566E-5</v>
      </c>
      <c r="DE116">
        <f>CY116+CZ116*DA116/DB116</f>
        <v>2.3223844810805763E-2</v>
      </c>
      <c r="DF116">
        <f>1+DC116*(CU116*CX116+CU116*DB116)^-1</f>
        <v>1.0156072471929312</v>
      </c>
      <c r="DG116">
        <f>(DE116*DF116/DD116)^0.5</f>
        <v>37.370560368949725</v>
      </c>
      <c r="DH116">
        <f>DD116/(BO116/60/60)</f>
        <v>2.9465201264605466E-2</v>
      </c>
      <c r="DI116" s="16">
        <f>DF116/((DF116-1)+TANH(DG116*DH116)/(DG116*DH116))</f>
        <v>1.3669839928476959</v>
      </c>
      <c r="DJ116">
        <f>$DI116*BR116</f>
        <v>51.918462574585909</v>
      </c>
      <c r="DK116">
        <f>$DI116*BY116</f>
        <v>75.908913311805847</v>
      </c>
      <c r="DL116">
        <f>$DI116*CF116</f>
        <v>11.756186124783362</v>
      </c>
      <c r="DM116">
        <f>$DI116*CM116</f>
        <v>21.370357419749983</v>
      </c>
    </row>
    <row r="117" spans="1:117" ht="15.75" x14ac:dyDescent="0.25">
      <c r="A117" s="52" t="s">
        <v>333</v>
      </c>
      <c r="B117" s="55" t="s">
        <v>342</v>
      </c>
      <c r="C117" t="s">
        <v>271</v>
      </c>
      <c r="D117" s="57">
        <v>43235</v>
      </c>
      <c r="E117" s="42" t="str">
        <f>A117&amp;D117</f>
        <v>61C43235</v>
      </c>
      <c r="F117" s="3">
        <f>VLOOKUP($E117,Water!$C$2:$E$90, 2, FALSE)</f>
        <v>17.600000000000001</v>
      </c>
      <c r="G117" s="3">
        <f>VLOOKUP($E117,Water!$C$2:$E$90, 3, FALSE)</f>
        <v>0</v>
      </c>
      <c r="H117" s="1">
        <f>F117+273.15</f>
        <v>290.75</v>
      </c>
      <c r="I117" s="3">
        <f>VLOOKUP($E117,Water!$C$2:$F$90, 4, FALSE)</f>
        <v>8.19</v>
      </c>
      <c r="J117">
        <f>10^(I117*-1)</f>
        <v>6.456542290346555E-9</v>
      </c>
      <c r="K117" s="25">
        <f>VLOOKUP($E117,Atm!$D$2:$G$45, 2, FALSE)</f>
        <v>437.07427938659731</v>
      </c>
      <c r="L117" s="25">
        <f>VLOOKUP($E117,Atm!$D$2:$G$45, 3, FALSE)</f>
        <v>2.764880422108881</v>
      </c>
      <c r="M117" s="25">
        <f>VLOOKUP($E117,Atm!$D$2:$G$45, 4, FALSE)</f>
        <v>0.33154069582859014</v>
      </c>
      <c r="N117" s="21">
        <f>VLOOKUP($C117,Raw!$B$2:$F$353, 3, FALSE)</f>
        <v>910.34468732415996</v>
      </c>
      <c r="O117" s="21">
        <f>VLOOKUP($C117,Raw!$B$2:$F$353, 4, FALSE)</f>
        <v>94.607816955242157</v>
      </c>
      <c r="P117" s="21">
        <f>VLOOKUP($C117,Raw!$B$2:$F$353, 5, FALSE)</f>
        <v>0.3313215107997407</v>
      </c>
      <c r="Q117" s="14">
        <v>60</v>
      </c>
      <c r="R117" s="25">
        <v>1140</v>
      </c>
      <c r="S117">
        <f>EXP(24.4543-(100/H117*(67.4509))-(4.8489*LN(H117/100))-(0.000544*G117))</f>
        <v>1.9844393497523202E-2</v>
      </c>
      <c r="T117" s="8">
        <f>EXP(-58.0931+90.5069*(100/H117)+22.294*LN(H117/100)+G117*(0.027766-0.025888*(H117/100)+0.0050578*(H117/100)^2)*G117)</f>
        <v>4.1999988284046608E-2</v>
      </c>
      <c r="U117" s="9">
        <f>(EXP(-67.1962+99.1624*(100/H117)+27.9015*LN(H117/100)+G117*(-0.072909+0.041674*(H117/100)-0.0064603*(H117/100)^2)*G117))</f>
        <v>3.6465783390736792E-2</v>
      </c>
      <c r="V117" s="9">
        <f>(EXP(-64.8539+100.252*(100/H117)+25.2049*LN(H117/100)+(-0.062544+0.035337*(H117/100)-0.0054699*(H117/100)^2)*G117))</f>
        <v>3.1042753122091895E-2</v>
      </c>
      <c r="W117" s="9">
        <f>(EXP(-68.8862+101.4956*(100/H117)+28.7314*LN(H117/100)+G117*(-0.076146+0.04397*(H117/100)-0.0068672*(H117/100)^2)))</f>
        <v>3.6401052787297397E-2</v>
      </c>
      <c r="X117">
        <f>N117*(AZ117-S117)</f>
        <v>815.13971509936709</v>
      </c>
      <c r="Y117">
        <f>O117*(AZ117-S117)</f>
        <v>84.713614560380691</v>
      </c>
      <c r="Z117">
        <f>((Y117/10^6)*AZ117)/(0.082056*H117)</f>
        <v>3.2498934888084566E-6</v>
      </c>
      <c r="AA117">
        <f>(((L117/10^6)*AZ117)/(0.082056*H117))</f>
        <v>1.0606992663193534E-7</v>
      </c>
      <c r="AB117">
        <f>((Y117/10^6)*U117*1)/(0.082056*H117)</f>
        <v>1.2948179000064671E-7</v>
      </c>
      <c r="AC117">
        <f>(Z117*(Q117/1000))+(AB117*(R117/1000))</f>
        <v>3.4260284992924466E-7</v>
      </c>
      <c r="AD117" s="39">
        <f>((AC117-(AA117*(Q117/1000)))/(R117/1000))*1000000</f>
        <v>0.29494618800993733</v>
      </c>
      <c r="AE117" s="39">
        <f>(AD117/((U117*AZ117*1))*(0.0821*273.15))</f>
        <v>198.178081844178</v>
      </c>
      <c r="AF117" s="39">
        <f>L117*U117*AZ117*1/(0.0821*273.15)</f>
        <v>4.114940124637592E-3</v>
      </c>
      <c r="AG117" s="39">
        <f>AD117-AF117</f>
        <v>0.29083124788529974</v>
      </c>
      <c r="AH117" s="42">
        <f>P117*(AZ117-S117)</f>
        <v>0.29667149781852192</v>
      </c>
      <c r="AI117">
        <f>(((X117/10^6)*(Q117/1000))/(0.082056*H117))</f>
        <v>2.0499970578137573E-6</v>
      </c>
      <c r="AJ117">
        <f>(((K117/10^6)*AZ117)*(Q117/1000))/(0.082056*H117)</f>
        <v>1.0060566028793713E-6</v>
      </c>
      <c r="AK117">
        <f>(X117/10^6)*T117*(R117/1000)</f>
        <v>3.9028878671799335E-5</v>
      </c>
      <c r="AL117">
        <f>AI117+AK117</f>
        <v>4.1078875729613095E-5</v>
      </c>
      <c r="AM117" s="39">
        <f>((AL117-AJ117)/(R117/1000))*1000000</f>
        <v>35.151595725205027</v>
      </c>
      <c r="AN117" s="39">
        <f>AM117/(T117*AZ117)</f>
        <v>914.42879745476523</v>
      </c>
      <c r="AO117" s="39">
        <f>(K117*AZ117)*T117</f>
        <v>16.80159069098324</v>
      </c>
      <c r="AP117" s="39">
        <f>AM117-AO117</f>
        <v>18.350005034221788</v>
      </c>
      <c r="AQ117">
        <f>(((AH117/10^6)*(Q117/1000))/(0.082056*H117))</f>
        <v>7.4609994630311046E-10</v>
      </c>
      <c r="AR117">
        <f>(((M117/10^6)*AZ117)*(Q117/1000))/(0.082056*H117)</f>
        <v>7.6313963528049792E-10</v>
      </c>
      <c r="AS117">
        <f>(AH117/10^6)*V117*(R117/1000)</f>
        <v>1.0498830074261424E-8</v>
      </c>
      <c r="AT117">
        <f>AQ117+AS117</f>
        <v>1.1244930020564534E-8</v>
      </c>
      <c r="AU117" s="39">
        <f>((AT117-AR117)/(R117/1000))*1000000000</f>
        <v>9.1945529695474004</v>
      </c>
      <c r="AV117" s="39">
        <f>(AU117/1000)/(V117*AZ117)</f>
        <v>0.32361184315423741</v>
      </c>
      <c r="AW117" s="39">
        <f>(M117*AZ117)*V117*1000</f>
        <v>9.4198298172409132</v>
      </c>
      <c r="AX117" s="39">
        <f>AU117-AW117</f>
        <v>-0.22527684769351275</v>
      </c>
      <c r="AY117" s="26">
        <f>VLOOKUP($E117,Water!$C$2:$G$90, 5, FALSE)</f>
        <v>695.6</v>
      </c>
      <c r="AZ117">
        <f>AY117/760</f>
        <v>0.91526315789473689</v>
      </c>
      <c r="BA117" s="3">
        <f>Assumptions!$B$3</f>
        <v>406.07</v>
      </c>
      <c r="BB117" s="3">
        <f>BA117*AZ117*T117</f>
        <v>15.609753887743357</v>
      </c>
      <c r="BC117" s="3">
        <f>Assumptions!$B$4</f>
        <v>1.8474300000000001</v>
      </c>
      <c r="BD117" s="45">
        <f>BC117*AZ117*U117*1/(0.0821*273.15)</f>
        <v>2.7495090831670906E-3</v>
      </c>
      <c r="BE117" s="3">
        <f>Assumptions!$B$2</f>
        <v>0.33054499999999998</v>
      </c>
      <c r="BF117" s="44">
        <f>BE117*AZ117*V117*1000</f>
        <v>9.3915398203474236</v>
      </c>
      <c r="BG117">
        <f>1923.6+(-125.06*F117)+(4.3773*(F117^2))+(-0.085681*(F117^3))+(0.00070284*(F117^4))</f>
        <v>678.78121043558406</v>
      </c>
      <c r="BH117">
        <f>1909.4+(-120.78*F117)+(4.1555*(F117^2))+(-0.080578*(F117^3))+(0.00065777*(F117^4))</f>
        <v>694.70033218355206</v>
      </c>
      <c r="BI117">
        <f>2141.2+(-152.56*F117)+(5.8963*(F117^2))+(-0.12411*(F117^3))+(0.0010655*(F117^4))</f>
        <v>708.19803361280003</v>
      </c>
      <c r="BJ117" s="25">
        <f>VLOOKUP(E117,Wind!$C$2:$E$109,3, FALSE)</f>
        <v>5.3611111111111116</v>
      </c>
      <c r="BK117" s="44">
        <v>1.66</v>
      </c>
      <c r="BL117">
        <f>BK117/(1-(((1.3*10^-3)^0.5)/0.41)*LN(10/1.5))</f>
        <v>1.9923982880693825</v>
      </c>
      <c r="BM117">
        <f>BK117*1.22</f>
        <v>2.0251999999999999</v>
      </c>
      <c r="BN117">
        <f>2.07+0.215*(BM117^1.7)*(24/100)</f>
        <v>2.241255750541113</v>
      </c>
      <c r="BO117">
        <f>BN117*((600/BG117)^0.67)</f>
        <v>2.0634491959620469</v>
      </c>
      <c r="BP117">
        <f>BN117*((600/BH117)^0.67)</f>
        <v>2.0316478141201446</v>
      </c>
      <c r="BQ117">
        <f>BN117*((600/BI117)^0.67)</f>
        <v>2.0056220448348636</v>
      </c>
      <c r="BR117" s="39">
        <f>BO117*(AM117-BB117)</f>
        <v>40.32359782712777</v>
      </c>
      <c r="BS117" s="39">
        <f>BP117*(AD117-BD117)</f>
        <v>0.59364074403473854</v>
      </c>
      <c r="BT117" s="39">
        <f>BQ117*(AU117-BF117)</f>
        <v>-0.39508117050712271</v>
      </c>
      <c r="BU117">
        <f>(2.51+1.48*BM117)+(0.39*BM117*LOG10(0.0015))</f>
        <v>3.2768938069574309</v>
      </c>
      <c r="BV117">
        <f>BU117*((600/$BG117)^0.67)</f>
        <v>3.0169265107682706</v>
      </c>
      <c r="BW117">
        <f>BU117*((600/$BH117)^0.67)</f>
        <v>2.9704303662808513</v>
      </c>
      <c r="BX117">
        <f>BU117*((600/$BI117)^0.67)</f>
        <v>2.9323786257904372</v>
      </c>
      <c r="BY117" s="39">
        <f>BV117*($AM117-$BB117)</f>
        <v>58.95630070867864</v>
      </c>
      <c r="BZ117" s="39">
        <f>BW117*($AD117-$BD117)</f>
        <v>0.86794988801049444</v>
      </c>
      <c r="CA117" s="39">
        <f>BX117*($AU117-$BF117)</f>
        <v>-0.57764003084775795</v>
      </c>
      <c r="CB117" s="42">
        <f>AVERAGE(0.72,0.69,0.4,0.22)</f>
        <v>0.50750000000000006</v>
      </c>
      <c r="CC117">
        <f>CB117*((600/$BG117)^0.67)</f>
        <v>0.46723827331972723</v>
      </c>
      <c r="CD117">
        <f>CB117*((600/$BH117)^0.67)</f>
        <v>0.46003730962744493</v>
      </c>
      <c r="CE117">
        <f>CB117*((600/$BI117)^0.67)</f>
        <v>0.45414414999624658</v>
      </c>
      <c r="CF117" s="39">
        <f>CC117*($AM117-$BB117)</f>
        <v>9.1306964376227953</v>
      </c>
      <c r="CG117" s="39">
        <f>CD117*($AD117-$BD117)</f>
        <v>0.13442137405554572</v>
      </c>
      <c r="CH117" s="39">
        <f>CE117*($AU117-$BF117)</f>
        <v>-8.9460425917013989E-2</v>
      </c>
      <c r="CI117">
        <v>0.86263901889527161</v>
      </c>
      <c r="CJ117">
        <f>((BG117/BH117)^0.67)*CI117</f>
        <v>0.84934423417980753</v>
      </c>
      <c r="CK117">
        <f>((BH117/BH117)^0.67)*CI117</f>
        <v>0.86263901889527161</v>
      </c>
      <c r="CL117">
        <f>((BI117/BH117)^0.67)*CI117</f>
        <v>0.87383297447631803</v>
      </c>
      <c r="CM117" s="39">
        <f>CJ117*($AM117-$BB117)</f>
        <v>16.597750689901805</v>
      </c>
      <c r="CN117" s="39">
        <f>CK117*($AD117-$BD117)</f>
        <v>0.25206025643384578</v>
      </c>
      <c r="CO117" s="39">
        <f>CL117*($AU117-$BF117)</f>
        <v>-0.17213360576730694</v>
      </c>
      <c r="CP117" s="27">
        <f>VLOOKUP(A117,Water!$A$2:$E$109, 5, FALSE)/1000</f>
        <v>2.0999999999999998E-4</v>
      </c>
      <c r="CQ117">
        <f>0.64*CP117</f>
        <v>1.3439999999999999E-4</v>
      </c>
      <c r="CR117" s="19">
        <f>CQ117*1000*(2.5*10^-5)</f>
        <v>3.36E-6</v>
      </c>
      <c r="CS117" s="18">
        <f>(-0.0000009*F117^3)+(0.0002*F117^2)-(0.0134*F117)+6.579</f>
        <v>6.4002054016000001</v>
      </c>
      <c r="CT117" s="18">
        <f>CS117-(SQRT(CP117))/(1+1.4*SQRT(CP117))</f>
        <v>6.3860021788073089</v>
      </c>
      <c r="CU117" s="18">
        <f>10^(-CT117)</f>
        <v>4.1114765841708813E-7</v>
      </c>
      <c r="CV117" s="18">
        <f>(0.000001*F117^3)+(0.00006*F117^2)-(0.014*F117)+10.625</f>
        <v>10.402637375999999</v>
      </c>
      <c r="CW117" s="18">
        <f>CV117-(2*SQRT(CR117))/(1+1.4*SQRT(CR117))</f>
        <v>10.398980699362625</v>
      </c>
      <c r="CX117" s="18">
        <f>10^(-CW117)</f>
        <v>3.9904263596548865E-11</v>
      </c>
      <c r="CY117">
        <f>EXP(1246.98+-61900/H117-183*LN(H117))</f>
        <v>1.8712711178790781E-2</v>
      </c>
      <c r="CZ117">
        <f>12.225*(F117^2)+15.258*F117+1125.7</f>
        <v>5181.0568000000003</v>
      </c>
      <c r="DA117" s="15">
        <f>10^(-4470.99/H117+6.0875-0.01706*H117)</f>
        <v>5.6216957653329322E-15</v>
      </c>
      <c r="DB117">
        <f>(10^-I117)</f>
        <v>6.456542290346555E-9</v>
      </c>
      <c r="DC117">
        <f>DB117^2</f>
        <v>4.1686938347033538E-17</v>
      </c>
      <c r="DD117" s="20">
        <f>((14.6836*10^-9)*((H117/217.2056)-1)^1.997)*100*100</f>
        <v>1.6888873849530566E-5</v>
      </c>
      <c r="DE117">
        <f>CY117+CZ117*DA117/DB117</f>
        <v>2.3223844810805763E-2</v>
      </c>
      <c r="DF117">
        <f>1+DC117*(CU117*CX117+CU117*DB117)^-1</f>
        <v>1.0156072471929312</v>
      </c>
      <c r="DG117">
        <f>(DE117*DF117/DD117)^0.5</f>
        <v>37.370560368949725</v>
      </c>
      <c r="DH117">
        <f>DD117/(BO117/60/60)</f>
        <v>2.9465201264605466E-2</v>
      </c>
      <c r="DI117" s="16">
        <f>DF117/((DF117-1)+TANH(DG117*DH117)/(DG117*DH117))</f>
        <v>1.3669839928476959</v>
      </c>
      <c r="DJ117">
        <f>$DI117*BR117</f>
        <v>55.121712763711791</v>
      </c>
      <c r="DK117">
        <f>$DI117*BY117</f>
        <v>80.59231934627897</v>
      </c>
      <c r="DL117">
        <f>$DI117*CF117</f>
        <v>12.481515873781841</v>
      </c>
      <c r="DM117">
        <f>$DI117*CM117</f>
        <v>22.688859510372566</v>
      </c>
    </row>
    <row r="118" spans="1:117" ht="15.75" x14ac:dyDescent="0.25">
      <c r="A118" s="51" t="s">
        <v>336</v>
      </c>
      <c r="B118" s="54" t="s">
        <v>339</v>
      </c>
      <c r="C118" s="48" t="s">
        <v>273</v>
      </c>
      <c r="D118" s="57">
        <v>43236</v>
      </c>
      <c r="E118" s="42" t="str">
        <f>A118&amp;D118</f>
        <v>4D43236</v>
      </c>
      <c r="F118" s="3">
        <f>VLOOKUP($E118,Water!$C$2:$E$90, 2, FALSE)</f>
        <v>19.399999999999999</v>
      </c>
      <c r="G118" s="3">
        <f>VLOOKUP($E118,Water!$C$2:$E$90, 3, FALSE)</f>
        <v>0.09</v>
      </c>
      <c r="H118" s="1">
        <f>F118+273.15</f>
        <v>292.54999999999995</v>
      </c>
      <c r="I118" s="3">
        <f>VLOOKUP($E118,Water!$C$2:$F$90, 4, FALSE)</f>
        <v>9.66</v>
      </c>
      <c r="J118">
        <f>10^(I118*-1)</f>
        <v>2.1877616239495448E-10</v>
      </c>
      <c r="K118" s="25">
        <f>VLOOKUP($E118,Atm!$D$2:$G$45, 2, FALSE)</f>
        <v>432.20843332408691</v>
      </c>
      <c r="L118" s="25">
        <f>VLOOKUP($E118,Atm!$D$2:$G$45, 3, FALSE)</f>
        <v>2.352566138509733</v>
      </c>
      <c r="M118" s="25">
        <f>VLOOKUP($E118,Atm!$D$2:$G$45, 4, FALSE)</f>
        <v>0.32523504728685282</v>
      </c>
      <c r="N118" s="21">
        <f>VLOOKUP($C118,Raw!$B$2:$F$353, 3, FALSE)</f>
        <v>104.958</v>
      </c>
      <c r="O118" s="21">
        <f>VLOOKUP($C118,Raw!$B$2:$F$353, 4, FALSE)</f>
        <v>629.39599999999996</v>
      </c>
      <c r="P118" s="21">
        <f>VLOOKUP($C118,Raw!$B$2:$F$353, 5, FALSE)</f>
        <v>0.32100000000000001</v>
      </c>
      <c r="Q118" s="14">
        <v>60</v>
      </c>
      <c r="R118" s="25">
        <v>1140</v>
      </c>
      <c r="S118">
        <f>EXP(24.4543-(100/H118*(67.4509))-(4.8489*LN(H118/100))-(0.000544*G118))</f>
        <v>2.2213148503879773E-2</v>
      </c>
      <c r="T118" s="8">
        <f>EXP(-58.0931+90.5069*(100/H118)+22.294*LN(H118/100)+G118*(0.027766-0.025888*(H118/100)+0.0050578*(H118/100)^2)*G118)</f>
        <v>3.9793222926176534E-2</v>
      </c>
      <c r="U118" s="9">
        <f>(EXP(-67.1962+99.1624*(100/H118)+27.9015*LN(H118/100)+G118*(-0.072909+0.041674*(H118/100)-0.0064603*(H118/100)^2)*G118))</f>
        <v>3.5116828814006837E-2</v>
      </c>
      <c r="V118" s="9">
        <f>(EXP(-64.8539+100.252*(100/H118)+25.2049*LN(H118/100)+(-0.062544+0.035337*(H118/100)-0.0054699*(H118/100)^2)*G118))</f>
        <v>2.9318991936417051E-2</v>
      </c>
      <c r="W118" s="9">
        <f>(EXP(-68.8862+101.4956*(100/H118)+28.7314*LN(H118/100)+G118*(-0.076146+0.04397*(H118/100)-0.0068672*(H118/100)^2)))</f>
        <v>3.5042917567175695E-2</v>
      </c>
      <c r="X118">
        <f>N118*(AZ118-S118)</f>
        <v>95.555697622487671</v>
      </c>
      <c r="Y118">
        <f>O118*(AZ118-S118)</f>
        <v>573.01371844740993</v>
      </c>
      <c r="Z118">
        <f>((Y118/10^6)*AZ118)/(0.082056*H118)</f>
        <v>2.2262026281517271E-5</v>
      </c>
      <c r="AA118">
        <f>(((L118/10^6)*AZ118)/(0.082056*H118))</f>
        <v>9.1399014575805409E-8</v>
      </c>
      <c r="AB118">
        <f>((Y118/10^6)*U118*1)/(0.082056*H118)</f>
        <v>8.3824286420080698E-7</v>
      </c>
      <c r="AC118">
        <f>(Z118*(Q118/1000))+(AB118*(R118/1000))</f>
        <v>2.2913184420799559E-6</v>
      </c>
      <c r="AD118" s="39">
        <f>((AC118-(AA118*(Q118/1000)))/(R118/1000))*1000000</f>
        <v>2.0051179835135158</v>
      </c>
      <c r="AE118" s="39">
        <f>(AD118/((U118*AZ118*1))*(0.0821*273.15))</f>
        <v>1372.9631687156045</v>
      </c>
      <c r="AF118" s="39">
        <f>L118*U118*AZ118*1/(0.0821*273.15)</f>
        <v>3.4357605354728409E-3</v>
      </c>
      <c r="AG118" s="39">
        <f>AD118-AF118</f>
        <v>2.0016822229780429</v>
      </c>
      <c r="AH118" s="42">
        <f>P118*(AZ118-S118)</f>
        <v>0.29224431617235985</v>
      </c>
      <c r="AI118">
        <f>(((X118/10^6)*(Q118/1000))/(0.082056*H118))</f>
        <v>2.3883468227305395E-7</v>
      </c>
      <c r="AJ118">
        <f>(((K118/10^6)*AZ118)*(Q118/1000))/(0.082056*H118)</f>
        <v>1.0074979211134506E-6</v>
      </c>
      <c r="AK118">
        <f>(X118/10^6)*T118*(R118/1000)</f>
        <v>4.334814862188084E-6</v>
      </c>
      <c r="AL118">
        <f>AI118+AK118</f>
        <v>4.5736495444611382E-6</v>
      </c>
      <c r="AM118" s="39">
        <f>((AL118-AJ118)/(R118/1000))*1000000</f>
        <v>3.1282031783751649</v>
      </c>
      <c r="AN118" s="39">
        <f>AM118/(T118*AZ118)</f>
        <v>84.289935493286492</v>
      </c>
      <c r="AO118" s="39">
        <f>(K118*AZ118)*T118</f>
        <v>16.040299318447644</v>
      </c>
      <c r="AP118" s="39">
        <f>AM118-AO118</f>
        <v>-12.91209614007248</v>
      </c>
      <c r="AQ118">
        <f>(((AH118/10^6)*(Q118/1000))/(0.082056*H118))</f>
        <v>7.3044392051725754E-10</v>
      </c>
      <c r="AR118">
        <f>(((M118/10^6)*AZ118)*(Q118/1000))/(0.082056*H118)</f>
        <v>7.5813799257599518E-10</v>
      </c>
      <c r="AS118">
        <f>(AH118/10^6)*V118*(R118/1000)</f>
        <v>9.7678719742260918E-9</v>
      </c>
      <c r="AT118">
        <f>AQ118+AS118</f>
        <v>1.0498315894743349E-8</v>
      </c>
      <c r="AU118" s="39">
        <f>((AT118-AR118)/(R118/1000))*1000000000</f>
        <v>8.5440157036555746</v>
      </c>
      <c r="AV118" s="39">
        <f>(AU118/1000)/(V118*AZ118)</f>
        <v>0.31246608589992964</v>
      </c>
      <c r="AW118" s="39">
        <f>(M118*AZ118)*V118*1000</f>
        <v>8.8931678565845278</v>
      </c>
      <c r="AX118" s="39">
        <f>AU118-AW118</f>
        <v>-0.34915215292895319</v>
      </c>
      <c r="AY118" s="26">
        <f>VLOOKUP($E118,Water!$C$2:$G$90, 5, FALSE)</f>
        <v>708.8</v>
      </c>
      <c r="AZ118">
        <f>AY118/760</f>
        <v>0.93263157894736837</v>
      </c>
      <c r="BA118" s="3">
        <f>Assumptions!$B$3</f>
        <v>406.07</v>
      </c>
      <c r="BB118" s="3">
        <f>BA118*AZ118*T118</f>
        <v>15.070238898735155</v>
      </c>
      <c r="BC118" s="3">
        <f>Assumptions!$B$4</f>
        <v>1.8474300000000001</v>
      </c>
      <c r="BD118" s="45">
        <f>BC118*AZ118*U118*1/(0.0821*273.15)</f>
        <v>2.6980440558705813E-3</v>
      </c>
      <c r="BE118" s="3">
        <f>Assumptions!$B$2</f>
        <v>0.33054499999999998</v>
      </c>
      <c r="BF118" s="44">
        <f>BE118*AZ118*V118*1000</f>
        <v>9.0383622357957414</v>
      </c>
      <c r="BG118">
        <f>1923.6+(-125.06*F118)+(4.3773*(F118^2))+(-0.085681*(F118^3))+(0.00070284*(F118^4))</f>
        <v>618.84181726886413</v>
      </c>
      <c r="BH118">
        <f>1909.4+(-120.78*F118)+(4.1555*(F118^2))+(-0.080578*(F118^3))+(0.00065777*(F118^4))</f>
        <v>635.07210830939198</v>
      </c>
      <c r="BI118">
        <f>2141.2+(-152.56*F118)+(5.8963*(F118^2))+(-0.12411*(F118^3))+(0.0010655*(F118^4))</f>
        <v>645.41741800879993</v>
      </c>
      <c r="BJ118" s="25">
        <f>VLOOKUP(E118,Wind!$C$2:$E$109,3, FALSE)</f>
        <v>1.0277777777777777</v>
      </c>
      <c r="BK118" s="44">
        <v>1.66</v>
      </c>
      <c r="BL118">
        <f>BK118/(1-(((1.3*10^-3)^0.5)/0.41)*LN(10/1.5))</f>
        <v>1.9923982880693825</v>
      </c>
      <c r="BM118">
        <f>BK118*1.22</f>
        <v>2.0251999999999999</v>
      </c>
      <c r="BN118">
        <f>2.07+0.215*(BM118^1.7)*(24/100)</f>
        <v>2.241255750541113</v>
      </c>
      <c r="BO118">
        <f>BN118*((600/BG118)^0.67)</f>
        <v>2.1953025772703625</v>
      </c>
      <c r="BP118">
        <f>BN118*((600/BH118)^0.67)</f>
        <v>2.1575522315618625</v>
      </c>
      <c r="BQ118">
        <f>BN118*((600/BI118)^0.67)</f>
        <v>2.1343198226671043</v>
      </c>
      <c r="BR118" s="39">
        <f>BO118*(AM118-BB118)</f>
        <v>-26.216381794761016</v>
      </c>
      <c r="BS118" s="39">
        <f>BP118*(AD118-BD118)</f>
        <v>4.320325608900812</v>
      </c>
      <c r="BT118" s="39">
        <f>BQ118*(AU118-BF118)</f>
        <v>-1.0550936028134987</v>
      </c>
      <c r="BU118">
        <f>(2.51+1.48*BM118)+(0.39*BM118*LOG10(0.0015))</f>
        <v>3.2768938069574309</v>
      </c>
      <c r="BV118">
        <f>BU118*((600/$BG118)^0.67)</f>
        <v>3.2097066201026472</v>
      </c>
      <c r="BW118">
        <f>BU118*((600/$BH118)^0.67)</f>
        <v>3.1545126182432792</v>
      </c>
      <c r="BX118">
        <f>BU118*((600/$BI118)^0.67)</f>
        <v>3.1205449923667783</v>
      </c>
      <c r="BY118" s="39">
        <f>BV118*($AM118-$BB118)</f>
        <v>-38.330431109141749</v>
      </c>
      <c r="BZ118" s="39">
        <f>BW118*($AD118-$BD118)</f>
        <v>6.3166589660410848</v>
      </c>
      <c r="CA118" s="39">
        <f>BX118*($AU118-$BF118)</f>
        <v>-1.5426305953638801</v>
      </c>
      <c r="CB118" s="42">
        <f>AVERAGE(0.72,0.69,0.4,0.22)</f>
        <v>0.50750000000000006</v>
      </c>
      <c r="CC118">
        <f>CB118*((600/$BG118)^0.67)</f>
        <v>0.49709456749669229</v>
      </c>
      <c r="CD118">
        <f>CB118*((600/$BH118)^0.67)</f>
        <v>0.48854654684245047</v>
      </c>
      <c r="CE118">
        <f>CB118*((600/$BI118)^0.67)</f>
        <v>0.48328590333434424</v>
      </c>
      <c r="CF118" s="39">
        <f>CC118*($AM118-$BB118)</f>
        <v>-5.9363210814423999</v>
      </c>
      <c r="CG118" s="39">
        <f>CD118*($AD118-$BD118)</f>
        <v>0.97827534675050132</v>
      </c>
      <c r="CH118" s="39">
        <f>CE118*($AU118-$BF118)</f>
        <v>-0.23891071034556094</v>
      </c>
      <c r="CI118">
        <v>0.86263901889527161</v>
      </c>
      <c r="CJ118">
        <f>((BG118/BH118)^0.67)*CI118</f>
        <v>0.84780510874452197</v>
      </c>
      <c r="CK118">
        <f>((BH118/BH118)^0.67)*CI118</f>
        <v>0.86263901889527161</v>
      </c>
      <c r="CL118">
        <f>((BI118/BH118)^0.67)*CI118</f>
        <v>0.87202898107559024</v>
      </c>
      <c r="CM118" s="39">
        <f>CJ118*($AM118-$BB118)</f>
        <v>-10.124518892530768</v>
      </c>
      <c r="CN118" s="39">
        <f>CK118*($AD118-$BD118)</f>
        <v>1.7273655719900722</v>
      </c>
      <c r="CO118" s="39">
        <f>CL118*($AU118-$BF118)</f>
        <v>-0.43108450272044113</v>
      </c>
      <c r="CP118" s="27">
        <f>VLOOKUP(A118,Water!$A$2:$E$109, 5, FALSE)/1000</f>
        <v>4.0000000000000003E-5</v>
      </c>
      <c r="CQ118">
        <f>0.64*CP118</f>
        <v>2.5600000000000002E-5</v>
      </c>
      <c r="CR118" s="19">
        <f>CQ118*1000*(2.5*10^-5)</f>
        <v>6.4000000000000001E-7</v>
      </c>
      <c r="CS118" s="18">
        <f>(-0.0000009*F118^3)+(0.0002*F118^2)-(0.0134*F118)+6.579</f>
        <v>6.3877407543999993</v>
      </c>
      <c r="CT118" s="18">
        <f>CS118-(SQRT(CP118))/(1+1.4*SQRT(CP118))</f>
        <v>6.3814717075863925</v>
      </c>
      <c r="CU118" s="18">
        <f>10^(-CT118)</f>
        <v>4.1545911573096895E-7</v>
      </c>
      <c r="CV118" s="18">
        <f>(0.000001*F118^3)+(0.00006*F118^2)-(0.014*F118)+10.625</f>
        <v>10.383282983999999</v>
      </c>
      <c r="CW118" s="18">
        <f>CV118-(2*SQRT(CR118))/(1+1.4*SQRT(CR118))</f>
        <v>10.381684773995204</v>
      </c>
      <c r="CX118" s="18">
        <f>10^(-CW118)</f>
        <v>4.1525534001004848E-11</v>
      </c>
      <c r="CY118">
        <f>EXP(1246.98+-61900/H118-183*LN(H118))</f>
        <v>2.241385119151923E-2</v>
      </c>
      <c r="CZ118">
        <f>12.225*(F118^2)+15.258*F118+1125.7</f>
        <v>6022.7061999999987</v>
      </c>
      <c r="DA118" s="15">
        <f>10^(-4470.99/H118+6.0875-0.01706*H118)</f>
        <v>6.5128871181840656E-15</v>
      </c>
      <c r="DB118">
        <f>(10^-I118)</f>
        <v>2.1877616239495448E-10</v>
      </c>
      <c r="DC118">
        <f>DB118^2</f>
        <v>4.7863009232263499E-20</v>
      </c>
      <c r="DD118" s="20">
        <f>((14.6836*10^-9)*((H118/217.2056)-1)^1.997)*100*100</f>
        <v>1.7724415682261512E-5</v>
      </c>
      <c r="DE118">
        <f>CY118+CZ118*DA118/DB118</f>
        <v>0.20170763346279985</v>
      </c>
      <c r="DF118">
        <f>1+DC118*(CU118*CX118+CU118*DB118)^-1</f>
        <v>1.0004425829805086</v>
      </c>
      <c r="DG118">
        <f>(DE118*DF118/DD118)^0.5</f>
        <v>106.70168753634455</v>
      </c>
      <c r="DH118">
        <f>DD118/(BO118/60/60)</f>
        <v>2.9065650046054305E-2</v>
      </c>
      <c r="DI118" s="16">
        <f>DF118/((DF118-1)+TANH(DG118*DH118)/(DG118*DH118))</f>
        <v>3.111023936621057</v>
      </c>
      <c r="DJ118">
        <f>$DI118*BR118</f>
        <v>-81.559791295098023</v>
      </c>
      <c r="DK118">
        <f>$DI118*BY118</f>
        <v>-119.24688868154439</v>
      </c>
      <c r="DL118">
        <f>$DI118*CF118</f>
        <v>-18.468036979835507</v>
      </c>
      <c r="DM118">
        <f>$DI118*CM118</f>
        <v>-31.497620621435335</v>
      </c>
    </row>
    <row r="119" spans="1:117" ht="15.75" x14ac:dyDescent="0.25">
      <c r="A119" s="52" t="s">
        <v>336</v>
      </c>
      <c r="B119" s="55" t="s">
        <v>340</v>
      </c>
      <c r="C119" t="s">
        <v>274</v>
      </c>
      <c r="D119" s="57">
        <v>43236</v>
      </c>
      <c r="E119" s="42" t="str">
        <f>A119&amp;D119</f>
        <v>4D43236</v>
      </c>
      <c r="F119" s="3">
        <f>VLOOKUP($E119,Water!$C$2:$E$90, 2, FALSE)</f>
        <v>19.399999999999999</v>
      </c>
      <c r="G119" s="3">
        <f>VLOOKUP($E119,Water!$C$2:$E$90, 3, FALSE)</f>
        <v>0.09</v>
      </c>
      <c r="H119" s="1">
        <f>F119+273.15</f>
        <v>292.54999999999995</v>
      </c>
      <c r="I119" s="3">
        <f>VLOOKUP($E119,Water!$C$2:$F$90, 4, FALSE)</f>
        <v>9.66</v>
      </c>
      <c r="J119">
        <f>10^(I119*-1)</f>
        <v>2.1877616239495448E-10</v>
      </c>
      <c r="K119" s="25">
        <f>VLOOKUP($E119,Atm!$D$2:$G$45, 2, FALSE)</f>
        <v>432.20843332408691</v>
      </c>
      <c r="L119" s="25">
        <f>VLOOKUP($E119,Atm!$D$2:$G$45, 3, FALSE)</f>
        <v>2.352566138509733</v>
      </c>
      <c r="M119" s="25">
        <f>VLOOKUP($E119,Atm!$D$2:$G$45, 4, FALSE)</f>
        <v>0.32523504728685282</v>
      </c>
      <c r="N119" s="21">
        <f>VLOOKUP($C119,Raw!$B$2:$F$353, 3, FALSE)</f>
        <v>67.942849381402397</v>
      </c>
      <c r="O119" s="21">
        <f>VLOOKUP($C119,Raw!$B$2:$F$353, 4, FALSE)</f>
        <v>608.86295957806703</v>
      </c>
      <c r="P119" s="21">
        <f>VLOOKUP($C119,Raw!$B$2:$F$353, 5, FALSE)</f>
        <v>0.34953887875182926</v>
      </c>
      <c r="Q119" s="14">
        <v>60</v>
      </c>
      <c r="R119" s="25">
        <v>1140</v>
      </c>
      <c r="S119">
        <f>EXP(24.4543-(100/H119*(67.4509))-(4.8489*LN(H119/100))-(0.000544*G119))</f>
        <v>2.2213148503879773E-2</v>
      </c>
      <c r="T119" s="8">
        <f>EXP(-58.0931+90.5069*(100/H119)+22.294*LN(H119/100)+G119*(0.027766-0.025888*(H119/100)+0.0050578*(H119/100)^2)*G119)</f>
        <v>3.9793222926176534E-2</v>
      </c>
      <c r="U119" s="9">
        <f>(EXP(-67.1962+99.1624*(100/H119)+27.9015*LN(H119/100)+G119*(-0.072909+0.041674*(H119/100)-0.0064603*(H119/100)^2)*G119))</f>
        <v>3.5116828814006837E-2</v>
      </c>
      <c r="V119" s="9">
        <f>(EXP(-64.8539+100.252*(100/H119)+25.2049*LN(H119/100)+(-0.062544+0.035337*(H119/100)-0.0054699*(H119/100)^2)*G119))</f>
        <v>2.9318991936417051E-2</v>
      </c>
      <c r="W119" s="9">
        <f>(EXP(-68.8862+101.4956*(100/H119)+28.7314*LN(H119/100)+G119*(-0.076146+0.04397*(H119/100)-0.0068672*(H119/100)^2)))</f>
        <v>3.5042917567175695E-2</v>
      </c>
      <c r="X119">
        <f>N119*(AZ119-S119)</f>
        <v>61.856422293674719</v>
      </c>
      <c r="Y119">
        <f>O119*(AZ119-S119)</f>
        <v>554.32006001424099</v>
      </c>
      <c r="Z119">
        <f>((Y119/10^6)*AZ119)/(0.082056*H119)</f>
        <v>2.153576318878626E-5</v>
      </c>
      <c r="AA119">
        <f>(((L119/10^6)*AZ119)/(0.082056*H119))</f>
        <v>9.1399014575805409E-8</v>
      </c>
      <c r="AB119">
        <f>((Y119/10^6)*U119*1)/(0.082056*H119)</f>
        <v>8.1089652800859733E-7</v>
      </c>
      <c r="AC119">
        <f>(Z119*(Q119/1000))+(AB119*(R119/1000))</f>
        <v>2.2165678332569764E-6</v>
      </c>
      <c r="AD119" s="39">
        <f>((AC119-(AA119*(Q119/1000)))/(R119/1000))*1000000</f>
        <v>1.939547274019674</v>
      </c>
      <c r="AE119" s="39">
        <f>(AD119/((U119*AZ119*1))*(0.0821*273.15))</f>
        <v>1328.0649782740402</v>
      </c>
      <c r="AF119" s="39">
        <f>L119*U119*AZ119*1/(0.0821*273.15)</f>
        <v>3.4357605354728409E-3</v>
      </c>
      <c r="AG119" s="39">
        <f>AD119-AF119</f>
        <v>1.9361115134842011</v>
      </c>
      <c r="AH119" s="42">
        <f>P119*(AZ119-S119)</f>
        <v>0.31822663737221724</v>
      </c>
      <c r="AI119">
        <f>(((X119/10^6)*(Q119/1000))/(0.082056*H119))</f>
        <v>1.5460573605378532E-7</v>
      </c>
      <c r="AJ119">
        <f>(((K119/10^6)*AZ119)*(Q119/1000))/(0.082056*H119)</f>
        <v>1.0074979211134506E-6</v>
      </c>
      <c r="AK119">
        <f>(X119/10^6)*T119*(R119/1000)</f>
        <v>2.8060716979926217E-6</v>
      </c>
      <c r="AL119">
        <f>AI119+AK119</f>
        <v>2.9606774340464068E-6</v>
      </c>
      <c r="AM119" s="39">
        <f>((AL119-AJ119)/(R119/1000))*1000000</f>
        <v>1.7133153622218917</v>
      </c>
      <c r="AN119" s="39">
        <f>AM119/(T119*AZ119)</f>
        <v>46.165556751448428</v>
      </c>
      <c r="AO119" s="39">
        <f>(K119*AZ119)*T119</f>
        <v>16.040299318447644</v>
      </c>
      <c r="AP119" s="39">
        <f>AM119-AO119</f>
        <v>-14.326983956225753</v>
      </c>
      <c r="AQ119">
        <f>(((AH119/10^6)*(Q119/1000))/(0.082056*H119))</f>
        <v>7.9538488775293602E-10</v>
      </c>
      <c r="AR119">
        <f>(((M119/10^6)*AZ119)*(Q119/1000))/(0.082056*H119)</f>
        <v>7.5813799257599518E-10</v>
      </c>
      <c r="AS119">
        <f>(AH119/10^6)*V119*(R119/1000)</f>
        <v>1.0636296005178829E-8</v>
      </c>
      <c r="AT119">
        <f>AQ119+AS119</f>
        <v>1.1431680892931765E-8</v>
      </c>
      <c r="AU119" s="39">
        <f>((AT119-AR119)/(R119/1000))*1000000000</f>
        <v>9.3627569301366407</v>
      </c>
      <c r="AV119" s="39">
        <f>(AU119/1000)/(V119*AZ119)</f>
        <v>0.34240854800167758</v>
      </c>
      <c r="AW119" s="39">
        <f>(M119*AZ119)*V119*1000</f>
        <v>8.8931678565845278</v>
      </c>
      <c r="AX119" s="39">
        <f>AU119-AW119</f>
        <v>0.46958907355211288</v>
      </c>
      <c r="AY119" s="26">
        <f>VLOOKUP($E119,Water!$C$2:$G$90, 5, FALSE)</f>
        <v>708.8</v>
      </c>
      <c r="AZ119">
        <f>AY119/760</f>
        <v>0.93263157894736837</v>
      </c>
      <c r="BA119" s="3">
        <f>Assumptions!$B$3</f>
        <v>406.07</v>
      </c>
      <c r="BB119" s="3">
        <f>BA119*AZ119*T119</f>
        <v>15.070238898735155</v>
      </c>
      <c r="BC119" s="3">
        <f>Assumptions!$B$4</f>
        <v>1.8474300000000001</v>
      </c>
      <c r="BD119" s="45">
        <f>BC119*AZ119*U119*1/(0.0821*273.15)</f>
        <v>2.6980440558705813E-3</v>
      </c>
      <c r="BE119" s="3">
        <f>Assumptions!$B$2</f>
        <v>0.33054499999999998</v>
      </c>
      <c r="BF119" s="44">
        <f>BE119*AZ119*V119*1000</f>
        <v>9.0383622357957414</v>
      </c>
      <c r="BG119">
        <f>1923.6+(-125.06*F119)+(4.3773*(F119^2))+(-0.085681*(F119^3))+(0.00070284*(F119^4))</f>
        <v>618.84181726886413</v>
      </c>
      <c r="BH119">
        <f>1909.4+(-120.78*F119)+(4.1555*(F119^2))+(-0.080578*(F119^3))+(0.00065777*(F119^4))</f>
        <v>635.07210830939198</v>
      </c>
      <c r="BI119">
        <f>2141.2+(-152.56*F119)+(5.8963*(F119^2))+(-0.12411*(F119^3))+(0.0010655*(F119^4))</f>
        <v>645.41741800879993</v>
      </c>
      <c r="BJ119" s="25">
        <f>VLOOKUP(E119,Wind!$C$2:$E$109,3, FALSE)</f>
        <v>1.0277777777777777</v>
      </c>
      <c r="BK119" s="44">
        <v>1.66</v>
      </c>
      <c r="BL119">
        <f>BK119/(1-(((1.3*10^-3)^0.5)/0.41)*LN(10/1.5))</f>
        <v>1.9923982880693825</v>
      </c>
      <c r="BM119">
        <f>BK119*1.22</f>
        <v>2.0251999999999999</v>
      </c>
      <c r="BN119">
        <f>2.07+0.215*(BM119^1.7)*(24/100)</f>
        <v>2.241255750541113</v>
      </c>
      <c r="BO119">
        <f>BN119*((600/BG119)^0.67)</f>
        <v>2.1953025772703625</v>
      </c>
      <c r="BP119">
        <f>BN119*((600/BH119)^0.67)</f>
        <v>2.1575522315618625</v>
      </c>
      <c r="BQ119">
        <f>BN119*((600/BI119)^0.67)</f>
        <v>2.1343198226671043</v>
      </c>
      <c r="BR119" s="39">
        <f>BO119*(AM119-BB119)</f>
        <v>-29.322488664110733</v>
      </c>
      <c r="BS119" s="39">
        <f>BP119*(AD119-BD119)</f>
        <v>4.178853378307279</v>
      </c>
      <c r="BT119" s="39">
        <f>BQ119*(AU119-BF119)</f>
        <v>0.69236202649981771</v>
      </c>
      <c r="BU119">
        <f>(2.51+1.48*BM119)+(0.39*BM119*LOG10(0.0015))</f>
        <v>3.2768938069574309</v>
      </c>
      <c r="BV119">
        <f>BU119*((600/$BG119)^0.67)</f>
        <v>3.2097066201026472</v>
      </c>
      <c r="BW119">
        <f>BU119*((600/$BH119)^0.67)</f>
        <v>3.1545126182432792</v>
      </c>
      <c r="BX119">
        <f>BU119*((600/$BI119)^0.67)</f>
        <v>3.1205449923667783</v>
      </c>
      <c r="BY119" s="39">
        <f>BV119*($AM119-$BB119)</f>
        <v>-42.871805899351486</v>
      </c>
      <c r="BZ119" s="39">
        <f>BW119*($AD119-$BD119)</f>
        <v>6.1098153355555969</v>
      </c>
      <c r="CA119" s="39">
        <f>BX119*($AU119-$BF119)</f>
        <v>1.012288238975845</v>
      </c>
      <c r="CB119" s="42">
        <f>AVERAGE(0.72,0.69,0.4,0.22)</f>
        <v>0.50750000000000006</v>
      </c>
      <c r="CC119">
        <f>CB119*((600/$BG119)^0.67)</f>
        <v>0.49709456749669229</v>
      </c>
      <c r="CD119">
        <f>CB119*((600/$BH119)^0.67)</f>
        <v>0.48854654684245047</v>
      </c>
      <c r="CE119">
        <f>CB119*((600/$BI119)^0.67)</f>
        <v>0.48328590333434424</v>
      </c>
      <c r="CF119" s="39">
        <f>CC119*($AM119-$BB119)</f>
        <v>-6.6396541284694504</v>
      </c>
      <c r="CG119" s="39">
        <f>CD119*($AD119-$BD119)</f>
        <v>0.94624100305327541</v>
      </c>
      <c r="CH119" s="39">
        <f>CE119*($AU119-$BF119)</f>
        <v>0.15677538289140999</v>
      </c>
      <c r="CI119">
        <v>0.86263901889527161</v>
      </c>
      <c r="CJ119">
        <f>((BG119/BH119)^0.67)*CI119</f>
        <v>0.84780510874452197</v>
      </c>
      <c r="CK119">
        <f>((BH119/BH119)^0.67)*CI119</f>
        <v>0.86263901889527161</v>
      </c>
      <c r="CL119">
        <f>((BI119/BH119)^0.67)*CI119</f>
        <v>0.87202898107559024</v>
      </c>
      <c r="CM119" s="39">
        <f>CJ119*($AM119-$BB119)</f>
        <v>-11.324068011365894</v>
      </c>
      <c r="CN119" s="39">
        <f>CK119*($AD119-$BD119)</f>
        <v>1.6708017194840377</v>
      </c>
      <c r="CO119" s="39">
        <f>CL119*($AU119-$BF119)</f>
        <v>0.28288157477242193</v>
      </c>
      <c r="CP119" s="27">
        <f>VLOOKUP(A119,Water!$A$2:$E$109, 5, FALSE)/1000</f>
        <v>4.0000000000000003E-5</v>
      </c>
      <c r="CQ119">
        <f>0.64*CP119</f>
        <v>2.5600000000000002E-5</v>
      </c>
      <c r="CR119" s="19">
        <f>CQ119*1000*(2.5*10^-5)</f>
        <v>6.4000000000000001E-7</v>
      </c>
      <c r="CS119" s="18">
        <f>(-0.0000009*F119^3)+(0.0002*F119^2)-(0.0134*F119)+6.579</f>
        <v>6.3877407543999993</v>
      </c>
      <c r="CT119" s="18">
        <f>CS119-(SQRT(CP119))/(1+1.4*SQRT(CP119))</f>
        <v>6.3814717075863925</v>
      </c>
      <c r="CU119" s="18">
        <f>10^(-CT119)</f>
        <v>4.1545911573096895E-7</v>
      </c>
      <c r="CV119" s="18">
        <f>(0.000001*F119^3)+(0.00006*F119^2)-(0.014*F119)+10.625</f>
        <v>10.383282983999999</v>
      </c>
      <c r="CW119" s="18">
        <f>CV119-(2*SQRT(CR119))/(1+1.4*SQRT(CR119))</f>
        <v>10.381684773995204</v>
      </c>
      <c r="CX119" s="18">
        <f>10^(-CW119)</f>
        <v>4.1525534001004848E-11</v>
      </c>
      <c r="CY119">
        <f>EXP(1246.98+-61900/H119-183*LN(H119))</f>
        <v>2.241385119151923E-2</v>
      </c>
      <c r="CZ119">
        <f>12.225*(F119^2)+15.258*F119+1125.7</f>
        <v>6022.7061999999987</v>
      </c>
      <c r="DA119" s="15">
        <f>10^(-4470.99/H119+6.0875-0.01706*H119)</f>
        <v>6.5128871181840656E-15</v>
      </c>
      <c r="DB119">
        <f>(10^-I119)</f>
        <v>2.1877616239495448E-10</v>
      </c>
      <c r="DC119">
        <f>DB119^2</f>
        <v>4.7863009232263499E-20</v>
      </c>
      <c r="DD119" s="20">
        <f>((14.6836*10^-9)*((H119/217.2056)-1)^1.997)*100*100</f>
        <v>1.7724415682261512E-5</v>
      </c>
      <c r="DE119">
        <f>CY119+CZ119*DA119/DB119</f>
        <v>0.20170763346279985</v>
      </c>
      <c r="DF119">
        <f>1+DC119*(CU119*CX119+CU119*DB119)^-1</f>
        <v>1.0004425829805086</v>
      </c>
      <c r="DG119">
        <f>(DE119*DF119/DD119)^0.5</f>
        <v>106.70168753634455</v>
      </c>
      <c r="DH119">
        <f>DD119/(BO119/60/60)</f>
        <v>2.9065650046054305E-2</v>
      </c>
      <c r="DI119" s="16">
        <f>DF119/((DF119-1)+TANH(DG119*DH119)/(DG119*DH119))</f>
        <v>3.111023936621057</v>
      </c>
      <c r="DJ119">
        <f>$DI119*BR119</f>
        <v>-91.222964115348091</v>
      </c>
      <c r="DK119">
        <f>$DI119*BY119</f>
        <v>-133.37521435905433</v>
      </c>
      <c r="DL119">
        <f>$DI119*CF119</f>
        <v>-20.656122924553284</v>
      </c>
      <c r="DM119">
        <f>$DI119*CM119</f>
        <v>-35.229446643284106</v>
      </c>
    </row>
    <row r="120" spans="1:117" ht="15.75" x14ac:dyDescent="0.25">
      <c r="A120" s="51" t="s">
        <v>336</v>
      </c>
      <c r="B120" s="54" t="s">
        <v>341</v>
      </c>
      <c r="C120" s="48" t="s">
        <v>275</v>
      </c>
      <c r="D120" s="57">
        <v>43236</v>
      </c>
      <c r="E120" s="42" t="str">
        <f>A120&amp;D120</f>
        <v>4D43236</v>
      </c>
      <c r="F120" s="3">
        <f>VLOOKUP($E120,Water!$C$2:$E$90, 2, FALSE)</f>
        <v>19.399999999999999</v>
      </c>
      <c r="G120" s="3">
        <f>VLOOKUP($E120,Water!$C$2:$E$90, 3, FALSE)</f>
        <v>0.09</v>
      </c>
      <c r="H120" s="1">
        <f>F120+273.15</f>
        <v>292.54999999999995</v>
      </c>
      <c r="I120" s="3">
        <f>VLOOKUP($E120,Water!$C$2:$F$90, 4, FALSE)</f>
        <v>9.66</v>
      </c>
      <c r="J120">
        <f>10^(I120*-1)</f>
        <v>2.1877616239495448E-10</v>
      </c>
      <c r="K120" s="25">
        <f>VLOOKUP($E120,Atm!$D$2:$G$45, 2, FALSE)</f>
        <v>432.20843332408691</v>
      </c>
      <c r="L120" s="25">
        <f>VLOOKUP($E120,Atm!$D$2:$G$45, 3, FALSE)</f>
        <v>2.352566138509733</v>
      </c>
      <c r="M120" s="25">
        <f>VLOOKUP($E120,Atm!$D$2:$G$45, 4, FALSE)</f>
        <v>0.32523504728685282</v>
      </c>
      <c r="N120" s="21">
        <f>VLOOKUP($C120,Raw!$B$2:$F$353, 3, FALSE)</f>
        <v>103.6</v>
      </c>
      <c r="O120" s="21">
        <f>VLOOKUP($C120,Raw!$B$2:$F$353, 4, FALSE)</f>
        <v>617.15</v>
      </c>
      <c r="P120" s="21">
        <f>VLOOKUP($C120,Raw!$B$2:$F$353, 5, FALSE)</f>
        <v>0.30199999999999999</v>
      </c>
      <c r="Q120" s="14">
        <v>60</v>
      </c>
      <c r="R120" s="25">
        <v>1140</v>
      </c>
      <c r="S120">
        <f>EXP(24.4543-(100/H120*(67.4509))-(4.8489*LN(H120/100))-(0.000544*G120))</f>
        <v>2.2213148503879773E-2</v>
      </c>
      <c r="T120" s="8">
        <f>EXP(-58.0931+90.5069*(100/H120)+22.294*LN(H120/100)+G120*(0.027766-0.025888*(H120/100)+0.0050578*(H120/100)^2)*G120)</f>
        <v>3.9793222926176534E-2</v>
      </c>
      <c r="U120" s="9">
        <f>(EXP(-67.1962+99.1624*(100/H120)+27.9015*LN(H120/100)+G120*(-0.072909+0.041674*(H120/100)-0.0064603*(H120/100)^2)*G120))</f>
        <v>3.5116828814006837E-2</v>
      </c>
      <c r="V120" s="9">
        <f>(EXP(-64.8539+100.252*(100/H120)+25.2049*LN(H120/100)+(-0.062544+0.035337*(H120/100)-0.0054699*(H120/100)^2)*G120))</f>
        <v>2.9318991936417051E-2</v>
      </c>
      <c r="W120" s="9">
        <f>(EXP(-68.8862+101.4956*(100/H120)+28.7314*LN(H120/100)+G120*(-0.076146+0.04397*(H120/100)-0.0068672*(H120/100)^2)))</f>
        <v>3.5042917567175695E-2</v>
      </c>
      <c r="X120">
        <f>N120*(AZ120-S120)</f>
        <v>94.319349393945416</v>
      </c>
      <c r="Y120">
        <f>O120*(AZ120-S120)</f>
        <v>561.86473434819891</v>
      </c>
      <c r="Z120">
        <f>((Y120/10^6)*AZ120)/(0.082056*H120)</f>
        <v>2.1828879623700154E-5</v>
      </c>
      <c r="AA120">
        <f>(((L120/10^6)*AZ120)/(0.082056*H120))</f>
        <v>9.1399014575805409E-8</v>
      </c>
      <c r="AB120">
        <f>((Y120/10^6)*U120*1)/(0.082056*H120)</f>
        <v>8.219333831824925E-7</v>
      </c>
      <c r="AC120">
        <f>(Z120*(Q120/1000))+(AB120*(R120/1000))</f>
        <v>2.2467368342500505E-6</v>
      </c>
      <c r="AD120" s="39">
        <f>((AC120-(AA120*(Q120/1000)))/(R120/1000))*1000000</f>
        <v>1.9660113099785108</v>
      </c>
      <c r="AE120" s="39">
        <f>(AD120/((U120*AZ120*1))*(0.0821*273.15))</f>
        <v>1346.1856808789717</v>
      </c>
      <c r="AF120" s="39">
        <f>L120*U120*AZ120*1/(0.0821*273.15)</f>
        <v>3.4357605354728409E-3</v>
      </c>
      <c r="AG120" s="39">
        <f>AD120-AF120</f>
        <v>1.9625755494430379</v>
      </c>
      <c r="AH120" s="42">
        <f>P120*(AZ120-S120)</f>
        <v>0.27494636599393352</v>
      </c>
      <c r="AI120">
        <f>(((X120/10^6)*(Q120/1000))/(0.082056*H120))</f>
        <v>2.3574451764980648E-7</v>
      </c>
      <c r="AJ120">
        <f>(((K120/10^6)*AZ120)*(Q120/1000))/(0.082056*H120)</f>
        <v>1.0074979211134506E-6</v>
      </c>
      <c r="AK120">
        <f>(X120/10^6)*T120*(R120/1000)</f>
        <v>4.2787288222211315E-6</v>
      </c>
      <c r="AL120">
        <f>AI120+AK120</f>
        <v>4.5144733398709376E-6</v>
      </c>
      <c r="AM120" s="39">
        <f>((AL120-AJ120)/(R120/1000))*1000000</f>
        <v>3.0762942269802522</v>
      </c>
      <c r="AN120" s="39">
        <f>AM120/(T120*AZ120)</f>
        <v>82.891240486885408</v>
      </c>
      <c r="AO120" s="39">
        <f>(K120*AZ120)*T120</f>
        <v>16.040299318447644</v>
      </c>
      <c r="AP120" s="39">
        <f>AM120-AO120</f>
        <v>-12.964005091467392</v>
      </c>
      <c r="AQ120">
        <f>(((AH120/10^6)*(Q120/1000))/(0.082056*H120))</f>
        <v>6.8720892210657859E-10</v>
      </c>
      <c r="AR120">
        <f>(((M120/10^6)*AZ120)*(Q120/1000))/(0.082056*H120)</f>
        <v>7.5813799257599518E-10</v>
      </c>
      <c r="AS120">
        <f>(AH120/10^6)*V120*(R120/1000)</f>
        <v>9.18971132777657E-9</v>
      </c>
      <c r="AT120">
        <f>AQ120+AS120</f>
        <v>9.8769202498831491E-9</v>
      </c>
      <c r="AU120" s="39">
        <f>((AT120-AR120)/(R120/1000))*1000000000</f>
        <v>7.9989318046553999</v>
      </c>
      <c r="AV120" s="39">
        <f>(AU120/1000)/(V120*AZ120)</f>
        <v>0.29253163840882945</v>
      </c>
      <c r="AW120" s="39">
        <f>(M120*AZ120)*V120*1000</f>
        <v>8.8931678565845278</v>
      </c>
      <c r="AX120" s="39">
        <f>AU120-AW120</f>
        <v>-0.89423605192912792</v>
      </c>
      <c r="AY120" s="26">
        <f>VLOOKUP($E120,Water!$C$2:$G$90, 5, FALSE)</f>
        <v>708.8</v>
      </c>
      <c r="AZ120">
        <f>AY120/760</f>
        <v>0.93263157894736837</v>
      </c>
      <c r="BA120" s="3">
        <f>Assumptions!$B$3</f>
        <v>406.07</v>
      </c>
      <c r="BB120" s="3">
        <f>BA120*AZ120*T120</f>
        <v>15.070238898735155</v>
      </c>
      <c r="BC120" s="3">
        <f>Assumptions!$B$4</f>
        <v>1.8474300000000001</v>
      </c>
      <c r="BD120" s="45">
        <f>BC120*AZ120*U120*1/(0.0821*273.15)</f>
        <v>2.6980440558705813E-3</v>
      </c>
      <c r="BE120" s="3">
        <f>Assumptions!$B$2</f>
        <v>0.33054499999999998</v>
      </c>
      <c r="BF120" s="44">
        <f>BE120*AZ120*V120*1000</f>
        <v>9.0383622357957414</v>
      </c>
      <c r="BG120">
        <f>1923.6+(-125.06*F120)+(4.3773*(F120^2))+(-0.085681*(F120^3))+(0.00070284*(F120^4))</f>
        <v>618.84181726886413</v>
      </c>
      <c r="BH120">
        <f>1909.4+(-120.78*F120)+(4.1555*(F120^2))+(-0.080578*(F120^3))+(0.00065777*(F120^4))</f>
        <v>635.07210830939198</v>
      </c>
      <c r="BI120">
        <f>2141.2+(-152.56*F120)+(5.8963*(F120^2))+(-0.12411*(F120^3))+(0.0010655*(F120^4))</f>
        <v>645.41741800879993</v>
      </c>
      <c r="BJ120" s="25">
        <f>VLOOKUP(E120,Wind!$C$2:$E$109,3, FALSE)</f>
        <v>1.0277777777777777</v>
      </c>
      <c r="BK120" s="44">
        <v>1.66</v>
      </c>
      <c r="BL120">
        <f>BK120/(1-(((1.3*10^-3)^0.5)/0.41)*LN(10/1.5))</f>
        <v>1.9923982880693825</v>
      </c>
      <c r="BM120">
        <f>BK120*1.22</f>
        <v>2.0251999999999999</v>
      </c>
      <c r="BN120">
        <f>2.07+0.215*(BM120^1.7)*(24/100)</f>
        <v>2.241255750541113</v>
      </c>
      <c r="BO120">
        <f>BN120*((600/BG120)^0.67)</f>
        <v>2.1953025772703625</v>
      </c>
      <c r="BP120">
        <f>BN120*((600/BH120)^0.67)</f>
        <v>2.1575522315618625</v>
      </c>
      <c r="BQ120">
        <f>BN120*((600/BI120)^0.67)</f>
        <v>2.1343198226671043</v>
      </c>
      <c r="BR120" s="39">
        <f>BO120*(AM120-BB120)</f>
        <v>-26.330337649541672</v>
      </c>
      <c r="BS120" s="39">
        <f>BP120*(AD120-BD120)</f>
        <v>4.2359509181464006</v>
      </c>
      <c r="BT120" s="39">
        <f>BQ120*(AU120-BF120)</f>
        <v>-2.2184769734662453</v>
      </c>
      <c r="BU120">
        <f>(2.51+1.48*BM120)+(0.39*BM120*LOG10(0.0015))</f>
        <v>3.2768938069574309</v>
      </c>
      <c r="BV120">
        <f>BU120*((600/$BG120)^0.67)</f>
        <v>3.2097066201026472</v>
      </c>
      <c r="BW120">
        <f>BU120*((600/$BH120)^0.67)</f>
        <v>3.1545126182432792</v>
      </c>
      <c r="BX120">
        <f>BU120*((600/$BI120)^0.67)</f>
        <v>3.1205449923667783</v>
      </c>
      <c r="BY120" s="39">
        <f>BV120*($AM120-$BB120)</f>
        <v>-38.497043614076581</v>
      </c>
      <c r="BZ120" s="39">
        <f>BW120*($AD120-$BD120)</f>
        <v>6.1932964709173914</v>
      </c>
      <c r="CA120" s="39">
        <f>BX120*($AU120-$BF120)</f>
        <v>-3.2435894268086343</v>
      </c>
      <c r="CB120" s="42">
        <f>AVERAGE(0.72,0.69,0.4,0.22)</f>
        <v>0.50750000000000006</v>
      </c>
      <c r="CC120">
        <f>CB120*((600/$BG120)^0.67)</f>
        <v>0.49709456749669229</v>
      </c>
      <c r="CD120">
        <f>CB120*((600/$BH120)^0.67)</f>
        <v>0.48854654684245047</v>
      </c>
      <c r="CE120">
        <f>CB120*((600/$BI120)^0.67)</f>
        <v>0.48328590333434424</v>
      </c>
      <c r="CF120" s="39">
        <f>CC120*($AM120-$BB120)</f>
        <v>-5.9621247391852608</v>
      </c>
      <c r="CG120" s="39">
        <f>CD120*($AD120-$BD120)</f>
        <v>0.95916991643647953</v>
      </c>
      <c r="CH120" s="39">
        <f>CE120*($AU120-$BF120)</f>
        <v>-0.50234207486686688</v>
      </c>
      <c r="CI120">
        <v>0.86263901889527161</v>
      </c>
      <c r="CJ120">
        <f>((BG120/BH120)^0.67)*CI120</f>
        <v>0.84780510874452197</v>
      </c>
      <c r="CK120">
        <f>((BH120/BH120)^0.67)*CI120</f>
        <v>0.86263901889527161</v>
      </c>
      <c r="CL120">
        <f>((BI120/BH120)^0.67)*CI120</f>
        <v>0.87202898107559024</v>
      </c>
      <c r="CM120" s="39">
        <f>CJ120*($AM120-$BB120)</f>
        <v>-10.168527566712946</v>
      </c>
      <c r="CN120" s="39">
        <f>CK120*($AD120-$BD120)</f>
        <v>1.6936306294995778</v>
      </c>
      <c r="CO120" s="39">
        <f>CL120*($AU120-$BF120)</f>
        <v>-0.90641345976627341</v>
      </c>
      <c r="CP120" s="27">
        <f>VLOOKUP(A120,Water!$A$2:$E$109, 5, FALSE)/1000</f>
        <v>4.0000000000000003E-5</v>
      </c>
      <c r="CQ120">
        <f>0.64*CP120</f>
        <v>2.5600000000000002E-5</v>
      </c>
      <c r="CR120" s="19">
        <f>CQ120*1000*(2.5*10^-5)</f>
        <v>6.4000000000000001E-7</v>
      </c>
      <c r="CS120" s="18">
        <f>(-0.0000009*F120^3)+(0.0002*F120^2)-(0.0134*F120)+6.579</f>
        <v>6.3877407543999993</v>
      </c>
      <c r="CT120" s="18">
        <f>CS120-(SQRT(CP120))/(1+1.4*SQRT(CP120))</f>
        <v>6.3814717075863925</v>
      </c>
      <c r="CU120" s="18">
        <f>10^(-CT120)</f>
        <v>4.1545911573096895E-7</v>
      </c>
      <c r="CV120" s="18">
        <f>(0.000001*F120^3)+(0.00006*F120^2)-(0.014*F120)+10.625</f>
        <v>10.383282983999999</v>
      </c>
      <c r="CW120" s="18">
        <f>CV120-(2*SQRT(CR120))/(1+1.4*SQRT(CR120))</f>
        <v>10.381684773995204</v>
      </c>
      <c r="CX120" s="18">
        <f>10^(-CW120)</f>
        <v>4.1525534001004848E-11</v>
      </c>
      <c r="CY120">
        <f>EXP(1246.98+-61900/H120-183*LN(H120))</f>
        <v>2.241385119151923E-2</v>
      </c>
      <c r="CZ120">
        <f>12.225*(F120^2)+15.258*F120+1125.7</f>
        <v>6022.7061999999987</v>
      </c>
      <c r="DA120" s="15">
        <f>10^(-4470.99/H120+6.0875-0.01706*H120)</f>
        <v>6.5128871181840656E-15</v>
      </c>
      <c r="DB120">
        <f>(10^-I120)</f>
        <v>2.1877616239495448E-10</v>
      </c>
      <c r="DC120">
        <f>DB120^2</f>
        <v>4.7863009232263499E-20</v>
      </c>
      <c r="DD120" s="20">
        <f>((14.6836*10^-9)*((H120/217.2056)-1)^1.997)*100*100</f>
        <v>1.7724415682261512E-5</v>
      </c>
      <c r="DE120">
        <f>CY120+CZ120*DA120/DB120</f>
        <v>0.20170763346279985</v>
      </c>
      <c r="DF120">
        <f>1+DC120*(CU120*CX120+CU120*DB120)^-1</f>
        <v>1.0004425829805086</v>
      </c>
      <c r="DG120">
        <f>(DE120*DF120/DD120)^0.5</f>
        <v>106.70168753634455</v>
      </c>
      <c r="DH120">
        <f>DD120/(BO120/60/60)</f>
        <v>2.9065650046054305E-2</v>
      </c>
      <c r="DI120" s="16">
        <f>DF120/((DF120-1)+TANH(DG120*DH120)/(DG120*DH120))</f>
        <v>3.111023936621057</v>
      </c>
      <c r="DJ120">
        <f>$DI120*BR120</f>
        <v>-81.914310687038764</v>
      </c>
      <c r="DK120">
        <f>$DI120*BY120</f>
        <v>-119.76522417253705</v>
      </c>
      <c r="DL120">
        <f>$DI120*CF120</f>
        <v>-18.548312776725922</v>
      </c>
      <c r="DM120">
        <f>$DI120*CM120</f>
        <v>-31.634532660235049</v>
      </c>
    </row>
    <row r="121" spans="1:117" ht="15.75" x14ac:dyDescent="0.25">
      <c r="A121" s="52" t="s">
        <v>336</v>
      </c>
      <c r="B121" s="55" t="s">
        <v>342</v>
      </c>
      <c r="C121" t="s">
        <v>276</v>
      </c>
      <c r="D121" s="57">
        <v>43236</v>
      </c>
      <c r="E121" s="42" t="str">
        <f>A121&amp;D121</f>
        <v>4D43236</v>
      </c>
      <c r="F121" s="3">
        <f>VLOOKUP($E121,Water!$C$2:$E$90, 2, FALSE)</f>
        <v>19.399999999999999</v>
      </c>
      <c r="G121" s="3">
        <f>VLOOKUP($E121,Water!$C$2:$E$90, 3, FALSE)</f>
        <v>0.09</v>
      </c>
      <c r="H121" s="1">
        <f>F121+273.15</f>
        <v>292.54999999999995</v>
      </c>
      <c r="I121" s="3">
        <f>VLOOKUP($E121,Water!$C$2:$F$90, 4, FALSE)</f>
        <v>9.66</v>
      </c>
      <c r="J121">
        <f>10^(I121*-1)</f>
        <v>2.1877616239495448E-10</v>
      </c>
      <c r="K121" s="25">
        <f>VLOOKUP($E121,Atm!$D$2:$G$45, 2, FALSE)</f>
        <v>432.20843332408691</v>
      </c>
      <c r="L121" s="25">
        <f>VLOOKUP($E121,Atm!$D$2:$G$45, 3, FALSE)</f>
        <v>2.352566138509733</v>
      </c>
      <c r="M121" s="25">
        <f>VLOOKUP($E121,Atm!$D$2:$G$45, 4, FALSE)</f>
        <v>0.32523504728685282</v>
      </c>
      <c r="N121" s="21">
        <f>VLOOKUP($C121,Raw!$B$2:$F$353, 3, FALSE)</f>
        <v>62.307480807320317</v>
      </c>
      <c r="O121" s="21">
        <f>VLOOKUP($C121,Raw!$B$2:$F$353, 4, FALSE)</f>
        <v>605.0079237499192</v>
      </c>
      <c r="P121" s="21">
        <f>VLOOKUP($C121,Raw!$B$2:$F$353, 5, FALSE)</f>
        <v>0.33217807577353753</v>
      </c>
      <c r="Q121" s="14">
        <v>60</v>
      </c>
      <c r="R121" s="25">
        <v>1140</v>
      </c>
      <c r="S121">
        <f>EXP(24.4543-(100/H121*(67.4509))-(4.8489*LN(H121/100))-(0.000544*G121))</f>
        <v>2.2213148503879773E-2</v>
      </c>
      <c r="T121" s="8">
        <f>EXP(-58.0931+90.5069*(100/H121)+22.294*LN(H121/100)+G121*(0.027766-0.025888*(H121/100)+0.0050578*(H121/100)^2)*G121)</f>
        <v>3.9793222926176534E-2</v>
      </c>
      <c r="U121" s="9">
        <f>(EXP(-67.1962+99.1624*(100/H121)+27.9015*LN(H121/100)+G121*(-0.072909+0.041674*(H121/100)-0.0064603*(H121/100)^2)*G121))</f>
        <v>3.5116828814006837E-2</v>
      </c>
      <c r="V121" s="9">
        <f>(EXP(-64.8539+100.252*(100/H121)+25.2049*LN(H121/100)+(-0.062544+0.035337*(H121/100)-0.0054699*(H121/100)^2)*G121))</f>
        <v>2.9318991936417051E-2</v>
      </c>
      <c r="W121" s="9">
        <f>(EXP(-68.8862+101.4956*(100/H121)+28.7314*LN(H121/100)+G121*(-0.076146+0.04397*(H121/100)-0.0068672*(H121/100)^2)))</f>
        <v>3.5042917567175695E-2</v>
      </c>
      <c r="X121">
        <f>N121*(AZ121-S121)</f>
        <v>56.725878881488349</v>
      </c>
      <c r="Y121">
        <f>O121*(AZ121-S121)</f>
        <v>550.81036434627526</v>
      </c>
      <c r="Z121">
        <f>((Y121/10^6)*AZ121)/(0.082056*H121)</f>
        <v>2.139940879676213E-5</v>
      </c>
      <c r="AA121">
        <f>(((L121/10^6)*AZ121)/(0.082056*H121))</f>
        <v>9.1399014575805409E-8</v>
      </c>
      <c r="AB121">
        <f>((Y121/10^6)*U121*1)/(0.082056*H121)</f>
        <v>8.0576231000564955E-7</v>
      </c>
      <c r="AC121">
        <f>(Z121*(Q121/1000))+(AB121*(R121/1000))</f>
        <v>2.202533561212168E-6</v>
      </c>
      <c r="AD121" s="39">
        <f>((AC121-(AA121*(Q121/1000)))/(R121/1000))*1000000</f>
        <v>1.9272365090680876</v>
      </c>
      <c r="AE121" s="39">
        <f>(AD121/((U121*AZ121*1))*(0.0821*273.15))</f>
        <v>1319.6354359746761</v>
      </c>
      <c r="AF121" s="39">
        <f>L121*U121*AZ121*1/(0.0821*273.15)</f>
        <v>3.4357605354728409E-3</v>
      </c>
      <c r="AG121" s="39">
        <f>AD121-AF121</f>
        <v>1.9238007485326147</v>
      </c>
      <c r="AH121" s="42">
        <f>P121*(AZ121-S121)</f>
        <v>0.30242104237348227</v>
      </c>
      <c r="AI121">
        <f>(((X121/10^6)*(Q121/1000))/(0.082056*H121))</f>
        <v>1.4178230703567858E-7</v>
      </c>
      <c r="AJ121">
        <f>(((K121/10^6)*AZ121)*(Q121/1000))/(0.082056*H121)</f>
        <v>1.0074979211134506E-6</v>
      </c>
      <c r="AK121">
        <f>(X121/10^6)*T121*(R121/1000)</f>
        <v>2.5733283201763648E-6</v>
      </c>
      <c r="AL121">
        <f>AI121+AK121</f>
        <v>2.7151106272120434E-6</v>
      </c>
      <c r="AM121" s="39">
        <f>((AL121-AJ121)/(R121/1000))*1000000</f>
        <v>1.4979058825426255</v>
      </c>
      <c r="AN121" s="39">
        <f>AM121/(T121*AZ121)</f>
        <v>40.36131383259854</v>
      </c>
      <c r="AO121" s="39">
        <f>(K121*AZ121)*T121</f>
        <v>16.040299318447644</v>
      </c>
      <c r="AP121" s="39">
        <f>AM121-AO121</f>
        <v>-14.542393435905019</v>
      </c>
      <c r="AQ121">
        <f>(((AH121/10^6)*(Q121/1000))/(0.082056*H121))</f>
        <v>7.5587992516480184E-10</v>
      </c>
      <c r="AR121">
        <f>(((M121/10^6)*AZ121)*(Q121/1000))/(0.082056*H121)</f>
        <v>7.5813799257599518E-10</v>
      </c>
      <c r="AS121">
        <f>(AH121/10^6)*V121*(R121/1000)</f>
        <v>1.01080153171361E-8</v>
      </c>
      <c r="AT121">
        <f>AQ121+AS121</f>
        <v>1.0863895242300902E-8</v>
      </c>
      <c r="AU121" s="39">
        <f>((AT121-AR121)/(R121/1000))*1000000000</f>
        <v>8.8646993418639539</v>
      </c>
      <c r="AV121" s="39">
        <f>(AU121/1000)/(V121*AZ121)</f>
        <v>0.32419391561356758</v>
      </c>
      <c r="AW121" s="39">
        <f>(M121*AZ121)*V121*1000</f>
        <v>8.8931678565845278</v>
      </c>
      <c r="AX121" s="39">
        <f>AU121-AW121</f>
        <v>-2.8468514720573879E-2</v>
      </c>
      <c r="AY121" s="26">
        <f>VLOOKUP($E121,Water!$C$2:$G$90, 5, FALSE)</f>
        <v>708.8</v>
      </c>
      <c r="AZ121">
        <f>AY121/760</f>
        <v>0.93263157894736837</v>
      </c>
      <c r="BA121" s="3">
        <f>Assumptions!$B$3</f>
        <v>406.07</v>
      </c>
      <c r="BB121" s="3">
        <f>BA121*AZ121*T121</f>
        <v>15.070238898735155</v>
      </c>
      <c r="BC121" s="3">
        <f>Assumptions!$B$4</f>
        <v>1.8474300000000001</v>
      </c>
      <c r="BD121" s="45">
        <f>BC121*AZ121*U121*1/(0.0821*273.15)</f>
        <v>2.6980440558705813E-3</v>
      </c>
      <c r="BE121" s="3">
        <f>Assumptions!$B$2</f>
        <v>0.33054499999999998</v>
      </c>
      <c r="BF121" s="44">
        <f>BE121*AZ121*V121*1000</f>
        <v>9.0383622357957414</v>
      </c>
      <c r="BG121">
        <f>1923.6+(-125.06*F121)+(4.3773*(F121^2))+(-0.085681*(F121^3))+(0.00070284*(F121^4))</f>
        <v>618.84181726886413</v>
      </c>
      <c r="BH121">
        <f>1909.4+(-120.78*F121)+(4.1555*(F121^2))+(-0.080578*(F121^3))+(0.00065777*(F121^4))</f>
        <v>635.07210830939198</v>
      </c>
      <c r="BI121">
        <f>2141.2+(-152.56*F121)+(5.8963*(F121^2))+(-0.12411*(F121^3))+(0.0010655*(F121^4))</f>
        <v>645.41741800879993</v>
      </c>
      <c r="BJ121" s="25">
        <f>VLOOKUP(E121,Wind!$C$2:$E$109,3, FALSE)</f>
        <v>1.0277777777777777</v>
      </c>
      <c r="BK121" s="44">
        <v>1.66</v>
      </c>
      <c r="BL121">
        <f>BK121/(1-(((1.3*10^-3)^0.5)/0.41)*LN(10/1.5))</f>
        <v>1.9923982880693825</v>
      </c>
      <c r="BM121">
        <f>BK121*1.22</f>
        <v>2.0251999999999999</v>
      </c>
      <c r="BN121">
        <f>2.07+0.215*(BM121^1.7)*(24/100)</f>
        <v>2.241255750541113</v>
      </c>
      <c r="BO121">
        <f>BN121*((600/BG121)^0.67)</f>
        <v>2.1953025772703625</v>
      </c>
      <c r="BP121">
        <f>BN121*((600/BH121)^0.67)</f>
        <v>2.1575522315618625</v>
      </c>
      <c r="BQ121">
        <f>BN121*((600/BI121)^0.67)</f>
        <v>2.1343198226671043</v>
      </c>
      <c r="BR121" s="39">
        <f>BO121*(AM121-BB121)</f>
        <v>-29.795377650019095</v>
      </c>
      <c r="BS121" s="39">
        <f>BP121*(AD121-BD121)</f>
        <v>4.1522922599137502</v>
      </c>
      <c r="BT121" s="39">
        <f>BQ121*(AU121-BF121)</f>
        <v>-0.37065215698034876</v>
      </c>
      <c r="BU121">
        <f>(2.51+1.48*BM121)+(0.39*BM121*LOG10(0.0015))</f>
        <v>3.2768938069574309</v>
      </c>
      <c r="BV121">
        <f>BU121*((600/$BG121)^0.67)</f>
        <v>3.2097066201026472</v>
      </c>
      <c r="BW121">
        <f>BU121*((600/$BH121)^0.67)</f>
        <v>3.1545126182432792</v>
      </c>
      <c r="BX121">
        <f>BU121*((600/$BI121)^0.67)</f>
        <v>3.1205449923667783</v>
      </c>
      <c r="BY121" s="39">
        <f>BV121*($AM121-$BB121)</f>
        <v>-43.563207132310893</v>
      </c>
      <c r="BZ121" s="39">
        <f>BW121*($AD121-$BD121)</f>
        <v>6.07098087217559</v>
      </c>
      <c r="CA121" s="39">
        <f>BX121*($AU121-$BF121)</f>
        <v>-0.54192287401876238</v>
      </c>
      <c r="CB121" s="42">
        <f>AVERAGE(0.72,0.69,0.4,0.22)</f>
        <v>0.50750000000000006</v>
      </c>
      <c r="CC121">
        <f>CB121*((600/$BG121)^0.67)</f>
        <v>0.49709456749669229</v>
      </c>
      <c r="CD121">
        <f>CB121*((600/$BH121)^0.67)</f>
        <v>0.48854654684245047</v>
      </c>
      <c r="CE121">
        <f>CB121*((600/$BI121)^0.67)</f>
        <v>0.48328590333434424</v>
      </c>
      <c r="CF121" s="39">
        <f>CC121*($AM121-$BB121)</f>
        <v>-6.7467330106053032</v>
      </c>
      <c r="CG121" s="39">
        <f>CD121*($AD121-$BD121)</f>
        <v>0.94022662134718882</v>
      </c>
      <c r="CH121" s="39">
        <f>CE121*($AU121-$BF121)</f>
        <v>-8.3928828569480307E-2</v>
      </c>
      <c r="CI121">
        <v>0.86263901889527161</v>
      </c>
      <c r="CJ121">
        <f>((BG121/BH121)^0.67)*CI121</f>
        <v>0.84780510874452197</v>
      </c>
      <c r="CK121">
        <f>((BH121/BH121)^0.67)*CI121</f>
        <v>0.86263901889527161</v>
      </c>
      <c r="CL121">
        <f>((BI121/BH121)^0.67)*CI121</f>
        <v>0.87202898107559024</v>
      </c>
      <c r="CM121" s="39">
        <f>CJ121*($AM121-$BB121)</f>
        <v>-11.506693268709974</v>
      </c>
      <c r="CN121" s="39">
        <f>CK121*($AD121-$BD121)</f>
        <v>1.660181973284351</v>
      </c>
      <c r="CO121" s="39">
        <f>CL121*($AU121-$BF121)</f>
        <v>-0.15143907644597493</v>
      </c>
      <c r="CP121" s="27">
        <f>VLOOKUP(A121,Water!$A$2:$E$109, 5, FALSE)/1000</f>
        <v>4.0000000000000003E-5</v>
      </c>
      <c r="CQ121">
        <f>0.64*CP121</f>
        <v>2.5600000000000002E-5</v>
      </c>
      <c r="CR121" s="19">
        <f>CQ121*1000*(2.5*10^-5)</f>
        <v>6.4000000000000001E-7</v>
      </c>
      <c r="CS121" s="18">
        <f>(-0.0000009*F121^3)+(0.0002*F121^2)-(0.0134*F121)+6.579</f>
        <v>6.3877407543999993</v>
      </c>
      <c r="CT121" s="18">
        <f>CS121-(SQRT(CP121))/(1+1.4*SQRT(CP121))</f>
        <v>6.3814717075863925</v>
      </c>
      <c r="CU121" s="18">
        <f>10^(-CT121)</f>
        <v>4.1545911573096895E-7</v>
      </c>
      <c r="CV121" s="18">
        <f>(0.000001*F121^3)+(0.00006*F121^2)-(0.014*F121)+10.625</f>
        <v>10.383282983999999</v>
      </c>
      <c r="CW121" s="18">
        <f>CV121-(2*SQRT(CR121))/(1+1.4*SQRT(CR121))</f>
        <v>10.381684773995204</v>
      </c>
      <c r="CX121" s="18">
        <f>10^(-CW121)</f>
        <v>4.1525534001004848E-11</v>
      </c>
      <c r="CY121">
        <f>EXP(1246.98+-61900/H121-183*LN(H121))</f>
        <v>2.241385119151923E-2</v>
      </c>
      <c r="CZ121">
        <f>12.225*(F121^2)+15.258*F121+1125.7</f>
        <v>6022.7061999999987</v>
      </c>
      <c r="DA121" s="15">
        <f>10^(-4470.99/H121+6.0875-0.01706*H121)</f>
        <v>6.5128871181840656E-15</v>
      </c>
      <c r="DB121">
        <f>(10^-I121)</f>
        <v>2.1877616239495448E-10</v>
      </c>
      <c r="DC121">
        <f>DB121^2</f>
        <v>4.7863009232263499E-20</v>
      </c>
      <c r="DD121" s="20">
        <f>((14.6836*10^-9)*((H121/217.2056)-1)^1.997)*100*100</f>
        <v>1.7724415682261512E-5</v>
      </c>
      <c r="DE121">
        <f>CY121+CZ121*DA121/DB121</f>
        <v>0.20170763346279985</v>
      </c>
      <c r="DF121">
        <f>1+DC121*(CU121*CX121+CU121*DB121)^-1</f>
        <v>1.0004425829805086</v>
      </c>
      <c r="DG121">
        <f>(DE121*DF121/DD121)^0.5</f>
        <v>106.70168753634455</v>
      </c>
      <c r="DH121">
        <f>DD121/(BO121/60/60)</f>
        <v>2.9065650046054305E-2</v>
      </c>
      <c r="DI121" s="16">
        <f>DF121/((DF121-1)+TANH(DG121*DH121)/(DG121*DH121))</f>
        <v>3.111023936621057</v>
      </c>
      <c r="DJ121">
        <f>$DI121*BR121</f>
        <v>-92.694133069873459</v>
      </c>
      <c r="DK121">
        <f>$DI121*BY121</f>
        <v>-135.52618014460035</v>
      </c>
      <c r="DL121">
        <f>$DI121*CF121</f>
        <v>-20.989247889984547</v>
      </c>
      <c r="DM121">
        <f>$DI121*CM121</f>
        <v>-35.797598190313124</v>
      </c>
    </row>
    <row r="122" spans="1:117" ht="15.75" x14ac:dyDescent="0.25">
      <c r="A122" s="51" t="s">
        <v>335</v>
      </c>
      <c r="B122" s="54" t="s">
        <v>339</v>
      </c>
      <c r="C122" s="48" t="s">
        <v>278</v>
      </c>
      <c r="D122" s="57">
        <v>43236</v>
      </c>
      <c r="E122" s="42" t="str">
        <f>A122&amp;D122</f>
        <v>4C43236</v>
      </c>
      <c r="F122" s="3">
        <f>VLOOKUP($E122,Water!$C$2:$E$90, 2, FALSE)</f>
        <v>17.3</v>
      </c>
      <c r="G122" s="3">
        <f>VLOOKUP($E122,Water!$C$2:$E$90, 3, FALSE)</f>
        <v>0.16</v>
      </c>
      <c r="H122" s="1">
        <f>F122+273.15</f>
        <v>290.45</v>
      </c>
      <c r="I122" s="3">
        <f>VLOOKUP($E122,Water!$C$2:$F$90, 4, FALSE)</f>
        <v>8.77</v>
      </c>
      <c r="J122">
        <f>10^(I122*-1)</f>
        <v>1.6982436524617417E-9</v>
      </c>
      <c r="K122" s="25">
        <f>VLOOKUP($E122,Atm!$D$2:$G$45, 2, FALSE)</f>
        <v>434.70218678237688</v>
      </c>
      <c r="L122" s="25">
        <f>VLOOKUP($E122,Atm!$D$2:$G$45, 3, FALSE)</f>
        <v>2.655282291465269</v>
      </c>
      <c r="M122" s="25">
        <f>VLOOKUP($E122,Atm!$D$2:$G$45, 4, FALSE)</f>
        <v>0.32662616126859711</v>
      </c>
      <c r="N122" s="21">
        <f>VLOOKUP($C122,Raw!$B$2:$F$353, 3, FALSE)</f>
        <v>331.51400000000001</v>
      </c>
      <c r="O122" s="21">
        <f>VLOOKUP($C122,Raw!$B$2:$F$353, 4, FALSE)</f>
        <v>469.95699999999999</v>
      </c>
      <c r="P122" s="21">
        <f>VLOOKUP($C122,Raw!$B$2:$F$353, 5, FALSE)</f>
        <v>0.30299999999999999</v>
      </c>
      <c r="Q122" s="14">
        <v>60</v>
      </c>
      <c r="R122" s="25">
        <v>1140</v>
      </c>
      <c r="S122">
        <f>EXP(24.4543-(100/H122*(67.4509))-(4.8489*LN(H122/100))-(0.000544*G122))</f>
        <v>1.9470071971488312E-2</v>
      </c>
      <c r="T122" s="8">
        <f>EXP(-58.0931+90.5069*(100/H122)+22.294*LN(H122/100)+G122*(0.027766-0.025888*(H122/100)+0.0050578*(H122/100)^2)*G122)</f>
        <v>4.2380344826898994E-2</v>
      </c>
      <c r="U122" s="9">
        <f>(EXP(-67.1962+99.1624*(100/H122)+27.9015*LN(H122/100)+G122*(-0.072909+0.041674*(H122/100)-0.0064603*(H122/100)^2)*G122))</f>
        <v>3.669477908866757E-2</v>
      </c>
      <c r="V122" s="9">
        <f>(EXP(-64.8539+100.252*(100/H122)+25.2049*LN(H122/100)+(-0.062544+0.035337*(H122/100)-0.0054699*(H122/100)^2)*G122))</f>
        <v>3.131167398645239E-2</v>
      </c>
      <c r="W122" s="9">
        <f>(EXP(-68.8862+101.4956*(100/H122)+28.7314*LN(H122/100)+G122*(-0.076146+0.04397*(H122/100)-0.0068672*(H122/100)^2)))</f>
        <v>3.6597285940207724E-2</v>
      </c>
      <c r="X122">
        <f>N122*(AZ122-S122)</f>
        <v>302.68220356044407</v>
      </c>
      <c r="Y122">
        <f>O122*(AZ122-S122)</f>
        <v>429.0848058864953</v>
      </c>
      <c r="Z122">
        <f>((Y122/10^6)*AZ122)/(0.082056*H122)</f>
        <v>1.6788436539228827E-5</v>
      </c>
      <c r="AA122">
        <f>(((L122/10^6)*AZ122)/(0.082056*H122))</f>
        <v>1.0389097360812836E-7</v>
      </c>
      <c r="AB122">
        <f>((Y122/10^6)*U122*1)/(0.082056*H122)</f>
        <v>6.6064125474650561E-7</v>
      </c>
      <c r="AC122">
        <f>(Z122*(Q122/1000))+(AB122*(R122/1000))</f>
        <v>1.7604372227647459E-6</v>
      </c>
      <c r="AD122" s="39">
        <f>((AC122-(AA122*(Q122/1000)))/(R122/1000))*1000000</f>
        <v>1.5387752318844372</v>
      </c>
      <c r="AE122" s="39">
        <f>(AD122/((U122*AZ122*1))*(0.0821*273.15))</f>
        <v>1008.4780064947053</v>
      </c>
      <c r="AF122" s="39">
        <f>L122*U122*AZ122*1/(0.0821*273.15)</f>
        <v>4.0515336947901607E-3</v>
      </c>
      <c r="AG122" s="39">
        <f>AD122-AF122</f>
        <v>1.534723698189647</v>
      </c>
      <c r="AH122" s="42">
        <f>P122*(AZ122-S122)</f>
        <v>0.27664806819263904</v>
      </c>
      <c r="AI122">
        <f>(((X122/10^6)*(Q122/1000))/(0.082056*H122))</f>
        <v>7.6200253139799679E-7</v>
      </c>
      <c r="AJ122">
        <f>(((K122/10^6)*AZ122)*(Q122/1000))/(0.082056*H122)</f>
        <v>1.0204933816543169E-6</v>
      </c>
      <c r="AK122">
        <f>(X122/10^6)*T122*(R122/1000)</f>
        <v>1.4623664822237267E-5</v>
      </c>
      <c r="AL122">
        <f>AI122+AK122</f>
        <v>1.5385667353635263E-5</v>
      </c>
      <c r="AM122" s="39">
        <f>((AL122-AJ122)/(R122/1000))*1000000</f>
        <v>12.601029799983287</v>
      </c>
      <c r="AN122" s="39">
        <f>AM122/(T122*AZ122)</f>
        <v>318.85461860924465</v>
      </c>
      <c r="AO122" s="39">
        <f>(K122*AZ122)*T122</f>
        <v>17.179287644177208</v>
      </c>
      <c r="AP122" s="39">
        <f>AM122-AO122</f>
        <v>-4.5782578441939208</v>
      </c>
      <c r="AQ122">
        <f>(((AH122/10^6)*(Q122/1000))/(0.082056*H122))</f>
        <v>6.9646158839021269E-10</v>
      </c>
      <c r="AR122">
        <f>(((M122/10^6)*AZ122)*(Q122/1000))/(0.082056*H122)</f>
        <v>7.6677745358715561E-10</v>
      </c>
      <c r="AS122">
        <f>(AH122/10^6)*V122*(R122/1000)</f>
        <v>9.8750380970619269E-9</v>
      </c>
      <c r="AT122">
        <f>AQ122+AS122</f>
        <v>1.0571499685452139E-8</v>
      </c>
      <c r="AU122" s="39">
        <f>((AT122-AR122)/(R122/1000))*1000000000</f>
        <v>8.6006335367236701</v>
      </c>
      <c r="AV122" s="39">
        <f>(AU122/1000)/(V122*AZ122)</f>
        <v>0.29456104797142174</v>
      </c>
      <c r="AW122" s="39">
        <f>(M122*AZ122)*V122*1000</f>
        <v>9.5368750753852467</v>
      </c>
      <c r="AX122" s="39">
        <f>AU122-AW122</f>
        <v>-0.93624153866157656</v>
      </c>
      <c r="AY122" s="26">
        <f>VLOOKUP($E122,Water!$C$2:$G$90, 5, FALSE)</f>
        <v>708.7</v>
      </c>
      <c r="AZ122">
        <f>AY122/760</f>
        <v>0.93250000000000011</v>
      </c>
      <c r="BA122" s="3">
        <f>Assumptions!$B$3</f>
        <v>406.07</v>
      </c>
      <c r="BB122" s="3">
        <f>BA122*AZ122*T122</f>
        <v>16.047753026748403</v>
      </c>
      <c r="BC122" s="3">
        <f>Assumptions!$B$4</f>
        <v>1.8474300000000001</v>
      </c>
      <c r="BD122" s="45">
        <f>BC122*AZ122*U122*1/(0.0821*273.15)</f>
        <v>2.8188810349184259E-3</v>
      </c>
      <c r="BE122" s="3">
        <f>Assumptions!$B$2</f>
        <v>0.33054499999999998</v>
      </c>
      <c r="BF122" s="44">
        <f>BE122*AZ122*V122*1000</f>
        <v>9.6512978615969036</v>
      </c>
      <c r="BG122">
        <f>1923.6+(-125.06*F122)+(4.3773*(F122^2))+(-0.085681*(F122^3))+(0.00070284*(F122^4))</f>
        <v>689.46869118464417</v>
      </c>
      <c r="BH122">
        <f>1909.4+(-120.78*F122)+(4.1555*(F122^2))+(-0.080578*(F122^3))+(0.00065777*(F122^4))</f>
        <v>705.3149361358569</v>
      </c>
      <c r="BI122">
        <f>2141.2+(-152.56*F122)+(5.8963*(F122^2))+(-0.12411*(F122^3))+(0.0010655*(F122^4))</f>
        <v>719.45080424854984</v>
      </c>
      <c r="BJ122" s="25">
        <f>VLOOKUP(E122,Wind!$C$2:$E$109,3, FALSE)</f>
        <v>4.333333333333333</v>
      </c>
      <c r="BK122" s="44">
        <v>1.66</v>
      </c>
      <c r="BL122">
        <f>BK122/(1-(((1.3*10^-3)^0.5)/0.41)*LN(10/1.5))</f>
        <v>1.9923982880693825</v>
      </c>
      <c r="BM122">
        <f>BK122*1.22</f>
        <v>2.0251999999999999</v>
      </c>
      <c r="BN122">
        <f>2.07+0.215*(BM122^1.7)*(24/100)</f>
        <v>2.241255750541113</v>
      </c>
      <c r="BO122">
        <f>BN122*((600/BG122)^0.67)</f>
        <v>2.0419636483620547</v>
      </c>
      <c r="BP122">
        <f>BN122*((600/BH122)^0.67)</f>
        <v>2.0111112271645477</v>
      </c>
      <c r="BQ122">
        <f>BN122*((600/BI122)^0.67)</f>
        <v>1.9845498663126415</v>
      </c>
      <c r="BR122" s="39">
        <f>BO122*(AM122-BB122)</f>
        <v>-7.0380835350195285</v>
      </c>
      <c r="BS122" s="39">
        <f>BP122*(AD122-BD122)</f>
        <v>3.0889790616281565</v>
      </c>
      <c r="BT122" s="39">
        <f>BQ122*(AU122-BF122)</f>
        <v>-2.0850957454666372</v>
      </c>
      <c r="BU122">
        <f>(2.51+1.48*BM122)+(0.39*BM122*LOG10(0.0015))</f>
        <v>3.2768938069574309</v>
      </c>
      <c r="BV122">
        <f>BU122*((600/$BG122)^0.67)</f>
        <v>2.9855129347618266</v>
      </c>
      <c r="BW122">
        <f>BU122*((600/$BH122)^0.67)</f>
        <v>2.9404042460602606</v>
      </c>
      <c r="BX122">
        <f>BU122*((600/$BI122)^0.67)</f>
        <v>2.9015694281868618</v>
      </c>
      <c r="BY122" s="39">
        <f>BV122*($AM122-$BB122)</f>
        <v>-10.290236776051273</v>
      </c>
      <c r="BZ122" s="39">
        <f>BW122*($AD122-$BD122)</f>
        <v>4.5163325758011483</v>
      </c>
      <c r="CA122" s="39">
        <f>BX122*($AU122-$BF122)</f>
        <v>-3.0485754843387634</v>
      </c>
      <c r="CB122" s="42">
        <f>AVERAGE(0.72,0.69,0.4,0.22)</f>
        <v>0.50750000000000006</v>
      </c>
      <c r="CC122">
        <f>CB122*((600/$BG122)^0.67)</f>
        <v>0.46237318132638222</v>
      </c>
      <c r="CD122">
        <f>CB122*((600/$BH122)^0.67)</f>
        <v>0.45538709606861782</v>
      </c>
      <c r="CE122">
        <f>CB122*((600/$BI122)^0.67)</f>
        <v>0.44937265946133292</v>
      </c>
      <c r="CF122" s="39">
        <f>CC122*($AM122-$BB122)</f>
        <v>-1.5936723835109201</v>
      </c>
      <c r="CG122" s="39">
        <f>CD122*($AD122-$BD122)</f>
        <v>0.69945470230151352</v>
      </c>
      <c r="CH122" s="39">
        <f>CE122*($AU122-$BF122)</f>
        <v>-0.47213982186943082</v>
      </c>
      <c r="CI122">
        <v>0.86263901889527161</v>
      </c>
      <c r="CJ122">
        <f>((BG122/BH122)^0.67)*CI122</f>
        <v>0.84960524017266303</v>
      </c>
      <c r="CK122">
        <f>((BH122/BH122)^0.67)*CI122</f>
        <v>0.86263901889527161</v>
      </c>
      <c r="CL122">
        <f>((BI122/BH122)^0.67)*CI122</f>
        <v>0.87418464274416208</v>
      </c>
      <c r="CM122" s="39">
        <f>CJ122*($AM122-$BB122)</f>
        <v>-2.9283541148844723</v>
      </c>
      <c r="CN122" s="39">
        <f>CK122*($AD122-$BD122)</f>
        <v>1.3249758795627906</v>
      </c>
      <c r="CO122" s="39">
        <f>CL122*($AU122-$BF122)</f>
        <v>-0.9184746174833438</v>
      </c>
      <c r="CP122" s="27">
        <f>VLOOKUP(A122,Water!$A$2:$E$109, 5, FALSE)/1000</f>
        <v>1.4999999999999999E-4</v>
      </c>
      <c r="CQ122">
        <f>0.64*CP122</f>
        <v>9.5999999999999989E-5</v>
      </c>
      <c r="CR122" s="19">
        <f>CQ122*1000*(2.5*10^-5)</f>
        <v>2.3999999999999999E-6</v>
      </c>
      <c r="CS122" s="18">
        <f>(-0.0000009*F122^3)+(0.0002*F122^2)-(0.0134*F122)+6.579</f>
        <v>6.4023780546999998</v>
      </c>
      <c r="CT122" s="18">
        <f>CS122-(SQRT(CP122))/(1+1.4*SQRT(CP122))</f>
        <v>6.3903370659353866</v>
      </c>
      <c r="CU122" s="18">
        <f>10^(-CT122)</f>
        <v>4.0706422326596762E-7</v>
      </c>
      <c r="CV122" s="18">
        <f>(0.000001*F122^3)+(0.00006*F122^2)-(0.014*F122)+10.625</f>
        <v>10.405935117</v>
      </c>
      <c r="CW122" s="18">
        <f>CV122-(2*SQRT(CR122))/(1+1.4*SQRT(CR122))</f>
        <v>10.402843435779767</v>
      </c>
      <c r="CX122" s="18">
        <f>10^(-CW122)</f>
        <v>3.9550917639360771E-11</v>
      </c>
      <c r="CY122">
        <f>EXP(1246.98+-61900/H122-183*LN(H122))</f>
        <v>1.814191073496765E-2</v>
      </c>
      <c r="CZ122">
        <f>12.225*(F122^2)+15.258*F122+1125.7</f>
        <v>5048.4836500000001</v>
      </c>
      <c r="DA122" s="15">
        <f>10^(-4470.99/H122+6.0875-0.01706*H122)</f>
        <v>5.4840611754130965E-15</v>
      </c>
      <c r="DB122">
        <f>(10^-I122)</f>
        <v>1.6982436524617417E-9</v>
      </c>
      <c r="DC122">
        <f>DB122^2</f>
        <v>2.8840315031265969E-18</v>
      </c>
      <c r="DD122" s="20">
        <f>((14.6836*10^-9)*((H122/217.2056)-1)^1.997)*100*100</f>
        <v>1.6751575164892157E-5</v>
      </c>
      <c r="DE122">
        <f>CY122+CZ122*DA122/DB122</f>
        <v>3.4444749929767184E-2</v>
      </c>
      <c r="DF122">
        <f>1+DC122*(CU122*CX122+CU122*DB122)^-1</f>
        <v>1.0040769804604945</v>
      </c>
      <c r="DG122">
        <f>(DE122*DF122/DD122)^0.5</f>
        <v>45.437789800800317</v>
      </c>
      <c r="DH122">
        <f>DD122/(BO122/60/60)</f>
        <v>2.9533175402992842E-2</v>
      </c>
      <c r="DI122" s="16">
        <f>DF122/((DF122-1)+TANH(DG122*DH122)/(DG122*DH122))</f>
        <v>1.5353085962792994</v>
      </c>
      <c r="DJ122">
        <f>$DI122*BR122</f>
        <v>-10.805630152647282</v>
      </c>
      <c r="DK122">
        <f>$DI122*BY122</f>
        <v>-15.798688980020904</v>
      </c>
      <c r="DL122">
        <f>$DI122*CF122</f>
        <v>-2.4467789100572359</v>
      </c>
      <c r="DM122">
        <f>$DI122*CM122</f>
        <v>-4.4959272455319894</v>
      </c>
    </row>
    <row r="123" spans="1:117" ht="15.75" x14ac:dyDescent="0.25">
      <c r="A123" s="52" t="s">
        <v>335</v>
      </c>
      <c r="B123" s="55" t="s">
        <v>340</v>
      </c>
      <c r="C123" t="s">
        <v>279</v>
      </c>
      <c r="D123" s="57">
        <v>43236</v>
      </c>
      <c r="E123" s="42" t="str">
        <f>A123&amp;D123</f>
        <v>4C43236</v>
      </c>
      <c r="F123" s="3">
        <f>VLOOKUP($E123,Water!$C$2:$E$90, 2, FALSE)</f>
        <v>17.3</v>
      </c>
      <c r="G123" s="3">
        <f>VLOOKUP($E123,Water!$C$2:$E$90, 3, FALSE)</f>
        <v>0.16</v>
      </c>
      <c r="H123" s="1">
        <f>F123+273.15</f>
        <v>290.45</v>
      </c>
      <c r="I123" s="3">
        <f>VLOOKUP($E123,Water!$C$2:$F$90, 4, FALSE)</f>
        <v>8.77</v>
      </c>
      <c r="J123">
        <f>10^(I123*-1)</f>
        <v>1.6982436524617417E-9</v>
      </c>
      <c r="K123" s="25">
        <f>VLOOKUP($E123,Atm!$D$2:$G$45, 2, FALSE)</f>
        <v>434.70218678237688</v>
      </c>
      <c r="L123" s="25">
        <f>VLOOKUP($E123,Atm!$D$2:$G$45, 3, FALSE)</f>
        <v>2.655282291465269</v>
      </c>
      <c r="M123" s="25">
        <f>VLOOKUP($E123,Atm!$D$2:$G$45, 4, FALSE)</f>
        <v>0.32662616126859711</v>
      </c>
      <c r="N123" s="21">
        <f>VLOOKUP($C123,Raw!$B$2:$F$353, 3, FALSE)</f>
        <v>302.84689670656638</v>
      </c>
      <c r="O123" s="21">
        <f>VLOOKUP($C123,Raw!$B$2:$F$353, 4, FALSE)</f>
        <v>465.07885126088672</v>
      </c>
      <c r="P123" s="21">
        <f>VLOOKUP($C123,Raw!$B$2:$F$353, 5, FALSE)</f>
        <v>0.32642608529267764</v>
      </c>
      <c r="Q123" s="14">
        <v>60</v>
      </c>
      <c r="R123" s="25">
        <v>1140</v>
      </c>
      <c r="S123">
        <f>EXP(24.4543-(100/H123*(67.4509))-(4.8489*LN(H123/100))-(0.000544*G123))</f>
        <v>1.9470071971488312E-2</v>
      </c>
      <c r="T123" s="8">
        <f>EXP(-58.0931+90.5069*(100/H123)+22.294*LN(H123/100)+G123*(0.027766-0.025888*(H123/100)+0.0050578*(H123/100)^2)*G123)</f>
        <v>4.2380344826898994E-2</v>
      </c>
      <c r="U123" s="9">
        <f>(EXP(-67.1962+99.1624*(100/H123)+27.9015*LN(H123/100)+G123*(-0.072909+0.041674*(H123/100)-0.0064603*(H123/100)^2)*G123))</f>
        <v>3.669477908866757E-2</v>
      </c>
      <c r="V123" s="9">
        <f>(EXP(-64.8539+100.252*(100/H123)+25.2049*LN(H123/100)+(-0.062544+0.035337*(H123/100)-0.0054699*(H123/100)^2)*G123))</f>
        <v>3.131167398645239E-2</v>
      </c>
      <c r="W123" s="9">
        <f>(EXP(-68.8862+101.4956*(100/H123)+28.7314*LN(H123/100)+G123*(-0.076146+0.04397*(H123/100)-0.0068672*(H123/100)^2)))</f>
        <v>3.6597285940207724E-2</v>
      </c>
      <c r="X123">
        <f>N123*(AZ123-S123)</f>
        <v>276.50828030365443</v>
      </c>
      <c r="Y123">
        <f>O123*(AZ123-S123)</f>
        <v>424.63091009431037</v>
      </c>
      <c r="Z123">
        <f>((Y123/10^6)*AZ123)/(0.082056*H123)</f>
        <v>1.6614172743742173E-5</v>
      </c>
      <c r="AA123">
        <f>(((L123/10^6)*AZ123)/(0.082056*H123))</f>
        <v>1.0389097360812836E-7</v>
      </c>
      <c r="AB123">
        <f>((Y123/10^6)*U123*1)/(0.082056*H123)</f>
        <v>6.5378380543976501E-7</v>
      </c>
      <c r="AC123">
        <f>(Z123*(Q123/1000))+(AB123*(R123/1000))</f>
        <v>1.7421639028258624E-6</v>
      </c>
      <c r="AD123" s="39">
        <f>((AC123-(AA123*(Q123/1000)))/(R123/1000))*1000000</f>
        <v>1.5227460038678726</v>
      </c>
      <c r="AE123" s="39">
        <f>(AD123/((U123*AZ123*1))*(0.0821*273.15))</f>
        <v>997.97281796499533</v>
      </c>
      <c r="AF123" s="39">
        <f>L123*U123*AZ123*1/(0.0821*273.15)</f>
        <v>4.0515336947901607E-3</v>
      </c>
      <c r="AG123" s="39">
        <f>AD123-AF123</f>
        <v>1.5186944701730825</v>
      </c>
      <c r="AH123" s="42">
        <f>P123*(AZ123-S123)</f>
        <v>0.29803678516140231</v>
      </c>
      <c r="AI123">
        <f>(((X123/10^6)*(Q123/1000))/(0.082056*H123))</f>
        <v>6.9610967234093048E-7</v>
      </c>
      <c r="AJ123">
        <f>(((K123/10^6)*AZ123)*(Q123/1000))/(0.082056*H123)</f>
        <v>1.0204933816543169E-6</v>
      </c>
      <c r="AK123">
        <f>(X123/10^6)*T123*(R123/1000)</f>
        <v>1.3359108544108359E-5</v>
      </c>
      <c r="AL123">
        <f>AI123+AK123</f>
        <v>1.405521821644929E-5</v>
      </c>
      <c r="AM123" s="39">
        <f>((AL123-AJ123)/(R123/1000))*1000000</f>
        <v>11.433969153328924</v>
      </c>
      <c r="AN123" s="39">
        <f>AM123/(T123*AZ123)</f>
        <v>289.3234863692964</v>
      </c>
      <c r="AO123" s="39">
        <f>(K123*AZ123)*T123</f>
        <v>17.179287644177208</v>
      </c>
      <c r="AP123" s="39">
        <f>AM123-AO123</f>
        <v>-5.7453184908482839</v>
      </c>
      <c r="AQ123">
        <f>(((AH123/10^6)*(Q123/1000))/(0.082056*H123))</f>
        <v>7.5030768929022218E-10</v>
      </c>
      <c r="AR123">
        <f>(((M123/10^6)*AZ123)*(Q123/1000))/(0.082056*H123)</f>
        <v>7.6677745358715561E-10</v>
      </c>
      <c r="AS123">
        <f>(AH123/10^6)*V123*(R123/1000)</f>
        <v>1.0638514944356364E-8</v>
      </c>
      <c r="AT123">
        <f>AQ123+AS123</f>
        <v>1.1388822633646586E-8</v>
      </c>
      <c r="AU123" s="39">
        <f>((AT123-AR123)/(R123/1000))*1000000000</f>
        <v>9.3175834912802031</v>
      </c>
      <c r="AV123" s="39">
        <f>(AU123/1000)/(V123*AZ123)</f>
        <v>0.31911569607443635</v>
      </c>
      <c r="AW123" s="39">
        <f>(M123*AZ123)*V123*1000</f>
        <v>9.5368750753852467</v>
      </c>
      <c r="AX123" s="39">
        <f>AU123-AW123</f>
        <v>-0.21929158410504357</v>
      </c>
      <c r="AY123" s="26">
        <f>VLOOKUP($E123,Water!$C$2:$G$90, 5, FALSE)</f>
        <v>708.7</v>
      </c>
      <c r="AZ123">
        <f>AY123/760</f>
        <v>0.93250000000000011</v>
      </c>
      <c r="BA123" s="3">
        <f>Assumptions!$B$3</f>
        <v>406.07</v>
      </c>
      <c r="BB123" s="3">
        <f>BA123*AZ123*T123</f>
        <v>16.047753026748403</v>
      </c>
      <c r="BC123" s="3">
        <f>Assumptions!$B$4</f>
        <v>1.8474300000000001</v>
      </c>
      <c r="BD123" s="45">
        <f>BC123*AZ123*U123*1/(0.0821*273.15)</f>
        <v>2.8188810349184259E-3</v>
      </c>
      <c r="BE123" s="3">
        <f>Assumptions!$B$2</f>
        <v>0.33054499999999998</v>
      </c>
      <c r="BF123" s="44">
        <f>BE123*AZ123*V123*1000</f>
        <v>9.6512978615969036</v>
      </c>
      <c r="BG123">
        <f>1923.6+(-125.06*F123)+(4.3773*(F123^2))+(-0.085681*(F123^3))+(0.00070284*(F123^4))</f>
        <v>689.46869118464417</v>
      </c>
      <c r="BH123">
        <f>1909.4+(-120.78*F123)+(4.1555*(F123^2))+(-0.080578*(F123^3))+(0.00065777*(F123^4))</f>
        <v>705.3149361358569</v>
      </c>
      <c r="BI123">
        <f>2141.2+(-152.56*F123)+(5.8963*(F123^2))+(-0.12411*(F123^3))+(0.0010655*(F123^4))</f>
        <v>719.45080424854984</v>
      </c>
      <c r="BJ123" s="25">
        <f>VLOOKUP(E123,Wind!$C$2:$E$109,3, FALSE)</f>
        <v>4.333333333333333</v>
      </c>
      <c r="BK123" s="44">
        <v>1.66</v>
      </c>
      <c r="BL123">
        <f>BK123/(1-(((1.3*10^-3)^0.5)/0.41)*LN(10/1.5))</f>
        <v>1.9923982880693825</v>
      </c>
      <c r="BM123">
        <f>BK123*1.22</f>
        <v>2.0251999999999999</v>
      </c>
      <c r="BN123">
        <f>2.07+0.215*(BM123^1.7)*(24/100)</f>
        <v>2.241255750541113</v>
      </c>
      <c r="BO123">
        <f>BN123*((600/BG123)^0.67)</f>
        <v>2.0419636483620547</v>
      </c>
      <c r="BP123">
        <f>BN123*((600/BH123)^0.67)</f>
        <v>2.0111112271645477</v>
      </c>
      <c r="BQ123">
        <f>BN123*((600/BI123)^0.67)</f>
        <v>1.9845498663126415</v>
      </c>
      <c r="BR123" s="39">
        <f>BO123*(AM123-BB123)</f>
        <v>-9.4211789509216519</v>
      </c>
      <c r="BS123" s="39">
        <f>BP123*(AD123-BD123)</f>
        <v>3.056742501201263</v>
      </c>
      <c r="BT123" s="39">
        <f>BQ123*(AU123-BF123)</f>
        <v>-0.66227280899861529</v>
      </c>
      <c r="BU123">
        <f>(2.51+1.48*BM123)+(0.39*BM123*LOG10(0.0015))</f>
        <v>3.2768938069574309</v>
      </c>
      <c r="BV123">
        <f>BU123*((600/$BG123)^0.67)</f>
        <v>2.9855129347618266</v>
      </c>
      <c r="BW123">
        <f>BU123*((600/$BH123)^0.67)</f>
        <v>2.9404042460602606</v>
      </c>
      <c r="BX123">
        <f>BU123*((600/$BI123)^0.67)</f>
        <v>2.9015694281868618</v>
      </c>
      <c r="BY123" s="39">
        <f>BV123*($AM123-$BB123)</f>
        <v>-13.774511432289376</v>
      </c>
      <c r="BZ123" s="39">
        <f>BW123*($AD123-$BD123)</f>
        <v>4.4692001656801743</v>
      </c>
      <c r="CA123" s="39">
        <f>BX123*($AU123-$BF123)</f>
        <v>-0.9682954146575673</v>
      </c>
      <c r="CB123" s="42">
        <f>AVERAGE(0.72,0.69,0.4,0.22)</f>
        <v>0.50750000000000006</v>
      </c>
      <c r="CC123">
        <f>CB123*((600/$BG123)^0.67)</f>
        <v>0.46237318132638222</v>
      </c>
      <c r="CD123">
        <f>CB123*((600/$BH123)^0.67)</f>
        <v>0.45538709606861782</v>
      </c>
      <c r="CE123">
        <f>CB123*((600/$BI123)^0.67)</f>
        <v>0.44937265946133292</v>
      </c>
      <c r="CF123" s="39">
        <f>CC123*($AM123-$BB123)</f>
        <v>-2.1332899275053228</v>
      </c>
      <c r="CG123" s="39">
        <f>CD123*($AD123-$BD123)</f>
        <v>0.69215519870282849</v>
      </c>
      <c r="CH123" s="39">
        <f>CE123*($AU123-$BF123)</f>
        <v>-0.1499621140896798</v>
      </c>
      <c r="CI123">
        <v>0.86263901889527161</v>
      </c>
      <c r="CJ123">
        <f>((BG123/BH123)^0.67)*CI123</f>
        <v>0.84960524017266303</v>
      </c>
      <c r="CK123">
        <f>((BH123/BH123)^0.67)*CI123</f>
        <v>0.86263901889527161</v>
      </c>
      <c r="CL123">
        <f>((BI123/BH123)^0.67)*CI123</f>
        <v>0.87418464274416208</v>
      </c>
      <c r="CM123" s="39">
        <f>CJ123*($AM123-$BB123)</f>
        <v>-3.9198949558813156</v>
      </c>
      <c r="CN123" s="39">
        <f>CK123*($AD123-$BD123)</f>
        <v>1.3111484420329327</v>
      </c>
      <c r="CO123" s="39">
        <f>CL123*($AU123-$BF123)</f>
        <v>-0.29172797759389779</v>
      </c>
      <c r="CP123" s="27">
        <f>VLOOKUP(A123,Water!$A$2:$E$109, 5, FALSE)/1000</f>
        <v>1.4999999999999999E-4</v>
      </c>
      <c r="CQ123">
        <f>0.64*CP123</f>
        <v>9.5999999999999989E-5</v>
      </c>
      <c r="CR123" s="19">
        <f>CQ123*1000*(2.5*10^-5)</f>
        <v>2.3999999999999999E-6</v>
      </c>
      <c r="CS123" s="18">
        <f>(-0.0000009*F123^3)+(0.0002*F123^2)-(0.0134*F123)+6.579</f>
        <v>6.4023780546999998</v>
      </c>
      <c r="CT123" s="18">
        <f>CS123-(SQRT(CP123))/(1+1.4*SQRT(CP123))</f>
        <v>6.3903370659353866</v>
      </c>
      <c r="CU123" s="18">
        <f>10^(-CT123)</f>
        <v>4.0706422326596762E-7</v>
      </c>
      <c r="CV123" s="18">
        <f>(0.000001*F123^3)+(0.00006*F123^2)-(0.014*F123)+10.625</f>
        <v>10.405935117</v>
      </c>
      <c r="CW123" s="18">
        <f>CV123-(2*SQRT(CR123))/(1+1.4*SQRT(CR123))</f>
        <v>10.402843435779767</v>
      </c>
      <c r="CX123" s="18">
        <f>10^(-CW123)</f>
        <v>3.9550917639360771E-11</v>
      </c>
      <c r="CY123">
        <f>EXP(1246.98+-61900/H123-183*LN(H123))</f>
        <v>1.814191073496765E-2</v>
      </c>
      <c r="CZ123">
        <f>12.225*(F123^2)+15.258*F123+1125.7</f>
        <v>5048.4836500000001</v>
      </c>
      <c r="DA123" s="15">
        <f>10^(-4470.99/H123+6.0875-0.01706*H123)</f>
        <v>5.4840611754130965E-15</v>
      </c>
      <c r="DB123">
        <f>(10^-I123)</f>
        <v>1.6982436524617417E-9</v>
      </c>
      <c r="DC123">
        <f>DB123^2</f>
        <v>2.8840315031265969E-18</v>
      </c>
      <c r="DD123" s="20">
        <f>((14.6836*10^-9)*((H123/217.2056)-1)^1.997)*100*100</f>
        <v>1.6751575164892157E-5</v>
      </c>
      <c r="DE123">
        <f>CY123+CZ123*DA123/DB123</f>
        <v>3.4444749929767184E-2</v>
      </c>
      <c r="DF123">
        <f>1+DC123*(CU123*CX123+CU123*DB123)^-1</f>
        <v>1.0040769804604945</v>
      </c>
      <c r="DG123">
        <f>(DE123*DF123/DD123)^0.5</f>
        <v>45.437789800800317</v>
      </c>
      <c r="DH123">
        <f>DD123/(BO123/60/60)</f>
        <v>2.9533175402992842E-2</v>
      </c>
      <c r="DI123" s="16">
        <f>DF123/((DF123-1)+TANH(DG123*DH123)/(DG123*DH123))</f>
        <v>1.5353085962792994</v>
      </c>
      <c r="DJ123">
        <f>$DI123*BR123</f>
        <v>-14.464417030435603</v>
      </c>
      <c r="DK123">
        <f>$DI123*BY123</f>
        <v>-21.148125811541362</v>
      </c>
      <c r="DL123">
        <f>$DI123*CF123</f>
        <v>-3.2752583640549653</v>
      </c>
      <c r="DM123">
        <f>$DI123*CM123</f>
        <v>-6.0182484222764492</v>
      </c>
    </row>
    <row r="124" spans="1:117" ht="15.75" x14ac:dyDescent="0.25">
      <c r="A124" s="52" t="s">
        <v>335</v>
      </c>
      <c r="B124" s="55" t="s">
        <v>341</v>
      </c>
      <c r="C124" t="s">
        <v>280</v>
      </c>
      <c r="D124" s="57">
        <v>43236</v>
      </c>
      <c r="E124" s="42" t="str">
        <f>A124&amp;D124</f>
        <v>4C43236</v>
      </c>
      <c r="F124" s="3">
        <f>VLOOKUP($E124,Water!$C$2:$E$90, 2, FALSE)</f>
        <v>17.3</v>
      </c>
      <c r="G124" s="3">
        <f>VLOOKUP($E124,Water!$C$2:$E$90, 3, FALSE)</f>
        <v>0.16</v>
      </c>
      <c r="H124" s="1">
        <f>F124+273.15</f>
        <v>290.45</v>
      </c>
      <c r="I124" s="3">
        <f>VLOOKUP($E124,Water!$C$2:$F$90, 4, FALSE)</f>
        <v>8.77</v>
      </c>
      <c r="J124">
        <f>10^(I124*-1)</f>
        <v>1.6982436524617417E-9</v>
      </c>
      <c r="K124" s="25">
        <f>VLOOKUP($E124,Atm!$D$2:$G$45, 2, FALSE)</f>
        <v>434.70218678237688</v>
      </c>
      <c r="L124" s="25">
        <f>VLOOKUP($E124,Atm!$D$2:$G$45, 3, FALSE)</f>
        <v>2.655282291465269</v>
      </c>
      <c r="M124" s="25">
        <f>VLOOKUP($E124,Atm!$D$2:$G$45, 4, FALSE)</f>
        <v>0.32662616126859711</v>
      </c>
      <c r="N124" s="21">
        <f>VLOOKUP($C124,Raw!$B$2:$F$353, 3, FALSE)</f>
        <v>305.61652066061748</v>
      </c>
      <c r="O124" s="21">
        <f>VLOOKUP($C124,Raw!$B$2:$F$353, 4, FALSE)</f>
        <v>495.78624282681483</v>
      </c>
      <c r="P124" s="21">
        <f>VLOOKUP($C124,Raw!$B$2:$F$353, 5, FALSE)</f>
        <v>0.33258257657532353</v>
      </c>
      <c r="Q124" s="14">
        <v>60</v>
      </c>
      <c r="R124" s="25">
        <v>1140</v>
      </c>
      <c r="S124">
        <f>EXP(24.4543-(100/H124*(67.4509))-(4.8489*LN(H124/100))-(0.000544*G124))</f>
        <v>1.9470071971488312E-2</v>
      </c>
      <c r="T124" s="8">
        <f>EXP(-58.0931+90.5069*(100/H124)+22.294*LN(H124/100)+G124*(0.027766-0.025888*(H124/100)+0.0050578*(H124/100)^2)*G124)</f>
        <v>4.2380344826898994E-2</v>
      </c>
      <c r="U124" s="9">
        <f>(EXP(-67.1962+99.1624*(100/H124)+27.9015*LN(H124/100)+G124*(-0.072909+0.041674*(H124/100)-0.0064603*(H124/100)^2)*G124))</f>
        <v>3.669477908866757E-2</v>
      </c>
      <c r="V124" s="9">
        <f>(EXP(-64.8539+100.252*(100/H124)+25.2049*LN(H124/100)+(-0.062544+0.035337*(H124/100)-0.0054699*(H124/100)^2)*G124))</f>
        <v>3.131167398645239E-2</v>
      </c>
      <c r="W124" s="9">
        <f>(EXP(-68.8862+101.4956*(100/H124)+28.7314*LN(H124/100)+G124*(-0.076146+0.04397*(H124/100)-0.0068672*(H124/100)^2)))</f>
        <v>3.6597285940207724E-2</v>
      </c>
      <c r="X124">
        <f>N124*(AZ124-S124)</f>
        <v>279.03702986308775</v>
      </c>
      <c r="Y124">
        <f>O124*(AZ124-S124)</f>
        <v>452.66767760569303</v>
      </c>
      <c r="Z124">
        <f>((Y124/10^6)*AZ124)/(0.082056*H124)</f>
        <v>1.7711143518919124E-5</v>
      </c>
      <c r="AA124">
        <f>(((L124/10^6)*AZ124)/(0.082056*H124))</f>
        <v>1.0389097360812836E-7</v>
      </c>
      <c r="AB124">
        <f>((Y124/10^6)*U124*1)/(0.082056*H124)</f>
        <v>6.9695066899133892E-7</v>
      </c>
      <c r="AC124">
        <f>(Z124*(Q124/1000))+(AB124*(R124/1000))</f>
        <v>1.8571923737852736E-6</v>
      </c>
      <c r="AD124" s="39">
        <f>((AC124-(AA124*(Q124/1000)))/(R124/1000))*1000000</f>
        <v>1.6236481713761282</v>
      </c>
      <c r="AE124" s="39">
        <f>(AD124/((U124*AZ124*1))*(0.0821*273.15))</f>
        <v>1064.1017851014788</v>
      </c>
      <c r="AF124" s="39">
        <f>L124*U124*AZ124*1/(0.0821*273.15)</f>
        <v>4.0515336947901607E-3</v>
      </c>
      <c r="AG124" s="39">
        <f>AD124-AF124</f>
        <v>1.619596637681338</v>
      </c>
      <c r="AH124" s="42">
        <f>P124*(AZ124-S124)</f>
        <v>0.30365784595410467</v>
      </c>
      <c r="AI124">
        <f>(((X124/10^6)*(Q124/1000))/(0.082056*H124))</f>
        <v>7.0247580005803281E-7</v>
      </c>
      <c r="AJ124">
        <f>(((K124/10^6)*AZ124)*(Q124/1000))/(0.082056*H124)</f>
        <v>1.0204933816543169E-6</v>
      </c>
      <c r="AK124">
        <f>(X124/10^6)*T124*(R124/1000)</f>
        <v>1.3481281521381362E-5</v>
      </c>
      <c r="AL124">
        <f>AI124+AK124</f>
        <v>1.4183757321439395E-5</v>
      </c>
      <c r="AM124" s="39">
        <f>((AL124-AJ124)/(R124/1000))*1000000</f>
        <v>11.546722754197438</v>
      </c>
      <c r="AN124" s="39">
        <f>AM124/(T124*AZ124)</f>
        <v>292.17658702633923</v>
      </c>
      <c r="AO124" s="39">
        <f>(K124*AZ124)*T124</f>
        <v>17.179287644177208</v>
      </c>
      <c r="AP124" s="39">
        <f>AM124-AO124</f>
        <v>-5.6325648899797702</v>
      </c>
      <c r="AQ124">
        <f>(((AH124/10^6)*(Q124/1000))/(0.082056*H124))</f>
        <v>7.6445871139458557E-10</v>
      </c>
      <c r="AR124">
        <f>(((M124/10^6)*AZ124)*(Q124/1000))/(0.082056*H124)</f>
        <v>7.6677745358715561E-10</v>
      </c>
      <c r="AS124">
        <f>(AH124/10^6)*V124*(R124/1000)</f>
        <v>1.0839160442575368E-8</v>
      </c>
      <c r="AT124">
        <f>AQ124+AS124</f>
        <v>1.1603619153969953E-8</v>
      </c>
      <c r="AU124" s="39">
        <f>((AT124-AR124)/(R124/1000))*1000000000</f>
        <v>9.5060014915638593</v>
      </c>
      <c r="AV124" s="39">
        <f>(AU124/1000)/(V124*AZ124)</f>
        <v>0.32556877925525696</v>
      </c>
      <c r="AW124" s="39">
        <f>(M124*AZ124)*V124*1000</f>
        <v>9.5368750753852467</v>
      </c>
      <c r="AX124" s="39">
        <f>AU124-AW124</f>
        <v>-3.0873583821387385E-2</v>
      </c>
      <c r="AY124" s="26">
        <f>VLOOKUP($E124,Water!$C$2:$G$90, 5, FALSE)</f>
        <v>708.7</v>
      </c>
      <c r="AZ124">
        <f>AY124/760</f>
        <v>0.93250000000000011</v>
      </c>
      <c r="BA124" s="3">
        <f>Assumptions!$B$3</f>
        <v>406.07</v>
      </c>
      <c r="BB124" s="3">
        <f>BA124*AZ124*T124</f>
        <v>16.047753026748403</v>
      </c>
      <c r="BC124" s="3">
        <f>Assumptions!$B$4</f>
        <v>1.8474300000000001</v>
      </c>
      <c r="BD124" s="45">
        <f>BC124*AZ124*U124*1/(0.0821*273.15)</f>
        <v>2.8188810349184259E-3</v>
      </c>
      <c r="BE124" s="3">
        <f>Assumptions!$B$2</f>
        <v>0.33054499999999998</v>
      </c>
      <c r="BF124" s="44">
        <f>BE124*AZ124*V124*1000</f>
        <v>9.6512978615969036</v>
      </c>
      <c r="BG124">
        <f>1923.6+(-125.06*F124)+(4.3773*(F124^2))+(-0.085681*(F124^3))+(0.00070284*(F124^4))</f>
        <v>689.46869118464417</v>
      </c>
      <c r="BH124">
        <f>1909.4+(-120.78*F124)+(4.1555*(F124^2))+(-0.080578*(F124^3))+(0.00065777*(F124^4))</f>
        <v>705.3149361358569</v>
      </c>
      <c r="BI124">
        <f>2141.2+(-152.56*F124)+(5.8963*(F124^2))+(-0.12411*(F124^3))+(0.0010655*(F124^4))</f>
        <v>719.45080424854984</v>
      </c>
      <c r="BJ124" s="25">
        <f>VLOOKUP(E124,Wind!$C$2:$E$109,3, FALSE)</f>
        <v>4.333333333333333</v>
      </c>
      <c r="BK124" s="44">
        <v>1.66</v>
      </c>
      <c r="BL124">
        <f>BK124/(1-(((1.3*10^-3)^0.5)/0.41)*LN(10/1.5))</f>
        <v>1.9923982880693825</v>
      </c>
      <c r="BM124">
        <f>BK124*1.22</f>
        <v>2.0251999999999999</v>
      </c>
      <c r="BN124">
        <f>2.07+0.215*(BM124^1.7)*(24/100)</f>
        <v>2.241255750541113</v>
      </c>
      <c r="BO124">
        <f>BN124*((600/BG124)^0.67)</f>
        <v>2.0419636483620547</v>
      </c>
      <c r="BP124">
        <f>BN124*((600/BH124)^0.67)</f>
        <v>2.0111112271645477</v>
      </c>
      <c r="BQ124">
        <f>BN124*((600/BI124)^0.67)</f>
        <v>1.9845498663126415</v>
      </c>
      <c r="BR124" s="39">
        <f>BO124*(AM124-BB124)</f>
        <v>-9.1909401967262223</v>
      </c>
      <c r="BS124" s="39">
        <f>BP124*(AD124-BD124)</f>
        <v>3.2596679831223536</v>
      </c>
      <c r="BT124" s="39">
        <f>BQ124*(AU124-BF124)</f>
        <v>-0.28834789172479014</v>
      </c>
      <c r="BU124">
        <f>(2.51+1.48*BM124)+(0.39*BM124*LOG10(0.0015))</f>
        <v>3.2768938069574309</v>
      </c>
      <c r="BV124">
        <f>BU124*((600/$BG124)^0.67)</f>
        <v>2.9855129347618266</v>
      </c>
      <c r="BW124">
        <f>BU124*((600/$BH124)^0.67)</f>
        <v>2.9404042460602606</v>
      </c>
      <c r="BX124">
        <f>BU124*((600/$BI124)^0.67)</f>
        <v>2.9015694281868618</v>
      </c>
      <c r="BY124" s="39">
        <f>BV124*($AM124-$BB124)</f>
        <v>-13.437884098455456</v>
      </c>
      <c r="BZ124" s="39">
        <f>BW124*($AD124-$BD124)</f>
        <v>4.7658933274581328</v>
      </c>
      <c r="CA124" s="39">
        <f>BX124*($AU124-$BF124)</f>
        <v>-0.42158750531440703</v>
      </c>
      <c r="CB124" s="42">
        <f>AVERAGE(0.72,0.69,0.4,0.22)</f>
        <v>0.50750000000000006</v>
      </c>
      <c r="CC124">
        <f>CB124*((600/$BG124)^0.67)</f>
        <v>0.46237318132638222</v>
      </c>
      <c r="CD124">
        <f>CB124*((600/$BH124)^0.67)</f>
        <v>0.45538709606861782</v>
      </c>
      <c r="CE124">
        <f>CB124*((600/$BI124)^0.67)</f>
        <v>0.44937265946133292</v>
      </c>
      <c r="CF124" s="39">
        <f>CC124*($AM124-$BB124)</f>
        <v>-2.0811556863657428</v>
      </c>
      <c r="CG124" s="39">
        <f>CD124*($AD124-$BD124)</f>
        <v>0.73810474375144219</v>
      </c>
      <c r="CH124" s="39">
        <f>CE124*($AU124-$BF124)</f>
        <v>-6.5292216211827028E-2</v>
      </c>
      <c r="CI124">
        <v>0.86263901889527161</v>
      </c>
      <c r="CJ124">
        <f>((BG124/BH124)^0.67)*CI124</f>
        <v>0.84960524017266303</v>
      </c>
      <c r="CK124">
        <f>((BH124/BH124)^0.67)*CI124</f>
        <v>0.86263901889527161</v>
      </c>
      <c r="CL124">
        <f>((BI124/BH124)^0.67)*CI124</f>
        <v>0.87418464274416208</v>
      </c>
      <c r="CM124" s="39">
        <f>CJ124*($AM124-$BB124)</f>
        <v>-3.8240989057350894</v>
      </c>
      <c r="CN124" s="39">
        <f>CK124*($AD124-$BD124)</f>
        <v>1.3981905888166606</v>
      </c>
      <c r="CO124" s="39">
        <f>CL124*($AU124-$BF124)</f>
        <v>-0.12701585532936041</v>
      </c>
      <c r="CP124" s="27">
        <f>VLOOKUP(A124,Water!$A$2:$E$109, 5, FALSE)/1000</f>
        <v>1.4999999999999999E-4</v>
      </c>
      <c r="CQ124">
        <f>0.64*CP124</f>
        <v>9.5999999999999989E-5</v>
      </c>
      <c r="CR124" s="19">
        <f>CQ124*1000*(2.5*10^-5)</f>
        <v>2.3999999999999999E-6</v>
      </c>
      <c r="CS124" s="18">
        <f>(-0.0000009*F124^3)+(0.0002*F124^2)-(0.0134*F124)+6.579</f>
        <v>6.4023780546999998</v>
      </c>
      <c r="CT124" s="18">
        <f>CS124-(SQRT(CP124))/(1+1.4*SQRT(CP124))</f>
        <v>6.3903370659353866</v>
      </c>
      <c r="CU124" s="18">
        <f>10^(-CT124)</f>
        <v>4.0706422326596762E-7</v>
      </c>
      <c r="CV124" s="18">
        <f>(0.000001*F124^3)+(0.00006*F124^2)-(0.014*F124)+10.625</f>
        <v>10.405935117</v>
      </c>
      <c r="CW124" s="18">
        <f>CV124-(2*SQRT(CR124))/(1+1.4*SQRT(CR124))</f>
        <v>10.402843435779767</v>
      </c>
      <c r="CX124" s="18">
        <f>10^(-CW124)</f>
        <v>3.9550917639360771E-11</v>
      </c>
      <c r="CY124">
        <f>EXP(1246.98+-61900/H124-183*LN(H124))</f>
        <v>1.814191073496765E-2</v>
      </c>
      <c r="CZ124">
        <f>12.225*(F124^2)+15.258*F124+1125.7</f>
        <v>5048.4836500000001</v>
      </c>
      <c r="DA124" s="15">
        <f>10^(-4470.99/H124+6.0875-0.01706*H124)</f>
        <v>5.4840611754130965E-15</v>
      </c>
      <c r="DB124">
        <f>(10^-I124)</f>
        <v>1.6982436524617417E-9</v>
      </c>
      <c r="DC124">
        <f>DB124^2</f>
        <v>2.8840315031265969E-18</v>
      </c>
      <c r="DD124" s="20">
        <f>((14.6836*10^-9)*((H124/217.2056)-1)^1.997)*100*100</f>
        <v>1.6751575164892157E-5</v>
      </c>
      <c r="DE124">
        <f>CY124+CZ124*DA124/DB124</f>
        <v>3.4444749929767184E-2</v>
      </c>
      <c r="DF124">
        <f>1+DC124*(CU124*CX124+CU124*DB124)^-1</f>
        <v>1.0040769804604945</v>
      </c>
      <c r="DG124">
        <f>(DE124*DF124/DD124)^0.5</f>
        <v>45.437789800800317</v>
      </c>
      <c r="DH124">
        <f>DD124/(BO124/60/60)</f>
        <v>2.9533175402992842E-2</v>
      </c>
      <c r="DI124" s="16">
        <f>DF124/((DF124-1)+TANH(DG124*DH124)/(DG124*DH124))</f>
        <v>1.5353085962792994</v>
      </c>
      <c r="DJ124">
        <f>$DI124*BR124</f>
        <v>-14.110929491922723</v>
      </c>
      <c r="DK124">
        <f>$DI124*BY124</f>
        <v>-20.631298972163563</v>
      </c>
      <c r="DL124">
        <f>$DI124*CF124</f>
        <v>-3.1952162154728705</v>
      </c>
      <c r="DM124">
        <f>$DI124*CM124</f>
        <v>-5.8711719229973447</v>
      </c>
    </row>
    <row r="125" spans="1:117" ht="15.75" x14ac:dyDescent="0.25">
      <c r="A125" s="51" t="s">
        <v>335</v>
      </c>
      <c r="B125" s="54" t="s">
        <v>342</v>
      </c>
      <c r="C125" s="48" t="s">
        <v>281</v>
      </c>
      <c r="D125" s="57">
        <v>43236</v>
      </c>
      <c r="E125" s="42" t="str">
        <f>A125&amp;D125</f>
        <v>4C43236</v>
      </c>
      <c r="F125" s="3">
        <f>VLOOKUP($E125,Water!$C$2:$E$90, 2, FALSE)</f>
        <v>17.3</v>
      </c>
      <c r="G125" s="3">
        <f>VLOOKUP($E125,Water!$C$2:$E$90, 3, FALSE)</f>
        <v>0.16</v>
      </c>
      <c r="H125" s="1">
        <f>F125+273.15</f>
        <v>290.45</v>
      </c>
      <c r="I125" s="3">
        <f>VLOOKUP($E125,Water!$C$2:$F$90, 4, FALSE)</f>
        <v>8.77</v>
      </c>
      <c r="J125">
        <f>10^(I125*-1)</f>
        <v>1.6982436524617417E-9</v>
      </c>
      <c r="K125" s="25">
        <f>VLOOKUP($E125,Atm!$D$2:$G$45, 2, FALSE)</f>
        <v>434.70218678237688</v>
      </c>
      <c r="L125" s="25">
        <f>VLOOKUP($E125,Atm!$D$2:$G$45, 3, FALSE)</f>
        <v>2.655282291465269</v>
      </c>
      <c r="M125" s="25">
        <f>VLOOKUP($E125,Atm!$D$2:$G$45, 4, FALSE)</f>
        <v>0.32662616126859711</v>
      </c>
      <c r="N125" s="21">
        <f>VLOOKUP($C125,Raw!$B$2:$F$353, 3, FALSE)</f>
        <v>342.58100000000002</v>
      </c>
      <c r="O125" s="21">
        <f>VLOOKUP($C125,Raw!$B$2:$F$353, 4, FALSE)</f>
        <v>504.42200000000003</v>
      </c>
      <c r="P125" s="21">
        <f>VLOOKUP($C125,Raw!$B$2:$F$353, 5, FALSE)</f>
        <v>0.31</v>
      </c>
      <c r="Q125" s="14">
        <v>60</v>
      </c>
      <c r="R125" s="25">
        <v>1140</v>
      </c>
      <c r="S125">
        <f>EXP(24.4543-(100/H125*(67.4509))-(4.8489*LN(H125/100))-(0.000544*G125))</f>
        <v>1.9470071971488312E-2</v>
      </c>
      <c r="T125" s="8">
        <f>EXP(-58.0931+90.5069*(100/H125)+22.294*LN(H125/100)+G125*(0.027766-0.025888*(H125/100)+0.0050578*(H125/100)^2)*G125)</f>
        <v>4.2380344826898994E-2</v>
      </c>
      <c r="U125" s="9">
        <f>(EXP(-67.1962+99.1624*(100/H125)+27.9015*LN(H125/100)+G125*(-0.072909+0.041674*(H125/100)-0.0064603*(H125/100)^2)*G125))</f>
        <v>3.669477908866757E-2</v>
      </c>
      <c r="V125" s="9">
        <f>(EXP(-64.8539+100.252*(100/H125)+25.2049*LN(H125/100)+(-0.062544+0.035337*(H125/100)-0.0054699*(H125/100)^2)*G125))</f>
        <v>3.131167398645239E-2</v>
      </c>
      <c r="W125" s="9">
        <f>(EXP(-68.8862+101.4956*(100/H125)+28.7314*LN(H125/100)+G125*(-0.076146+0.04397*(H125/100)-0.0068672*(H125/100)^2)))</f>
        <v>3.6597285940207724E-2</v>
      </c>
      <c r="X125">
        <f>N125*(AZ125-S125)</f>
        <v>312.78670577393564</v>
      </c>
      <c r="Y125">
        <f>O125*(AZ125-S125)</f>
        <v>460.55238235599802</v>
      </c>
      <c r="Z125">
        <f>((Y125/10^6)*AZ125)/(0.082056*H125)</f>
        <v>1.8019641660813403E-5</v>
      </c>
      <c r="AA125">
        <f>(((L125/10^6)*AZ125)/(0.082056*H125))</f>
        <v>1.0389097360812836E-7</v>
      </c>
      <c r="AB125">
        <f>((Y125/10^6)*U125*1)/(0.082056*H125)</f>
        <v>7.0909036997372506E-7</v>
      </c>
      <c r="AC125">
        <f>(Z125*(Q125/1000))+(AB125*(R125/1000))</f>
        <v>1.8895415214188506E-6</v>
      </c>
      <c r="AD125" s="39">
        <f>((AC125-(AA125*(Q125/1000)))/(R125/1000))*1000000</f>
        <v>1.6520246166687396</v>
      </c>
      <c r="AE125" s="39">
        <f>(AD125/((U125*AZ125*1))*(0.0821*273.15))</f>
        <v>1082.6990567413745</v>
      </c>
      <c r="AF125" s="39">
        <f>L125*U125*AZ125*1/(0.0821*273.15)</f>
        <v>4.0515336947901607E-3</v>
      </c>
      <c r="AG125" s="39">
        <f>AD125-AF125</f>
        <v>1.6479730829739494</v>
      </c>
      <c r="AH125" s="42">
        <f>P125*(AZ125-S125)</f>
        <v>0.28303927768883863</v>
      </c>
      <c r="AI125">
        <f>(((X125/10^6)*(Q125/1000))/(0.082056*H125))</f>
        <v>7.8744061852246711E-7</v>
      </c>
      <c r="AJ125">
        <f>(((K125/10^6)*AZ125)*(Q125/1000))/(0.082056*H125)</f>
        <v>1.0204933816543169E-6</v>
      </c>
      <c r="AK125">
        <f>(X125/10^6)*T125*(R125/1000)</f>
        <v>1.5111849630684875E-5</v>
      </c>
      <c r="AL125">
        <f>AI125+AK125</f>
        <v>1.5899290249207344E-5</v>
      </c>
      <c r="AM125" s="39">
        <f>((AL125-AJ125)/(R125/1000))*1000000</f>
        <v>13.051576199607918</v>
      </c>
      <c r="AN125" s="39">
        <f>AM125/(T125*AZ125)</f>
        <v>330.25517893632764</v>
      </c>
      <c r="AO125" s="39">
        <f>(K125*AZ125)*T125</f>
        <v>17.179287644177208</v>
      </c>
      <c r="AP125" s="39">
        <f>AM125-AO125</f>
        <v>-4.1277114445692895</v>
      </c>
      <c r="AQ125">
        <f>(((AH125/10^6)*(Q125/1000))/(0.082056*H125))</f>
        <v>7.1255146006919456E-10</v>
      </c>
      <c r="AR125">
        <f>(((M125/10^6)*AZ125)*(Q125/1000))/(0.082056*H125)</f>
        <v>7.6677745358715561E-10</v>
      </c>
      <c r="AS125">
        <f>(AH125/10^6)*V125*(R125/1000)</f>
        <v>1.0103174290723426E-8</v>
      </c>
      <c r="AT125">
        <f>AQ125+AS125</f>
        <v>1.0815725750792621E-8</v>
      </c>
      <c r="AU125" s="39">
        <f>((AT125-AR125)/(R125/1000))*1000000000</f>
        <v>8.8148669273732168</v>
      </c>
      <c r="AV125" s="39">
        <f>(AU125/1000)/(V125*AZ125)</f>
        <v>0.3018982763035849</v>
      </c>
      <c r="AW125" s="39">
        <f>(M125*AZ125)*V125*1000</f>
        <v>9.5368750753852467</v>
      </c>
      <c r="AX125" s="39">
        <f>AU125-AW125</f>
        <v>-0.72200814801202995</v>
      </c>
      <c r="AY125" s="26">
        <f>VLOOKUP($E125,Water!$C$2:$G$90, 5, FALSE)</f>
        <v>708.7</v>
      </c>
      <c r="AZ125">
        <f>AY125/760</f>
        <v>0.93250000000000011</v>
      </c>
      <c r="BA125" s="3">
        <f>Assumptions!$B$3</f>
        <v>406.07</v>
      </c>
      <c r="BB125" s="3">
        <f>BA125*AZ125*T125</f>
        <v>16.047753026748403</v>
      </c>
      <c r="BC125" s="3">
        <f>Assumptions!$B$4</f>
        <v>1.8474300000000001</v>
      </c>
      <c r="BD125" s="45">
        <f>BC125*AZ125*U125*1/(0.0821*273.15)</f>
        <v>2.8188810349184259E-3</v>
      </c>
      <c r="BE125" s="3">
        <f>Assumptions!$B$2</f>
        <v>0.33054499999999998</v>
      </c>
      <c r="BF125" s="44">
        <f>BE125*AZ125*V125*1000</f>
        <v>9.6512978615969036</v>
      </c>
      <c r="BG125">
        <f>1923.6+(-125.06*F125)+(4.3773*(F125^2))+(-0.085681*(F125^3))+(0.00070284*(F125^4))</f>
        <v>689.46869118464417</v>
      </c>
      <c r="BH125">
        <f>1909.4+(-120.78*F125)+(4.1555*(F125^2))+(-0.080578*(F125^3))+(0.00065777*(F125^4))</f>
        <v>705.3149361358569</v>
      </c>
      <c r="BI125">
        <f>2141.2+(-152.56*F125)+(5.8963*(F125^2))+(-0.12411*(F125^3))+(0.0010655*(F125^4))</f>
        <v>719.45080424854984</v>
      </c>
      <c r="BJ125" s="25">
        <f>VLOOKUP(E125,Wind!$C$2:$E$109,3, FALSE)</f>
        <v>4.333333333333333</v>
      </c>
      <c r="BK125" s="44">
        <v>1.66</v>
      </c>
      <c r="BL125">
        <f>BK125/(1-(((1.3*10^-3)^0.5)/0.41)*LN(10/1.5))</f>
        <v>1.9923982880693825</v>
      </c>
      <c r="BM125">
        <f>BK125*1.22</f>
        <v>2.0251999999999999</v>
      </c>
      <c r="BN125">
        <f>2.07+0.215*(BM125^1.7)*(24/100)</f>
        <v>2.241255750541113</v>
      </c>
      <c r="BO125">
        <f>BN125*((600/BG125)^0.67)</f>
        <v>2.0419636483620547</v>
      </c>
      <c r="BP125">
        <f>BN125*((600/BH125)^0.67)</f>
        <v>2.0111112271645477</v>
      </c>
      <c r="BQ125">
        <f>BN125*((600/BI125)^0.67)</f>
        <v>1.9845498663126415</v>
      </c>
      <c r="BR125" s="39">
        <f>BO125*(AM125-BB125)</f>
        <v>-6.1180841650856284</v>
      </c>
      <c r="BS125" s="39">
        <f>BP125*(AD125-BD125)</f>
        <v>3.3167361708373448</v>
      </c>
      <c r="BT125" s="39">
        <f>BQ125*(AU125-BF125)</f>
        <v>-1.6599388986933756</v>
      </c>
      <c r="BU125">
        <f>(2.51+1.48*BM125)+(0.39*BM125*LOG10(0.0015))</f>
        <v>3.2768938069574309</v>
      </c>
      <c r="BV125">
        <f>BU125*((600/$BG125)^0.67)</f>
        <v>2.9855129347618266</v>
      </c>
      <c r="BW125">
        <f>BU125*((600/$BH125)^0.67)</f>
        <v>2.9404042460602606</v>
      </c>
      <c r="BX125">
        <f>BU125*((600/$BI125)^0.67)</f>
        <v>2.9015694281868618</v>
      </c>
      <c r="BY125" s="39">
        <f>BV125*($AM125-$BB125)</f>
        <v>-8.9451246722615654</v>
      </c>
      <c r="BZ125" s="39">
        <f>BW125*($AD125-$BD125)</f>
        <v>4.8493315476846233</v>
      </c>
      <c r="CA125" s="39">
        <f>BX125*($AU125-$BF125)</f>
        <v>-2.4269624275332258</v>
      </c>
      <c r="CB125" s="42">
        <f>AVERAGE(0.72,0.69,0.4,0.22)</f>
        <v>0.50750000000000006</v>
      </c>
      <c r="CC125">
        <f>CB125*((600/$BG125)^0.67)</f>
        <v>0.46237318132638222</v>
      </c>
      <c r="CD125">
        <f>CB125*((600/$BH125)^0.67)</f>
        <v>0.45538709606861782</v>
      </c>
      <c r="CE125">
        <f>CB125*((600/$BI125)^0.67)</f>
        <v>0.44937265946133292</v>
      </c>
      <c r="CF125" s="39">
        <f>CC125*($AM125-$BB125)</f>
        <v>-1.3853518113813317</v>
      </c>
      <c r="CG125" s="39">
        <f>CD125*($AD125-$BD125)</f>
        <v>0.75102701076999445</v>
      </c>
      <c r="CH125" s="39">
        <f>CE125*($AU125-$BF125)</f>
        <v>-0.37586919336782537</v>
      </c>
      <c r="CI125">
        <v>0.86263901889527161</v>
      </c>
      <c r="CJ125">
        <f>((BG125/BH125)^0.67)*CI125</f>
        <v>0.84960524017266303</v>
      </c>
      <c r="CK125">
        <f>((BH125/BH125)^0.67)*CI125</f>
        <v>0.86263901889527161</v>
      </c>
      <c r="CL125">
        <f>((BI125/BH125)^0.67)*CI125</f>
        <v>0.87418464274416208</v>
      </c>
      <c r="CM125" s="39">
        <f>CJ125*($AM125-$BB125)</f>
        <v>-2.5455675328224587</v>
      </c>
      <c r="CN125" s="39">
        <f>CK125*($AD125-$BD125)</f>
        <v>1.4226692177436142</v>
      </c>
      <c r="CO125" s="39">
        <f>CL125*($AU125-$BF125)</f>
        <v>-0.73119507741449941</v>
      </c>
      <c r="CP125" s="27">
        <f>VLOOKUP(A125,Water!$A$2:$E$109, 5, FALSE)/1000</f>
        <v>1.4999999999999999E-4</v>
      </c>
      <c r="CQ125">
        <f>0.64*CP125</f>
        <v>9.5999999999999989E-5</v>
      </c>
      <c r="CR125" s="19">
        <f>CQ125*1000*(2.5*10^-5)</f>
        <v>2.3999999999999999E-6</v>
      </c>
      <c r="CS125" s="18">
        <f>(-0.0000009*F125^3)+(0.0002*F125^2)-(0.0134*F125)+6.579</f>
        <v>6.4023780546999998</v>
      </c>
      <c r="CT125" s="18">
        <f>CS125-(SQRT(CP125))/(1+1.4*SQRT(CP125))</f>
        <v>6.3903370659353866</v>
      </c>
      <c r="CU125" s="18">
        <f>10^(-CT125)</f>
        <v>4.0706422326596762E-7</v>
      </c>
      <c r="CV125" s="18">
        <f>(0.000001*F125^3)+(0.00006*F125^2)-(0.014*F125)+10.625</f>
        <v>10.405935117</v>
      </c>
      <c r="CW125" s="18">
        <f>CV125-(2*SQRT(CR125))/(1+1.4*SQRT(CR125))</f>
        <v>10.402843435779767</v>
      </c>
      <c r="CX125" s="18">
        <f>10^(-CW125)</f>
        <v>3.9550917639360771E-11</v>
      </c>
      <c r="CY125">
        <f>EXP(1246.98+-61900/H125-183*LN(H125))</f>
        <v>1.814191073496765E-2</v>
      </c>
      <c r="CZ125">
        <f>12.225*(F125^2)+15.258*F125+1125.7</f>
        <v>5048.4836500000001</v>
      </c>
      <c r="DA125" s="15">
        <f>10^(-4470.99/H125+6.0875-0.01706*H125)</f>
        <v>5.4840611754130965E-15</v>
      </c>
      <c r="DB125">
        <f>(10^-I125)</f>
        <v>1.6982436524617417E-9</v>
      </c>
      <c r="DC125">
        <f>DB125^2</f>
        <v>2.8840315031265969E-18</v>
      </c>
      <c r="DD125" s="20">
        <f>((14.6836*10^-9)*((H125/217.2056)-1)^1.997)*100*100</f>
        <v>1.6751575164892157E-5</v>
      </c>
      <c r="DE125">
        <f>CY125+CZ125*DA125/DB125</f>
        <v>3.4444749929767184E-2</v>
      </c>
      <c r="DF125">
        <f>1+DC125*(CU125*CX125+CU125*DB125)^-1</f>
        <v>1.0040769804604945</v>
      </c>
      <c r="DG125">
        <f>(DE125*DF125/DD125)^0.5</f>
        <v>45.437789800800317</v>
      </c>
      <c r="DH125">
        <f>DD125/(BO125/60/60)</f>
        <v>2.9533175402992842E-2</v>
      </c>
      <c r="DI125" s="16">
        <f>DF125/((DF125-1)+TANH(DG125*DH125)/(DG125*DH125))</f>
        <v>1.5353085962792994</v>
      </c>
      <c r="DJ125">
        <f>$DI125*BR125</f>
        <v>-9.3931472114162258</v>
      </c>
      <c r="DK125">
        <f>$DI125*BY125</f>
        <v>-13.733526804113232</v>
      </c>
      <c r="DL125">
        <f>$DI125*CF125</f>
        <v>-2.1269425448848569</v>
      </c>
      <c r="DM125">
        <f>$DI125*CM125</f>
        <v>-3.9082317155518087</v>
      </c>
    </row>
    <row r="126" spans="1:117" ht="15.75" x14ac:dyDescent="0.25">
      <c r="A126" s="52" t="s">
        <v>329</v>
      </c>
      <c r="B126" s="55" t="s">
        <v>339</v>
      </c>
      <c r="C126" t="s">
        <v>283</v>
      </c>
      <c r="D126" s="57">
        <v>43236</v>
      </c>
      <c r="E126" s="42" t="str">
        <f>A126&amp;D126</f>
        <v>56A43236</v>
      </c>
      <c r="F126" s="3">
        <f>VLOOKUP($E126,Water!$C$2:$E$90, 2, FALSE)</f>
        <v>16</v>
      </c>
      <c r="G126" s="3">
        <f>VLOOKUP($E126,Water!$C$2:$E$90, 3, FALSE)</f>
        <v>1.35</v>
      </c>
      <c r="H126" s="1">
        <f>F126+273.15</f>
        <v>289.14999999999998</v>
      </c>
      <c r="I126" s="3">
        <f>VLOOKUP($E126,Water!$C$2:$F$90, 4, FALSE)</f>
        <v>8.73</v>
      </c>
      <c r="J126">
        <f>10^(I126*-1)</f>
        <v>1.8620871366628641E-9</v>
      </c>
      <c r="K126" s="25">
        <f>VLOOKUP($E126,Atm!$D$2:$G$45, 2, FALSE)</f>
        <v>422.58476255726799</v>
      </c>
      <c r="L126" s="25">
        <f>VLOOKUP($E126,Atm!$D$2:$G$45, 3, FALSE)</f>
        <v>2.1751753364776509</v>
      </c>
      <c r="M126" s="25">
        <f>VLOOKUP($E126,Atm!$D$2:$G$45, 4, FALSE)</f>
        <v>0.32783178910496813</v>
      </c>
      <c r="N126" s="21">
        <f>VLOOKUP($C126,Raw!$B$2:$F$353, 3, FALSE)</f>
        <v>295.91668307267628</v>
      </c>
      <c r="O126" s="21">
        <f>VLOOKUP($C126,Raw!$B$2:$F$353, 4, FALSE)</f>
        <v>3.197636470089201</v>
      </c>
      <c r="P126" s="21">
        <f>VLOOKUP($C126,Raw!$B$2:$F$353, 5, FALSE)</f>
        <v>0.3755742692152666</v>
      </c>
      <c r="Q126" s="14">
        <v>60</v>
      </c>
      <c r="R126" s="25">
        <v>1140</v>
      </c>
      <c r="S126">
        <f>EXP(24.4543-(100/H126*(67.4509))-(4.8489*LN(H126/100))-(0.000544*G126))</f>
        <v>1.7913846857311233E-2</v>
      </c>
      <c r="T126" s="8">
        <f>EXP(-58.0931+90.5069*(100/H126)+22.294*LN(H126/100)+G126*(0.027766-0.025888*(H126/100)+0.0050578*(H126/100)^2)*G126)</f>
        <v>4.3734817892624969E-2</v>
      </c>
      <c r="U126" s="9">
        <f>(EXP(-67.1962+99.1624*(100/H126)+27.9015*LN(H126/100)+G126*(-0.072909+0.041674*(H126/100)-0.0064603*(H126/100)^2)*G126))</f>
        <v>3.7316187572798441E-2</v>
      </c>
      <c r="V126" s="9">
        <f>(EXP(-64.8539+100.252*(100/H126)+25.2049*LN(H126/100)+(-0.062544+0.035337*(H126/100)-0.0054699*(H126/100)^2)*G126))</f>
        <v>3.2422135240330108E-2</v>
      </c>
      <c r="W126" s="9">
        <f>(EXP(-68.8862+101.4956*(100/H126)+28.7314*LN(H126/100)+G126*(-0.076146+0.04397*(H126/100)-0.0068672*(H126/100)^2)))</f>
        <v>3.7357943094606487E-2</v>
      </c>
      <c r="X126">
        <f>N126*(AZ126-S126)</f>
        <v>266.28042338742796</v>
      </c>
      <c r="Y126">
        <f>O126*(AZ126-S126)</f>
        <v>2.8773909745579132</v>
      </c>
      <c r="Z126">
        <f>((Y126/10^6)*AZ126)/(0.082056*H126)</f>
        <v>1.1130020328281161E-7</v>
      </c>
      <c r="AA126">
        <f>(((L126/10^6)*AZ126)/(0.082056*H126))</f>
        <v>8.4137838502436032E-8</v>
      </c>
      <c r="AB126">
        <f>((Y126/10^6)*U126*1)/(0.082056*H126)</f>
        <v>4.5254586947238953E-9</v>
      </c>
      <c r="AC126">
        <f>(Z126*(Q126/1000))+(AB126*(R126/1000))</f>
        <v>1.1837035108953937E-8</v>
      </c>
      <c r="AD126" s="39">
        <f>((AC126-(AA126*(Q126/1000)))/(R126/1000))*1000000</f>
        <v>5.9550568410594524E-3</v>
      </c>
      <c r="AE126" s="39">
        <f>(AD126/((U126*AZ126*1))*(0.0821*273.15))</f>
        <v>3.8994412906735838</v>
      </c>
      <c r="AF126" s="39">
        <f>L126*U126*AZ126*1/(0.0821*273.15)</f>
        <v>3.3218330018138314E-3</v>
      </c>
      <c r="AG126" s="39">
        <f>AD126-AF126</f>
        <v>2.633223839245621E-3</v>
      </c>
      <c r="AH126" s="42">
        <f>P126*(AZ126-S126)</f>
        <v>0.33796024739674224</v>
      </c>
      <c r="AI126">
        <f>(((X126/10^6)*(Q126/1000))/(0.082056*H126))</f>
        <v>6.7337494029440613E-7</v>
      </c>
      <c r="AJ126">
        <f>(((K126/10^6)*AZ126)*(Q126/1000))/(0.082056*H126)</f>
        <v>9.8075868853524039E-7</v>
      </c>
      <c r="AK126">
        <f>(X126/10^6)*T126*(R126/1000)</f>
        <v>1.3276127440751069E-5</v>
      </c>
      <c r="AL126">
        <f>AI126+AK126</f>
        <v>1.3949502381045474E-5</v>
      </c>
      <c r="AM126" s="39">
        <f>((AL126-AJ126)/(R126/1000))*1000000</f>
        <v>11.376090958342312</v>
      </c>
      <c r="AN126" s="39">
        <f>AM126/(T126*AZ126)</f>
        <v>283.42301499628144</v>
      </c>
      <c r="AO126" s="39">
        <f>(K126*AZ126)*T126</f>
        <v>16.961793651528414</v>
      </c>
      <c r="AP126" s="39">
        <f>AM126-AO126</f>
        <v>-5.5857026931861018</v>
      </c>
      <c r="AQ126">
        <f>(((AH126/10^6)*(Q126/1000))/(0.082056*H126))</f>
        <v>8.5464022671149379E-10</v>
      </c>
      <c r="AR126">
        <f>(((M126/10^6)*AZ126)*(Q126/1000))/(0.082056*H126)</f>
        <v>7.6085061277896336E-10</v>
      </c>
      <c r="AS126">
        <f>(AH126/10^6)*V126*(R126/1000)</f>
        <v>1.2491427845525959E-8</v>
      </c>
      <c r="AT126">
        <f>AQ126+AS126</f>
        <v>1.3346068072237454E-8</v>
      </c>
      <c r="AU126" s="39">
        <f>((AT126-AR126)/(R126/1000))*1000000000</f>
        <v>11.039664438121482</v>
      </c>
      <c r="AV126" s="39">
        <f>(AU126/1000)/(V126*AZ126)</f>
        <v>0.37100831245432442</v>
      </c>
      <c r="AW126" s="39">
        <f>(M126*AZ126)*V126*1000</f>
        <v>9.754910664739942</v>
      </c>
      <c r="AX126" s="39">
        <f>AU126-AW126</f>
        <v>1.2847537733815404</v>
      </c>
      <c r="AY126" s="26">
        <f>VLOOKUP($E126,Water!$C$2:$G$90, 5, FALSE)</f>
        <v>697.5</v>
      </c>
      <c r="AZ126">
        <f>AY126/760</f>
        <v>0.91776315789473684</v>
      </c>
      <c r="BA126" s="3">
        <f>Assumptions!$B$3</f>
        <v>406.07</v>
      </c>
      <c r="BB126" s="3">
        <f>BA126*AZ126*T126</f>
        <v>16.29892073342975</v>
      </c>
      <c r="BC126" s="3">
        <f>Assumptions!$B$4</f>
        <v>1.8474300000000001</v>
      </c>
      <c r="BD126" s="45">
        <f>BC126*AZ126*U126*1/(0.0821*273.15)</f>
        <v>2.8213146037590611E-3</v>
      </c>
      <c r="BE126" s="3">
        <f>Assumptions!$B$2</f>
        <v>0.33054499999999998</v>
      </c>
      <c r="BF126" s="44">
        <f>BE126*AZ126*V126*1000</f>
        <v>9.8356445373393466</v>
      </c>
      <c r="BG126">
        <f>1923.6+(-125.06*F126)+(4.3773*(F126^2))+(-0.085681*(F126^3))+(0.00070284*(F126^4))</f>
        <v>738.34074623999982</v>
      </c>
      <c r="BH126">
        <f>1909.4+(-120.78*F126)+(4.1555*(F126^2))+(-0.080578*(F126^3))+(0.00065777*(F126^4))</f>
        <v>753.78812672000015</v>
      </c>
      <c r="BI126">
        <f>2141.2+(-152.56*F126)+(5.8963*(F126^2))+(-0.12411*(F126^3))+(0.0010655*(F126^4))</f>
        <v>771.16684799999985</v>
      </c>
      <c r="BJ126" s="25">
        <f>VLOOKUP(E126,Wind!$C$2:$E$109,3, FALSE)</f>
        <v>3.7777777777777777</v>
      </c>
      <c r="BK126" s="44">
        <v>1.66</v>
      </c>
      <c r="BL126">
        <f>BK126/(1-(((1.3*10^-3)^0.5)/0.41)*LN(10/1.5))</f>
        <v>1.9923982880693825</v>
      </c>
      <c r="BM126">
        <f>BK126*1.22</f>
        <v>2.0251999999999999</v>
      </c>
      <c r="BN126">
        <f>2.07+0.215*(BM126^1.7)*(24/100)</f>
        <v>2.241255750541113</v>
      </c>
      <c r="BO126">
        <f>BN126*((600/BG126)^0.67)</f>
        <v>1.9503864648598663</v>
      </c>
      <c r="BP126">
        <f>BN126*((600/BH126)^0.67)</f>
        <v>1.9235156703262475</v>
      </c>
      <c r="BQ126">
        <f>BN126*((600/BI126)^0.67)</f>
        <v>1.8943636833087174</v>
      </c>
      <c r="BR126" s="39">
        <f>BO126*(AM126-BB126)</f>
        <v>-9.6014205621396798</v>
      </c>
      <c r="BS126" s="39">
        <f>BP126*(AD126-BD126)</f>
        <v>6.0278023002105366E-3</v>
      </c>
      <c r="BT126" s="39">
        <f>BQ126*(AU126-BF126)</f>
        <v>2.2808515740226429</v>
      </c>
      <c r="BU126">
        <f>(2.51+1.48*BM126)+(0.39*BM126*LOG10(0.0015))</f>
        <v>3.2768938069574309</v>
      </c>
      <c r="BV126">
        <f>BU126*((600/$BG126)^0.67)</f>
        <v>2.8516198235430492</v>
      </c>
      <c r="BW126">
        <f>BU126*((600/$BH126)^0.67)</f>
        <v>2.8123325890656887</v>
      </c>
      <c r="BX126">
        <f>BU126*((600/$BI126)^0.67)</f>
        <v>2.7697100701072057</v>
      </c>
      <c r="BY126" s="39">
        <f>BV126*($AM126-$BB126)</f>
        <v>-14.038038974567309</v>
      </c>
      <c r="BZ126" s="39">
        <f>BW126*($AD126-$BD126)</f>
        <v>8.813125419691514E-3</v>
      </c>
      <c r="CA126" s="39">
        <f>BX126*($AU126-$BF126)</f>
        <v>3.3347860438057602</v>
      </c>
      <c r="CB126" s="42">
        <f>AVERAGE(0.72,0.69,0.4,0.22)</f>
        <v>0.50750000000000006</v>
      </c>
      <c r="CC126">
        <f>CB126*((600/$BG126)^0.67)</f>
        <v>0.44163685053676127</v>
      </c>
      <c r="CD126">
        <f>CB126*((600/$BH126)^0.67)</f>
        <v>0.43555234714060975</v>
      </c>
      <c r="CE126">
        <f>CB126*((600/$BI126)^0.67)</f>
        <v>0.42895130064789039</v>
      </c>
      <c r="CF126" s="39">
        <f>CC126*($AM126-$BB126)</f>
        <v>-2.1741030375982091</v>
      </c>
      <c r="CG126" s="39">
        <f>CD126*($AD126-$BD126)</f>
        <v>1.3649087867898511E-3</v>
      </c>
      <c r="CH126" s="39">
        <f>CE126*($AU126-$BF126)</f>
        <v>0.51646590244644108</v>
      </c>
      <c r="CI126">
        <v>0.86263901889527161</v>
      </c>
      <c r="CJ126">
        <f>((BG126/BH126)^0.67)*CI126</f>
        <v>0.85075429950706416</v>
      </c>
      <c r="CK126">
        <f>((BH126/BH126)^0.67)*CI126</f>
        <v>0.86263901889527161</v>
      </c>
      <c r="CL126">
        <f>((BI126/BH126)^0.67)*CI126</f>
        <v>0.87591399967178574</v>
      </c>
      <c r="CM126" s="39">
        <f>CJ126*($AM126-$BB126)</f>
        <v>-4.1881185968970316</v>
      </c>
      <c r="CN126" s="39">
        <f>CK126*($AD126-$BD126)</f>
        <v>2.7032883290554828E-3</v>
      </c>
      <c r="CO126" s="39">
        <f>CL126*($AU126-$BF126)</f>
        <v>1.0546178869785072</v>
      </c>
      <c r="CP126" s="27">
        <f>VLOOKUP(A126,Water!$A$2:$E$109, 5, FALSE)/1000</f>
        <v>8.0000000000000004E-4</v>
      </c>
      <c r="CQ126">
        <f>0.64*CP126</f>
        <v>5.1200000000000009E-4</v>
      </c>
      <c r="CR126" s="19">
        <f>CQ126*1000*(2.5*10^-5)</f>
        <v>1.2800000000000003E-5</v>
      </c>
      <c r="CS126" s="18">
        <f>(-0.0000009*F126^3)+(0.0002*F126^2)-(0.0134*F126)+6.579</f>
        <v>6.4121135999999996</v>
      </c>
      <c r="CT126" s="18">
        <f>CS126-(SQRT(CP126))/(1+1.4*SQRT(CP126))</f>
        <v>6.3849066682836062</v>
      </c>
      <c r="CU126" s="18">
        <f>10^(-CT126)</f>
        <v>4.1218609010957159E-7</v>
      </c>
      <c r="CV126" s="18">
        <f>(0.000001*F126^3)+(0.00006*F126^2)-(0.014*F126)+10.625</f>
        <v>10.420456</v>
      </c>
      <c r="CW126" s="18">
        <f>CV126-(2*SQRT(CR126))/(1+1.4*SQRT(CR126))</f>
        <v>10.413336243851559</v>
      </c>
      <c r="CX126" s="18">
        <f>10^(-CW126)</f>
        <v>3.8606795588896019E-11</v>
      </c>
      <c r="CY126">
        <f>EXP(1246.98+-61900/H126-183*LN(H126))</f>
        <v>1.5815240452454908E-2</v>
      </c>
      <c r="CZ126">
        <f>12.225*(F126^2)+15.258*F126+1125.7</f>
        <v>4499.4279999999999</v>
      </c>
      <c r="DA126" s="15">
        <f>10^(-4470.99/H126+6.0875-0.01706*H126)</f>
        <v>4.9212213605989281E-15</v>
      </c>
      <c r="DB126">
        <f>(10^-I126)</f>
        <v>1.8620871366628641E-9</v>
      </c>
      <c r="DC126">
        <f>DB126^2</f>
        <v>3.4673685045253038E-18</v>
      </c>
      <c r="DD126" s="20">
        <f>((14.6836*10^-9)*((H126/217.2056)-1)^1.997)*100*100</f>
        <v>1.6163079954240122E-5</v>
      </c>
      <c r="DE126">
        <f>CY126+CZ126*DA126/DB126</f>
        <v>2.7706564305193547E-2</v>
      </c>
      <c r="DF126">
        <f>1+DC126*(CU126*CX126+CU126*DB126)^-1</f>
        <v>1.0044258274698177</v>
      </c>
      <c r="DG126">
        <f>(DE126*DF126/DD126)^0.5</f>
        <v>41.494278048540657</v>
      </c>
      <c r="DH126">
        <f>DD126/(BO126/60/60)</f>
        <v>2.9833619584437143E-2</v>
      </c>
      <c r="DI126" s="16">
        <f>DF126/((DF126-1)+TANH(DG126*DH126)/(DG126*DH126))</f>
        <v>1.4622400666285926</v>
      </c>
      <c r="DJ126">
        <f>$DI126*BR126</f>
        <v>-14.039581842512264</v>
      </c>
      <c r="DK126">
        <f>$DI126*BY126</f>
        <v>-20.526983045506082</v>
      </c>
      <c r="DL126">
        <f>$DI126*CF126</f>
        <v>-3.179060570555031</v>
      </c>
      <c r="DM126">
        <f>$DI126*CM126</f>
        <v>-6.124034816175163</v>
      </c>
    </row>
    <row r="127" spans="1:117" ht="15.75" x14ac:dyDescent="0.25">
      <c r="A127" s="52" t="s">
        <v>329</v>
      </c>
      <c r="B127" s="55" t="s">
        <v>340</v>
      </c>
      <c r="C127" t="s">
        <v>284</v>
      </c>
      <c r="D127" s="57">
        <v>43236</v>
      </c>
      <c r="E127" s="42" t="str">
        <f>A127&amp;D127</f>
        <v>56A43236</v>
      </c>
      <c r="F127" s="3">
        <f>VLOOKUP($E127,Water!$C$2:$E$90, 2, FALSE)</f>
        <v>16</v>
      </c>
      <c r="G127" s="3">
        <f>VLOOKUP($E127,Water!$C$2:$E$90, 3, FALSE)</f>
        <v>1.35</v>
      </c>
      <c r="H127" s="1">
        <f>F127+273.15</f>
        <v>289.14999999999998</v>
      </c>
      <c r="I127" s="3">
        <f>VLOOKUP($E127,Water!$C$2:$F$90, 4, FALSE)</f>
        <v>8.73</v>
      </c>
      <c r="J127">
        <f>10^(I127*-1)</f>
        <v>1.8620871366628641E-9</v>
      </c>
      <c r="K127" s="25">
        <f>VLOOKUP($E127,Atm!$D$2:$G$45, 2, FALSE)</f>
        <v>422.58476255726799</v>
      </c>
      <c r="L127" s="25">
        <f>VLOOKUP($E127,Atm!$D$2:$G$45, 3, FALSE)</f>
        <v>2.1751753364776509</v>
      </c>
      <c r="M127" s="25">
        <f>VLOOKUP($E127,Atm!$D$2:$G$45, 4, FALSE)</f>
        <v>0.32783178910496813</v>
      </c>
      <c r="N127" s="21">
        <f>VLOOKUP($C127,Raw!$B$2:$F$353, 3, FALSE)</f>
        <v>297.92620593848932</v>
      </c>
      <c r="O127" s="21">
        <f>VLOOKUP($C127,Raw!$B$2:$F$353, 4, FALSE)</f>
        <v>4.3288006095705969</v>
      </c>
      <c r="P127" s="21">
        <f>VLOOKUP($C127,Raw!$B$2:$F$353, 5, FALSE)</f>
        <v>0.3813650878606597</v>
      </c>
      <c r="Q127" s="14">
        <v>60</v>
      </c>
      <c r="R127" s="25">
        <v>1140</v>
      </c>
      <c r="S127">
        <f>EXP(24.4543-(100/H127*(67.4509))-(4.8489*LN(H127/100))-(0.000544*G127))</f>
        <v>1.7913846857311233E-2</v>
      </c>
      <c r="T127" s="8">
        <f>EXP(-58.0931+90.5069*(100/H127)+22.294*LN(H127/100)+G127*(0.027766-0.025888*(H127/100)+0.0050578*(H127/100)^2)*G127)</f>
        <v>4.3734817892624969E-2</v>
      </c>
      <c r="U127" s="9">
        <f>(EXP(-67.1962+99.1624*(100/H127)+27.9015*LN(H127/100)+G127*(-0.072909+0.041674*(H127/100)-0.0064603*(H127/100)^2)*G127))</f>
        <v>3.7316187572798441E-2</v>
      </c>
      <c r="V127" s="9">
        <f>(EXP(-64.8539+100.252*(100/H127)+25.2049*LN(H127/100)+(-0.062544+0.035337*(H127/100)-0.0054699*(H127/100)^2)*G127))</f>
        <v>3.2422135240330108E-2</v>
      </c>
      <c r="W127" s="9">
        <f>(EXP(-68.8862+101.4956*(100/H127)+28.7314*LN(H127/100)+G127*(-0.076146+0.04397*(H127/100)-0.0068672*(H127/100)^2)))</f>
        <v>3.7357943094606487E-2</v>
      </c>
      <c r="X127">
        <f>N127*(AZ127-S127)</f>
        <v>268.08869115374381</v>
      </c>
      <c r="Y127">
        <f>O127*(AZ127-S127)</f>
        <v>3.8952682461404895</v>
      </c>
      <c r="Z127">
        <f>((Y127/10^6)*AZ127)/(0.082056*H127)</f>
        <v>1.5067265848469829E-7</v>
      </c>
      <c r="AA127">
        <f>(((L127/10^6)*AZ127)/(0.082056*H127))</f>
        <v>8.4137838502436032E-8</v>
      </c>
      <c r="AB127">
        <f>((Y127/10^6)*U127*1)/(0.082056*H127)</f>
        <v>6.1263400450773809E-9</v>
      </c>
      <c r="AC127">
        <f>(Z127*(Q127/1000))+(AB127*(R127/1000))</f>
        <v>1.6024387160470113E-8</v>
      </c>
      <c r="AD127" s="39">
        <f>((AC127-(AA127*(Q127/1000)))/(R127/1000))*1000000</f>
        <v>9.628172675722765E-3</v>
      </c>
      <c r="AE127" s="39">
        <f>(AD127/((U127*AZ127*1))*(0.0821*273.15))</f>
        <v>6.304640759527838</v>
      </c>
      <c r="AF127" s="39">
        <f>L127*U127*AZ127*1/(0.0821*273.15)</f>
        <v>3.3218330018138314E-3</v>
      </c>
      <c r="AG127" s="39">
        <f>AD127-AF127</f>
        <v>6.3063396739089332E-3</v>
      </c>
      <c r="AH127" s="42">
        <f>P127*(AZ127-S127)</f>
        <v>0.34317111156514191</v>
      </c>
      <c r="AI127">
        <f>(((X127/10^6)*(Q127/1000))/(0.082056*H127))</f>
        <v>6.7794772181431376E-7</v>
      </c>
      <c r="AJ127">
        <f>(((K127/10^6)*AZ127)*(Q127/1000))/(0.082056*H127)</f>
        <v>9.8075868853524039E-7</v>
      </c>
      <c r="AK127">
        <f>(X127/10^6)*T127*(R127/1000)</f>
        <v>1.3366283498816527E-5</v>
      </c>
      <c r="AL127">
        <f>AI127+AK127</f>
        <v>1.4044231220630841E-5</v>
      </c>
      <c r="AM127" s="39">
        <f>((AL127-AJ127)/(R127/1000))*1000000</f>
        <v>11.459186431662808</v>
      </c>
      <c r="AN127" s="39">
        <f>AM127/(T127*AZ127)</f>
        <v>285.49324893404435</v>
      </c>
      <c r="AO127" s="39">
        <f>(K127*AZ127)*T127</f>
        <v>16.961793651528414</v>
      </c>
      <c r="AP127" s="39">
        <f>AM127-AO127</f>
        <v>-5.502607219865606</v>
      </c>
      <c r="AQ127">
        <f>(((AH127/10^6)*(Q127/1000))/(0.082056*H127))</f>
        <v>8.6781755797618506E-10</v>
      </c>
      <c r="AR127">
        <f>(((M127/10^6)*AZ127)*(Q127/1000))/(0.082056*H127)</f>
        <v>7.6085061277896336E-10</v>
      </c>
      <c r="AS127">
        <f>(AH127/10^6)*V127*(R127/1000)</f>
        <v>1.2684027816302962E-8</v>
      </c>
      <c r="AT127">
        <f>AQ127+AS127</f>
        <v>1.3551845374279148E-8</v>
      </c>
      <c r="AU127" s="39">
        <f>((AT127-AR127)/(R127/1000))*1000000000</f>
        <v>11.220170843421215</v>
      </c>
      <c r="AV127" s="39">
        <f>(AU127/1000)/(V127*AZ127)</f>
        <v>0.377074563579331</v>
      </c>
      <c r="AW127" s="39">
        <f>(M127*AZ127)*V127*1000</f>
        <v>9.754910664739942</v>
      </c>
      <c r="AX127" s="39">
        <f>AU127-AW127</f>
        <v>1.4652601786812731</v>
      </c>
      <c r="AY127" s="26">
        <f>VLOOKUP($E127,Water!$C$2:$G$90, 5, FALSE)</f>
        <v>697.5</v>
      </c>
      <c r="AZ127">
        <f>AY127/760</f>
        <v>0.91776315789473684</v>
      </c>
      <c r="BA127" s="3">
        <f>Assumptions!$B$3</f>
        <v>406.07</v>
      </c>
      <c r="BB127" s="3">
        <f>BA127*AZ127*T127</f>
        <v>16.29892073342975</v>
      </c>
      <c r="BC127" s="3">
        <f>Assumptions!$B$4</f>
        <v>1.8474300000000001</v>
      </c>
      <c r="BD127" s="45">
        <f>BC127*AZ127*U127*1/(0.0821*273.15)</f>
        <v>2.8213146037590611E-3</v>
      </c>
      <c r="BE127" s="3">
        <f>Assumptions!$B$2</f>
        <v>0.33054499999999998</v>
      </c>
      <c r="BF127" s="44">
        <f>BE127*AZ127*V127*1000</f>
        <v>9.8356445373393466</v>
      </c>
      <c r="BG127">
        <f>1923.6+(-125.06*F127)+(4.3773*(F127^2))+(-0.085681*(F127^3))+(0.00070284*(F127^4))</f>
        <v>738.34074623999982</v>
      </c>
      <c r="BH127">
        <f>1909.4+(-120.78*F127)+(4.1555*(F127^2))+(-0.080578*(F127^3))+(0.00065777*(F127^4))</f>
        <v>753.78812672000015</v>
      </c>
      <c r="BI127">
        <f>2141.2+(-152.56*F127)+(5.8963*(F127^2))+(-0.12411*(F127^3))+(0.0010655*(F127^4))</f>
        <v>771.16684799999985</v>
      </c>
      <c r="BJ127" s="25">
        <f>VLOOKUP(E127,Wind!$C$2:$E$109,3, FALSE)</f>
        <v>3.7777777777777777</v>
      </c>
      <c r="BK127" s="44">
        <v>1.66</v>
      </c>
      <c r="BL127">
        <f>BK127/(1-(((1.3*10^-3)^0.5)/0.41)*LN(10/1.5))</f>
        <v>1.9923982880693825</v>
      </c>
      <c r="BM127">
        <f>BK127*1.22</f>
        <v>2.0251999999999999</v>
      </c>
      <c r="BN127">
        <f>2.07+0.215*(BM127^1.7)*(24/100)</f>
        <v>2.241255750541113</v>
      </c>
      <c r="BO127">
        <f>BN127*((600/BG127)^0.67)</f>
        <v>1.9503864648598663</v>
      </c>
      <c r="BP127">
        <f>BN127*((600/BH127)^0.67)</f>
        <v>1.9235156703262475</v>
      </c>
      <c r="BQ127">
        <f>BN127*((600/BI127)^0.67)</f>
        <v>1.8943636833087174</v>
      </c>
      <c r="BR127" s="39">
        <f>BO127*(AM127-BB127)</f>
        <v>-9.4393522756842589</v>
      </c>
      <c r="BS127" s="39">
        <f>BP127*(AD127-BD127)</f>
        <v>1.3093098167108892E-2</v>
      </c>
      <c r="BT127" s="39">
        <f>BQ127*(AU127-BF127)</f>
        <v>2.622796352827061</v>
      </c>
      <c r="BU127">
        <f>(2.51+1.48*BM127)+(0.39*BM127*LOG10(0.0015))</f>
        <v>3.2768938069574309</v>
      </c>
      <c r="BV127">
        <f>BU127*((600/$BG127)^0.67)</f>
        <v>2.8516198235430492</v>
      </c>
      <c r="BW127">
        <f>BU127*((600/$BH127)^0.67)</f>
        <v>2.8123325890656887</v>
      </c>
      <c r="BX127">
        <f>BU127*((600/$BI127)^0.67)</f>
        <v>2.7697100701072057</v>
      </c>
      <c r="BY127" s="39">
        <f>BV127*($AM127-$BB127)</f>
        <v>-13.801082275599891</v>
      </c>
      <c r="BZ127" s="39">
        <f>BW127*($AD127-$BD127)</f>
        <v>1.9143148784928364E-2</v>
      </c>
      <c r="CA127" s="39">
        <f>BX127*($AU127-$BF127)</f>
        <v>3.8347364522832823</v>
      </c>
      <c r="CB127" s="42">
        <f>AVERAGE(0.72,0.69,0.4,0.22)</f>
        <v>0.50750000000000006</v>
      </c>
      <c r="CC127">
        <f>CB127*((600/$BG127)^0.67)</f>
        <v>0.44163685053676127</v>
      </c>
      <c r="CD127">
        <f>CB127*((600/$BH127)^0.67)</f>
        <v>0.43555234714060975</v>
      </c>
      <c r="CE127">
        <f>CB127*((600/$BI127)^0.67)</f>
        <v>0.42895130064789039</v>
      </c>
      <c r="CF127" s="39">
        <f>CC127*($AM127-$BB127)</f>
        <v>-2.1374050144670838</v>
      </c>
      <c r="CG127" s="39">
        <f>CD127*($AD127-$BD127)</f>
        <v>2.9647430098967966E-3</v>
      </c>
      <c r="CH127" s="39">
        <f>CE127*($AU127-$BF127)</f>
        <v>0.59389435977503668</v>
      </c>
      <c r="CI127">
        <v>0.86263901889527161</v>
      </c>
      <c r="CJ127">
        <f>((BG127/BH127)^0.67)*CI127</f>
        <v>0.85075429950706416</v>
      </c>
      <c r="CK127">
        <f>((BH127/BH127)^0.67)*CI127</f>
        <v>0.86263901889527161</v>
      </c>
      <c r="CL127">
        <f>((BI127/BH127)^0.67)*CI127</f>
        <v>0.87591399967178574</v>
      </c>
      <c r="CM127" s="39">
        <f>CJ127*($AM127-$BB127)</f>
        <v>-4.1174247657000453</v>
      </c>
      <c r="CN127" s="39">
        <f>CK127*($AD127-$BD127)</f>
        <v>5.8718613689581296E-3</v>
      </c>
      <c r="CO127" s="39">
        <f>CL127*($AU127-$BF127)</f>
        <v>1.2127259744109724</v>
      </c>
      <c r="CP127" s="27">
        <f>VLOOKUP(A127,Water!$A$2:$E$109, 5, FALSE)/1000</f>
        <v>8.0000000000000004E-4</v>
      </c>
      <c r="CQ127">
        <f>0.64*CP127</f>
        <v>5.1200000000000009E-4</v>
      </c>
      <c r="CR127" s="19">
        <f>CQ127*1000*(2.5*10^-5)</f>
        <v>1.2800000000000003E-5</v>
      </c>
      <c r="CS127" s="18">
        <f>(-0.0000009*F127^3)+(0.0002*F127^2)-(0.0134*F127)+6.579</f>
        <v>6.4121135999999996</v>
      </c>
      <c r="CT127" s="18">
        <f>CS127-(SQRT(CP127))/(1+1.4*SQRT(CP127))</f>
        <v>6.3849066682836062</v>
      </c>
      <c r="CU127" s="18">
        <f>10^(-CT127)</f>
        <v>4.1218609010957159E-7</v>
      </c>
      <c r="CV127" s="18">
        <f>(0.000001*F127^3)+(0.00006*F127^2)-(0.014*F127)+10.625</f>
        <v>10.420456</v>
      </c>
      <c r="CW127" s="18">
        <f>CV127-(2*SQRT(CR127))/(1+1.4*SQRT(CR127))</f>
        <v>10.413336243851559</v>
      </c>
      <c r="CX127" s="18">
        <f>10^(-CW127)</f>
        <v>3.8606795588896019E-11</v>
      </c>
      <c r="CY127">
        <f>EXP(1246.98+-61900/H127-183*LN(H127))</f>
        <v>1.5815240452454908E-2</v>
      </c>
      <c r="CZ127">
        <f>12.225*(F127^2)+15.258*F127+1125.7</f>
        <v>4499.4279999999999</v>
      </c>
      <c r="DA127" s="15">
        <f>10^(-4470.99/H127+6.0875-0.01706*H127)</f>
        <v>4.9212213605989281E-15</v>
      </c>
      <c r="DB127">
        <f>(10^-I127)</f>
        <v>1.8620871366628641E-9</v>
      </c>
      <c r="DC127">
        <f>DB127^2</f>
        <v>3.4673685045253038E-18</v>
      </c>
      <c r="DD127" s="20">
        <f>((14.6836*10^-9)*((H127/217.2056)-1)^1.997)*100*100</f>
        <v>1.6163079954240122E-5</v>
      </c>
      <c r="DE127">
        <f>CY127+CZ127*DA127/DB127</f>
        <v>2.7706564305193547E-2</v>
      </c>
      <c r="DF127">
        <f>1+DC127*(CU127*CX127+CU127*DB127)^-1</f>
        <v>1.0044258274698177</v>
      </c>
      <c r="DG127">
        <f>(DE127*DF127/DD127)^0.5</f>
        <v>41.494278048540657</v>
      </c>
      <c r="DH127">
        <f>DD127/(BO127/60/60)</f>
        <v>2.9833619584437143E-2</v>
      </c>
      <c r="DI127" s="16">
        <f>DF127/((DF127-1)+TANH(DG127*DH127)/(DG127*DH127))</f>
        <v>1.4622400666285926</v>
      </c>
      <c r="DJ127">
        <f>$DI127*BR127</f>
        <v>-13.802599100527308</v>
      </c>
      <c r="DK127">
        <f>$DI127*BY127</f>
        <v>-20.180495466219874</v>
      </c>
      <c r="DL127">
        <f>$DI127*CF127</f>
        <v>-3.1253992507666366</v>
      </c>
      <c r="DM127">
        <f>$DI127*CM127</f>
        <v>-6.0206634637354517</v>
      </c>
    </row>
    <row r="128" spans="1:117" ht="15.75" x14ac:dyDescent="0.25">
      <c r="A128" s="52" t="s">
        <v>329</v>
      </c>
      <c r="B128" s="55" t="s">
        <v>341</v>
      </c>
      <c r="C128" t="s">
        <v>285</v>
      </c>
      <c r="D128" s="57">
        <v>43236</v>
      </c>
      <c r="E128" s="42" t="str">
        <f>A128&amp;D128</f>
        <v>56A43236</v>
      </c>
      <c r="F128" s="3">
        <f>VLOOKUP($E128,Water!$C$2:$E$90, 2, FALSE)</f>
        <v>16</v>
      </c>
      <c r="G128" s="3">
        <f>VLOOKUP($E128,Water!$C$2:$E$90, 3, FALSE)</f>
        <v>1.35</v>
      </c>
      <c r="H128" s="1">
        <f>F128+273.15</f>
        <v>289.14999999999998</v>
      </c>
      <c r="I128" s="3">
        <f>VLOOKUP($E128,Water!$C$2:$F$90, 4, FALSE)</f>
        <v>8.73</v>
      </c>
      <c r="J128">
        <f>10^(I128*-1)</f>
        <v>1.8620871366628641E-9</v>
      </c>
      <c r="K128" s="25">
        <f>VLOOKUP($E128,Atm!$D$2:$G$45, 2, FALSE)</f>
        <v>422.58476255726799</v>
      </c>
      <c r="L128" s="25">
        <f>VLOOKUP($E128,Atm!$D$2:$G$45, 3, FALSE)</f>
        <v>2.1751753364776509</v>
      </c>
      <c r="M128" s="25">
        <f>VLOOKUP($E128,Atm!$D$2:$G$45, 4, FALSE)</f>
        <v>0.32783178910496813</v>
      </c>
      <c r="N128" s="21">
        <f>VLOOKUP($C128,Raw!$B$2:$F$353, 3, FALSE)</f>
        <v>296.50037304803851</v>
      </c>
      <c r="O128" s="21">
        <f>VLOOKUP($C128,Raw!$B$2:$F$353, 4, FALSE)</f>
        <v>3.5980888040449179</v>
      </c>
      <c r="P128" s="21">
        <f>VLOOKUP($C128,Raw!$B$2:$F$353, 5, FALSE)</f>
        <v>0.38978943268362448</v>
      </c>
      <c r="Q128" s="14">
        <v>60</v>
      </c>
      <c r="R128" s="25">
        <v>1140</v>
      </c>
      <c r="S128">
        <f>EXP(24.4543-(100/H128*(67.4509))-(4.8489*LN(H128/100))-(0.000544*G128))</f>
        <v>1.7913846857311233E-2</v>
      </c>
      <c r="T128" s="8">
        <f>EXP(-58.0931+90.5069*(100/H128)+22.294*LN(H128/100)+G128*(0.027766-0.025888*(H128/100)+0.0050578*(H128/100)^2)*G128)</f>
        <v>4.3734817892624969E-2</v>
      </c>
      <c r="U128" s="9">
        <f>(EXP(-67.1962+99.1624*(100/H128)+27.9015*LN(H128/100)+G128*(-0.072909+0.041674*(H128/100)-0.0064603*(H128/100)^2)*G128))</f>
        <v>3.7316187572798441E-2</v>
      </c>
      <c r="V128" s="9">
        <f>(EXP(-64.8539+100.252*(100/H128)+25.2049*LN(H128/100)+(-0.062544+0.035337*(H128/100)-0.0054699*(H128/100)^2)*G128))</f>
        <v>3.2422135240330108E-2</v>
      </c>
      <c r="W128" s="9">
        <f>(EXP(-68.8862+101.4956*(100/H128)+28.7314*LN(H128/100)+G128*(-0.076146+0.04397*(H128/100)-0.0068672*(H128/100)^2)))</f>
        <v>3.7357943094606487E-2</v>
      </c>
      <c r="X128">
        <f>N128*(AZ128-S128)</f>
        <v>266.80565640961714</v>
      </c>
      <c r="Y128">
        <f>O128*(AZ128-S128)</f>
        <v>3.2377377313712938</v>
      </c>
      <c r="Z128">
        <f>((Y128/10^6)*AZ128)/(0.082056*H128)</f>
        <v>1.2523875652088634E-7</v>
      </c>
      <c r="AA128">
        <f>(((L128/10^6)*AZ128)/(0.082056*H128))</f>
        <v>8.4137838502436032E-8</v>
      </c>
      <c r="AB128">
        <f>((Y128/10^6)*U128*1)/(0.082056*H128)</f>
        <v>5.0921993212691694E-9</v>
      </c>
      <c r="AC128">
        <f>(Z128*(Q128/1000))+(AB128*(R128/1000))</f>
        <v>1.3319432617500032E-8</v>
      </c>
      <c r="AD128" s="39">
        <f>((AC128-(AA128*(Q128/1000)))/(R128/1000))*1000000</f>
        <v>7.2554055327665526E-3</v>
      </c>
      <c r="AE128" s="39">
        <f>(AD128/((U128*AZ128*1))*(0.0821*273.15))</f>
        <v>4.7509249147684187</v>
      </c>
      <c r="AF128" s="39">
        <f>L128*U128*AZ128*1/(0.0821*273.15)</f>
        <v>3.3218330018138314E-3</v>
      </c>
      <c r="AG128" s="39">
        <f>AD128-AF128</f>
        <v>3.9335725309527208E-3</v>
      </c>
      <c r="AH128" s="42">
        <f>P128*(AZ128-S128)</f>
        <v>0.35075175245002849</v>
      </c>
      <c r="AI128">
        <f>(((X128/10^6)*(Q128/1000))/(0.082056*H128))</f>
        <v>6.7470315943443155E-7</v>
      </c>
      <c r="AJ128">
        <f>(((K128/10^6)*AZ128)*(Q128/1000))/(0.082056*H128)</f>
        <v>9.8075868853524039E-7</v>
      </c>
      <c r="AK128">
        <f>(X128/10^6)*T128*(R128/1000)</f>
        <v>1.3302314347208435E-5</v>
      </c>
      <c r="AL128">
        <f>AI128+AK128</f>
        <v>1.3977017506642867E-5</v>
      </c>
      <c r="AM128" s="39">
        <f>((AL128-AJ128)/(R128/1000))*1000000</f>
        <v>11.400227033427743</v>
      </c>
      <c r="AN128" s="39">
        <f>AM128/(T128*AZ128)</f>
        <v>284.0243392293541</v>
      </c>
      <c r="AO128" s="39">
        <f>(K128*AZ128)*T128</f>
        <v>16.961793651528414</v>
      </c>
      <c r="AP128" s="39">
        <f>AM128-AO128</f>
        <v>-5.5615666181006702</v>
      </c>
      <c r="AQ128">
        <f>(((AH128/10^6)*(Q128/1000))/(0.082056*H128))</f>
        <v>8.8698762514941779E-10</v>
      </c>
      <c r="AR128">
        <f>(((M128/10^6)*AZ128)*(Q128/1000))/(0.082056*H128)</f>
        <v>7.6085061277896336E-10</v>
      </c>
      <c r="AS128">
        <f>(AH128/10^6)*V128*(R128/1000)</f>
        <v>1.2964217659238076E-8</v>
      </c>
      <c r="AT128">
        <f>AQ128+AS128</f>
        <v>1.3851205284387494E-8</v>
      </c>
      <c r="AU128" s="39">
        <f>((AT128-AR128)/(R128/1000))*1000000000</f>
        <v>11.482767255796956</v>
      </c>
      <c r="AV128" s="39">
        <f>(AU128/1000)/(V128*AZ128)</f>
        <v>0.38589960100308279</v>
      </c>
      <c r="AW128" s="39">
        <f>(M128*AZ128)*V128*1000</f>
        <v>9.754910664739942</v>
      </c>
      <c r="AX128" s="39">
        <f>AU128-AW128</f>
        <v>1.7278565910570141</v>
      </c>
      <c r="AY128" s="26">
        <f>VLOOKUP($E128,Water!$C$2:$G$90, 5, FALSE)</f>
        <v>697.5</v>
      </c>
      <c r="AZ128">
        <f>AY128/760</f>
        <v>0.91776315789473684</v>
      </c>
      <c r="BA128" s="3">
        <f>Assumptions!$B$3</f>
        <v>406.07</v>
      </c>
      <c r="BB128" s="3">
        <f>BA128*AZ128*T128</f>
        <v>16.29892073342975</v>
      </c>
      <c r="BC128" s="3">
        <f>Assumptions!$B$4</f>
        <v>1.8474300000000001</v>
      </c>
      <c r="BD128" s="45">
        <f>BC128*AZ128*U128*1/(0.0821*273.15)</f>
        <v>2.8213146037590611E-3</v>
      </c>
      <c r="BE128" s="3">
        <f>Assumptions!$B$2</f>
        <v>0.33054499999999998</v>
      </c>
      <c r="BF128" s="44">
        <f>BE128*AZ128*V128*1000</f>
        <v>9.8356445373393466</v>
      </c>
      <c r="BG128">
        <f>1923.6+(-125.06*F128)+(4.3773*(F128^2))+(-0.085681*(F128^3))+(0.00070284*(F128^4))</f>
        <v>738.34074623999982</v>
      </c>
      <c r="BH128">
        <f>1909.4+(-120.78*F128)+(4.1555*(F128^2))+(-0.080578*(F128^3))+(0.00065777*(F128^4))</f>
        <v>753.78812672000015</v>
      </c>
      <c r="BI128">
        <f>2141.2+(-152.56*F128)+(5.8963*(F128^2))+(-0.12411*(F128^3))+(0.0010655*(F128^4))</f>
        <v>771.16684799999985</v>
      </c>
      <c r="BJ128" s="25">
        <f>VLOOKUP(E128,Wind!$C$2:$E$109,3, FALSE)</f>
        <v>3.7777777777777777</v>
      </c>
      <c r="BK128" s="44">
        <v>1.66</v>
      </c>
      <c r="BL128">
        <f>BK128/(1-(((1.3*10^-3)^0.5)/0.41)*LN(10/1.5))</f>
        <v>1.9923982880693825</v>
      </c>
      <c r="BM128">
        <f>BK128*1.22</f>
        <v>2.0251999999999999</v>
      </c>
      <c r="BN128">
        <f>2.07+0.215*(BM128^1.7)*(24/100)</f>
        <v>2.241255750541113</v>
      </c>
      <c r="BO128">
        <f>BN128*((600/BG128)^0.67)</f>
        <v>1.9503864648598663</v>
      </c>
      <c r="BP128">
        <f>BN128*((600/BH128)^0.67)</f>
        <v>1.9235156703262475</v>
      </c>
      <c r="BQ128">
        <f>BN128*((600/BI128)^0.67)</f>
        <v>1.8943636833087174</v>
      </c>
      <c r="BR128" s="39">
        <f>BO128*(AM128-BB128)</f>
        <v>-9.5543458879782115</v>
      </c>
      <c r="BS128" s="39">
        <f>BP128*(AD128-BD128)</f>
        <v>8.5290433855973787E-3</v>
      </c>
      <c r="BT128" s="39">
        <f>BQ128*(AU128-BF128)</f>
        <v>3.1202494597988246</v>
      </c>
      <c r="BU128">
        <f>(2.51+1.48*BM128)+(0.39*BM128*LOG10(0.0015))</f>
        <v>3.2768938069574309</v>
      </c>
      <c r="BV128">
        <f>BU128*((600/$BG128)^0.67)</f>
        <v>2.8516198235430492</v>
      </c>
      <c r="BW128">
        <f>BU128*((600/$BH128)^0.67)</f>
        <v>2.8123325890656887</v>
      </c>
      <c r="BX128">
        <f>BU128*((600/$BI128)^0.67)</f>
        <v>2.7697100701072057</v>
      </c>
      <c r="BY128" s="39">
        <f>BV128*($AM128-$BB128)</f>
        <v>-13.969212064391169</v>
      </c>
      <c r="BZ128" s="39">
        <f>BW128*($AD128-$BD128)</f>
        <v>1.2470138422528323E-2</v>
      </c>
      <c r="CA128" s="39">
        <f>BX128*($AU128-$BF128)</f>
        <v>4.5620523800143964</v>
      </c>
      <c r="CB128" s="42">
        <f>AVERAGE(0.72,0.69,0.4,0.22)</f>
        <v>0.50750000000000006</v>
      </c>
      <c r="CC128">
        <f>CB128*((600/$BG128)^0.67)</f>
        <v>0.44163685053676127</v>
      </c>
      <c r="CD128">
        <f>CB128*((600/$BH128)^0.67)</f>
        <v>0.43555234714060975</v>
      </c>
      <c r="CE128">
        <f>CB128*((600/$BI128)^0.67)</f>
        <v>0.42895130064789039</v>
      </c>
      <c r="CF128" s="39">
        <f>CC128*($AM128-$BB128)</f>
        <v>-2.1634436574131599</v>
      </c>
      <c r="CG128" s="39">
        <f>CD128*($AD128-$BD128)</f>
        <v>1.9312787115640998E-3</v>
      </c>
      <c r="CH128" s="39">
        <f>CE128*($AU128-$BF128)</f>
        <v>0.70653543240908057</v>
      </c>
      <c r="CI128">
        <v>0.86263901889527161</v>
      </c>
      <c r="CJ128">
        <f>((BG128/BH128)^0.67)*CI128</f>
        <v>0.85075429950706416</v>
      </c>
      <c r="CK128">
        <f>((BH128/BH128)^0.67)*CI128</f>
        <v>0.86263901889527161</v>
      </c>
      <c r="CL128">
        <f>((BI128/BH128)^0.67)*CI128</f>
        <v>0.87591399967178574</v>
      </c>
      <c r="CM128" s="39">
        <f>CJ128*($AM128-$BB128)</f>
        <v>-4.1675847272448756</v>
      </c>
      <c r="CN128" s="39">
        <f>CK128*($AD128-$BD128)</f>
        <v>3.8250198486914459E-3</v>
      </c>
      <c r="CO128" s="39">
        <f>CL128*($AU128-$BF128)</f>
        <v>1.4427378482744693</v>
      </c>
      <c r="CP128" s="27">
        <f>VLOOKUP(A128,Water!$A$2:$E$109, 5, FALSE)/1000</f>
        <v>8.0000000000000004E-4</v>
      </c>
      <c r="CQ128">
        <f>0.64*CP128</f>
        <v>5.1200000000000009E-4</v>
      </c>
      <c r="CR128" s="19">
        <f>CQ128*1000*(2.5*10^-5)</f>
        <v>1.2800000000000003E-5</v>
      </c>
      <c r="CS128" s="18">
        <f>(-0.0000009*F128^3)+(0.0002*F128^2)-(0.0134*F128)+6.579</f>
        <v>6.4121135999999996</v>
      </c>
      <c r="CT128" s="18">
        <f>CS128-(SQRT(CP128))/(1+1.4*SQRT(CP128))</f>
        <v>6.3849066682836062</v>
      </c>
      <c r="CU128" s="18">
        <f>10^(-CT128)</f>
        <v>4.1218609010957159E-7</v>
      </c>
      <c r="CV128" s="18">
        <f>(0.000001*F128^3)+(0.00006*F128^2)-(0.014*F128)+10.625</f>
        <v>10.420456</v>
      </c>
      <c r="CW128" s="18">
        <f>CV128-(2*SQRT(CR128))/(1+1.4*SQRT(CR128))</f>
        <v>10.413336243851559</v>
      </c>
      <c r="CX128" s="18">
        <f>10^(-CW128)</f>
        <v>3.8606795588896019E-11</v>
      </c>
      <c r="CY128">
        <f>EXP(1246.98+-61900/H128-183*LN(H128))</f>
        <v>1.5815240452454908E-2</v>
      </c>
      <c r="CZ128">
        <f>12.225*(F128^2)+15.258*F128+1125.7</f>
        <v>4499.4279999999999</v>
      </c>
      <c r="DA128" s="15">
        <f>10^(-4470.99/H128+6.0875-0.01706*H128)</f>
        <v>4.9212213605989281E-15</v>
      </c>
      <c r="DB128">
        <f>(10^-I128)</f>
        <v>1.8620871366628641E-9</v>
      </c>
      <c r="DC128">
        <f>DB128^2</f>
        <v>3.4673685045253038E-18</v>
      </c>
      <c r="DD128" s="20">
        <f>((14.6836*10^-9)*((H128/217.2056)-1)^1.997)*100*100</f>
        <v>1.6163079954240122E-5</v>
      </c>
      <c r="DE128">
        <f>CY128+CZ128*DA128/DB128</f>
        <v>2.7706564305193547E-2</v>
      </c>
      <c r="DF128">
        <f>1+DC128*(CU128*CX128+CU128*DB128)^-1</f>
        <v>1.0044258274698177</v>
      </c>
      <c r="DG128">
        <f>(DE128*DF128/DD128)^0.5</f>
        <v>41.494278048540657</v>
      </c>
      <c r="DH128">
        <f>DD128/(BO128/60/60)</f>
        <v>2.9833619584437143E-2</v>
      </c>
      <c r="DI128" s="16">
        <f>DF128/((DF128-1)+TANH(DG128*DH128)/(DG128*DH128))</f>
        <v>1.4622400666285926</v>
      </c>
      <c r="DJ128">
        <f>$DI128*BR128</f>
        <v>-13.97074736782988</v>
      </c>
      <c r="DK128">
        <f>$DI128*BY128</f>
        <v>-20.426341579784282</v>
      </c>
      <c r="DL128">
        <f>$DI128*CF128</f>
        <v>-3.1634739977630253</v>
      </c>
      <c r="DM128">
        <f>$DI128*CM128</f>
        <v>-6.0940093692468515</v>
      </c>
    </row>
    <row r="129" spans="1:117" ht="15.75" x14ac:dyDescent="0.25">
      <c r="A129" s="52" t="s">
        <v>329</v>
      </c>
      <c r="B129" s="55" t="s">
        <v>342</v>
      </c>
      <c r="C129" t="s">
        <v>286</v>
      </c>
      <c r="D129" s="57">
        <v>43236</v>
      </c>
      <c r="E129" s="42" t="str">
        <f>A129&amp;D129</f>
        <v>56A43236</v>
      </c>
      <c r="F129" s="3">
        <f>VLOOKUP($E129,Water!$C$2:$E$90, 2, FALSE)</f>
        <v>16</v>
      </c>
      <c r="G129" s="3">
        <f>VLOOKUP($E129,Water!$C$2:$E$90, 3, FALSE)</f>
        <v>1.35</v>
      </c>
      <c r="H129" s="1">
        <f>F129+273.15</f>
        <v>289.14999999999998</v>
      </c>
      <c r="I129" s="3">
        <f>VLOOKUP($E129,Water!$C$2:$F$90, 4, FALSE)</f>
        <v>8.73</v>
      </c>
      <c r="J129">
        <f>10^(I129*-1)</f>
        <v>1.8620871366628641E-9</v>
      </c>
      <c r="K129" s="25">
        <f>VLOOKUP($E129,Atm!$D$2:$G$45, 2, FALSE)</f>
        <v>422.58476255726799</v>
      </c>
      <c r="L129" s="25">
        <f>VLOOKUP($E129,Atm!$D$2:$G$45, 3, FALSE)</f>
        <v>2.1751753364776509</v>
      </c>
      <c r="M129" s="25">
        <f>VLOOKUP($E129,Atm!$D$2:$G$45, 4, FALSE)</f>
        <v>0.32783178910496813</v>
      </c>
      <c r="N129" s="21">
        <f>VLOOKUP($C129,Raw!$B$2:$F$353, 3, FALSE)</f>
        <v>322.02137807168702</v>
      </c>
      <c r="O129" s="21">
        <f>VLOOKUP($C129,Raw!$B$2:$F$353, 4, FALSE)</f>
        <v>4.0032848026111107</v>
      </c>
      <c r="P129" s="21">
        <f>VLOOKUP($C129,Raw!$B$2:$F$353, 5, FALSE)</f>
        <v>0.39295435258910599</v>
      </c>
      <c r="Q129" s="14">
        <v>60</v>
      </c>
      <c r="R129" s="25">
        <v>1140</v>
      </c>
      <c r="S129">
        <f>EXP(24.4543-(100/H129*(67.4509))-(4.8489*LN(H129/100))-(0.000544*G129))</f>
        <v>1.7913846857311233E-2</v>
      </c>
      <c r="T129" s="8">
        <f>EXP(-58.0931+90.5069*(100/H129)+22.294*LN(H129/100)+G129*(0.027766-0.025888*(H129/100)+0.0050578*(H129/100)^2)*G129)</f>
        <v>4.3734817892624969E-2</v>
      </c>
      <c r="U129" s="9">
        <f>(EXP(-67.1962+99.1624*(100/H129)+27.9015*LN(H129/100)+G129*(-0.072909+0.041674*(H129/100)-0.0064603*(H129/100)^2)*G129))</f>
        <v>3.7316187572798441E-2</v>
      </c>
      <c r="V129" s="9">
        <f>(EXP(-64.8539+100.252*(100/H129)+25.2049*LN(H129/100)+(-0.062544+0.035337*(H129/100)-0.0054699*(H129/100)^2)*G129))</f>
        <v>3.2422135240330108E-2</v>
      </c>
      <c r="W129" s="9">
        <f>(EXP(-68.8862+101.4956*(100/H129)+28.7314*LN(H129/100)+G129*(-0.076146+0.04397*(H129/100)-0.0068672*(H129/100)^2)))</f>
        <v>3.7357943094606487E-2</v>
      </c>
      <c r="X129">
        <f>N129*(AZ129-S129)</f>
        <v>289.7707151971299</v>
      </c>
      <c r="Y129">
        <f>O129*(AZ129-S129)</f>
        <v>3.6023530715162044</v>
      </c>
      <c r="Z129">
        <f>((Y129/10^6)*AZ129)/(0.082056*H129)</f>
        <v>1.3934242259789385E-7</v>
      </c>
      <c r="AA129">
        <f>(((L129/10^6)*AZ129)/(0.082056*H129))</f>
        <v>8.4137838502436032E-8</v>
      </c>
      <c r="AB129">
        <f>((Y129/10^6)*U129*1)/(0.082056*H129)</f>
        <v>5.6656534246143056E-9</v>
      </c>
      <c r="AC129">
        <f>(Z129*(Q129/1000))+(AB129*(R129/1000))</f>
        <v>1.4819390259933938E-8</v>
      </c>
      <c r="AD129" s="39">
        <f>((AC129-(AA129*(Q129/1000)))/(R129/1000))*1000000</f>
        <v>8.5711578506910309E-3</v>
      </c>
      <c r="AE129" s="39">
        <f>(AD129/((U129*AZ129*1))*(0.0821*273.15))</f>
        <v>5.6124950145596735</v>
      </c>
      <c r="AF129" s="39">
        <f>L129*U129*AZ129*1/(0.0821*273.15)</f>
        <v>3.3218330018138314E-3</v>
      </c>
      <c r="AG129" s="39">
        <f>AD129-AF129</f>
        <v>5.2493248488771991E-3</v>
      </c>
      <c r="AH129" s="42">
        <f>P129*(AZ129-S129)</f>
        <v>0.35359970344646463</v>
      </c>
      <c r="AI129">
        <f>(((X129/10^6)*(Q129/1000))/(0.082056*H129))</f>
        <v>7.3277763180147916E-7</v>
      </c>
      <c r="AJ129">
        <f>(((K129/10^6)*AZ129)*(Q129/1000))/(0.082056*H129)</f>
        <v>9.8075868853524039E-7</v>
      </c>
      <c r="AK129">
        <f>(X129/10^6)*T129*(R129/1000)</f>
        <v>1.4447299184128873E-5</v>
      </c>
      <c r="AL129">
        <f>AI129+AK129</f>
        <v>1.5180076815930351E-5</v>
      </c>
      <c r="AM129" s="39">
        <f>((AL129-AJ129)/(R129/1000))*1000000</f>
        <v>12.455542217013257</v>
      </c>
      <c r="AN129" s="39">
        <f>AM129/(T129*AZ129)</f>
        <v>310.31637681928072</v>
      </c>
      <c r="AO129" s="39">
        <f>(K129*AZ129)*T129</f>
        <v>16.961793651528414</v>
      </c>
      <c r="AP129" s="39">
        <f>AM129-AO129</f>
        <v>-4.506251434515157</v>
      </c>
      <c r="AQ129">
        <f>(((AH129/10^6)*(Q129/1000))/(0.082056*H129))</f>
        <v>8.941895771659817E-10</v>
      </c>
      <c r="AR129">
        <f>(((M129/10^6)*AZ129)*(Q129/1000))/(0.082056*H129)</f>
        <v>7.6085061277896336E-10</v>
      </c>
      <c r="AS129">
        <f>(AH129/10^6)*V129*(R129/1000)</f>
        <v>1.3069481442933361E-8</v>
      </c>
      <c r="AT129">
        <f>AQ129+AS129</f>
        <v>1.3963671020099344E-8</v>
      </c>
      <c r="AU129" s="39">
        <f>((AT129-AR129)/(R129/1000))*1000000000</f>
        <v>11.58142140993016</v>
      </c>
      <c r="AV129" s="39">
        <f>(AU129/1000)/(V129*AZ129)</f>
        <v>0.3892150560557906</v>
      </c>
      <c r="AW129" s="39">
        <f>(M129*AZ129)*V129*1000</f>
        <v>9.754910664739942</v>
      </c>
      <c r="AX129" s="39">
        <f>AU129-AW129</f>
        <v>1.8265107451902178</v>
      </c>
      <c r="AY129" s="26">
        <f>VLOOKUP($E129,Water!$C$2:$G$90, 5, FALSE)</f>
        <v>697.5</v>
      </c>
      <c r="AZ129">
        <f>AY129/760</f>
        <v>0.91776315789473684</v>
      </c>
      <c r="BA129" s="3">
        <f>Assumptions!$B$3</f>
        <v>406.07</v>
      </c>
      <c r="BB129" s="3">
        <f>BA129*AZ129*T129</f>
        <v>16.29892073342975</v>
      </c>
      <c r="BC129" s="3">
        <f>Assumptions!$B$4</f>
        <v>1.8474300000000001</v>
      </c>
      <c r="BD129" s="45">
        <f>BC129*AZ129*U129*1/(0.0821*273.15)</f>
        <v>2.8213146037590611E-3</v>
      </c>
      <c r="BE129" s="3">
        <f>Assumptions!$B$2</f>
        <v>0.33054499999999998</v>
      </c>
      <c r="BF129" s="44">
        <f>BE129*AZ129*V129*1000</f>
        <v>9.8356445373393466</v>
      </c>
      <c r="BG129">
        <f>1923.6+(-125.06*F129)+(4.3773*(F129^2))+(-0.085681*(F129^3))+(0.00070284*(F129^4))</f>
        <v>738.34074623999982</v>
      </c>
      <c r="BH129">
        <f>1909.4+(-120.78*F129)+(4.1555*(F129^2))+(-0.080578*(F129^3))+(0.00065777*(F129^4))</f>
        <v>753.78812672000015</v>
      </c>
      <c r="BI129">
        <f>2141.2+(-152.56*F129)+(5.8963*(F129^2))+(-0.12411*(F129^3))+(0.0010655*(F129^4))</f>
        <v>771.16684799999985</v>
      </c>
      <c r="BJ129" s="25">
        <f>VLOOKUP(E129,Wind!$C$2:$E$109,3, FALSE)</f>
        <v>3.7777777777777777</v>
      </c>
      <c r="BK129" s="44">
        <v>1.66</v>
      </c>
      <c r="BL129">
        <f>BK129/(1-(((1.3*10^-3)^0.5)/0.41)*LN(10/1.5))</f>
        <v>1.9923982880693825</v>
      </c>
      <c r="BM129">
        <f>BK129*1.22</f>
        <v>2.0251999999999999</v>
      </c>
      <c r="BN129">
        <f>2.07+0.215*(BM129^1.7)*(24/100)</f>
        <v>2.241255750541113</v>
      </c>
      <c r="BO129">
        <f>BN129*((600/BG129)^0.67)</f>
        <v>1.9503864648598663</v>
      </c>
      <c r="BP129">
        <f>BN129*((600/BH129)^0.67)</f>
        <v>1.9235156703262475</v>
      </c>
      <c r="BQ129">
        <f>BN129*((600/BI129)^0.67)</f>
        <v>1.8943636833087174</v>
      </c>
      <c r="BR129" s="39">
        <f>BO129*(AM129-BB129)</f>
        <v>-7.4960734377519218</v>
      </c>
      <c r="BS129" s="39">
        <f>BP129*(AD129-BD129)</f>
        <v>1.1059913587393196E-2</v>
      </c>
      <c r="BT129" s="39">
        <f>BQ129*(AU129-BF129)</f>
        <v>3.3071363065963064</v>
      </c>
      <c r="BU129">
        <f>(2.51+1.48*BM129)+(0.39*BM129*LOG10(0.0015))</f>
        <v>3.2768938069574309</v>
      </c>
      <c r="BV129">
        <f>BU129*((600/$BG129)^0.67)</f>
        <v>2.8516198235430492</v>
      </c>
      <c r="BW129">
        <f>BU129*((600/$BH129)^0.67)</f>
        <v>2.8123325890656887</v>
      </c>
      <c r="BX129">
        <f>BU129*((600/$BI129)^0.67)</f>
        <v>2.7697100701072057</v>
      </c>
      <c r="BY129" s="39">
        <f>BV129*($AM129-$BB129)</f>
        <v>-10.959854366792745</v>
      </c>
      <c r="BZ129" s="39">
        <f>BW129*($AD129-$BD129)</f>
        <v>1.6170471545366053E-2</v>
      </c>
      <c r="CA129" s="39">
        <f>BX129*($AU129-$BF129)</f>
        <v>4.835295784175039</v>
      </c>
      <c r="CB129" s="42">
        <f>AVERAGE(0.72,0.69,0.4,0.22)</f>
        <v>0.50750000000000006</v>
      </c>
      <c r="CC129">
        <f>CB129*((600/$BG129)^0.67)</f>
        <v>0.44163685053676127</v>
      </c>
      <c r="CD129">
        <f>CB129*((600/$BH129)^0.67)</f>
        <v>0.43555234714060975</v>
      </c>
      <c r="CE129">
        <f>CB129*((600/$BI129)^0.67)</f>
        <v>0.42895130064789039</v>
      </c>
      <c r="CF129" s="39">
        <f>CC129*($AM129-$BB129)</f>
        <v>-1.69737758341083</v>
      </c>
      <c r="CG129" s="39">
        <f>CD129*($AD129-$BD129)</f>
        <v>2.5043577218918042E-3</v>
      </c>
      <c r="CH129" s="39">
        <f>CE129*($AU129-$BF129)</f>
        <v>0.74885326013883569</v>
      </c>
      <c r="CI129">
        <v>0.86263901889527161</v>
      </c>
      <c r="CJ129">
        <f>((BG129/BH129)^0.67)*CI129</f>
        <v>0.85075429950706416</v>
      </c>
      <c r="CK129">
        <f>((BH129/BH129)^0.67)*CI129</f>
        <v>0.86263901889527161</v>
      </c>
      <c r="CL129">
        <f>((BI129/BH129)^0.67)*CI129</f>
        <v>0.87591399967178574</v>
      </c>
      <c r="CM129" s="39">
        <f>CJ129*($AM129-$BB129)</f>
        <v>-3.269770797474413</v>
      </c>
      <c r="CN129" s="39">
        <f>CK129*($AD129-$BD129)</f>
        <v>4.960039137334997E-3</v>
      </c>
      <c r="CO129" s="39">
        <f>CL129*($AU129-$BF129)</f>
        <v>1.5291504030055207</v>
      </c>
      <c r="CP129" s="27">
        <f>VLOOKUP(A129,Water!$A$2:$E$109, 5, FALSE)/1000</f>
        <v>8.0000000000000004E-4</v>
      </c>
      <c r="CQ129">
        <f>0.64*CP129</f>
        <v>5.1200000000000009E-4</v>
      </c>
      <c r="CR129" s="19">
        <f>CQ129*1000*(2.5*10^-5)</f>
        <v>1.2800000000000003E-5</v>
      </c>
      <c r="CS129" s="18">
        <f>(-0.0000009*F129^3)+(0.0002*F129^2)-(0.0134*F129)+6.579</f>
        <v>6.4121135999999996</v>
      </c>
      <c r="CT129" s="18">
        <f>CS129-(SQRT(CP129))/(1+1.4*SQRT(CP129))</f>
        <v>6.3849066682836062</v>
      </c>
      <c r="CU129" s="18">
        <f>10^(-CT129)</f>
        <v>4.1218609010957159E-7</v>
      </c>
      <c r="CV129" s="18">
        <f>(0.000001*F129^3)+(0.00006*F129^2)-(0.014*F129)+10.625</f>
        <v>10.420456</v>
      </c>
      <c r="CW129" s="18">
        <f>CV129-(2*SQRT(CR129))/(1+1.4*SQRT(CR129))</f>
        <v>10.413336243851559</v>
      </c>
      <c r="CX129" s="18">
        <f>10^(-CW129)</f>
        <v>3.8606795588896019E-11</v>
      </c>
      <c r="CY129">
        <f>EXP(1246.98+-61900/H129-183*LN(H129))</f>
        <v>1.5815240452454908E-2</v>
      </c>
      <c r="CZ129">
        <f>12.225*(F129^2)+15.258*F129+1125.7</f>
        <v>4499.4279999999999</v>
      </c>
      <c r="DA129" s="15">
        <f>10^(-4470.99/H129+6.0875-0.01706*H129)</f>
        <v>4.9212213605989281E-15</v>
      </c>
      <c r="DB129">
        <f>(10^-I129)</f>
        <v>1.8620871366628641E-9</v>
      </c>
      <c r="DC129">
        <f>DB129^2</f>
        <v>3.4673685045253038E-18</v>
      </c>
      <c r="DD129" s="20">
        <f>((14.6836*10^-9)*((H129/217.2056)-1)^1.997)*100*100</f>
        <v>1.6163079954240122E-5</v>
      </c>
      <c r="DE129">
        <f>CY129+CZ129*DA129/DB129</f>
        <v>2.7706564305193547E-2</v>
      </c>
      <c r="DF129">
        <f>1+DC129*(CU129*CX129+CU129*DB129)^-1</f>
        <v>1.0044258274698177</v>
      </c>
      <c r="DG129">
        <f>(DE129*DF129/DD129)^0.5</f>
        <v>41.494278048540657</v>
      </c>
      <c r="DH129">
        <f>DD129/(BO129/60/60)</f>
        <v>2.9833619584437143E-2</v>
      </c>
      <c r="DI129" s="16">
        <f>DF129/((DF129-1)+TANH(DG129*DH129)/(DG129*DH129))</f>
        <v>1.4622400666285926</v>
      </c>
      <c r="DJ129">
        <f>$DI129*BR129</f>
        <v>-10.961058923071194</v>
      </c>
      <c r="DK129">
        <f>$DI129*BY129</f>
        <v>-16.025938179538695</v>
      </c>
      <c r="DL129">
        <f>$DI129*CF129</f>
        <v>-2.4819735106605316</v>
      </c>
      <c r="DM129">
        <f>$DI129*CM129</f>
        <v>-4.7811898687592125</v>
      </c>
    </row>
    <row r="130" spans="1:117" ht="15.75" x14ac:dyDescent="0.25">
      <c r="A130" s="51" t="s">
        <v>328</v>
      </c>
      <c r="B130" s="54" t="s">
        <v>339</v>
      </c>
      <c r="C130" s="48" t="s">
        <v>288</v>
      </c>
      <c r="D130" s="57">
        <v>43236</v>
      </c>
      <c r="E130" s="42" t="str">
        <f>A130&amp;D130</f>
        <v>56B43236</v>
      </c>
      <c r="F130" s="3">
        <f>VLOOKUP($E130,Water!$C$2:$E$90, 2, FALSE)</f>
        <v>15.2</v>
      </c>
      <c r="G130" s="3">
        <f>VLOOKUP($E130,Water!$C$2:$E$90, 3, FALSE)</f>
        <v>1.57</v>
      </c>
      <c r="H130" s="1">
        <f>F130+273.15</f>
        <v>288.34999999999997</v>
      </c>
      <c r="I130" s="3">
        <f>VLOOKUP($E130,Water!$C$2:$F$90, 4, FALSE)</f>
        <v>8.61</v>
      </c>
      <c r="J130">
        <f>10^(I130*-1)</f>
        <v>2.4547089156850316E-9</v>
      </c>
      <c r="K130" s="25">
        <f>VLOOKUP($E130,Atm!$D$2:$G$45, 2, FALSE)</f>
        <v>453.99923100415771</v>
      </c>
      <c r="L130" s="25">
        <f>VLOOKUP($E130,Atm!$D$2:$G$45, 3, FALSE)</f>
        <v>2.5059529930489282</v>
      </c>
      <c r="M130" s="25">
        <f>VLOOKUP($E130,Atm!$D$2:$G$45, 4, FALSE)</f>
        <v>0.33688033106221438</v>
      </c>
      <c r="N130" s="21">
        <f>VLOOKUP($C130,Raw!$B$2:$F$353, 3, FALSE)</f>
        <v>554.17600000000004</v>
      </c>
      <c r="O130" s="21">
        <f>VLOOKUP($C130,Raw!$B$2:$F$353, 4, FALSE)</f>
        <v>16.532</v>
      </c>
      <c r="P130" s="21">
        <f>VLOOKUP($C130,Raw!$B$2:$F$353, 5, FALSE)</f>
        <v>0.30099999999999999</v>
      </c>
      <c r="Q130" s="14">
        <v>60</v>
      </c>
      <c r="R130" s="25">
        <v>1140</v>
      </c>
      <c r="S130">
        <f>EXP(24.4543-(100/H130*(67.4509))-(4.8489*LN(H130/100))-(0.000544*G130))</f>
        <v>1.7016255219693556E-2</v>
      </c>
      <c r="T130" s="8">
        <f>EXP(-58.0931+90.5069*(100/H130)+22.294*LN(H130/100)+G130*(0.027766-0.025888*(H130/100)+0.0050578*(H130/100)^2)*G130)</f>
        <v>4.470426880001082E-2</v>
      </c>
      <c r="U130" s="9">
        <f>(EXP(-67.1962+99.1624*(100/H130)+27.9015*LN(H130/100)+G130*(-0.072909+0.041674*(H130/100)-0.0064603*(H130/100)^2)*G130))</f>
        <v>3.7828380667322574E-2</v>
      </c>
      <c r="V130" s="9">
        <f>(EXP(-64.8539+100.252*(100/H130)+25.2049*LN(H130/100)+(-0.062544+0.035337*(H130/100)-0.0054699*(H130/100)^2)*G130))</f>
        <v>3.3241954773603782E-2</v>
      </c>
      <c r="W130" s="9">
        <f>(EXP(-68.8862+101.4956*(100/H130)+28.7314*LN(H130/100)+G130*(-0.076146+0.04397*(H130/100)-0.0068672*(H130/100)^2)))</f>
        <v>3.7972485782273011E-2</v>
      </c>
      <c r="X130">
        <f>N130*(AZ130-S130)</f>
        <v>499.53690501052904</v>
      </c>
      <c r="Y130">
        <f>O130*(AZ130-S130)</f>
        <v>14.90202411081329</v>
      </c>
      <c r="Z130">
        <f>((Y130/10^6)*AZ130)/(0.082056*H130)</f>
        <v>5.7843797067499445E-7</v>
      </c>
      <c r="AA130">
        <f>(((L130/10^6)*AZ130)/(0.082056*H130))</f>
        <v>9.7271240009223204E-8</v>
      </c>
      <c r="AB130">
        <f>((Y130/10^6)*U130*1)/(0.082056*H130)</f>
        <v>2.382498929486636E-8</v>
      </c>
      <c r="AC130">
        <f>(Z130*(Q130/1000))+(AB130*(R130/1000))</f>
        <v>6.1866766036647309E-8</v>
      </c>
      <c r="AD130" s="39">
        <f>((AC130-(AA130*(Q130/1000)))/(R130/1000))*1000000</f>
        <v>4.9149554066749049E-2</v>
      </c>
      <c r="AE130" s="39">
        <f>(AD130/((U130*AZ130*1))*(0.0821*273.15))</f>
        <v>31.725199572151904</v>
      </c>
      <c r="AF130" s="39">
        <f>L130*U130*AZ130*1/(0.0821*273.15)</f>
        <v>3.8822914837927229E-3</v>
      </c>
      <c r="AG130" s="39">
        <f>AD130-AF130</f>
        <v>4.5267262582956325E-2</v>
      </c>
      <c r="AH130" s="42">
        <f>P130*(AZ130-S130)</f>
        <v>0.2713228440209775</v>
      </c>
      <c r="AI130">
        <f>(((X130/10^6)*(Q130/1000))/(0.082056*H130))</f>
        <v>1.2667430519535466E-6</v>
      </c>
      <c r="AJ130">
        <f>(((K130/10^6)*AZ130)*(Q130/1000))/(0.082056*H130)</f>
        <v>1.0573478820752795E-6</v>
      </c>
      <c r="AK130">
        <f>(X130/10^6)*T130*(R130/1000)</f>
        <v>2.5457832567912423E-5</v>
      </c>
      <c r="AL130">
        <f>AI130+AK130</f>
        <v>2.6724575619865968E-5</v>
      </c>
      <c r="AM130" s="39">
        <f>((AL130-AJ130)/(R130/1000))*1000000</f>
        <v>22.515112050693588</v>
      </c>
      <c r="AN130" s="39">
        <f>AM130/(T130*AZ130)</f>
        <v>548.38212043592671</v>
      </c>
      <c r="AO130" s="39">
        <f>(K130*AZ130)*T130</f>
        <v>18.640001517302675</v>
      </c>
      <c r="AP130" s="39">
        <f>AM130-AO130</f>
        <v>3.875110533390913</v>
      </c>
      <c r="AQ130">
        <f>(((AH130/10^6)*(Q130/1000))/(0.082056*H130))</f>
        <v>6.8802990139958703E-10</v>
      </c>
      <c r="AR130">
        <f>(((M130/10^6)*AZ130)*(Q130/1000))/(0.082056*H130)</f>
        <v>7.8458217599533605E-10</v>
      </c>
      <c r="AS130">
        <f>(AH130/10^6)*V130*(R130/1000)</f>
        <v>1.0282003949389613E-8</v>
      </c>
      <c r="AT130">
        <f>AQ130+AS130</f>
        <v>1.09700338507892E-8</v>
      </c>
      <c r="AU130" s="39">
        <f>((AT130-AR130)/(R130/1000))*1000000000</f>
        <v>8.9346067322753218</v>
      </c>
      <c r="AV130" s="39">
        <f>(AU130/1000)/(V130*AZ130)</f>
        <v>0.29264900820570672</v>
      </c>
      <c r="AW130" s="39">
        <f>(M130*AZ130)*V130*1000</f>
        <v>10.284993932950245</v>
      </c>
      <c r="AX130" s="39">
        <f>AU130-AW130</f>
        <v>-1.3503872006749233</v>
      </c>
      <c r="AY130" s="26">
        <f>VLOOKUP($E130,Water!$C$2:$G$90, 5, FALSE)</f>
        <v>698</v>
      </c>
      <c r="AZ130">
        <f>AY130/760</f>
        <v>0.91842105263157892</v>
      </c>
      <c r="BA130" s="3">
        <f>Assumptions!$B$3</f>
        <v>406.07</v>
      </c>
      <c r="BB130" s="3">
        <f>BA130*AZ130*T130</f>
        <v>16.672154706935572</v>
      </c>
      <c r="BC130" s="3">
        <f>Assumptions!$B$4</f>
        <v>1.8474300000000001</v>
      </c>
      <c r="BD130" s="45">
        <f>BC130*AZ130*U130*1/(0.0821*273.15)</f>
        <v>2.8620895027950568E-3</v>
      </c>
      <c r="BE130" s="3">
        <f>Assumptions!$B$2</f>
        <v>0.33054499999999998</v>
      </c>
      <c r="BF130" s="44">
        <f>BE130*AZ130*V130*1000</f>
        <v>10.091575571799106</v>
      </c>
      <c r="BG130">
        <f>1923.6+(-125.06*F130)+(4.3773*(F130^2))+(-0.085681*(F130^3))+(0.00070284*(F130^4))</f>
        <v>770.64140559974385</v>
      </c>
      <c r="BH130">
        <f>1909.4+(-120.78*F130)+(4.1555*(F130^2))+(-0.080578*(F130^3))+(0.00065777*(F130^4))</f>
        <v>785.76767658803215</v>
      </c>
      <c r="BI130">
        <f>2141.2+(-152.56*F130)+(5.8963*(F130^2))+(-0.12411*(F130^3))+(0.0010655*(F130^4))</f>
        <v>805.59449876480005</v>
      </c>
      <c r="BJ130" s="25">
        <f>VLOOKUP(E130,Wind!$C$2:$E$109,3, FALSE)</f>
        <v>5.0555555555555554</v>
      </c>
      <c r="BK130" s="44">
        <v>1.66</v>
      </c>
      <c r="BL130">
        <f>BK130/(1-(((1.3*10^-3)^0.5)/0.41)*LN(10/1.5))</f>
        <v>1.9923982880693825</v>
      </c>
      <c r="BM130">
        <f>BK130*1.22</f>
        <v>2.0251999999999999</v>
      </c>
      <c r="BN130">
        <f>2.07+0.215*(BM130^1.7)*(24/100)</f>
        <v>2.241255750541113</v>
      </c>
      <c r="BO130">
        <f>BN130*((600/BG130)^0.67)</f>
        <v>1.8952289741182775</v>
      </c>
      <c r="BP130">
        <f>BN130*((600/BH130)^0.67)</f>
        <v>1.8707065533953022</v>
      </c>
      <c r="BQ130">
        <f>BN130*((600/BI130)^0.67)</f>
        <v>1.8397326041616509</v>
      </c>
      <c r="BR130" s="39">
        <f>BO130*(AM130-BB130)</f>
        <v>11.073742052427361</v>
      </c>
      <c r="BS130" s="39">
        <f>BP130*(AD130-BD130)</f>
        <v>8.6590263299841569E-2</v>
      </c>
      <c r="BT130" s="39">
        <f>BQ130*(AU130-BF130)</f>
        <v>-2.1285132960709756</v>
      </c>
      <c r="BU130">
        <f>(2.51+1.48*BM130)+(0.39*BM130*LOG10(0.0015))</f>
        <v>3.2768938069574309</v>
      </c>
      <c r="BV130">
        <f>BU130*((600/$BG130)^0.67)</f>
        <v>2.7709751939532374</v>
      </c>
      <c r="BW130">
        <f>BU130*((600/$BH130)^0.67)</f>
        <v>2.7351214683891998</v>
      </c>
      <c r="BX130">
        <f>BU130*((600/$BI130)^0.67)</f>
        <v>2.6898350960525033</v>
      </c>
      <c r="BY130" s="39">
        <f>BV130*($AM130-$BB130)</f>
        <v>16.190689858880361</v>
      </c>
      <c r="BZ130" s="39">
        <f>BW130*($AD130-$BD130)</f>
        <v>0.12660183804617489</v>
      </c>
      <c r="CA130" s="39">
        <f>BX130*($AU130-$BF130)</f>
        <v>-3.1120553895902128</v>
      </c>
      <c r="CB130" s="42">
        <f>AVERAGE(0.72,0.69,0.4,0.22)</f>
        <v>0.50750000000000006</v>
      </c>
      <c r="CC130">
        <f>CB130*((600/$BG130)^0.67)</f>
        <v>0.42914723325653881</v>
      </c>
      <c r="CD130">
        <f>CB130*((600/$BH130)^0.67)</f>
        <v>0.42359448519826598</v>
      </c>
      <c r="CE130">
        <f>CB130*((600/$BI130)^0.67)</f>
        <v>0.41658088167163454</v>
      </c>
      <c r="CF130" s="39">
        <f>CC130*($AM130-$BB130)</f>
        <v>2.5074889781097278</v>
      </c>
      <c r="CG130" s="39">
        <f>CD130*($AD130-$BD130)</f>
        <v>1.960711472310107E-2</v>
      </c>
      <c r="CH130" s="39">
        <f>CE130*($AU130-$BF130)</f>
        <v>-0.48197109923542608</v>
      </c>
      <c r="CI130">
        <v>0.86263901889527161</v>
      </c>
      <c r="CJ130">
        <f>((BG130/BH130)^0.67)*CI130</f>
        <v>0.85147730849389602</v>
      </c>
      <c r="CK130">
        <f>((BH130/BH130)^0.67)*CI130</f>
        <v>0.86263901889527161</v>
      </c>
      <c r="CL130">
        <f>((BI130/BH130)^0.67)*CI130</f>
        <v>0.87716250840553378</v>
      </c>
      <c r="CM130" s="39">
        <f>CJ130*($AM130-$BB130)</f>
        <v>4.9751455927077197</v>
      </c>
      <c r="CN130" s="39">
        <f>CK130*($AD130-$BD130)</f>
        <v>3.9929373018598925E-2</v>
      </c>
      <c r="CO130" s="39">
        <f>CL130*($AU130-$BF130)</f>
        <v>-1.0148496894237224</v>
      </c>
      <c r="CP130" s="27">
        <f>VLOOKUP(A130,Water!$A$2:$E$109, 5, FALSE)/1000</f>
        <v>7.0999999999999991E-4</v>
      </c>
      <c r="CQ130">
        <f>0.64*CP130</f>
        <v>4.5439999999999993E-4</v>
      </c>
      <c r="CR130" s="19">
        <f>CQ130*1000*(2.5*10^-5)</f>
        <v>1.1359999999999998E-5</v>
      </c>
      <c r="CS130" s="18">
        <f>(-0.0000009*F130^3)+(0.0002*F130^2)-(0.0134*F130)+6.579</f>
        <v>6.4183673727999997</v>
      </c>
      <c r="CT130" s="18">
        <f>CS130-(SQRT(CP130))/(1+1.4*SQRT(CP130))</f>
        <v>6.3926798007858361</v>
      </c>
      <c r="CU130" s="18">
        <f>10^(-CT130)</f>
        <v>4.048742898018162E-7</v>
      </c>
      <c r="CV130" s="18">
        <f>(0.000001*F130^3)+(0.00006*F130^2)-(0.014*F130)+10.625</f>
        <v>10.429574208</v>
      </c>
      <c r="CW130" s="18">
        <f>CV130-(2*SQRT(CR130))/(1+1.4*SQRT(CR130))</f>
        <v>10.422864946795732</v>
      </c>
      <c r="CX130" s="18">
        <f>10^(-CW130)</f>
        <v>3.7768962337218857E-11</v>
      </c>
      <c r="CY130">
        <f>EXP(1246.98+-61900/H130-183*LN(H130))</f>
        <v>1.4498632497518151E-2</v>
      </c>
      <c r="CZ130">
        <f>12.225*(F130^2)+15.258*F130+1125.7</f>
        <v>4182.0856000000003</v>
      </c>
      <c r="DA130" s="15">
        <f>10^(-4470.99/H130+6.0875-0.01706*H130)</f>
        <v>4.6006751383364625E-15</v>
      </c>
      <c r="DB130">
        <f>(10^-I130)</f>
        <v>2.4547089156850316E-9</v>
      </c>
      <c r="DC130">
        <f>DB130^2</f>
        <v>6.0255958607435833E-18</v>
      </c>
      <c r="DD130" s="20">
        <f>((14.6836*10^-9)*((H130/217.2056)-1)^1.997)*100*100</f>
        <v>1.5806151569814206E-5</v>
      </c>
      <c r="DE130">
        <f>CY130+CZ130*DA130/DB130</f>
        <v>2.2336799020388966E-2</v>
      </c>
      <c r="DF130">
        <f>1+DC130*(CU130*CX130+CU130*DB130)^-1</f>
        <v>1.0059710194844957</v>
      </c>
      <c r="DG130">
        <f>(DE130*DF130/DD130)^0.5</f>
        <v>37.704234857288583</v>
      </c>
      <c r="DH130">
        <f>DD130/(BO130/60/60)</f>
        <v>3.0023889687420952E-2</v>
      </c>
      <c r="DI130" s="16">
        <f>DF130/((DF130-1)+TANH(DG130*DH130)/(DG130*DH130))</f>
        <v>1.3913583617157244</v>
      </c>
      <c r="DJ130">
        <f>$DI130*BR130</f>
        <v>15.407543600127857</v>
      </c>
      <c r="DK130">
        <f>$DI130*BY130</f>
        <v>22.527051717099173</v>
      </c>
      <c r="DL130">
        <f>$DI130*CF130</f>
        <v>3.4888157566029867</v>
      </c>
      <c r="DM130">
        <f>$DI130*CM130</f>
        <v>6.9222104211670192</v>
      </c>
    </row>
    <row r="131" spans="1:117" ht="15.75" x14ac:dyDescent="0.25">
      <c r="A131" s="51" t="s">
        <v>328</v>
      </c>
      <c r="B131" s="54" t="s">
        <v>340</v>
      </c>
      <c r="C131" s="48" t="s">
        <v>289</v>
      </c>
      <c r="D131" s="57">
        <v>43236</v>
      </c>
      <c r="E131" s="42" t="str">
        <f>A131&amp;D131</f>
        <v>56B43236</v>
      </c>
      <c r="F131" s="3">
        <f>VLOOKUP($E131,Water!$C$2:$E$90, 2, FALSE)</f>
        <v>15.2</v>
      </c>
      <c r="G131" s="3">
        <f>VLOOKUP($E131,Water!$C$2:$E$90, 3, FALSE)</f>
        <v>1.57</v>
      </c>
      <c r="H131" s="1">
        <f>F131+273.15</f>
        <v>288.34999999999997</v>
      </c>
      <c r="I131" s="3">
        <f>VLOOKUP($E131,Water!$C$2:$F$90, 4, FALSE)</f>
        <v>8.61</v>
      </c>
      <c r="J131">
        <f>10^(I131*-1)</f>
        <v>2.4547089156850316E-9</v>
      </c>
      <c r="K131" s="25">
        <f>VLOOKUP($E131,Atm!$D$2:$G$45, 2, FALSE)</f>
        <v>453.99923100415771</v>
      </c>
      <c r="L131" s="25">
        <f>VLOOKUP($E131,Atm!$D$2:$G$45, 3, FALSE)</f>
        <v>2.5059529930489282</v>
      </c>
      <c r="M131" s="25">
        <f>VLOOKUP($E131,Atm!$D$2:$G$45, 4, FALSE)</f>
        <v>0.33688033106221438</v>
      </c>
      <c r="N131" s="21">
        <f>VLOOKUP($C131,Raw!$B$2:$F$353, 3, FALSE)</f>
        <v>540.83699999999999</v>
      </c>
      <c r="O131" s="21">
        <f>VLOOKUP($C131,Raw!$B$2:$F$353, 4, FALSE)</f>
        <v>16.331</v>
      </c>
      <c r="P131" s="21">
        <f>VLOOKUP($C131,Raw!$B$2:$F$353, 5, FALSE)</f>
        <v>0.29299999999999998</v>
      </c>
      <c r="Q131" s="14">
        <v>60</v>
      </c>
      <c r="R131" s="25">
        <v>1140</v>
      </c>
      <c r="S131">
        <f>EXP(24.4543-(100/H131*(67.4509))-(4.8489*LN(H131/100))-(0.000544*G131))</f>
        <v>1.7016255219693556E-2</v>
      </c>
      <c r="T131" s="8">
        <f>EXP(-58.0931+90.5069*(100/H131)+22.294*LN(H131/100)+G131*(0.027766-0.025888*(H131/100)+0.0050578*(H131/100)^2)*G131)</f>
        <v>4.470426880001082E-2</v>
      </c>
      <c r="U131" s="9">
        <f>(EXP(-67.1962+99.1624*(100/H131)+27.9015*LN(H131/100)+G131*(-0.072909+0.041674*(H131/100)-0.0064603*(H131/100)^2)*G131))</f>
        <v>3.7828380667322574E-2</v>
      </c>
      <c r="V131" s="9">
        <f>(EXP(-64.8539+100.252*(100/H131)+25.2049*LN(H131/100)+(-0.062544+0.035337*(H131/100)-0.0054699*(H131/100)^2)*G131))</f>
        <v>3.3241954773603782E-2</v>
      </c>
      <c r="W131" s="9">
        <f>(EXP(-68.8862+101.4956*(100/H131)+28.7314*LN(H131/100)+G131*(-0.076146+0.04397*(H131/100)-0.0068672*(H131/100)^2)))</f>
        <v>3.7972485782273011E-2</v>
      </c>
      <c r="X131">
        <f>N131*(AZ131-S131)</f>
        <v>487.51306641785186</v>
      </c>
      <c r="Y131">
        <f>O131*(AZ131-S131)</f>
        <v>14.7208417465335</v>
      </c>
      <c r="Z131">
        <f>((Y131/10^6)*AZ131)/(0.082056*H131)</f>
        <v>5.7140518383095415E-7</v>
      </c>
      <c r="AA131">
        <f>(((L131/10^6)*AZ131)/(0.082056*H131))</f>
        <v>9.7271240009223204E-8</v>
      </c>
      <c r="AB131">
        <f>((Y131/10^6)*U131*1)/(0.082056*H131)</f>
        <v>2.3535319391148229E-8</v>
      </c>
      <c r="AC131">
        <f>(Z131*(Q131/1000))+(AB131*(R131/1000))</f>
        <v>6.1114575135766221E-8</v>
      </c>
      <c r="AD131" s="39">
        <f>((AC131-(AA131*(Q131/1000)))/(R131/1000))*1000000</f>
        <v>4.8489737487028804E-2</v>
      </c>
      <c r="AE131" s="39">
        <f>(AD131/((U131*AZ131*1))*(0.0821*273.15))</f>
        <v>31.299299214150469</v>
      </c>
      <c r="AF131" s="39">
        <f>L131*U131*AZ131*1/(0.0821*273.15)</f>
        <v>3.8822914837927229E-3</v>
      </c>
      <c r="AG131" s="39">
        <f>AD131-AF131</f>
        <v>4.460744600323608E-2</v>
      </c>
      <c r="AH131" s="42">
        <f>P131*(AZ131-S131)</f>
        <v>0.2641116056416824</v>
      </c>
      <c r="AI131">
        <f>(((X131/10^6)*(Q131/1000))/(0.082056*H131))</f>
        <v>1.2362525839975028E-6</v>
      </c>
      <c r="AJ131">
        <f>(((K131/10^6)*AZ131)*(Q131/1000))/(0.082056*H131)</f>
        <v>1.0573478820752795E-6</v>
      </c>
      <c r="AK131">
        <f>(X131/10^6)*T131*(R131/1000)</f>
        <v>2.484506328771374E-5</v>
      </c>
      <c r="AL131">
        <f>AI131+AK131</f>
        <v>2.6081315871711244E-5</v>
      </c>
      <c r="AM131" s="39">
        <f>((AL131-AJ131)/(R131/1000))*1000000</f>
        <v>21.950849113715758</v>
      </c>
      <c r="AN131" s="39">
        <f>AM131/(T131*AZ131)</f>
        <v>534.63883081042502</v>
      </c>
      <c r="AO131" s="39">
        <f>(K131*AZ131)*T131</f>
        <v>18.640001517302675</v>
      </c>
      <c r="AP131" s="39">
        <f>AM131-AO131</f>
        <v>3.3108475964130832</v>
      </c>
      <c r="AQ131">
        <f>(((AH131/10^6)*(Q131/1000))/(0.082056*H131))</f>
        <v>6.6974339239228885E-10</v>
      </c>
      <c r="AR131">
        <f>(((M131/10^6)*AZ131)*(Q131/1000))/(0.082056*H131)</f>
        <v>7.8458217599533605E-10</v>
      </c>
      <c r="AS131">
        <f>(AH131/10^6)*V131*(R131/1000)</f>
        <v>1.000872809691414E-8</v>
      </c>
      <c r="AT131">
        <f>AQ131+AS131</f>
        <v>1.0678471489306429E-8</v>
      </c>
      <c r="AU131" s="39">
        <f>((AT131-AR131)/(R131/1000))*1000000000</f>
        <v>8.6788502748342928</v>
      </c>
      <c r="AV131" s="39">
        <f>(AU131/1000)/(V131*AZ131)</f>
        <v>0.28427182095448211</v>
      </c>
      <c r="AW131" s="39">
        <f>(M131*AZ131)*V131*1000</f>
        <v>10.284993932950245</v>
      </c>
      <c r="AX131" s="39">
        <f>AU131-AW131</f>
        <v>-1.6061436581159523</v>
      </c>
      <c r="AY131" s="26">
        <f>VLOOKUP($E131,Water!$C$2:$G$90, 5, FALSE)</f>
        <v>698</v>
      </c>
      <c r="AZ131">
        <f>AY131/760</f>
        <v>0.91842105263157892</v>
      </c>
      <c r="BA131" s="3">
        <f>Assumptions!$B$3</f>
        <v>406.07</v>
      </c>
      <c r="BB131" s="3">
        <f>BA131*AZ131*T131</f>
        <v>16.672154706935572</v>
      </c>
      <c r="BC131" s="3">
        <f>Assumptions!$B$4</f>
        <v>1.8474300000000001</v>
      </c>
      <c r="BD131" s="45">
        <f>BC131*AZ131*U131*1/(0.0821*273.15)</f>
        <v>2.8620895027950568E-3</v>
      </c>
      <c r="BE131" s="3">
        <f>Assumptions!$B$2</f>
        <v>0.33054499999999998</v>
      </c>
      <c r="BF131" s="44">
        <f>BE131*AZ131*V131*1000</f>
        <v>10.091575571799106</v>
      </c>
      <c r="BG131">
        <f>1923.6+(-125.06*F131)+(4.3773*(F131^2))+(-0.085681*(F131^3))+(0.00070284*(F131^4))</f>
        <v>770.64140559974385</v>
      </c>
      <c r="BH131">
        <f>1909.4+(-120.78*F131)+(4.1555*(F131^2))+(-0.080578*(F131^3))+(0.00065777*(F131^4))</f>
        <v>785.76767658803215</v>
      </c>
      <c r="BI131">
        <f>2141.2+(-152.56*F131)+(5.8963*(F131^2))+(-0.12411*(F131^3))+(0.0010655*(F131^4))</f>
        <v>805.59449876480005</v>
      </c>
      <c r="BJ131" s="25">
        <f>VLOOKUP(E131,Wind!$C$2:$E$109,3, FALSE)</f>
        <v>5.0555555555555554</v>
      </c>
      <c r="BK131" s="44">
        <v>1.66</v>
      </c>
      <c r="BL131">
        <f>BK131/(1-(((1.3*10^-3)^0.5)/0.41)*LN(10/1.5))</f>
        <v>1.9923982880693825</v>
      </c>
      <c r="BM131">
        <f>BK131*1.22</f>
        <v>2.0251999999999999</v>
      </c>
      <c r="BN131">
        <f>2.07+0.215*(BM131^1.7)*(24/100)</f>
        <v>2.241255750541113</v>
      </c>
      <c r="BO131">
        <f>BN131*((600/BG131)^0.67)</f>
        <v>1.8952289741182775</v>
      </c>
      <c r="BP131">
        <f>BN131*((600/BH131)^0.67)</f>
        <v>1.8707065533953022</v>
      </c>
      <c r="BQ131">
        <f>BN131*((600/BI131)^0.67)</f>
        <v>1.8397326041616509</v>
      </c>
      <c r="BR131" s="39">
        <f>BO131*(AM131-BB131)</f>
        <v>10.004334585245902</v>
      </c>
      <c r="BS131" s="39">
        <f>BP131*(AD131-BD131)</f>
        <v>8.5355940100120029E-2</v>
      </c>
      <c r="BT131" s="39">
        <f>BQ131*(AU131-BF131)</f>
        <v>-2.5990367895501181</v>
      </c>
      <c r="BU131">
        <f>(2.51+1.48*BM131)+(0.39*BM131*LOG10(0.0015))</f>
        <v>3.2768938069574309</v>
      </c>
      <c r="BV131">
        <f>BU131*((600/$BG131)^0.67)</f>
        <v>2.7709751939532374</v>
      </c>
      <c r="BW131">
        <f>BU131*((600/$BH131)^0.67)</f>
        <v>2.7351214683891998</v>
      </c>
      <c r="BX131">
        <f>BU131*((600/$BI131)^0.67)</f>
        <v>2.6898350960525033</v>
      </c>
      <c r="BY131" s="39">
        <f>BV131*($AM131-$BB131)</f>
        <v>14.627131257647596</v>
      </c>
      <c r="BZ131" s="39">
        <f>BW131*($AD131-$BD131)</f>
        <v>0.12479715955378293</v>
      </c>
      <c r="CA131" s="39">
        <f>BX131*($AU131-$BF131)</f>
        <v>-3.7999980848571506</v>
      </c>
      <c r="CB131" s="42">
        <f>AVERAGE(0.72,0.69,0.4,0.22)</f>
        <v>0.50750000000000006</v>
      </c>
      <c r="CC131">
        <f>CB131*((600/$BG131)^0.67)</f>
        <v>0.42914723325653881</v>
      </c>
      <c r="CD131">
        <f>CB131*((600/$BH131)^0.67)</f>
        <v>0.42359448519826598</v>
      </c>
      <c r="CE131">
        <f>CB131*((600/$BI131)^0.67)</f>
        <v>0.41658088167163454</v>
      </c>
      <c r="CF131" s="39">
        <f>CC131*($AM131-$BB131)</f>
        <v>2.2653370998764832</v>
      </c>
      <c r="CG131" s="39">
        <f>CD131*($AD131-$BD131)</f>
        <v>1.9327620058689193E-2</v>
      </c>
      <c r="CH131" s="39">
        <f>CE131*($AU131-$BF131)</f>
        <v>-0.58851434976942385</v>
      </c>
      <c r="CI131">
        <v>0.86263901889527161</v>
      </c>
      <c r="CJ131">
        <f>((BG131/BH131)^0.67)*CI131</f>
        <v>0.85147730849389602</v>
      </c>
      <c r="CK131">
        <f>((BH131/BH131)^0.67)*CI131</f>
        <v>0.86263901889527161</v>
      </c>
      <c r="CL131">
        <f>((BI131/BH131)^0.67)*CI131</f>
        <v>0.87716250840553378</v>
      </c>
      <c r="CM131" s="39">
        <f>CJ131*($AM131-$BB131)</f>
        <v>4.4946885058469759</v>
      </c>
      <c r="CN131" s="39">
        <f>CK131*($AD131-$BD131)</f>
        <v>3.9360189491618222E-2</v>
      </c>
      <c r="CO131" s="39">
        <f>CL131*($AU131-$BF131)</f>
        <v>-1.2391896651736085</v>
      </c>
      <c r="CP131" s="27">
        <f>VLOOKUP(A131,Water!$A$2:$E$109, 5, FALSE)/1000</f>
        <v>7.0999999999999991E-4</v>
      </c>
      <c r="CQ131">
        <f>0.64*CP131</f>
        <v>4.5439999999999993E-4</v>
      </c>
      <c r="CR131" s="19">
        <f>CQ131*1000*(2.5*10^-5)</f>
        <v>1.1359999999999998E-5</v>
      </c>
      <c r="CS131" s="18">
        <f>(-0.0000009*F131^3)+(0.0002*F131^2)-(0.0134*F131)+6.579</f>
        <v>6.4183673727999997</v>
      </c>
      <c r="CT131" s="18">
        <f>CS131-(SQRT(CP131))/(1+1.4*SQRT(CP131))</f>
        <v>6.3926798007858361</v>
      </c>
      <c r="CU131" s="18">
        <f>10^(-CT131)</f>
        <v>4.048742898018162E-7</v>
      </c>
      <c r="CV131" s="18">
        <f>(0.000001*F131^3)+(0.00006*F131^2)-(0.014*F131)+10.625</f>
        <v>10.429574208</v>
      </c>
      <c r="CW131" s="18">
        <f>CV131-(2*SQRT(CR131))/(1+1.4*SQRT(CR131))</f>
        <v>10.422864946795732</v>
      </c>
      <c r="CX131" s="18">
        <f>10^(-CW131)</f>
        <v>3.7768962337218857E-11</v>
      </c>
      <c r="CY131">
        <f>EXP(1246.98+-61900/H131-183*LN(H131))</f>
        <v>1.4498632497518151E-2</v>
      </c>
      <c r="CZ131">
        <f>12.225*(F131^2)+15.258*F131+1125.7</f>
        <v>4182.0856000000003</v>
      </c>
      <c r="DA131" s="15">
        <f>10^(-4470.99/H131+6.0875-0.01706*H131)</f>
        <v>4.6006751383364625E-15</v>
      </c>
      <c r="DB131">
        <f>(10^-I131)</f>
        <v>2.4547089156850316E-9</v>
      </c>
      <c r="DC131">
        <f>DB131^2</f>
        <v>6.0255958607435833E-18</v>
      </c>
      <c r="DD131" s="20">
        <f>((14.6836*10^-9)*((H131/217.2056)-1)^1.997)*100*100</f>
        <v>1.5806151569814206E-5</v>
      </c>
      <c r="DE131">
        <f>CY131+CZ131*DA131/DB131</f>
        <v>2.2336799020388966E-2</v>
      </c>
      <c r="DF131">
        <f>1+DC131*(CU131*CX131+CU131*DB131)^-1</f>
        <v>1.0059710194844957</v>
      </c>
      <c r="DG131">
        <f>(DE131*DF131/DD131)^0.5</f>
        <v>37.704234857288583</v>
      </c>
      <c r="DH131">
        <f>DD131/(BO131/60/60)</f>
        <v>3.0023889687420952E-2</v>
      </c>
      <c r="DI131" s="16">
        <f>DF131/((DF131-1)+TANH(DG131*DH131)/(DG131*DH131))</f>
        <v>1.3913583617157244</v>
      </c>
      <c r="DJ131">
        <f>$DI131*BR131</f>
        <v>13.919614578583698</v>
      </c>
      <c r="DK131">
        <f>$DI131*BY131</f>
        <v>20.35158138324142</v>
      </c>
      <c r="DL131">
        <f>$DI131*CF131</f>
        <v>3.1518957160179939</v>
      </c>
      <c r="DM131">
        <f>$DI131*CM131</f>
        <v>6.2537224359177452</v>
      </c>
    </row>
    <row r="132" spans="1:117" ht="15.75" x14ac:dyDescent="0.25">
      <c r="A132" s="52" t="s">
        <v>328</v>
      </c>
      <c r="B132" s="55" t="s">
        <v>341</v>
      </c>
      <c r="C132" t="s">
        <v>290</v>
      </c>
      <c r="D132" s="57">
        <v>43236</v>
      </c>
      <c r="E132" s="42" t="str">
        <f>A132&amp;D132</f>
        <v>56B43236</v>
      </c>
      <c r="F132" s="3">
        <f>VLOOKUP($E132,Water!$C$2:$E$90, 2, FALSE)</f>
        <v>15.2</v>
      </c>
      <c r="G132" s="3">
        <f>VLOOKUP($E132,Water!$C$2:$E$90, 3, FALSE)</f>
        <v>1.57</v>
      </c>
      <c r="H132" s="1">
        <f>F132+273.15</f>
        <v>288.34999999999997</v>
      </c>
      <c r="I132" s="3">
        <f>VLOOKUP($E132,Water!$C$2:$F$90, 4, FALSE)</f>
        <v>8.61</v>
      </c>
      <c r="J132">
        <f>10^(I132*-1)</f>
        <v>2.4547089156850316E-9</v>
      </c>
      <c r="K132" s="25">
        <f>VLOOKUP($E132,Atm!$D$2:$G$45, 2, FALSE)</f>
        <v>453.99923100415771</v>
      </c>
      <c r="L132" s="25">
        <f>VLOOKUP($E132,Atm!$D$2:$G$45, 3, FALSE)</f>
        <v>2.5059529930489282</v>
      </c>
      <c r="M132" s="25">
        <f>VLOOKUP($E132,Atm!$D$2:$G$45, 4, FALSE)</f>
        <v>0.33688033106221438</v>
      </c>
      <c r="N132" s="21">
        <f>VLOOKUP($C132,Raw!$B$2:$F$353, 3, FALSE)</f>
        <v>431.20125022367603</v>
      </c>
      <c r="O132" s="21">
        <f>VLOOKUP($C132,Raw!$B$2:$F$353, 4, FALSE)</f>
        <v>2.1206154995865329</v>
      </c>
      <c r="P132" s="21">
        <f>VLOOKUP($C132,Raw!$B$2:$F$353, 5, FALSE)</f>
        <v>0.33000446351247875</v>
      </c>
      <c r="Q132" s="14">
        <v>60</v>
      </c>
      <c r="R132" s="25">
        <v>1140</v>
      </c>
      <c r="S132">
        <f>EXP(24.4543-(100/H132*(67.4509))-(4.8489*LN(H132/100))-(0.000544*G132))</f>
        <v>1.7016255219693556E-2</v>
      </c>
      <c r="T132" s="8">
        <f>EXP(-58.0931+90.5069*(100/H132)+22.294*LN(H132/100)+G132*(0.027766-0.025888*(H132/100)+0.0050578*(H132/100)^2)*G132)</f>
        <v>4.470426880001082E-2</v>
      </c>
      <c r="U132" s="9">
        <f>(EXP(-67.1962+99.1624*(100/H132)+27.9015*LN(H132/100)+G132*(-0.072909+0.041674*(H132/100)-0.0064603*(H132/100)^2)*G132))</f>
        <v>3.7828380667322574E-2</v>
      </c>
      <c r="V132" s="9">
        <f>(EXP(-64.8539+100.252*(100/H132)+25.2049*LN(H132/100)+(-0.062544+0.035337*(H132/100)-0.0054699*(H132/100)^2)*G132))</f>
        <v>3.3241954773603782E-2</v>
      </c>
      <c r="W132" s="9">
        <f>(EXP(-68.8862+101.4956*(100/H132)+28.7314*LN(H132/100)+G132*(-0.076146+0.04397*(H132/100)-0.0068672*(H132/100)^2)))</f>
        <v>3.7972485782273011E-2</v>
      </c>
      <c r="X132">
        <f>N132*(AZ132-S132)</f>
        <v>388.68687560162437</v>
      </c>
      <c r="Y132">
        <f>O132*(AZ132-S132)</f>
        <v>1.9115329847933029</v>
      </c>
      <c r="Z132">
        <f>((Y132/10^6)*AZ132)/(0.082056*H132)</f>
        <v>7.4198192968955567E-8</v>
      </c>
      <c r="AA132">
        <f>(((L132/10^6)*AZ132)/(0.082056*H132))</f>
        <v>9.7271240009223204E-8</v>
      </c>
      <c r="AB132">
        <f>((Y132/10^6)*U132*1)/(0.082056*H132)</f>
        <v>3.0561118785492875E-9</v>
      </c>
      <c r="AC132">
        <f>(Z132*(Q132/1000))+(AB132*(R132/1000))</f>
        <v>7.9358591196835208E-9</v>
      </c>
      <c r="AD132" s="39">
        <f>((AC132-(AA132*(Q132/1000)))/(R132/1000))*1000000</f>
        <v>1.8417409816930957E-3</v>
      </c>
      <c r="AE132" s="39">
        <f>(AD132/((U132*AZ132*1))*(0.0821*273.15))</f>
        <v>1.1888124178110004</v>
      </c>
      <c r="AF132" s="39">
        <f>L132*U132*AZ132*1/(0.0821*273.15)</f>
        <v>3.8822914837927229E-3</v>
      </c>
      <c r="AG132" s="39">
        <f>AD132-AF132</f>
        <v>-2.040550502099627E-3</v>
      </c>
      <c r="AH132" s="42">
        <f>P132*(AZ132-S132)</f>
        <v>0.29746760657748383</v>
      </c>
      <c r="AI132">
        <f>(((X132/10^6)*(Q132/1000))/(0.082056*H132))</f>
        <v>9.8564569327167564E-7</v>
      </c>
      <c r="AJ132">
        <f>(((K132/10^6)*AZ132)*(Q132/1000))/(0.082056*H132)</f>
        <v>1.0573478820752795E-6</v>
      </c>
      <c r="AK132">
        <f>(X132/10^6)*T132*(R132/1000)</f>
        <v>1.9808597325161773E-5</v>
      </c>
      <c r="AL132">
        <f>AI132+AK132</f>
        <v>2.0794243018433449E-5</v>
      </c>
      <c r="AM132" s="39">
        <f>((AL132-AJ132)/(R132/1000))*1000000</f>
        <v>17.313065909086117</v>
      </c>
      <c r="AN132" s="39">
        <f>AM132/(T132*AZ132)</f>
        <v>421.68014856400094</v>
      </c>
      <c r="AO132" s="39">
        <f>(K132*AZ132)*T132</f>
        <v>18.640001517302675</v>
      </c>
      <c r="AP132" s="39">
        <f>AM132-AO132</f>
        <v>-1.3269356082165586</v>
      </c>
      <c r="AQ132">
        <f>(((AH132/10^6)*(Q132/1000))/(0.082056*H132))</f>
        <v>7.5432869930868558E-10</v>
      </c>
      <c r="AR132">
        <f>(((M132/10^6)*AZ132)*(Q132/1000))/(0.082056*H132)</f>
        <v>7.8458217599533605E-10</v>
      </c>
      <c r="AS132">
        <f>(AH132/10^6)*V132*(R132/1000)</f>
        <v>1.1272781385885403E-8</v>
      </c>
      <c r="AT132">
        <f>AQ132+AS132</f>
        <v>1.2027110085194089E-8</v>
      </c>
      <c r="AU132" s="39">
        <f>((AT132-AR132)/(R132/1000))*1000000000</f>
        <v>9.8618665870164506</v>
      </c>
      <c r="AV132" s="39">
        <f>(AU132/1000)/(V132*AZ132)</f>
        <v>0.32302098595137441</v>
      </c>
      <c r="AW132" s="39">
        <f>(M132*AZ132)*V132*1000</f>
        <v>10.284993932950245</v>
      </c>
      <c r="AX132" s="39">
        <f>AU132-AW132</f>
        <v>-0.42312734593379453</v>
      </c>
      <c r="AY132" s="26">
        <f>VLOOKUP($E132,Water!$C$2:$G$90, 5, FALSE)</f>
        <v>698</v>
      </c>
      <c r="AZ132">
        <f>AY132/760</f>
        <v>0.91842105263157892</v>
      </c>
      <c r="BA132" s="3">
        <f>Assumptions!$B$3</f>
        <v>406.07</v>
      </c>
      <c r="BB132" s="3">
        <f>BA132*AZ132*T132</f>
        <v>16.672154706935572</v>
      </c>
      <c r="BC132" s="3">
        <f>Assumptions!$B$4</f>
        <v>1.8474300000000001</v>
      </c>
      <c r="BD132" s="45">
        <f>BC132*AZ132*U132*1/(0.0821*273.15)</f>
        <v>2.8620895027950568E-3</v>
      </c>
      <c r="BE132" s="3">
        <f>Assumptions!$B$2</f>
        <v>0.33054499999999998</v>
      </c>
      <c r="BF132" s="44">
        <f>BE132*AZ132*V132*1000</f>
        <v>10.091575571799106</v>
      </c>
      <c r="BG132">
        <f>1923.6+(-125.06*F132)+(4.3773*(F132^2))+(-0.085681*(F132^3))+(0.00070284*(F132^4))</f>
        <v>770.64140559974385</v>
      </c>
      <c r="BH132">
        <f>1909.4+(-120.78*F132)+(4.1555*(F132^2))+(-0.080578*(F132^3))+(0.00065777*(F132^4))</f>
        <v>785.76767658803215</v>
      </c>
      <c r="BI132">
        <f>2141.2+(-152.56*F132)+(5.8963*(F132^2))+(-0.12411*(F132^3))+(0.0010655*(F132^4))</f>
        <v>805.59449876480005</v>
      </c>
      <c r="BJ132" s="25">
        <f>VLOOKUP(E132,Wind!$C$2:$E$109,3, FALSE)</f>
        <v>5.0555555555555554</v>
      </c>
      <c r="BK132" s="44">
        <v>1.66</v>
      </c>
      <c r="BL132">
        <f>BK132/(1-(((1.3*10^-3)^0.5)/0.41)*LN(10/1.5))</f>
        <v>1.9923982880693825</v>
      </c>
      <c r="BM132">
        <f>BK132*1.22</f>
        <v>2.0251999999999999</v>
      </c>
      <c r="BN132">
        <f>2.07+0.215*(BM132^1.7)*(24/100)</f>
        <v>2.241255750541113</v>
      </c>
      <c r="BO132">
        <f>BN132*((600/BG132)^0.67)</f>
        <v>1.8952289741182775</v>
      </c>
      <c r="BP132">
        <f>BN132*((600/BH132)^0.67)</f>
        <v>1.8707065533953022</v>
      </c>
      <c r="BQ132">
        <f>BN132*((600/BI132)^0.67)</f>
        <v>1.8397326041616509</v>
      </c>
      <c r="BR132" s="39">
        <f>BO132*(AM132-BB132)</f>
        <v>1.2146734801526882</v>
      </c>
      <c r="BS132" s="39">
        <f>BP132*(AD132-BD132)</f>
        <v>-1.9087726651726437E-3</v>
      </c>
      <c r="BT132" s="39">
        <f>BQ132*(AU132-BF132)</f>
        <v>-0.42260310877352453</v>
      </c>
      <c r="BU132">
        <f>(2.51+1.48*BM132)+(0.39*BM132*LOG10(0.0015))</f>
        <v>3.2768938069574309</v>
      </c>
      <c r="BV132">
        <f>BU132*((600/$BG132)^0.67)</f>
        <v>2.7709751939532374</v>
      </c>
      <c r="BW132">
        <f>BU132*((600/$BH132)^0.67)</f>
        <v>2.7351214683891998</v>
      </c>
      <c r="BX132">
        <f>BU132*((600/$BI132)^0.67)</f>
        <v>2.6898350960525033</v>
      </c>
      <c r="BY132" s="39">
        <f>BV132*($AM132-$BB132)</f>
        <v>1.775949042685907</v>
      </c>
      <c r="BZ132" s="39">
        <f>BW132*($AD132-$BD132)</f>
        <v>-2.7907771453051446E-3</v>
      </c>
      <c r="CA132" s="39">
        <f>BX132*($AU132-$BF132)</f>
        <v>-0.61787928914697821</v>
      </c>
      <c r="CB132" s="42">
        <f>AVERAGE(0.72,0.69,0.4,0.22)</f>
        <v>0.50750000000000006</v>
      </c>
      <c r="CC132">
        <f>CB132*((600/$BG132)^0.67)</f>
        <v>0.42914723325653881</v>
      </c>
      <c r="CD132">
        <f>CB132*((600/$BH132)^0.67)</f>
        <v>0.42359448519826598</v>
      </c>
      <c r="CE132">
        <f>CB132*((600/$BI132)^0.67)</f>
        <v>0.41658088167163454</v>
      </c>
      <c r="CF132" s="39">
        <f>CC132*($AM132-$BB132)</f>
        <v>0.27504526916602834</v>
      </c>
      <c r="CG132" s="39">
        <f>CD132*($AD132-$BD132)</f>
        <v>-4.322140065189973E-4</v>
      </c>
      <c r="CH132" s="39">
        <f>CE132*($AU132-$BF132)</f>
        <v>-9.5692371408654872E-2</v>
      </c>
      <c r="CI132">
        <v>0.86263901889527161</v>
      </c>
      <c r="CJ132">
        <f>((BG132/BH132)^0.67)*CI132</f>
        <v>0.85147730849389602</v>
      </c>
      <c r="CK132">
        <f>((BH132/BH132)^0.67)*CI132</f>
        <v>0.86263901889527161</v>
      </c>
      <c r="CL132">
        <f>((BI132/BH132)^0.67)*CI132</f>
        <v>0.87716250840553378</v>
      </c>
      <c r="CM132" s="39">
        <f>CJ132*($AM132-$BB132)</f>
        <v>0.5457213453907328</v>
      </c>
      <c r="CN132" s="39">
        <f>CK132*($AD132-$BD132)</f>
        <v>-8.8019244717463718E-4</v>
      </c>
      <c r="CO132" s="39">
        <f>CL132*($AU132-$BF132)</f>
        <v>-0.20149210929524303</v>
      </c>
      <c r="CP132" s="27">
        <f>VLOOKUP(A132,Water!$A$2:$E$109, 5, FALSE)/1000</f>
        <v>7.0999999999999991E-4</v>
      </c>
      <c r="CQ132">
        <f>0.64*CP132</f>
        <v>4.5439999999999993E-4</v>
      </c>
      <c r="CR132" s="19">
        <f>CQ132*1000*(2.5*10^-5)</f>
        <v>1.1359999999999998E-5</v>
      </c>
      <c r="CS132" s="18">
        <f>(-0.0000009*F132^3)+(0.0002*F132^2)-(0.0134*F132)+6.579</f>
        <v>6.4183673727999997</v>
      </c>
      <c r="CT132" s="18">
        <f>CS132-(SQRT(CP132))/(1+1.4*SQRT(CP132))</f>
        <v>6.3926798007858361</v>
      </c>
      <c r="CU132" s="18">
        <f>10^(-CT132)</f>
        <v>4.048742898018162E-7</v>
      </c>
      <c r="CV132" s="18">
        <f>(0.000001*F132^3)+(0.00006*F132^2)-(0.014*F132)+10.625</f>
        <v>10.429574208</v>
      </c>
      <c r="CW132" s="18">
        <f>CV132-(2*SQRT(CR132))/(1+1.4*SQRT(CR132))</f>
        <v>10.422864946795732</v>
      </c>
      <c r="CX132" s="18">
        <f>10^(-CW132)</f>
        <v>3.7768962337218857E-11</v>
      </c>
      <c r="CY132">
        <f>EXP(1246.98+-61900/H132-183*LN(H132))</f>
        <v>1.4498632497518151E-2</v>
      </c>
      <c r="CZ132">
        <f>12.225*(F132^2)+15.258*F132+1125.7</f>
        <v>4182.0856000000003</v>
      </c>
      <c r="DA132" s="15">
        <f>10^(-4470.99/H132+6.0875-0.01706*H132)</f>
        <v>4.6006751383364625E-15</v>
      </c>
      <c r="DB132">
        <f>(10^-I132)</f>
        <v>2.4547089156850316E-9</v>
      </c>
      <c r="DC132">
        <f>DB132^2</f>
        <v>6.0255958607435833E-18</v>
      </c>
      <c r="DD132" s="20">
        <f>((14.6836*10^-9)*((H132/217.2056)-1)^1.997)*100*100</f>
        <v>1.5806151569814206E-5</v>
      </c>
      <c r="DE132">
        <f>CY132+CZ132*DA132/DB132</f>
        <v>2.2336799020388966E-2</v>
      </c>
      <c r="DF132">
        <f>1+DC132*(CU132*CX132+CU132*DB132)^-1</f>
        <v>1.0059710194844957</v>
      </c>
      <c r="DG132">
        <f>(DE132*DF132/DD132)^0.5</f>
        <v>37.704234857288583</v>
      </c>
      <c r="DH132">
        <f>DD132/(BO132/60/60)</f>
        <v>3.0023889687420952E-2</v>
      </c>
      <c r="DI132" s="16">
        <f>DF132/((DF132-1)+TANH(DG132*DH132)/(DG132*DH132))</f>
        <v>1.3913583617157244</v>
      </c>
      <c r="DJ132">
        <f>$DI132*BR132</f>
        <v>1.6900461033647816</v>
      </c>
      <c r="DK132">
        <f>$DI132*BY132</f>
        <v>2.4709815505220725</v>
      </c>
      <c r="DL132">
        <f>$DI132*CF132</f>
        <v>0.38268653510450562</v>
      </c>
      <c r="DM132">
        <f>$DI132*CM132</f>
        <v>0.75929395707615099</v>
      </c>
    </row>
    <row r="133" spans="1:117" ht="15.75" x14ac:dyDescent="0.25">
      <c r="A133" s="52" t="s">
        <v>328</v>
      </c>
      <c r="B133" s="55" t="s">
        <v>342</v>
      </c>
      <c r="C133" t="s">
        <v>291</v>
      </c>
      <c r="D133" s="57">
        <v>43236</v>
      </c>
      <c r="E133" s="42" t="str">
        <f>A133&amp;D133</f>
        <v>56B43236</v>
      </c>
      <c r="F133" s="3">
        <f>VLOOKUP($E133,Water!$C$2:$E$90, 2, FALSE)</f>
        <v>15.2</v>
      </c>
      <c r="G133" s="3">
        <f>VLOOKUP($E133,Water!$C$2:$E$90, 3, FALSE)</f>
        <v>1.57</v>
      </c>
      <c r="H133" s="1">
        <f>F133+273.15</f>
        <v>288.34999999999997</v>
      </c>
      <c r="I133" s="3">
        <f>VLOOKUP($E133,Water!$C$2:$F$90, 4, FALSE)</f>
        <v>8.61</v>
      </c>
      <c r="J133">
        <f>10^(I133*-1)</f>
        <v>2.4547089156850316E-9</v>
      </c>
      <c r="K133" s="25">
        <f>VLOOKUP($E133,Atm!$D$2:$G$45, 2, FALSE)</f>
        <v>453.99923100415771</v>
      </c>
      <c r="L133" s="25">
        <f>VLOOKUP($E133,Atm!$D$2:$G$45, 3, FALSE)</f>
        <v>2.5059529930489282</v>
      </c>
      <c r="M133" s="25">
        <f>VLOOKUP($E133,Atm!$D$2:$G$45, 4, FALSE)</f>
        <v>0.33688033106221438</v>
      </c>
      <c r="N133" s="21">
        <f>VLOOKUP($C133,Raw!$B$2:$F$353, 3, FALSE)</f>
        <v>431.47253741737592</v>
      </c>
      <c r="O133" s="21">
        <f>VLOOKUP($C133,Raw!$B$2:$F$353, 4, FALSE)</f>
        <v>2.1382156710747262</v>
      </c>
      <c r="P133" s="21">
        <f>VLOOKUP($C133,Raw!$B$2:$F$353, 5, FALSE)</f>
        <v>0.33323399954771854</v>
      </c>
      <c r="Q133" s="14">
        <v>60</v>
      </c>
      <c r="R133" s="25">
        <v>1140</v>
      </c>
      <c r="S133">
        <f>EXP(24.4543-(100/H133*(67.4509))-(4.8489*LN(H133/100))-(0.000544*G133))</f>
        <v>1.7016255219693556E-2</v>
      </c>
      <c r="T133" s="8">
        <f>EXP(-58.0931+90.5069*(100/H133)+22.294*LN(H133/100)+G133*(0.027766-0.025888*(H133/100)+0.0050578*(H133/100)^2)*G133)</f>
        <v>4.470426880001082E-2</v>
      </c>
      <c r="U133" s="9">
        <f>(EXP(-67.1962+99.1624*(100/H133)+27.9015*LN(H133/100)+G133*(-0.072909+0.041674*(H133/100)-0.0064603*(H133/100)^2)*G133))</f>
        <v>3.7828380667322574E-2</v>
      </c>
      <c r="V133" s="9">
        <f>(EXP(-64.8539+100.252*(100/H133)+25.2049*LN(H133/100)+(-0.062544+0.035337*(H133/100)-0.0054699*(H133/100)^2)*G133))</f>
        <v>3.3241954773603782E-2</v>
      </c>
      <c r="W133" s="9">
        <f>(EXP(-68.8862+101.4956*(100/H133)+28.7314*LN(H133/100)+G133*(-0.076146+0.04397*(H133/100)-0.0068672*(H133/100)^2)))</f>
        <v>3.7972485782273011E-2</v>
      </c>
      <c r="X133">
        <f>N133*(AZ133-S133)</f>
        <v>388.93141517950187</v>
      </c>
      <c r="Y133">
        <f>O133*(AZ133-S133)</f>
        <v>1.9273978638080322</v>
      </c>
      <c r="Z133">
        <f>((Y133/10^6)*AZ133)/(0.082056*H133)</f>
        <v>7.4814005180373577E-8</v>
      </c>
      <c r="AA133">
        <f>(((L133/10^6)*AZ133)/(0.082056*H133))</f>
        <v>9.7271240009223204E-8</v>
      </c>
      <c r="AB133">
        <f>((Y133/10^6)*U133*1)/(0.082056*H133)</f>
        <v>3.0814762565612653E-9</v>
      </c>
      <c r="AC133">
        <f>(Z133*(Q133/1000))+(AB133*(R133/1000))</f>
        <v>8.0017232433022555E-9</v>
      </c>
      <c r="AD133" s="39">
        <f>((AC133-(AA133*(Q133/1000)))/(R133/1000))*1000000</f>
        <v>1.8995165287270734E-3</v>
      </c>
      <c r="AE133" s="39">
        <f>(AD133/((U133*AZ133*1))*(0.0821*273.15))</f>
        <v>1.2261055488443751</v>
      </c>
      <c r="AF133" s="39">
        <f>L133*U133*AZ133*1/(0.0821*273.15)</f>
        <v>3.8822914837927229E-3</v>
      </c>
      <c r="AG133" s="39">
        <f>AD133-AF133</f>
        <v>-1.9827749550656495E-3</v>
      </c>
      <c r="AH133" s="42">
        <f>P133*(AZ133-S133)</f>
        <v>0.30037872585306352</v>
      </c>
      <c r="AI133">
        <f>(((X133/10^6)*(Q133/1000))/(0.082056*H133))</f>
        <v>9.8626580523557038E-7</v>
      </c>
      <c r="AJ133">
        <f>(((K133/10^6)*AZ133)*(Q133/1000))/(0.082056*H133)</f>
        <v>1.0573478820752795E-6</v>
      </c>
      <c r="AK133">
        <f>(X133/10^6)*T133*(R133/1000)</f>
        <v>1.9821059763006486E-5</v>
      </c>
      <c r="AL133">
        <f>AI133+AK133</f>
        <v>2.0807325568242056E-5</v>
      </c>
      <c r="AM133" s="39">
        <f>((AL133-AJ133)/(R133/1000))*1000000</f>
        <v>17.324541829970858</v>
      </c>
      <c r="AN133" s="39">
        <f>AM133/(T133*AZ133)</f>
        <v>421.95965815802651</v>
      </c>
      <c r="AO133" s="39">
        <f>(K133*AZ133)*T133</f>
        <v>18.640001517302675</v>
      </c>
      <c r="AP133" s="39">
        <f>AM133-AO133</f>
        <v>-1.315459687331817</v>
      </c>
      <c r="AQ133">
        <f>(((AH133/10^6)*(Q133/1000))/(0.082056*H133))</f>
        <v>7.6171081678341108E-10</v>
      </c>
      <c r="AR133">
        <f>(((M133/10^6)*AZ133)*(Q133/1000))/(0.082056*H133)</f>
        <v>7.8458217599533605E-10</v>
      </c>
      <c r="AS133">
        <f>(AH133/10^6)*V133*(R133/1000)</f>
        <v>1.1383100662526704E-8</v>
      </c>
      <c r="AT133">
        <f>AQ133+AS133</f>
        <v>1.2144811479310115E-8</v>
      </c>
      <c r="AU133" s="39">
        <f>((AT133-AR133)/(R133/1000))*1000000000</f>
        <v>9.9651134239603341</v>
      </c>
      <c r="AV133" s="39">
        <f>(AU133/1000)/(V133*AZ133)</f>
        <v>0.32640278946409701</v>
      </c>
      <c r="AW133" s="39">
        <f>(M133*AZ133)*V133*1000</f>
        <v>10.284993932950245</v>
      </c>
      <c r="AX133" s="39">
        <f>AU133-AW133</f>
        <v>-0.31988050898991105</v>
      </c>
      <c r="AY133" s="26">
        <f>VLOOKUP($E133,Water!$C$2:$G$90, 5, FALSE)</f>
        <v>698</v>
      </c>
      <c r="AZ133">
        <f>AY133/760</f>
        <v>0.91842105263157892</v>
      </c>
      <c r="BA133" s="3">
        <f>Assumptions!$B$3</f>
        <v>406.07</v>
      </c>
      <c r="BB133" s="3">
        <f>BA133*AZ133*T133</f>
        <v>16.672154706935572</v>
      </c>
      <c r="BC133" s="3">
        <f>Assumptions!$B$4</f>
        <v>1.8474300000000001</v>
      </c>
      <c r="BD133" s="45">
        <f>BC133*AZ133*U133*1/(0.0821*273.15)</f>
        <v>2.8620895027950568E-3</v>
      </c>
      <c r="BE133" s="3">
        <f>Assumptions!$B$2</f>
        <v>0.33054499999999998</v>
      </c>
      <c r="BF133" s="44">
        <f>BE133*AZ133*V133*1000</f>
        <v>10.091575571799106</v>
      </c>
      <c r="BG133">
        <f>1923.6+(-125.06*F133)+(4.3773*(F133^2))+(-0.085681*(F133^3))+(0.00070284*(F133^4))</f>
        <v>770.64140559974385</v>
      </c>
      <c r="BH133">
        <f>1909.4+(-120.78*F133)+(4.1555*(F133^2))+(-0.080578*(F133^3))+(0.00065777*(F133^4))</f>
        <v>785.76767658803215</v>
      </c>
      <c r="BI133">
        <f>2141.2+(-152.56*F133)+(5.8963*(F133^2))+(-0.12411*(F133^3))+(0.0010655*(F133^4))</f>
        <v>805.59449876480005</v>
      </c>
      <c r="BJ133" s="25">
        <f>VLOOKUP(E133,Wind!$C$2:$E$109,3, FALSE)</f>
        <v>5.0555555555555554</v>
      </c>
      <c r="BK133" s="44">
        <v>1.66</v>
      </c>
      <c r="BL133">
        <f>BK133/(1-(((1.3*10^-3)^0.5)/0.41)*LN(10/1.5))</f>
        <v>1.9923982880693825</v>
      </c>
      <c r="BM133">
        <f>BK133*1.22</f>
        <v>2.0251999999999999</v>
      </c>
      <c r="BN133">
        <f>2.07+0.215*(BM133^1.7)*(24/100)</f>
        <v>2.241255750541113</v>
      </c>
      <c r="BO133">
        <f>BN133*((600/BG133)^0.67)</f>
        <v>1.8952289741182775</v>
      </c>
      <c r="BP133">
        <f>BN133*((600/BH133)^0.67)</f>
        <v>1.8707065533953022</v>
      </c>
      <c r="BQ133">
        <f>BN133*((600/BI133)^0.67)</f>
        <v>1.8397326041616509</v>
      </c>
      <c r="BR133" s="39">
        <f>BO133*(AM133-BB133)</f>
        <v>1.2364229779181395</v>
      </c>
      <c r="BS133" s="39">
        <f>BP133*(AD133-BD133)</f>
        <v>-1.800691570710183E-3</v>
      </c>
      <c r="BT133" s="39">
        <f>BQ133*(AU133-BF133)</f>
        <v>-0.23265653657130045</v>
      </c>
      <c r="BU133">
        <f>(2.51+1.48*BM133)+(0.39*BM133*LOG10(0.0015))</f>
        <v>3.2768938069574309</v>
      </c>
      <c r="BV133">
        <f>BU133*((600/$BG133)^0.67)</f>
        <v>2.7709751939532374</v>
      </c>
      <c r="BW133">
        <f>BU133*((600/$BH133)^0.67)</f>
        <v>2.7351214683891998</v>
      </c>
      <c r="BX133">
        <f>BU133*((600/$BI133)^0.67)</f>
        <v>2.6898350960525033</v>
      </c>
      <c r="BY133" s="39">
        <f>BV133*($AM133-$BB133)</f>
        <v>1.8077485347852962</v>
      </c>
      <c r="BZ133" s="39">
        <f>BW133*($AD133-$BD133)</f>
        <v>-2.6327540062645819E-3</v>
      </c>
      <c r="CA133" s="39">
        <f>BX133*($AU133-$BF133)</f>
        <v>-0.34016232357891024</v>
      </c>
      <c r="CB133" s="42">
        <f>AVERAGE(0.72,0.69,0.4,0.22)</f>
        <v>0.50750000000000006</v>
      </c>
      <c r="CC133">
        <f>CB133*((600/$BG133)^0.67)</f>
        <v>0.42914723325653881</v>
      </c>
      <c r="CD133">
        <f>CB133*((600/$BH133)^0.67)</f>
        <v>0.42359448519826598</v>
      </c>
      <c r="CE133">
        <f>CB133*((600/$BI133)^0.67)</f>
        <v>0.41658088167163454</v>
      </c>
      <c r="CF133" s="39">
        <f>CC133*($AM133-$BB133)</f>
        <v>0.27997012886278616</v>
      </c>
      <c r="CG133" s="39">
        <f>CD133*($AD133-$BD133)</f>
        <v>-4.0774060341609131E-4</v>
      </c>
      <c r="CH133" s="39">
        <f>CE133*($AU133-$BF133)</f>
        <v>-5.2681713044764406E-2</v>
      </c>
      <c r="CI133">
        <v>0.86263901889527161</v>
      </c>
      <c r="CJ133">
        <f>((BG133/BH133)^0.67)*CI133</f>
        <v>0.85147730849389602</v>
      </c>
      <c r="CK133">
        <f>((BH133/BH133)^0.67)*CI133</f>
        <v>0.86263901889527161</v>
      </c>
      <c r="CL133">
        <f>((BI133/BH133)^0.67)*CI133</f>
        <v>0.87716250840553378</v>
      </c>
      <c r="CM133" s="39">
        <f>CJ133*($AM133-$BB133)</f>
        <v>0.55549283161816154</v>
      </c>
      <c r="CN133" s="39">
        <f>CK133*($AD133-$BD133)</f>
        <v>-8.3035300596510898E-4</v>
      </c>
      <c r="CO133" s="39">
        <f>CL133*($AU133-$BF133)</f>
        <v>-0.11092785481660906</v>
      </c>
      <c r="CP133" s="27">
        <f>VLOOKUP(A133,Water!$A$2:$E$109, 5, FALSE)/1000</f>
        <v>7.0999999999999991E-4</v>
      </c>
      <c r="CQ133">
        <f>0.64*CP133</f>
        <v>4.5439999999999993E-4</v>
      </c>
      <c r="CR133" s="19">
        <f>CQ133*1000*(2.5*10^-5)</f>
        <v>1.1359999999999998E-5</v>
      </c>
      <c r="CS133" s="18">
        <f>(-0.0000009*F133^3)+(0.0002*F133^2)-(0.0134*F133)+6.579</f>
        <v>6.4183673727999997</v>
      </c>
      <c r="CT133" s="18">
        <f>CS133-(SQRT(CP133))/(1+1.4*SQRT(CP133))</f>
        <v>6.3926798007858361</v>
      </c>
      <c r="CU133" s="18">
        <f>10^(-CT133)</f>
        <v>4.048742898018162E-7</v>
      </c>
      <c r="CV133" s="18">
        <f>(0.000001*F133^3)+(0.00006*F133^2)-(0.014*F133)+10.625</f>
        <v>10.429574208</v>
      </c>
      <c r="CW133" s="18">
        <f>CV133-(2*SQRT(CR133))/(1+1.4*SQRT(CR133))</f>
        <v>10.422864946795732</v>
      </c>
      <c r="CX133" s="18">
        <f>10^(-CW133)</f>
        <v>3.7768962337218857E-11</v>
      </c>
      <c r="CY133">
        <f>EXP(1246.98+-61900/H133-183*LN(H133))</f>
        <v>1.4498632497518151E-2</v>
      </c>
      <c r="CZ133">
        <f>12.225*(F133^2)+15.258*F133+1125.7</f>
        <v>4182.0856000000003</v>
      </c>
      <c r="DA133" s="15">
        <f>10^(-4470.99/H133+6.0875-0.01706*H133)</f>
        <v>4.6006751383364625E-15</v>
      </c>
      <c r="DB133">
        <f>(10^-I133)</f>
        <v>2.4547089156850316E-9</v>
      </c>
      <c r="DC133">
        <f>DB133^2</f>
        <v>6.0255958607435833E-18</v>
      </c>
      <c r="DD133" s="20">
        <f>((14.6836*10^-9)*((H133/217.2056)-1)^1.997)*100*100</f>
        <v>1.5806151569814206E-5</v>
      </c>
      <c r="DE133">
        <f>CY133+CZ133*DA133/DB133</f>
        <v>2.2336799020388966E-2</v>
      </c>
      <c r="DF133">
        <f>1+DC133*(CU133*CX133+CU133*DB133)^-1</f>
        <v>1.0059710194844957</v>
      </c>
      <c r="DG133">
        <f>(DE133*DF133/DD133)^0.5</f>
        <v>37.704234857288583</v>
      </c>
      <c r="DH133">
        <f>DD133/(BO133/60/60)</f>
        <v>3.0023889687420952E-2</v>
      </c>
      <c r="DI133" s="16">
        <f>DF133/((DF133-1)+TANH(DG133*DH133)/(DG133*DH133))</f>
        <v>1.3913583617157244</v>
      </c>
      <c r="DJ133">
        <f>$DI133*BR133</f>
        <v>1.7203074489438599</v>
      </c>
      <c r="DK133">
        <f>$DI133*BY133</f>
        <v>2.515226039752871</v>
      </c>
      <c r="DL133">
        <f>$DI133*CF133</f>
        <v>0.38953877982386637</v>
      </c>
      <c r="DM133">
        <f>$DI133*CM133</f>
        <v>0.77288959614507402</v>
      </c>
    </row>
    <row r="134" spans="1:117" ht="15.75" x14ac:dyDescent="0.25">
      <c r="A134" s="51" t="s">
        <v>327</v>
      </c>
      <c r="B134" s="54" t="s">
        <v>339</v>
      </c>
      <c r="C134" s="48" t="s">
        <v>293</v>
      </c>
      <c r="D134" s="57">
        <v>43234</v>
      </c>
      <c r="E134" s="42" t="str">
        <f>A134&amp;D134</f>
        <v>66C43234</v>
      </c>
      <c r="F134" s="3">
        <f>VLOOKUP($E134,Water!$C$2:$E$90, 2, FALSE)</f>
        <v>14.1</v>
      </c>
      <c r="G134" s="3">
        <f>VLOOKUP($E134,Water!$C$2:$E$90, 3, FALSE)</f>
        <v>0.15</v>
      </c>
      <c r="H134" s="1">
        <f>F134+273.15</f>
        <v>287.25</v>
      </c>
      <c r="I134" s="3">
        <f>VLOOKUP($E134,Water!$C$2:$F$90, 4, FALSE)</f>
        <v>7.98</v>
      </c>
      <c r="J134">
        <f>10^(I134*-1)</f>
        <v>1.0471285480508974E-8</v>
      </c>
      <c r="K134" s="25">
        <f>VLOOKUP($E134,Atm!$D$2:$G$45, 2, FALSE)</f>
        <v>467.9316753005964</v>
      </c>
      <c r="L134" s="25">
        <f>VLOOKUP($E134,Atm!$D$2:$G$45, 3, FALSE)</f>
        <v>5.4028081938197481</v>
      </c>
      <c r="M134" s="25">
        <f>VLOOKUP($E134,Atm!$D$2:$G$45, 4, FALSE)</f>
        <v>0.32507308191826351</v>
      </c>
      <c r="N134" s="21">
        <f>VLOOKUP($C134,Raw!$B$2:$F$353, 3, FALSE)</f>
        <v>1830.31</v>
      </c>
      <c r="O134" s="21">
        <f>VLOOKUP($C134,Raw!$B$2:$F$353, 4, FALSE)</f>
        <v>135.13999999999999</v>
      </c>
      <c r="P134" s="21">
        <f>VLOOKUP($C134,Raw!$B$2:$F$353, 5, FALSE)</f>
        <v>0.27700000000000002</v>
      </c>
      <c r="Q134" s="14">
        <v>60</v>
      </c>
      <c r="R134" s="25">
        <v>1140</v>
      </c>
      <c r="S134">
        <f>EXP(24.4543-(100/H134*(67.4509))-(4.8489*LN(H134/100))-(0.000544*G134))</f>
        <v>1.5861530994826394E-2</v>
      </c>
      <c r="T134" s="8">
        <f>EXP(-58.0931+90.5069*(100/H134)+22.294*LN(H134/100)+G134*(0.027766-0.025888*(H134/100)+0.0050578*(H134/100)^2)*G134)</f>
        <v>4.6845212625158311E-2</v>
      </c>
      <c r="U134" s="9">
        <f>(EXP(-67.1962+99.1624*(100/H134)+27.9015*LN(H134/100)+G134*(-0.072909+0.041674*(H134/100)-0.0064603*(H134/100)^2)*G134))</f>
        <v>3.9404417596399809E-2</v>
      </c>
      <c r="V134" s="9">
        <f>(EXP(-64.8539+100.252*(100/H134)+25.2049*LN(H134/100)+(-0.062544+0.035337*(H134/100)-0.0054699*(H134/100)^2)*G134))</f>
        <v>3.4789440691598866E-2</v>
      </c>
      <c r="W134" s="9">
        <f>(EXP(-68.8862+101.4956*(100/H134)+28.7314*LN(H134/100)+G134*(-0.076146+0.04397*(H134/100)-0.0068672*(H134/100)^2)))</f>
        <v>3.929113100828438E-2</v>
      </c>
      <c r="X134">
        <f>N134*(AZ134-S134)</f>
        <v>1682.5491614680175</v>
      </c>
      <c r="Y134">
        <f>O134*(AZ134-S134)</f>
        <v>124.23015428030654</v>
      </c>
      <c r="Z134">
        <f>((Y134/10^6)*AZ134)/(0.082056*H134)</f>
        <v>4.9286657669443702E-6</v>
      </c>
      <c r="AA134">
        <f>(((L134/10^6)*AZ134)/(0.082056*H134))</f>
        <v>2.1434921291462338E-7</v>
      </c>
      <c r="AB134">
        <f>((Y134/10^6)*U134*1)/(0.082056*H134)</f>
        <v>2.0768329125658451E-7</v>
      </c>
      <c r="AC134">
        <f>(Z134*(Q134/1000))+(AB134*(R134/1000))</f>
        <v>5.3247889804916856E-7</v>
      </c>
      <c r="AD134" s="39">
        <f>((AC134-(AA134*(Q134/1000)))/(R134/1000))*1000000</f>
        <v>0.45580521515288702</v>
      </c>
      <c r="AE134" s="39">
        <f>(AD134/((U134*AZ134*1))*(0.0821*273.15))</f>
        <v>277.39971833740532</v>
      </c>
      <c r="AF134" s="39">
        <f>L134*U134*AZ134*1/(0.0821*273.15)</f>
        <v>8.8775438056446065E-3</v>
      </c>
      <c r="AG134" s="39">
        <f>AD134-AF134</f>
        <v>0.44692767134724243</v>
      </c>
      <c r="AH134" s="42">
        <f>P134*(AZ134-S134)</f>
        <v>0.25463780328285424</v>
      </c>
      <c r="AI134">
        <f>(((X134/10^6)*(Q134/1000))/(0.082056*H134))</f>
        <v>4.283005508988238E-6</v>
      </c>
      <c r="AJ134">
        <f>(((K134/10^6)*AZ134)*(Q134/1000))/(0.082056*H134)</f>
        <v>1.1138739266728473E-6</v>
      </c>
      <c r="AK134">
        <f>(X134/10^6)*T134*(R134/1000)</f>
        <v>8.9854085472226258E-5</v>
      </c>
      <c r="AL134">
        <f>AI134+AK134</f>
        <v>9.4137090981214502E-5</v>
      </c>
      <c r="AM134" s="39">
        <f>((AL134-AJ134)/(R134/1000))*1000000</f>
        <v>81.599313205738298</v>
      </c>
      <c r="AN134" s="39">
        <f>AM134/(T134*AZ134)</f>
        <v>1862.724238407103</v>
      </c>
      <c r="AO134" s="39">
        <f>(K134*AZ134)*T134</f>
        <v>20.498419757715222</v>
      </c>
      <c r="AP134" s="39">
        <f>AM134-AO134</f>
        <v>61.100893448023072</v>
      </c>
      <c r="AQ134">
        <f>(((AH134/10^6)*(Q134/1000))/(0.082056*H134))</f>
        <v>6.4819212373299729E-10</v>
      </c>
      <c r="AR134">
        <f>(((M134/10^6)*AZ134)*(Q134/1000))/(0.082056*H134)</f>
        <v>7.7381047132433525E-10</v>
      </c>
      <c r="AS134">
        <f>(AH134/10^6)*V134*(R134/1000)</f>
        <v>1.0098925700868579E-8</v>
      </c>
      <c r="AT134">
        <f>AQ134+AS134</f>
        <v>1.0747117824601575E-8</v>
      </c>
      <c r="AU134" s="39">
        <f>((AT134-AR134)/(R134/1000))*1000000000</f>
        <v>8.7485152221730189</v>
      </c>
      <c r="AV134" s="39">
        <f>(AU134/1000)/(V134*AZ134)</f>
        <v>0.26891447632447263</v>
      </c>
      <c r="AW134" s="39">
        <f>(M134*AZ134)*V134*1000</f>
        <v>10.575506548963778</v>
      </c>
      <c r="AX134" s="39">
        <f>AU134-AW134</f>
        <v>-1.8269913267907594</v>
      </c>
      <c r="AY134" s="26">
        <f>VLOOKUP($E134,Water!$C$2:$G$90, 5, FALSE)</f>
        <v>710.7</v>
      </c>
      <c r="AZ134">
        <f>AY134/760</f>
        <v>0.93513157894736854</v>
      </c>
      <c r="BA134" s="3">
        <f>Assumptions!$B$3</f>
        <v>406.07</v>
      </c>
      <c r="BB134" s="3">
        <f>BA134*AZ134*T134</f>
        <v>17.788480135840913</v>
      </c>
      <c r="BC134" s="3">
        <f>Assumptions!$B$4</f>
        <v>1.8474300000000001</v>
      </c>
      <c r="BD134" s="45">
        <f>BC134*AZ134*U134*1/(0.0821*273.15)</f>
        <v>3.0355770859351711E-3</v>
      </c>
      <c r="BE134" s="3">
        <f>Assumptions!$B$2</f>
        <v>0.33054499999999998</v>
      </c>
      <c r="BF134" s="44">
        <f>BE134*AZ134*V134*1000</f>
        <v>10.753522843537649</v>
      </c>
      <c r="BG134">
        <f>1923.6+(-125.06*F134)+(4.3773*(F134^2))+(-0.085681*(F134^3))+(0.00070284*(F134^4))</f>
        <v>818.10227795072399</v>
      </c>
      <c r="BH134">
        <f>1909.4+(-120.78*F134)+(4.1555*(F134^2))+(-0.080578*(F134^3))+(0.00065777*(F134^4))</f>
        <v>832.67764621009701</v>
      </c>
      <c r="BI134">
        <f>2141.2+(-152.56*F134)+(5.8963*(F134^2))+(-0.12411*(F134^3))+(0.0010655*(F134^4))</f>
        <v>856.55397554454976</v>
      </c>
      <c r="BJ134" s="25">
        <f>VLOOKUP(E134,Wind!$C$2:$E$109,3, FALSE)</f>
        <v>2.9166666666666665</v>
      </c>
      <c r="BK134" s="44">
        <v>1.66</v>
      </c>
      <c r="BL134">
        <f>BK134/(1-(((1.3*10^-3)^0.5)/0.41)*LN(10/1.5))</f>
        <v>1.9923982880693825</v>
      </c>
      <c r="BM134">
        <f>BK134*1.22</f>
        <v>2.0251999999999999</v>
      </c>
      <c r="BN134">
        <f>2.07+0.215*(BM134^1.7)*(24/100)</f>
        <v>2.241255750541113</v>
      </c>
      <c r="BO134">
        <f>BN134*((600/BG134)^0.67)</f>
        <v>1.8208394800555712</v>
      </c>
      <c r="BP134">
        <f>BN134*((600/BH134)^0.67)</f>
        <v>1.7994228359486069</v>
      </c>
      <c r="BQ134">
        <f>BN134*((600/BI134)^0.67)</f>
        <v>1.7656600148583779</v>
      </c>
      <c r="BR134" s="39">
        <f>BO134*(AM134-BB134)</f>
        <v>116.1892841089048</v>
      </c>
      <c r="BS134" s="39">
        <f>BP134*(AD134-BD134)</f>
        <v>0.81472402616185879</v>
      </c>
      <c r="BT134" s="39">
        <f>BQ134*(AU134-BF134)</f>
        <v>-3.5401617865298336</v>
      </c>
      <c r="BU134">
        <f>(2.51+1.48*BM134)+(0.39*BM134*LOG10(0.0015))</f>
        <v>3.2768938069574309</v>
      </c>
      <c r="BV134">
        <f>BU134*((600/$BG134)^0.67)</f>
        <v>2.6622118489677637</v>
      </c>
      <c r="BW134">
        <f>BU134*((600/$BH134)^0.67)</f>
        <v>2.6308990153373406</v>
      </c>
      <c r="BX134">
        <f>BU134*((600/$BI134)^0.67)</f>
        <v>2.5815350909796355</v>
      </c>
      <c r="BY134" s="39">
        <f>BV134*($AM134-$BB134)</f>
        <v>169.87795589118485</v>
      </c>
      <c r="BZ134" s="39">
        <f>BW134*($AD134-$BD134)</f>
        <v>1.1911911949649878</v>
      </c>
      <c r="CA134" s="39">
        <f>BX134*($AU134-$BF134)</f>
        <v>-5.175997532234403</v>
      </c>
      <c r="CB134" s="42">
        <f>AVERAGE(0.72,0.69,0.4,0.22)</f>
        <v>0.50750000000000006</v>
      </c>
      <c r="CC134">
        <f>CB134*((600/$BG134)^0.67)</f>
        <v>0.41230280654276075</v>
      </c>
      <c r="CD134">
        <f>CB134*((600/$BH134)^0.67)</f>
        <v>0.40745331675041535</v>
      </c>
      <c r="CE134">
        <f>CB134*((600/$BI134)^0.67)</f>
        <v>0.39980821346438727</v>
      </c>
      <c r="CF134" s="39">
        <f>CC134*($AM134-$BB134)</f>
        <v>26.3093855625503</v>
      </c>
      <c r="CG134" s="39">
        <f>CD134*($AD134-$BD134)</f>
        <v>0.18448249075426465</v>
      </c>
      <c r="CH134" s="39">
        <f>CE134*($AU134-$BF134)</f>
        <v>-0.80161851508027337</v>
      </c>
      <c r="CI134">
        <v>0.86263901889527161</v>
      </c>
      <c r="CJ134">
        <f>((BG134/BH134)^0.67)*CI134</f>
        <v>0.85249269185061782</v>
      </c>
      <c r="CK134">
        <f>((BH134/BH134)^0.67)*CI134</f>
        <v>0.86263901889527161</v>
      </c>
      <c r="CL134">
        <f>((BI134/BH134)^0.67)*CI134</f>
        <v>0.87913433884096781</v>
      </c>
      <c r="CM134" s="39">
        <f>CJ134*($AM134-$BB134)</f>
        <v>54.398268852987243</v>
      </c>
      <c r="CN134" s="39">
        <f>CK134*($AD134-$BD134)</f>
        <v>0.39057675636764255</v>
      </c>
      <c r="CO134" s="39">
        <f>CL134*($AU134-$BF134)</f>
        <v>-1.7626710495794955</v>
      </c>
      <c r="CP134" s="27">
        <f>VLOOKUP(A134,Water!$A$2:$E$109, 5, FALSE)/1000</f>
        <v>1.1999999999999999E-4</v>
      </c>
      <c r="CQ134">
        <f>0.64*CP134</f>
        <v>7.6799999999999997E-5</v>
      </c>
      <c r="CR134" s="19">
        <f>CQ134*1000*(2.5*10^-5)</f>
        <v>1.9199999999999998E-6</v>
      </c>
      <c r="CS134" s="18">
        <f>(-0.0000009*F134^3)+(0.0002*F134^2)-(0.0134*F134)+6.579</f>
        <v>6.4272991011</v>
      </c>
      <c r="CT134" s="18">
        <f>CS134-(SQRT(CP134))/(1+1.4*SQRT(CP134))</f>
        <v>6.4165101123797497</v>
      </c>
      <c r="CU134" s="18">
        <f>10^(-CT134)</f>
        <v>3.8325681630877485E-7</v>
      </c>
      <c r="CV134" s="18">
        <f>(0.000001*F134^3)+(0.00006*F134^2)-(0.014*F134)+10.625</f>
        <v>10.442331821</v>
      </c>
      <c r="CW134" s="18">
        <f>CV134-(2*SQRT(CR134))/(1+1.4*SQRT(CR134))</f>
        <v>10.439565905299196</v>
      </c>
      <c r="CX134" s="18">
        <f>10^(-CW134)</f>
        <v>3.6344114723674233E-11</v>
      </c>
      <c r="CY134">
        <f>EXP(1246.98+-61900/H134-183*LN(H134))</f>
        <v>1.282555386888154E-2</v>
      </c>
      <c r="CZ134">
        <f>12.225*(F134^2)+15.258*F134+1125.7</f>
        <v>3771.2900499999996</v>
      </c>
      <c r="DA134" s="15">
        <f>10^(-4470.99/H134+6.0875-0.01706*H134)</f>
        <v>4.1899691221132746E-15</v>
      </c>
      <c r="DB134">
        <f>(10^-I134)</f>
        <v>1.0471285480508974E-8</v>
      </c>
      <c r="DC134">
        <f>DB134^2</f>
        <v>1.0964781961431807E-16</v>
      </c>
      <c r="DD134" s="20">
        <f>((14.6836*10^-9)*((H134/217.2056)-1)^1.997)*100*100</f>
        <v>1.5321872388294916E-5</v>
      </c>
      <c r="DE134">
        <f>CY134+CZ134*DA134/DB134</f>
        <v>1.4334593889750589E-2</v>
      </c>
      <c r="DF134">
        <f>1+DC134*(CU134*CX134+CU134*DB134)^-1</f>
        <v>1.0272273489469472</v>
      </c>
      <c r="DG134">
        <f>(DE134*DF134/DD134)^0.5</f>
        <v>31.000597405487518</v>
      </c>
      <c r="DH134">
        <f>DD134/(BO134/60/60)</f>
        <v>3.0293027585374128E-2</v>
      </c>
      <c r="DI134" s="16">
        <f>DF134/((DF134-1)+TANH(DG134*DH134)/(DG134*DH134))</f>
        <v>1.2686721721787604</v>
      </c>
      <c r="DJ134">
        <f>$DI134*BR134</f>
        <v>147.40611145433937</v>
      </c>
      <c r="DK134">
        <f>$DI134*BY134</f>
        <v>215.51943530575713</v>
      </c>
      <c r="DL134">
        <f>$DI134*CF134</f>
        <v>33.37798533032921</v>
      </c>
      <c r="DM134">
        <f>$DI134*CM134</f>
        <v>69.013569908483532</v>
      </c>
    </row>
    <row r="135" spans="1:117" ht="15.75" x14ac:dyDescent="0.25">
      <c r="A135" s="52" t="s">
        <v>327</v>
      </c>
      <c r="B135" s="55" t="s">
        <v>340</v>
      </c>
      <c r="C135" t="s">
        <v>294</v>
      </c>
      <c r="D135" s="57">
        <v>43234</v>
      </c>
      <c r="E135" s="42" t="str">
        <f>A135&amp;D135</f>
        <v>66C43234</v>
      </c>
      <c r="F135" s="3">
        <f>VLOOKUP($E135,Water!$C$2:$E$90, 2, FALSE)</f>
        <v>14.1</v>
      </c>
      <c r="G135" s="3">
        <f>VLOOKUP($E135,Water!$C$2:$E$90, 3, FALSE)</f>
        <v>0.15</v>
      </c>
      <c r="H135" s="1">
        <f>F135+273.15</f>
        <v>287.25</v>
      </c>
      <c r="I135" s="3">
        <f>VLOOKUP($E135,Water!$C$2:$F$90, 4, FALSE)</f>
        <v>7.98</v>
      </c>
      <c r="J135">
        <f>10^(I135*-1)</f>
        <v>1.0471285480508974E-8</v>
      </c>
      <c r="K135" s="25">
        <f>VLOOKUP($E135,Atm!$D$2:$G$45, 2, FALSE)</f>
        <v>467.9316753005964</v>
      </c>
      <c r="L135" s="25">
        <f>VLOOKUP($E135,Atm!$D$2:$G$45, 3, FALSE)</f>
        <v>5.4028081938197481</v>
      </c>
      <c r="M135" s="25">
        <f>VLOOKUP($E135,Atm!$D$2:$G$45, 4, FALSE)</f>
        <v>0.32507308191826351</v>
      </c>
      <c r="N135" s="21">
        <f>VLOOKUP($C135,Raw!$B$2:$F$353, 3, FALSE)</f>
        <v>1864.1613233477831</v>
      </c>
      <c r="O135" s="21">
        <f>VLOOKUP($C135,Raw!$B$2:$F$353, 4, FALSE)</f>
        <v>129.867306719124</v>
      </c>
      <c r="P135" s="21">
        <f>VLOOKUP($C135,Raw!$B$2:$F$353, 5, FALSE)</f>
        <v>0.30422665604299559</v>
      </c>
      <c r="Q135" s="14">
        <v>60</v>
      </c>
      <c r="R135" s="25">
        <v>1140</v>
      </c>
      <c r="S135">
        <f>EXP(24.4543-(100/H135*(67.4509))-(4.8489*LN(H135/100))-(0.000544*G135))</f>
        <v>1.5861530994826394E-2</v>
      </c>
      <c r="T135" s="8">
        <f>EXP(-58.0931+90.5069*(100/H135)+22.294*LN(H135/100)+G135*(0.027766-0.025888*(H135/100)+0.0050578*(H135/100)^2)*G135)</f>
        <v>4.6845212625158311E-2</v>
      </c>
      <c r="U135" s="9">
        <f>(EXP(-67.1962+99.1624*(100/H135)+27.9015*LN(H135/100)+G135*(-0.072909+0.041674*(H135/100)-0.0064603*(H135/100)^2)*G135))</f>
        <v>3.9404417596399809E-2</v>
      </c>
      <c r="V135" s="9">
        <f>(EXP(-64.8539+100.252*(100/H135)+25.2049*LN(H135/100)+(-0.062544+0.035337*(H135/100)-0.0054699*(H135/100)^2)*G135))</f>
        <v>3.4789440691598866E-2</v>
      </c>
      <c r="W135" s="9">
        <f>(EXP(-68.8862+101.4956*(100/H135)+28.7314*LN(H135/100)+G135*(-0.076146+0.04397*(H135/100)-0.0068672*(H135/100)^2)))</f>
        <v>3.929113100828438E-2</v>
      </c>
      <c r="X135">
        <f>N135*(AZ135-S135)</f>
        <v>1713.667669105191</v>
      </c>
      <c r="Y135">
        <f>O135*(AZ135-S135)</f>
        <v>119.38312527515663</v>
      </c>
      <c r="Z135">
        <f>((Y135/10^6)*AZ135)/(0.082056*H135)</f>
        <v>4.7363663524627138E-6</v>
      </c>
      <c r="AA135">
        <f>(((L135/10^6)*AZ135)/(0.082056*H135))</f>
        <v>2.1434921291462338E-7</v>
      </c>
      <c r="AB135">
        <f>((Y135/10^6)*U135*1)/(0.082056*H135)</f>
        <v>1.9958021078922622E-7</v>
      </c>
      <c r="AC135">
        <f>(Z135*(Q135/1000))+(AB135*(R135/1000))</f>
        <v>5.1170342144748066E-7</v>
      </c>
      <c r="AD135" s="39">
        <f>((AC135-(AA135*(Q135/1000)))/(R135/1000))*1000000</f>
        <v>0.43758111287070467</v>
      </c>
      <c r="AE135" s="39">
        <f>(AD135/((U135*AZ135*1))*(0.0821*273.15))</f>
        <v>266.30866305333234</v>
      </c>
      <c r="AF135" s="39">
        <f>L135*U135*AZ135*1/(0.0821*273.15)</f>
        <v>8.8775438056446065E-3</v>
      </c>
      <c r="AG135" s="39">
        <f>AD135-AF135</f>
        <v>0.42870356906506007</v>
      </c>
      <c r="AH135" s="42">
        <f>P135*(AZ135-S135)</f>
        <v>0.27966645268908613</v>
      </c>
      <c r="AI135">
        <f>(((X135/10^6)*(Q135/1000))/(0.082056*H135))</f>
        <v>4.3622190872264032E-6</v>
      </c>
      <c r="AJ135">
        <f>(((K135/10^6)*AZ135)*(Q135/1000))/(0.082056*H135)</f>
        <v>1.1138739266728473E-6</v>
      </c>
      <c r="AK135">
        <f>(X135/10^6)*T135*(R135/1000)</f>
        <v>9.151592401402501E-5</v>
      </c>
      <c r="AL135">
        <f>AI135+AK135</f>
        <v>9.5878143101251408E-5</v>
      </c>
      <c r="AM135" s="39">
        <f>((AL135-AJ135)/(R135/1000))*1000000</f>
        <v>83.126551907525055</v>
      </c>
      <c r="AN135" s="39">
        <f>AM135/(T135*AZ135)</f>
        <v>1897.5875777648605</v>
      </c>
      <c r="AO135" s="39">
        <f>(K135*AZ135)*T135</f>
        <v>20.498419757715222</v>
      </c>
      <c r="AP135" s="39">
        <f>AM135-AO135</f>
        <v>62.628132149809829</v>
      </c>
      <c r="AQ135">
        <f>(((AH135/10^6)*(Q135/1000))/(0.082056*H135))</f>
        <v>7.1190369052959328E-10</v>
      </c>
      <c r="AR135">
        <f>(((M135/10^6)*AZ135)*(Q135/1000))/(0.082056*H135)</f>
        <v>7.7381047132433525E-10</v>
      </c>
      <c r="AS135">
        <f>(AH135/10^6)*V135*(R135/1000)</f>
        <v>1.1091560994952754E-8</v>
      </c>
      <c r="AT135">
        <f>AQ135+AS135</f>
        <v>1.1803464685482347E-8</v>
      </c>
      <c r="AU135" s="39">
        <f>((AT135-AR135)/(R135/1000))*1000000000</f>
        <v>9.6751352755772047</v>
      </c>
      <c r="AV135" s="39">
        <f>(AU135/1000)/(V135*AZ135)</f>
        <v>0.29739720054508018</v>
      </c>
      <c r="AW135" s="39">
        <f>(M135*AZ135)*V135*1000</f>
        <v>10.575506548963778</v>
      </c>
      <c r="AX135" s="39">
        <f>AU135-AW135</f>
        <v>-0.90037127338657363</v>
      </c>
      <c r="AY135" s="26">
        <f>VLOOKUP($E135,Water!$C$2:$G$90, 5, FALSE)</f>
        <v>710.7</v>
      </c>
      <c r="AZ135">
        <f>AY135/760</f>
        <v>0.93513157894736854</v>
      </c>
      <c r="BA135" s="3">
        <f>Assumptions!$B$3</f>
        <v>406.07</v>
      </c>
      <c r="BB135" s="3">
        <f>BA135*AZ135*T135</f>
        <v>17.788480135840913</v>
      </c>
      <c r="BC135" s="3">
        <f>Assumptions!$B$4</f>
        <v>1.8474300000000001</v>
      </c>
      <c r="BD135" s="45">
        <f>BC135*AZ135*U135*1/(0.0821*273.15)</f>
        <v>3.0355770859351711E-3</v>
      </c>
      <c r="BE135" s="3">
        <f>Assumptions!$B$2</f>
        <v>0.33054499999999998</v>
      </c>
      <c r="BF135" s="44">
        <f>BE135*AZ135*V135*1000</f>
        <v>10.753522843537649</v>
      </c>
      <c r="BG135">
        <f>1923.6+(-125.06*F135)+(4.3773*(F135^2))+(-0.085681*(F135^3))+(0.00070284*(F135^4))</f>
        <v>818.10227795072399</v>
      </c>
      <c r="BH135">
        <f>1909.4+(-120.78*F135)+(4.1555*(F135^2))+(-0.080578*(F135^3))+(0.00065777*(F135^4))</f>
        <v>832.67764621009701</v>
      </c>
      <c r="BI135">
        <f>2141.2+(-152.56*F135)+(5.8963*(F135^2))+(-0.12411*(F135^3))+(0.0010655*(F135^4))</f>
        <v>856.55397554454976</v>
      </c>
      <c r="BJ135" s="25">
        <f>VLOOKUP(E135,Wind!$C$2:$E$109,3, FALSE)</f>
        <v>2.9166666666666665</v>
      </c>
      <c r="BK135" s="44">
        <v>1.66</v>
      </c>
      <c r="BL135">
        <f>BK135/(1-(((1.3*10^-3)^0.5)/0.41)*LN(10/1.5))</f>
        <v>1.9923982880693825</v>
      </c>
      <c r="BM135">
        <f>BK135*1.22</f>
        <v>2.0251999999999999</v>
      </c>
      <c r="BN135">
        <f>2.07+0.215*(BM135^1.7)*(24/100)</f>
        <v>2.241255750541113</v>
      </c>
      <c r="BO135">
        <f>BN135*((600/BG135)^0.67)</f>
        <v>1.8208394800555712</v>
      </c>
      <c r="BP135">
        <f>BN135*((600/BH135)^0.67)</f>
        <v>1.7994228359486069</v>
      </c>
      <c r="BQ135">
        <f>BN135*((600/BI135)^0.67)</f>
        <v>1.7656600148583779</v>
      </c>
      <c r="BR135" s="39">
        <f>BO135*(AM135-BB135)</f>
        <v>118.97014063258695</v>
      </c>
      <c r="BS135" s="39">
        <f>BP135*(AD135-BD135)</f>
        <v>0.78193116035063681</v>
      </c>
      <c r="BT135" s="39">
        <f>BQ135*(AU135-BF135)</f>
        <v>-1.904065809268128</v>
      </c>
      <c r="BU135">
        <f>(2.51+1.48*BM135)+(0.39*BM135*LOG10(0.0015))</f>
        <v>3.2768938069574309</v>
      </c>
      <c r="BV135">
        <f>BU135*((600/$BG135)^0.67)</f>
        <v>2.6622118489677637</v>
      </c>
      <c r="BW135">
        <f>BU135*((600/$BH135)^0.67)</f>
        <v>2.6308990153373406</v>
      </c>
      <c r="BX135">
        <f>BU135*((600/$BI135)^0.67)</f>
        <v>2.5815350909796355</v>
      </c>
      <c r="BY135" s="39">
        <f>BV135*($AM135-$BB135)</f>
        <v>173.9437888592837</v>
      </c>
      <c r="BZ135" s="39">
        <f>BW135*($AD135-$BD135)</f>
        <v>1.1432454222153872</v>
      </c>
      <c r="CA135" s="39">
        <f>BX135*($AU135-$BF135)</f>
        <v>-2.7838953483660731</v>
      </c>
      <c r="CB135" s="42">
        <f>AVERAGE(0.72,0.69,0.4,0.22)</f>
        <v>0.50750000000000006</v>
      </c>
      <c r="CC135">
        <f>CB135*((600/$BG135)^0.67)</f>
        <v>0.41230280654276075</v>
      </c>
      <c r="CD135">
        <f>CB135*((600/$BH135)^0.67)</f>
        <v>0.40745331675041535</v>
      </c>
      <c r="CE135">
        <f>CB135*((600/$BI135)^0.67)</f>
        <v>0.39980821346438727</v>
      </c>
      <c r="CF135" s="39">
        <f>CC135*($AM135-$BB135)</f>
        <v>26.939070365557704</v>
      </c>
      <c r="CG135" s="39">
        <f>CD135*($AD135-$BD135)</f>
        <v>0.17705701983459063</v>
      </c>
      <c r="CH135" s="39">
        <f>CE135*($AU135-$BF135)</f>
        <v>-0.43114820696847073</v>
      </c>
      <c r="CI135">
        <v>0.86263901889527161</v>
      </c>
      <c r="CJ135">
        <f>((BG135/BH135)^0.67)*CI135</f>
        <v>0.85249269185061782</v>
      </c>
      <c r="CK135">
        <f>((BH135/BH135)^0.67)*CI135</f>
        <v>0.86263901889527161</v>
      </c>
      <c r="CL135">
        <f>((BI135/BH135)^0.67)*CI135</f>
        <v>0.87913433884096781</v>
      </c>
      <c r="CM135" s="39">
        <f>CJ135*($AM135-$BB135)</f>
        <v>55.700228684971883</v>
      </c>
      <c r="CN135" s="39">
        <f>CK135*($AD135-$BD135)</f>
        <v>0.37485593465469369</v>
      </c>
      <c r="CO135" s="39">
        <f>CL135*($AU135-$BF135)</f>
        <v>-0.94804754157322435</v>
      </c>
      <c r="CP135" s="27">
        <f>VLOOKUP(A135,Water!$A$2:$E$109, 5, FALSE)/1000</f>
        <v>1.1999999999999999E-4</v>
      </c>
      <c r="CQ135">
        <f>0.64*CP135</f>
        <v>7.6799999999999997E-5</v>
      </c>
      <c r="CR135" s="19">
        <f>CQ135*1000*(2.5*10^-5)</f>
        <v>1.9199999999999998E-6</v>
      </c>
      <c r="CS135" s="18">
        <f>(-0.0000009*F135^3)+(0.0002*F135^2)-(0.0134*F135)+6.579</f>
        <v>6.4272991011</v>
      </c>
      <c r="CT135" s="18">
        <f>CS135-(SQRT(CP135))/(1+1.4*SQRT(CP135))</f>
        <v>6.4165101123797497</v>
      </c>
      <c r="CU135" s="18">
        <f>10^(-CT135)</f>
        <v>3.8325681630877485E-7</v>
      </c>
      <c r="CV135" s="18">
        <f>(0.000001*F135^3)+(0.00006*F135^2)-(0.014*F135)+10.625</f>
        <v>10.442331821</v>
      </c>
      <c r="CW135" s="18">
        <f>CV135-(2*SQRT(CR135))/(1+1.4*SQRT(CR135))</f>
        <v>10.439565905299196</v>
      </c>
      <c r="CX135" s="18">
        <f>10^(-CW135)</f>
        <v>3.6344114723674233E-11</v>
      </c>
      <c r="CY135">
        <f>EXP(1246.98+-61900/H135-183*LN(H135))</f>
        <v>1.282555386888154E-2</v>
      </c>
      <c r="CZ135">
        <f>12.225*(F135^2)+15.258*F135+1125.7</f>
        <v>3771.2900499999996</v>
      </c>
      <c r="DA135" s="15">
        <f>10^(-4470.99/H135+6.0875-0.01706*H135)</f>
        <v>4.1899691221132746E-15</v>
      </c>
      <c r="DB135">
        <f>(10^-I135)</f>
        <v>1.0471285480508974E-8</v>
      </c>
      <c r="DC135">
        <f>DB135^2</f>
        <v>1.0964781961431807E-16</v>
      </c>
      <c r="DD135" s="20">
        <f>((14.6836*10^-9)*((H135/217.2056)-1)^1.997)*100*100</f>
        <v>1.5321872388294916E-5</v>
      </c>
      <c r="DE135">
        <f>CY135+CZ135*DA135/DB135</f>
        <v>1.4334593889750589E-2</v>
      </c>
      <c r="DF135">
        <f>1+DC135*(CU135*CX135+CU135*DB135)^-1</f>
        <v>1.0272273489469472</v>
      </c>
      <c r="DG135">
        <f>(DE135*DF135/DD135)^0.5</f>
        <v>31.000597405487518</v>
      </c>
      <c r="DH135">
        <f>DD135/(BO135/60/60)</f>
        <v>3.0293027585374128E-2</v>
      </c>
      <c r="DI135" s="16">
        <f>DF135/((DF135-1)+TANH(DG135*DH135)/(DG135*DH135))</f>
        <v>1.2686721721787604</v>
      </c>
      <c r="DJ135">
        <f>$DI135*BR135</f>
        <v>150.93410674075668</v>
      </c>
      <c r="DK135">
        <f>$DI135*BY135</f>
        <v>220.67764444911111</v>
      </c>
      <c r="DL135">
        <f>$DI135*CF135</f>
        <v>34.176848917148568</v>
      </c>
      <c r="DM135">
        <f>$DI135*CM135</f>
        <v>70.665330116616971</v>
      </c>
    </row>
    <row r="136" spans="1:117" ht="15.75" x14ac:dyDescent="0.25">
      <c r="A136" s="52" t="s">
        <v>327</v>
      </c>
      <c r="B136" s="55" t="s">
        <v>341</v>
      </c>
      <c r="C136" t="s">
        <v>295</v>
      </c>
      <c r="D136" s="57">
        <v>43234</v>
      </c>
      <c r="E136" s="42" t="str">
        <f>A136&amp;D136</f>
        <v>66C43234</v>
      </c>
      <c r="F136" s="3">
        <f>VLOOKUP($E136,Water!$C$2:$E$90, 2, FALSE)</f>
        <v>14.1</v>
      </c>
      <c r="G136" s="3">
        <f>VLOOKUP($E136,Water!$C$2:$E$90, 3, FALSE)</f>
        <v>0.15</v>
      </c>
      <c r="H136" s="1">
        <f>F136+273.15</f>
        <v>287.25</v>
      </c>
      <c r="I136" s="3">
        <f>VLOOKUP($E136,Water!$C$2:$F$90, 4, FALSE)</f>
        <v>7.98</v>
      </c>
      <c r="J136">
        <f>10^(I136*-1)</f>
        <v>1.0471285480508974E-8</v>
      </c>
      <c r="K136" s="25">
        <f>VLOOKUP($E136,Atm!$D$2:$G$45, 2, FALSE)</f>
        <v>467.9316753005964</v>
      </c>
      <c r="L136" s="25">
        <f>VLOOKUP($E136,Atm!$D$2:$G$45, 3, FALSE)</f>
        <v>5.4028081938197481</v>
      </c>
      <c r="M136" s="25">
        <f>VLOOKUP($E136,Atm!$D$2:$G$45, 4, FALSE)</f>
        <v>0.32507308191826351</v>
      </c>
      <c r="N136" s="21">
        <f>VLOOKUP($C136,Raw!$B$2:$F$353, 3, FALSE)</f>
        <v>1880.548812751138</v>
      </c>
      <c r="O136" s="21">
        <f>VLOOKUP($C136,Raw!$B$2:$F$353, 4, FALSE)</f>
        <v>131.27304489960721</v>
      </c>
      <c r="P136" s="21">
        <f>VLOOKUP($C136,Raw!$B$2:$F$353, 5, FALSE)</f>
        <v>0.2989056446211712</v>
      </c>
      <c r="Q136" s="14">
        <v>60</v>
      </c>
      <c r="R136" s="25">
        <v>1140</v>
      </c>
      <c r="S136">
        <f>EXP(24.4543-(100/H136*(67.4509))-(4.8489*LN(H136/100))-(0.000544*G136))</f>
        <v>1.5861530994826394E-2</v>
      </c>
      <c r="T136" s="8">
        <f>EXP(-58.0931+90.5069*(100/H136)+22.294*LN(H136/100)+G136*(0.027766-0.025888*(H136/100)+0.0050578*(H136/100)^2)*G136)</f>
        <v>4.6845212625158311E-2</v>
      </c>
      <c r="U136" s="9">
        <f>(EXP(-67.1962+99.1624*(100/H136)+27.9015*LN(H136/100)+G136*(-0.072909+0.041674*(H136/100)-0.0064603*(H136/100)^2)*G136))</f>
        <v>3.9404417596399809E-2</v>
      </c>
      <c r="V136" s="9">
        <f>(EXP(-64.8539+100.252*(100/H136)+25.2049*LN(H136/100)+(-0.062544+0.035337*(H136/100)-0.0054699*(H136/100)^2)*G136))</f>
        <v>3.4789440691598866E-2</v>
      </c>
      <c r="W136" s="9">
        <f>(EXP(-68.8862+101.4956*(100/H136)+28.7314*LN(H136/100)+G136*(-0.076146+0.04397*(H136/100)-0.0068672*(H136/100)^2)))</f>
        <v>3.929113100828438E-2</v>
      </c>
      <c r="X136">
        <f>N136*(AZ136-S136)</f>
        <v>1728.732197274835</v>
      </c>
      <c r="Y136">
        <f>O136*(AZ136-S136)</f>
        <v>120.67537827973815</v>
      </c>
      <c r="Z136">
        <f>((Y136/10^6)*AZ136)/(0.082056*H136)</f>
        <v>4.7876347677907765E-6</v>
      </c>
      <c r="AA136">
        <f>(((L136/10^6)*AZ136)/(0.082056*H136))</f>
        <v>2.1434921291462338E-7</v>
      </c>
      <c r="AB136">
        <f>((Y136/10^6)*U136*1)/(0.082056*H136)</f>
        <v>2.0174055067355209E-7</v>
      </c>
      <c r="AC136">
        <f>(Z136*(Q136/1000))+(AB136*(R136/1000))</f>
        <v>5.17242313835296E-7</v>
      </c>
      <c r="AD136" s="39">
        <f>((AC136-(AA136*(Q136/1000)))/(R136/1000))*1000000</f>
        <v>0.44243979040387599</v>
      </c>
      <c r="AE136" s="39">
        <f>(AD136/((U136*AZ136*1))*(0.0821*273.15))</f>
        <v>269.26561864398286</v>
      </c>
      <c r="AF136" s="39">
        <f>L136*U136*AZ136*1/(0.0821*273.15)</f>
        <v>8.8775438056446065E-3</v>
      </c>
      <c r="AG136" s="39">
        <f>AD136-AF136</f>
        <v>0.43356224659823139</v>
      </c>
      <c r="AH136" s="42">
        <f>P136*(AZ136-S136)</f>
        <v>0.2747750062641896</v>
      </c>
      <c r="AI136">
        <f>(((X136/10^6)*(Q136/1000))/(0.082056*H136))</f>
        <v>4.4005665296777135E-6</v>
      </c>
      <c r="AJ136">
        <f>(((K136/10^6)*AZ136)*(Q136/1000))/(0.082056*H136)</f>
        <v>1.1138739266728473E-6</v>
      </c>
      <c r="AK136">
        <f>(X136/10^6)*T136*(R136/1000)</f>
        <v>9.232042318275831E-5</v>
      </c>
      <c r="AL136">
        <f>AI136+AK136</f>
        <v>9.6720989712436025E-5</v>
      </c>
      <c r="AM136" s="39">
        <f>((AL136-AJ136)/(R136/1000))*1000000</f>
        <v>83.86589104014314</v>
      </c>
      <c r="AN136" s="39">
        <f>AM136/(T136*AZ136)</f>
        <v>1914.4649860251268</v>
      </c>
      <c r="AO136" s="39">
        <f>(K136*AZ136)*T136</f>
        <v>20.498419757715222</v>
      </c>
      <c r="AP136" s="39">
        <f>AM136-AO136</f>
        <v>63.367471282427914</v>
      </c>
      <c r="AQ136">
        <f>(((AH136/10^6)*(Q136/1000))/(0.082056*H136))</f>
        <v>6.9945229091255409E-10</v>
      </c>
      <c r="AR136">
        <f>(((M136/10^6)*AZ136)*(Q136/1000))/(0.082056*H136)</f>
        <v>7.7381047132433525E-10</v>
      </c>
      <c r="AS136">
        <f>(AH136/10^6)*V136*(R136/1000)</f>
        <v>1.0897566413716374E-8</v>
      </c>
      <c r="AT136">
        <f>AQ136+AS136</f>
        <v>1.1597018704628928E-8</v>
      </c>
      <c r="AU136" s="39">
        <f>((AT136-AR136)/(R136/1000))*1000000000</f>
        <v>9.4940423099163116</v>
      </c>
      <c r="AV136" s="39">
        <f>(AU136/1000)/(V136*AZ136)</f>
        <v>0.29183071082768003</v>
      </c>
      <c r="AW136" s="39">
        <f>(M136*AZ136)*V136*1000</f>
        <v>10.575506548963778</v>
      </c>
      <c r="AX136" s="39">
        <f>AU136-AW136</f>
        <v>-1.0814642390474667</v>
      </c>
      <c r="AY136" s="26">
        <f>VLOOKUP($E136,Water!$C$2:$G$90, 5, FALSE)</f>
        <v>710.7</v>
      </c>
      <c r="AZ136">
        <f>AY136/760</f>
        <v>0.93513157894736854</v>
      </c>
      <c r="BA136" s="3">
        <f>Assumptions!$B$3</f>
        <v>406.07</v>
      </c>
      <c r="BB136" s="3">
        <f>BA136*AZ136*T136</f>
        <v>17.788480135840913</v>
      </c>
      <c r="BC136" s="3">
        <f>Assumptions!$B$4</f>
        <v>1.8474300000000001</v>
      </c>
      <c r="BD136" s="45">
        <f>BC136*AZ136*U136*1/(0.0821*273.15)</f>
        <v>3.0355770859351711E-3</v>
      </c>
      <c r="BE136" s="3">
        <f>Assumptions!$B$2</f>
        <v>0.33054499999999998</v>
      </c>
      <c r="BF136" s="44">
        <f>BE136*AZ136*V136*1000</f>
        <v>10.753522843537649</v>
      </c>
      <c r="BG136">
        <f>1923.6+(-125.06*F136)+(4.3773*(F136^2))+(-0.085681*(F136^3))+(0.00070284*(F136^4))</f>
        <v>818.10227795072399</v>
      </c>
      <c r="BH136">
        <f>1909.4+(-120.78*F136)+(4.1555*(F136^2))+(-0.080578*(F136^3))+(0.00065777*(F136^4))</f>
        <v>832.67764621009701</v>
      </c>
      <c r="BI136">
        <f>2141.2+(-152.56*F136)+(5.8963*(F136^2))+(-0.12411*(F136^3))+(0.0010655*(F136^4))</f>
        <v>856.55397554454976</v>
      </c>
      <c r="BJ136" s="25">
        <f>VLOOKUP(E136,Wind!$C$2:$E$109,3, FALSE)</f>
        <v>2.9166666666666665</v>
      </c>
      <c r="BK136" s="44">
        <v>1.66</v>
      </c>
      <c r="BL136">
        <f>BK136/(1-(((1.3*10^-3)^0.5)/0.41)*LN(10/1.5))</f>
        <v>1.9923982880693825</v>
      </c>
      <c r="BM136">
        <f>BK136*1.22</f>
        <v>2.0251999999999999</v>
      </c>
      <c r="BN136">
        <f>2.07+0.215*(BM136^1.7)*(24/100)</f>
        <v>2.241255750541113</v>
      </c>
      <c r="BO136">
        <f>BN136*((600/BG136)^0.67)</f>
        <v>1.8208394800555712</v>
      </c>
      <c r="BP136">
        <f>BN136*((600/BH136)^0.67)</f>
        <v>1.7994228359486069</v>
      </c>
      <c r="BQ136">
        <f>BN136*((600/BI136)^0.67)</f>
        <v>1.7656600148583779</v>
      </c>
      <c r="BR136" s="39">
        <f>BO136*(AM136-BB136)</f>
        <v>120.31635851440799</v>
      </c>
      <c r="BS136" s="39">
        <f>BP136*(AD136-BD136)</f>
        <v>0.79067397565633568</v>
      </c>
      <c r="BT136" s="39">
        <f>BQ136*(AU136-BF136)</f>
        <v>-2.223814417707688</v>
      </c>
      <c r="BU136">
        <f>(2.51+1.48*BM136)+(0.39*BM136*LOG10(0.0015))</f>
        <v>3.2768938069574309</v>
      </c>
      <c r="BV136">
        <f>BU136*((600/$BG136)^0.67)</f>
        <v>2.6622118489677637</v>
      </c>
      <c r="BW136">
        <f>BU136*((600/$BH136)^0.67)</f>
        <v>2.6308990153373406</v>
      </c>
      <c r="BX136">
        <f>BU136*((600/$BI136)^0.67)</f>
        <v>2.5815350909796355</v>
      </c>
      <c r="BY136" s="39">
        <f>BV136*($AM136-$BB136)</f>
        <v>175.91206625854511</v>
      </c>
      <c r="BZ136" s="39">
        <f>BW136*($AD136-$BD136)</f>
        <v>1.1560281121532492</v>
      </c>
      <c r="CA136" s="39">
        <f>BX136*($AU136-$BF136)</f>
        <v>-3.2513931939492386</v>
      </c>
      <c r="CB136" s="42">
        <f>AVERAGE(0.72,0.69,0.4,0.22)</f>
        <v>0.50750000000000006</v>
      </c>
      <c r="CC136">
        <f>CB136*((600/$BG136)^0.67)</f>
        <v>0.41230280654276075</v>
      </c>
      <c r="CD136">
        <f>CB136*((600/$BH136)^0.67)</f>
        <v>0.40745331675041535</v>
      </c>
      <c r="CE136">
        <f>CB136*((600/$BI136)^0.67)</f>
        <v>0.39980821346438727</v>
      </c>
      <c r="CF136" s="39">
        <f>CC136*($AM136-$BB136)</f>
        <v>27.24390196492303</v>
      </c>
      <c r="CG136" s="39">
        <f>CD136*($AD136-$BD136)</f>
        <v>0.17903670411050202</v>
      </c>
      <c r="CH136" s="39">
        <f>CE136*($AU136-$BF136)</f>
        <v>-0.50355066204031995</v>
      </c>
      <c r="CI136">
        <v>0.86263901889527161</v>
      </c>
      <c r="CJ136">
        <f>((BG136/BH136)^0.67)*CI136</f>
        <v>0.85249269185061782</v>
      </c>
      <c r="CK136">
        <f>((BH136/BH136)^0.67)*CI136</f>
        <v>0.86263901889527161</v>
      </c>
      <c r="CL136">
        <f>((BI136/BH136)^0.67)*CI136</f>
        <v>0.87913433884096781</v>
      </c>
      <c r="CM136" s="39">
        <f>CJ136*($AM136-$BB136)</f>
        <v>56.330509892327974</v>
      </c>
      <c r="CN136" s="39">
        <f>CK136*($AD136-$BD136)</f>
        <v>0.37904721947503711</v>
      </c>
      <c r="CO136" s="39">
        <f>CL136*($AU136-$BF136)</f>
        <v>-1.1072525862082636</v>
      </c>
      <c r="CP136" s="27">
        <f>VLOOKUP(A136,Water!$A$2:$E$109, 5, FALSE)/1000</f>
        <v>1.1999999999999999E-4</v>
      </c>
      <c r="CQ136">
        <f>0.64*CP136</f>
        <v>7.6799999999999997E-5</v>
      </c>
      <c r="CR136" s="19">
        <f>CQ136*1000*(2.5*10^-5)</f>
        <v>1.9199999999999998E-6</v>
      </c>
      <c r="CS136" s="18">
        <f>(-0.0000009*F136^3)+(0.0002*F136^2)-(0.0134*F136)+6.579</f>
        <v>6.4272991011</v>
      </c>
      <c r="CT136" s="18">
        <f>CS136-(SQRT(CP136))/(1+1.4*SQRT(CP136))</f>
        <v>6.4165101123797497</v>
      </c>
      <c r="CU136" s="18">
        <f>10^(-CT136)</f>
        <v>3.8325681630877485E-7</v>
      </c>
      <c r="CV136" s="18">
        <f>(0.000001*F136^3)+(0.00006*F136^2)-(0.014*F136)+10.625</f>
        <v>10.442331821</v>
      </c>
      <c r="CW136" s="18">
        <f>CV136-(2*SQRT(CR136))/(1+1.4*SQRT(CR136))</f>
        <v>10.439565905299196</v>
      </c>
      <c r="CX136" s="18">
        <f>10^(-CW136)</f>
        <v>3.6344114723674233E-11</v>
      </c>
      <c r="CY136">
        <f>EXP(1246.98+-61900/H136-183*LN(H136))</f>
        <v>1.282555386888154E-2</v>
      </c>
      <c r="CZ136">
        <f>12.225*(F136^2)+15.258*F136+1125.7</f>
        <v>3771.2900499999996</v>
      </c>
      <c r="DA136" s="15">
        <f>10^(-4470.99/H136+6.0875-0.01706*H136)</f>
        <v>4.1899691221132746E-15</v>
      </c>
      <c r="DB136">
        <f>(10^-I136)</f>
        <v>1.0471285480508974E-8</v>
      </c>
      <c r="DC136">
        <f>DB136^2</f>
        <v>1.0964781961431807E-16</v>
      </c>
      <c r="DD136" s="20">
        <f>((14.6836*10^-9)*((H136/217.2056)-1)^1.997)*100*100</f>
        <v>1.5321872388294916E-5</v>
      </c>
      <c r="DE136">
        <f>CY136+CZ136*DA136/DB136</f>
        <v>1.4334593889750589E-2</v>
      </c>
      <c r="DF136">
        <f>1+DC136*(CU136*CX136+CU136*DB136)^-1</f>
        <v>1.0272273489469472</v>
      </c>
      <c r="DG136">
        <f>(DE136*DF136/DD136)^0.5</f>
        <v>31.000597405487518</v>
      </c>
      <c r="DH136">
        <f>DD136/(BO136/60/60)</f>
        <v>3.0293027585374128E-2</v>
      </c>
      <c r="DI136" s="16">
        <f>DF136/((DF136-1)+TANH(DG136*DH136)/(DG136*DH136))</f>
        <v>1.2686721721787604</v>
      </c>
      <c r="DJ136">
        <f>$DI136*BR136</f>
        <v>152.64201590511249</v>
      </c>
      <c r="DK136">
        <f>$DI136*BY136</f>
        <v>223.17474321268244</v>
      </c>
      <c r="DL136">
        <f>$DI136*CF136</f>
        <v>34.563580284464095</v>
      </c>
      <c r="DM136">
        <f>$DI136*CM136</f>
        <v>71.464950345036883</v>
      </c>
    </row>
    <row r="137" spans="1:117" ht="15.75" x14ac:dyDescent="0.25">
      <c r="A137" s="52" t="s">
        <v>327</v>
      </c>
      <c r="B137" s="55" t="s">
        <v>342</v>
      </c>
      <c r="C137" t="s">
        <v>296</v>
      </c>
      <c r="D137" s="57">
        <v>43234</v>
      </c>
      <c r="E137" s="42" t="str">
        <f>A137&amp;D137</f>
        <v>66C43234</v>
      </c>
      <c r="F137" s="3">
        <f>VLOOKUP($E137,Water!$C$2:$E$90, 2, FALSE)</f>
        <v>14.1</v>
      </c>
      <c r="G137" s="3">
        <f>VLOOKUP($E137,Water!$C$2:$E$90, 3, FALSE)</f>
        <v>0.15</v>
      </c>
      <c r="H137" s="1">
        <f>F137+273.15</f>
        <v>287.25</v>
      </c>
      <c r="I137" s="3">
        <f>VLOOKUP($E137,Water!$C$2:$F$90, 4, FALSE)</f>
        <v>7.98</v>
      </c>
      <c r="J137">
        <f>10^(I137*-1)</f>
        <v>1.0471285480508974E-8</v>
      </c>
      <c r="K137" s="25">
        <f>VLOOKUP($E137,Atm!$D$2:$G$45, 2, FALSE)</f>
        <v>467.9316753005964</v>
      </c>
      <c r="L137" s="25">
        <f>VLOOKUP($E137,Atm!$D$2:$G$45, 3, FALSE)</f>
        <v>5.4028081938197481</v>
      </c>
      <c r="M137" s="25">
        <f>VLOOKUP($E137,Atm!$D$2:$G$45, 4, FALSE)</f>
        <v>0.32507308191826351</v>
      </c>
      <c r="N137" s="21">
        <f>VLOOKUP($C137,Raw!$B$2:$F$353, 3, FALSE)</f>
        <v>1864.7602527633021</v>
      </c>
      <c r="O137" s="21">
        <f>VLOOKUP($C137,Raw!$B$2:$F$353, 4, FALSE)</f>
        <v>127.77470410679889</v>
      </c>
      <c r="P137" s="21">
        <f>VLOOKUP($C137,Raw!$B$2:$F$353, 5, FALSE)</f>
        <v>0.30327542860852474</v>
      </c>
      <c r="Q137" s="14">
        <v>60</v>
      </c>
      <c r="R137" s="25">
        <v>1140</v>
      </c>
      <c r="S137">
        <f>EXP(24.4543-(100/H137*(67.4509))-(4.8489*LN(H137/100))-(0.000544*G137))</f>
        <v>1.5861530994826394E-2</v>
      </c>
      <c r="T137" s="8">
        <f>EXP(-58.0931+90.5069*(100/H137)+22.294*LN(H137/100)+G137*(0.027766-0.025888*(H137/100)+0.0050578*(H137/100)^2)*G137)</f>
        <v>4.6845212625158311E-2</v>
      </c>
      <c r="U137" s="9">
        <f>(EXP(-67.1962+99.1624*(100/H137)+27.9015*LN(H137/100)+G137*(-0.072909+0.041674*(H137/100)-0.0064603*(H137/100)^2)*G137))</f>
        <v>3.9404417596399809E-2</v>
      </c>
      <c r="V137" s="9">
        <f>(EXP(-64.8539+100.252*(100/H137)+25.2049*LN(H137/100)+(-0.062544+0.035337*(H137/100)-0.0054699*(H137/100)^2)*G137))</f>
        <v>3.4789440691598866E-2</v>
      </c>
      <c r="W137" s="9">
        <f>(EXP(-68.8862+101.4956*(100/H137)+28.7314*LN(H137/100)+G137*(-0.076146+0.04397*(H137/100)-0.0068672*(H137/100)^2)))</f>
        <v>3.929113100828438E-2</v>
      </c>
      <c r="X137">
        <f>N137*(AZ137-S137)</f>
        <v>1714.2182469777154</v>
      </c>
      <c r="Y137">
        <f>O137*(AZ137-S137)</f>
        <v>117.45945837137891</v>
      </c>
      <c r="Z137">
        <f>((Y137/10^6)*AZ137)/(0.082056*H137)</f>
        <v>4.6600474323858671E-6</v>
      </c>
      <c r="AA137">
        <f>(((L137/10^6)*AZ137)/(0.082056*H137))</f>
        <v>2.1434921291462338E-7</v>
      </c>
      <c r="AB137">
        <f>((Y137/10^6)*U137*1)/(0.082056*H137)</f>
        <v>1.963642969382583E-7</v>
      </c>
      <c r="AC137">
        <f>(Z137*(Q137/1000))+(AB137*(R137/1000))</f>
        <v>5.0345814445276645E-7</v>
      </c>
      <c r="AD137" s="39">
        <f>((AC137-(AA137*(Q137/1000)))/(R137/1000))*1000000</f>
        <v>0.4303484137525343</v>
      </c>
      <c r="AE137" s="39">
        <f>(AD137/((U137*AZ137*1))*(0.0821*273.15))</f>
        <v>261.90689529925629</v>
      </c>
      <c r="AF137" s="39">
        <f>L137*U137*AZ137*1/(0.0821*273.15)</f>
        <v>8.8775438056446065E-3</v>
      </c>
      <c r="AG137" s="39">
        <f>AD137-AF137</f>
        <v>0.4214708699468897</v>
      </c>
      <c r="AH137" s="42">
        <f>P137*(AZ137-S137)</f>
        <v>0.27879201779978635</v>
      </c>
      <c r="AI137">
        <f>(((X137/10^6)*(Q137/1000))/(0.082056*H137))</f>
        <v>4.3636206082726542E-6</v>
      </c>
      <c r="AJ137">
        <f>(((K137/10^6)*AZ137)*(Q137/1000))/(0.082056*H137)</f>
        <v>1.1138739266728473E-6</v>
      </c>
      <c r="AK137">
        <f>(X137/10^6)*T137*(R137/1000)</f>
        <v>9.1545326822780826E-5</v>
      </c>
      <c r="AL137">
        <f>AI137+AK137</f>
        <v>9.5908947431053482E-5</v>
      </c>
      <c r="AM137" s="39">
        <f>((AL137-AJ137)/(R137/1000))*1000000</f>
        <v>83.153573249456699</v>
      </c>
      <c r="AN137" s="39">
        <f>AM137/(T137*AZ137)</f>
        <v>1898.2044127184029</v>
      </c>
      <c r="AO137" s="39">
        <f>(K137*AZ137)*T137</f>
        <v>20.498419757715222</v>
      </c>
      <c r="AP137" s="39">
        <f>AM137-AO137</f>
        <v>62.655153491741473</v>
      </c>
      <c r="AQ137">
        <f>(((AH137/10^6)*(Q137/1000))/(0.082056*H137))</f>
        <v>7.0967777669961947E-10</v>
      </c>
      <c r="AR137">
        <f>(((M137/10^6)*AZ137)*(Q137/1000))/(0.082056*H137)</f>
        <v>7.7381047132433525E-10</v>
      </c>
      <c r="AS137">
        <f>(AH137/10^6)*V137*(R137/1000)</f>
        <v>1.1056880940132E-8</v>
      </c>
      <c r="AT137">
        <f>AQ137+AS137</f>
        <v>1.176655871683162E-8</v>
      </c>
      <c r="AU137" s="39">
        <f>((AT137-AR137)/(R137/1000))*1000000000</f>
        <v>9.6427616188660394</v>
      </c>
      <c r="AV137" s="39">
        <f>(AU137/1000)/(V137*AZ137)</f>
        <v>0.29640208940677792</v>
      </c>
      <c r="AW137" s="39">
        <f>(M137*AZ137)*V137*1000</f>
        <v>10.575506548963778</v>
      </c>
      <c r="AX137" s="39">
        <f>AU137-AW137</f>
        <v>-0.93274493009773884</v>
      </c>
      <c r="AY137" s="26">
        <f>VLOOKUP($E137,Water!$C$2:$G$90, 5, FALSE)</f>
        <v>710.7</v>
      </c>
      <c r="AZ137">
        <f>AY137/760</f>
        <v>0.93513157894736854</v>
      </c>
      <c r="BA137" s="3">
        <f>Assumptions!$B$3</f>
        <v>406.07</v>
      </c>
      <c r="BB137" s="3">
        <f>BA137*AZ137*T137</f>
        <v>17.788480135840913</v>
      </c>
      <c r="BC137" s="3">
        <f>Assumptions!$B$4</f>
        <v>1.8474300000000001</v>
      </c>
      <c r="BD137" s="45">
        <f>BC137*AZ137*U137*1/(0.0821*273.15)</f>
        <v>3.0355770859351711E-3</v>
      </c>
      <c r="BE137" s="3">
        <f>Assumptions!$B$2</f>
        <v>0.33054499999999998</v>
      </c>
      <c r="BF137" s="44">
        <f>BE137*AZ137*V137*1000</f>
        <v>10.753522843537649</v>
      </c>
      <c r="BG137">
        <f>1923.6+(-125.06*F137)+(4.3773*(F137^2))+(-0.085681*(F137^3))+(0.00070284*(F137^4))</f>
        <v>818.10227795072399</v>
      </c>
      <c r="BH137">
        <f>1909.4+(-120.78*F137)+(4.1555*(F137^2))+(-0.080578*(F137^3))+(0.00065777*(F137^4))</f>
        <v>832.67764621009701</v>
      </c>
      <c r="BI137">
        <f>2141.2+(-152.56*F137)+(5.8963*(F137^2))+(-0.12411*(F137^3))+(0.0010655*(F137^4))</f>
        <v>856.55397554454976</v>
      </c>
      <c r="BJ137" s="25">
        <f>VLOOKUP(E137,Wind!$C$2:$E$109,3, FALSE)</f>
        <v>2.9166666666666665</v>
      </c>
      <c r="BK137" s="44">
        <v>1.66</v>
      </c>
      <c r="BL137">
        <f>BK137/(1-(((1.3*10^-3)^0.5)/0.41)*LN(10/1.5))</f>
        <v>1.9923982880693825</v>
      </c>
      <c r="BM137">
        <f>BK137*1.22</f>
        <v>2.0251999999999999</v>
      </c>
      <c r="BN137">
        <f>2.07+0.215*(BM137^1.7)*(24/100)</f>
        <v>2.241255750541113</v>
      </c>
      <c r="BO137">
        <f>BN137*((600/BG137)^0.67)</f>
        <v>1.8208394800555712</v>
      </c>
      <c r="BP137">
        <f>BN137*((600/BH137)^0.67)</f>
        <v>1.7994228359486069</v>
      </c>
      <c r="BQ137">
        <f>BN137*((600/BI137)^0.67)</f>
        <v>1.7656600148583779</v>
      </c>
      <c r="BR137" s="39">
        <f>BO137*(AM137-BB137)</f>
        <v>119.01934215878016</v>
      </c>
      <c r="BS137" s="39">
        <f>BP137*(AD137-BD137)</f>
        <v>0.76891647639185567</v>
      </c>
      <c r="BT137" s="39">
        <f>BQ137*(AU137-BF137)</f>
        <v>-1.9612266804577838</v>
      </c>
      <c r="BU137">
        <f>(2.51+1.48*BM137)+(0.39*BM137*LOG10(0.0015))</f>
        <v>3.2768938069574309</v>
      </c>
      <c r="BV137">
        <f>BU137*((600/$BG137)^0.67)</f>
        <v>2.6622118489677637</v>
      </c>
      <c r="BW137">
        <f>BU137*((600/$BH137)^0.67)</f>
        <v>2.6308990153373406</v>
      </c>
      <c r="BX137">
        <f>BU137*((600/$BI137)^0.67)</f>
        <v>2.5815350909796355</v>
      </c>
      <c r="BY137" s="39">
        <f>BV137*($AM137-$BB137)</f>
        <v>174.01572539594912</v>
      </c>
      <c r="BZ137" s="39">
        <f>BW137*($AD137-$BD137)</f>
        <v>1.1242169212271615</v>
      </c>
      <c r="CA137" s="39">
        <f>BX137*($AU137-$BF137)</f>
        <v>-2.8674690791892745</v>
      </c>
      <c r="CB137" s="42">
        <f>AVERAGE(0.72,0.69,0.4,0.22)</f>
        <v>0.50750000000000006</v>
      </c>
      <c r="CC137">
        <f>CB137*((600/$BG137)^0.67)</f>
        <v>0.41230280654276075</v>
      </c>
      <c r="CD137">
        <f>CB137*((600/$BH137)^0.67)</f>
        <v>0.40745331675041535</v>
      </c>
      <c r="CE137">
        <f>CB137*((600/$BI137)^0.67)</f>
        <v>0.39980821346438727</v>
      </c>
      <c r="CF137" s="39">
        <f>CC137*($AM137-$BB137)</f>
        <v>26.950211340672674</v>
      </c>
      <c r="CG137" s="39">
        <f>CD137*($AD137-$BD137)</f>
        <v>0.17411003258983432</v>
      </c>
      <c r="CH137" s="39">
        <f>CE137*($AU137-$BF137)</f>
        <v>-0.44409146082147105</v>
      </c>
      <c r="CI137">
        <v>0.86263901889527161</v>
      </c>
      <c r="CJ137">
        <f>((BG137/BH137)^0.67)*CI137</f>
        <v>0.85249269185061782</v>
      </c>
      <c r="CK137">
        <f>((BH137/BH137)^0.67)*CI137</f>
        <v>0.86263901889527161</v>
      </c>
      <c r="CL137">
        <f>((BI137/BH137)^0.67)*CI137</f>
        <v>0.87913433884096781</v>
      </c>
      <c r="CM137" s="39">
        <f>CJ137*($AM137-$BB137)</f>
        <v>55.723264181492603</v>
      </c>
      <c r="CN137" s="39">
        <f>CK137*($AD137-$BD137)</f>
        <v>0.36861672618343055</v>
      </c>
      <c r="CO137" s="39">
        <f>CL137*($AU137-$BF137)</f>
        <v>-0.97650833486185906</v>
      </c>
      <c r="CP137" s="27">
        <f>VLOOKUP(A137,Water!$A$2:$E$109, 5, FALSE)/1000</f>
        <v>1.1999999999999999E-4</v>
      </c>
      <c r="CQ137">
        <f>0.64*CP137</f>
        <v>7.6799999999999997E-5</v>
      </c>
      <c r="CR137" s="19">
        <f>CQ137*1000*(2.5*10^-5)</f>
        <v>1.9199999999999998E-6</v>
      </c>
      <c r="CS137" s="18">
        <f>(-0.0000009*F137^3)+(0.0002*F137^2)-(0.0134*F137)+6.579</f>
        <v>6.4272991011</v>
      </c>
      <c r="CT137" s="18">
        <f>CS137-(SQRT(CP137))/(1+1.4*SQRT(CP137))</f>
        <v>6.4165101123797497</v>
      </c>
      <c r="CU137" s="18">
        <f>10^(-CT137)</f>
        <v>3.8325681630877485E-7</v>
      </c>
      <c r="CV137" s="18">
        <f>(0.000001*F137^3)+(0.00006*F137^2)-(0.014*F137)+10.625</f>
        <v>10.442331821</v>
      </c>
      <c r="CW137" s="18">
        <f>CV137-(2*SQRT(CR137))/(1+1.4*SQRT(CR137))</f>
        <v>10.439565905299196</v>
      </c>
      <c r="CX137" s="18">
        <f>10^(-CW137)</f>
        <v>3.6344114723674233E-11</v>
      </c>
      <c r="CY137">
        <f>EXP(1246.98+-61900/H137-183*LN(H137))</f>
        <v>1.282555386888154E-2</v>
      </c>
      <c r="CZ137">
        <f>12.225*(F137^2)+15.258*F137+1125.7</f>
        <v>3771.2900499999996</v>
      </c>
      <c r="DA137" s="15">
        <f>10^(-4470.99/H137+6.0875-0.01706*H137)</f>
        <v>4.1899691221132746E-15</v>
      </c>
      <c r="DB137">
        <f>(10^-I137)</f>
        <v>1.0471285480508974E-8</v>
      </c>
      <c r="DC137">
        <f>DB137^2</f>
        <v>1.0964781961431807E-16</v>
      </c>
      <c r="DD137" s="20">
        <f>((14.6836*10^-9)*((H137/217.2056)-1)^1.997)*100*100</f>
        <v>1.5321872388294916E-5</v>
      </c>
      <c r="DE137">
        <f>CY137+CZ137*DA137/DB137</f>
        <v>1.4334593889750589E-2</v>
      </c>
      <c r="DF137">
        <f>1+DC137*(CU137*CX137+CU137*DB137)^-1</f>
        <v>1.0272273489469472</v>
      </c>
      <c r="DG137">
        <f>(DE137*DF137/DD137)^0.5</f>
        <v>31.000597405487518</v>
      </c>
      <c r="DH137">
        <f>DD137/(BO137/60/60)</f>
        <v>3.0293027585374128E-2</v>
      </c>
      <c r="DI137" s="16">
        <f>DF137/((DF137-1)+TANH(DG137*DH137)/(DG137*DH137))</f>
        <v>1.2686721721787604</v>
      </c>
      <c r="DJ137">
        <f>$DI137*BR137</f>
        <v>150.99652734786673</v>
      </c>
      <c r="DK137">
        <f>$DI137*BY137</f>
        <v>220.76890833134144</v>
      </c>
      <c r="DL137">
        <f>$DI137*CF137</f>
        <v>34.190983162247861</v>
      </c>
      <c r="DM137">
        <f>$DI137*CM137</f>
        <v>70.694554610025136</v>
      </c>
    </row>
    <row r="138" spans="1:117" ht="15.75" x14ac:dyDescent="0.25">
      <c r="A138" s="52" t="s">
        <v>326</v>
      </c>
      <c r="B138" s="55" t="s">
        <v>339</v>
      </c>
      <c r="C138" t="s">
        <v>298</v>
      </c>
      <c r="D138" s="57">
        <v>43234</v>
      </c>
      <c r="E138" s="42" t="str">
        <f>A138&amp;D138</f>
        <v>66B43234</v>
      </c>
      <c r="F138" s="3">
        <f>VLOOKUP($E138,Water!$C$2:$E$90, 2, FALSE)</f>
        <v>14.4</v>
      </c>
      <c r="G138" s="3">
        <f>VLOOKUP($E138,Water!$C$2:$E$90, 3, FALSE)</f>
        <v>1.19</v>
      </c>
      <c r="H138" s="1">
        <f>F138+273.15</f>
        <v>287.54999999999995</v>
      </c>
      <c r="I138" s="3">
        <f>VLOOKUP($E138,Water!$C$2:$F$90, 4, FALSE)</f>
        <v>8.6999999999999993</v>
      </c>
      <c r="J138">
        <f>10^(I138*-1)</f>
        <v>1.9952623149688824E-9</v>
      </c>
      <c r="K138" s="25">
        <f>VLOOKUP($E138,Atm!$D$2:$G$45, 2, FALSE)</f>
        <v>425.84611961534631</v>
      </c>
      <c r="L138" s="25">
        <f>VLOOKUP($E138,Atm!$D$2:$G$45, 3, FALSE)</f>
        <v>2.239751935473536</v>
      </c>
      <c r="M138" s="25">
        <f>VLOOKUP($E138,Atm!$D$2:$G$45, 4, FALSE)</f>
        <v>0.32489405963728157</v>
      </c>
      <c r="N138" s="21">
        <f>VLOOKUP($C138,Raw!$B$2:$F$353, 3, FALSE)</f>
        <v>471.44107265720339</v>
      </c>
      <c r="O138" s="21">
        <f>VLOOKUP($C138,Raw!$B$2:$F$353, 4, FALSE)</f>
        <v>22.762012329828881</v>
      </c>
      <c r="P138" s="21">
        <f>VLOOKUP($C138,Raw!$B$2:$F$353, 5, FALSE)</f>
        <v>0.32828894254581775</v>
      </c>
      <c r="Q138" s="14">
        <v>60</v>
      </c>
      <c r="R138" s="25">
        <v>1140</v>
      </c>
      <c r="S138">
        <f>EXP(24.4543-(100/H138*(67.4509))-(4.8489*LN(H138/100))-(0.000544*G138))</f>
        <v>1.616369666050204E-2</v>
      </c>
      <c r="T138" s="8">
        <f>EXP(-58.0931+90.5069*(100/H138)+22.294*LN(H138/100)+G138*(0.027766-0.025888*(H138/100)+0.0050578*(H138/100)^2)*G138)</f>
        <v>4.6084787774819023E-2</v>
      </c>
      <c r="U138" s="9">
        <f>(EXP(-67.1962+99.1624*(100/H138)+27.9015*LN(H138/100)+G138*(-0.072909+0.041674*(H138/100)-0.0064603*(H138/100)^2)*G138))</f>
        <v>3.8781340424700564E-2</v>
      </c>
      <c r="V138" s="9">
        <f>(EXP(-64.8539+100.252*(100/H138)+25.2049*LN(H138/100)+(-0.062544+0.035337*(H138/100)-0.0054699*(H138/100)^2)*G138))</f>
        <v>3.4219893314226764E-2</v>
      </c>
      <c r="W138" s="9">
        <f>(EXP(-68.8862+101.4956*(100/H138)+28.7314*LN(H138/100)+G138*(-0.076146+0.04397*(H138/100)-0.0068672*(H138/100)^2)))</f>
        <v>3.8759547724393648E-2</v>
      </c>
      <c r="X138">
        <f>N138*(AZ138-S138)</f>
        <v>433.17717244275246</v>
      </c>
      <c r="Y138">
        <f>O138*(AZ138-S138)</f>
        <v>20.914563265708043</v>
      </c>
      <c r="Z138">
        <f>((Y138/10^6)*AZ138)/(0.082056*H138)</f>
        <v>8.2877510395617453E-7</v>
      </c>
      <c r="AA138">
        <f>(((L138/10^6)*AZ138)/(0.082056*H138))</f>
        <v>8.875397585765849E-8</v>
      </c>
      <c r="AB138">
        <f>((Y138/10^6)*U138*1)/(0.082056*H138)</f>
        <v>3.4375411167958293E-8</v>
      </c>
      <c r="AC138">
        <f>(Z138*(Q138/1000))+(AB138*(R138/1000))</f>
        <v>8.8914474968842926E-8</v>
      </c>
      <c r="AD138" s="39">
        <f>((AC138-(AA138*(Q138/1000)))/(R138/1000))*1000000</f>
        <v>7.3323891594195986E-2</v>
      </c>
      <c r="AE138" s="39">
        <f>(AD138/((U138*AZ138*1))*(0.0821*273.15))</f>
        <v>45.347718489582711</v>
      </c>
      <c r="AF138" s="39">
        <f>L138*U138*AZ138*1/(0.0821*273.15)</f>
        <v>3.6215124726126755E-3</v>
      </c>
      <c r="AG138" s="39">
        <f>AD138-AF138</f>
        <v>6.9702379121583308E-2</v>
      </c>
      <c r="AH138" s="42">
        <f>P138*(AZ138-S138)</f>
        <v>0.30164379839603206</v>
      </c>
      <c r="AI138">
        <f>(((X138/10^6)*(Q138/1000))/(0.082056*H138))</f>
        <v>1.1015218036848214E-6</v>
      </c>
      <c r="AJ138">
        <f>(((K138/10^6)*AZ138)*(Q138/1000))/(0.082056*H138)</f>
        <v>1.0124925610057027E-6</v>
      </c>
      <c r="AK138">
        <f>(X138/10^6)*T138*(R138/1000)</f>
        <v>2.2757680989449289E-5</v>
      </c>
      <c r="AL138">
        <f>AI138+AK138</f>
        <v>2.3859202793134109E-5</v>
      </c>
      <c r="AM138" s="39">
        <f>((AL138-AJ138)/(R138/1000))*1000000</f>
        <v>20.040973887831939</v>
      </c>
      <c r="AN138" s="39">
        <f>AM138/(T138*AZ138)</f>
        <v>465.10351259965591</v>
      </c>
      <c r="AO138" s="39">
        <f>(K138*AZ138)*T138</f>
        <v>18.34940122413521</v>
      </c>
      <c r="AP138" s="39">
        <f>AM138-AO138</f>
        <v>1.6915726636967285</v>
      </c>
      <c r="AQ138">
        <f>(((AH138/10^6)*(Q138/1000))/(0.082056*H138))</f>
        <v>7.6704693141107151E-10</v>
      </c>
      <c r="AR138">
        <f>(((M138/10^6)*AZ138)*(Q138/1000))/(0.082056*H138)</f>
        <v>7.7246874714937807E-10</v>
      </c>
      <c r="AS138">
        <f>(AH138/10^6)*V138*(R138/1000)</f>
        <v>1.1767329204011791E-8</v>
      </c>
      <c r="AT138">
        <f>AQ138+AS138</f>
        <v>1.2534376135422862E-8</v>
      </c>
      <c r="AU138" s="39">
        <f>((AT138-AR138)/(R138/1000))*1000000000</f>
        <v>10.317462621292529</v>
      </c>
      <c r="AV138" s="39">
        <f>(AU138/1000)/(V138*AZ138)</f>
        <v>0.32246504335166626</v>
      </c>
      <c r="AW138" s="39">
        <f>(M138*AZ138)*V138*1000</f>
        <v>10.395180455364908</v>
      </c>
      <c r="AX138" s="39">
        <f>AU138-AW138</f>
        <v>-7.7717834072378977E-2</v>
      </c>
      <c r="AY138" s="26">
        <f>VLOOKUP($E138,Water!$C$2:$G$90, 5, FALSE)</f>
        <v>710.6</v>
      </c>
      <c r="AZ138">
        <f>AY138/760</f>
        <v>0.93500000000000005</v>
      </c>
      <c r="BA138" s="3">
        <f>Assumptions!$B$3</f>
        <v>406.07</v>
      </c>
      <c r="BB138" s="3">
        <f>BA138*AZ138*T138</f>
        <v>17.49726253655891</v>
      </c>
      <c r="BC138" s="3">
        <f>Assumptions!$B$4</f>
        <v>1.8474300000000001</v>
      </c>
      <c r="BD138" s="45">
        <f>BC138*AZ138*U138*1/(0.0821*273.15)</f>
        <v>2.9871570513295745E-3</v>
      </c>
      <c r="BE138" s="3">
        <f>Assumptions!$B$2</f>
        <v>0.33054499999999998</v>
      </c>
      <c r="BF138" s="44">
        <f>BE138*AZ138*V138*1000</f>
        <v>10.575985684240266</v>
      </c>
      <c r="BG138">
        <f>1923.6+(-125.06*F138)+(4.3773*(F138^2))+(-0.085681*(F138^3))+(0.00070284*(F138^4))</f>
        <v>804.79166641766392</v>
      </c>
      <c r="BH138">
        <f>1909.4+(-120.78*F138)+(4.1555*(F138^2))+(-0.080578*(F138^3))+(0.00065777*(F138^4))</f>
        <v>819.53076726579195</v>
      </c>
      <c r="BI138">
        <f>2141.2+(-152.56*F138)+(5.8963*(F138^2))+(-0.12411*(F138^3))+(0.0010655*(F138^4))</f>
        <v>842.21684346879977</v>
      </c>
      <c r="BJ138" s="25">
        <f>VLOOKUP(E138,Wind!$C$2:$E$109,3, FALSE)</f>
        <v>3.75</v>
      </c>
      <c r="BK138" s="44">
        <v>1.66</v>
      </c>
      <c r="BL138">
        <f>BK138/(1-(((1.3*10^-3)^0.5)/0.41)*LN(10/1.5))</f>
        <v>1.9923982880693825</v>
      </c>
      <c r="BM138">
        <f>BK138*1.22</f>
        <v>2.0251999999999999</v>
      </c>
      <c r="BN138">
        <f>2.07+0.215*(BM138^1.7)*(24/100)</f>
        <v>2.241255750541113</v>
      </c>
      <c r="BO138">
        <f>BN138*((600/BG138)^0.67)</f>
        <v>1.8409620218044414</v>
      </c>
      <c r="BP138">
        <f>BN138*((600/BH138)^0.67)</f>
        <v>1.8187124032042781</v>
      </c>
      <c r="BQ138">
        <f>BN138*((600/BI138)^0.67)</f>
        <v>1.7857420546244527</v>
      </c>
      <c r="BR138" s="39">
        <f>BO138*(AM138-BB138)</f>
        <v>4.682875992126502</v>
      </c>
      <c r="BS138" s="39">
        <f>BP138*(AD138-BD138)</f>
        <v>0.12792229151399795</v>
      </c>
      <c r="BT138" s="39">
        <f>BQ138*(AU138-BF138)</f>
        <v>-0.46165550559609714</v>
      </c>
      <c r="BU138">
        <f>(2.51+1.48*BM138)+(0.39*BM138*LOG10(0.0015))</f>
        <v>3.2768938069574309</v>
      </c>
      <c r="BV138">
        <f>BU138*((600/$BG138)^0.67)</f>
        <v>2.6916326022312838</v>
      </c>
      <c r="BW138">
        <f>BU138*((600/$BH138)^0.67)</f>
        <v>2.6591018937744568</v>
      </c>
      <c r="BX138">
        <f>BU138*((600/$BI138)^0.67)</f>
        <v>2.6108966271294642</v>
      </c>
      <c r="BY138" s="39">
        <f>BV138*($AM138-$BB138)</f>
        <v>6.8467364037522769</v>
      </c>
      <c r="BZ138" s="39">
        <f>BW138*($AD138-$BD138)</f>
        <v>0.18703254402484734</v>
      </c>
      <c r="CA138" s="39">
        <f>BX138*($AU138-$BF138)</f>
        <v>-0.67497699308542258</v>
      </c>
      <c r="CB138" s="42">
        <f>AVERAGE(0.72,0.69,0.4,0.22)</f>
        <v>0.50750000000000006</v>
      </c>
      <c r="CC138">
        <f>CB138*((600/$BG138)^0.67)</f>
        <v>0.41685926554351777</v>
      </c>
      <c r="CD138">
        <f>CB138*((600/$BH138)^0.67)</f>
        <v>0.41182116070570235</v>
      </c>
      <c r="CE138">
        <f>CB138*((600/$BI138)^0.67)</f>
        <v>0.40435550137600668</v>
      </c>
      <c r="CF138" s="39">
        <f>CC138*($AM138-$BB138)</f>
        <v>1.0603696456463838</v>
      </c>
      <c r="CG138" s="39">
        <f>CD138*($AD138-$BD138)</f>
        <v>2.8966155659692117E-2</v>
      </c>
      <c r="CH138" s="39">
        <f>CE138*($AU138-$BF138)</f>
        <v>-0.1045352227354928</v>
      </c>
      <c r="CI138">
        <v>0.86263901889527161</v>
      </c>
      <c r="CJ138">
        <f>((BG138/BH138)^0.67)*CI138</f>
        <v>0.85221328010614317</v>
      </c>
      <c r="CK138">
        <f>((BH138/BH138)^0.67)*CI138</f>
        <v>0.86263901889527161</v>
      </c>
      <c r="CL138">
        <f>((BI138/BH138)^0.67)*CI138</f>
        <v>0.87856601634592912</v>
      </c>
      <c r="CM138" s="39">
        <f>CJ138*($AM138-$BB138)</f>
        <v>2.1677845943116174</v>
      </c>
      <c r="CN138" s="39">
        <f>CK138*($AD138-$BD138)</f>
        <v>6.0675211678355448E-2</v>
      </c>
      <c r="CO138" s="39">
        <f>CL138*($AU138-$BF138)</f>
        <v>-0.22712957754754046</v>
      </c>
      <c r="CP138" s="27">
        <f>VLOOKUP(A138,Water!$A$2:$E$109, 5, FALSE)/1000</f>
        <v>6.6E-4</v>
      </c>
      <c r="CQ138">
        <f>0.64*CP138</f>
        <v>4.2240000000000002E-4</v>
      </c>
      <c r="CR138" s="19">
        <f>CQ138*1000*(2.5*10^-5)</f>
        <v>1.0560000000000001E-5</v>
      </c>
      <c r="CS138" s="18">
        <f>(-0.0000009*F138^3)+(0.0002*F138^2)-(0.0134*F138)+6.579</f>
        <v>6.4248246143999994</v>
      </c>
      <c r="CT138" s="18">
        <f>CS138-(SQRT(CP138))/(1+1.4*SQRT(CP138))</f>
        <v>6.400026069845433</v>
      </c>
      <c r="CU138" s="18">
        <f>10^(-CT138)</f>
        <v>3.9808327367859398E-7</v>
      </c>
      <c r="CV138" s="18">
        <f>(0.000001*F138^3)+(0.00006*F138^2)-(0.014*F138)+10.625</f>
        <v>10.438827584</v>
      </c>
      <c r="CW138" s="18">
        <f>CV138-(2*SQRT(CR138))/(1+1.4*SQRT(CR138))</f>
        <v>10.432357787367028</v>
      </c>
      <c r="CX138" s="18">
        <f>10^(-CW138)</f>
        <v>3.6952362753230161E-11</v>
      </c>
      <c r="CY138">
        <f>EXP(1246.98+-61900/H138-183*LN(H138))</f>
        <v>1.3266451874867741E-2</v>
      </c>
      <c r="CZ138">
        <f>12.225*(F138^2)+15.258*F138+1125.7</f>
        <v>3880.3912</v>
      </c>
      <c r="DA138" s="15">
        <f>10^(-4470.99/H138+6.0875-0.01706*H138)</f>
        <v>4.2986445285893668E-15</v>
      </c>
      <c r="DB138">
        <f>(10^-I138)</f>
        <v>1.9952623149688824E-9</v>
      </c>
      <c r="DC138">
        <f>DB138^2</f>
        <v>3.9810717055349837E-18</v>
      </c>
      <c r="DD138" s="20">
        <f>((14.6836*10^-9)*((H138/217.2056)-1)^1.997)*100*100</f>
        <v>1.545320240502394E-5</v>
      </c>
      <c r="DE138">
        <f>CY138+CZ138*DA138/DB138</f>
        <v>2.1626466633592072E-2</v>
      </c>
      <c r="DF138">
        <f>1+DC138*(CU138*CX138+CU138*DB138)^-1</f>
        <v>1.0049210353650242</v>
      </c>
      <c r="DG138">
        <f>(DE138*DF138/DD138)^0.5</f>
        <v>37.501574923025771</v>
      </c>
      <c r="DH138">
        <f>DD138/(BO138/60/60)</f>
        <v>3.0218726947749994E-2</v>
      </c>
      <c r="DI138" s="16">
        <f>DF138/((DF138-1)+TANH(DG138*DH138)/(DG138*DH138))</f>
        <v>1.3927102383210439</v>
      </c>
      <c r="DJ138">
        <f>$DI138*BR138</f>
        <v>6.5218893390223958</v>
      </c>
      <c r="DK138">
        <f>$DI138*BY138</f>
        <v>9.5355198885912014</v>
      </c>
      <c r="DL138">
        <f>$DI138*CF138</f>
        <v>1.4767876618965761</v>
      </c>
      <c r="DM138">
        <f>$DI138*CM138</f>
        <v>3.0190957989724203</v>
      </c>
    </row>
    <row r="139" spans="1:117" ht="15.75" x14ac:dyDescent="0.25">
      <c r="A139" s="52" t="s">
        <v>326</v>
      </c>
      <c r="B139" s="55" t="s">
        <v>340</v>
      </c>
      <c r="C139" t="s">
        <v>299</v>
      </c>
      <c r="D139" s="57">
        <v>43234</v>
      </c>
      <c r="E139" s="42" t="str">
        <f>A139&amp;D139</f>
        <v>66B43234</v>
      </c>
      <c r="F139" s="3">
        <f>VLOOKUP($E139,Water!$C$2:$E$90, 2, FALSE)</f>
        <v>14.4</v>
      </c>
      <c r="G139" s="3">
        <f>VLOOKUP($E139,Water!$C$2:$E$90, 3, FALSE)</f>
        <v>1.19</v>
      </c>
      <c r="H139" s="1">
        <f>F139+273.15</f>
        <v>287.54999999999995</v>
      </c>
      <c r="I139" s="3">
        <f>VLOOKUP($E139,Water!$C$2:$F$90, 4, FALSE)</f>
        <v>8.6999999999999993</v>
      </c>
      <c r="J139">
        <f>10^(I139*-1)</f>
        <v>1.9952623149688824E-9</v>
      </c>
      <c r="K139" s="25">
        <f>VLOOKUP($E139,Atm!$D$2:$G$45, 2, FALSE)</f>
        <v>425.84611961534631</v>
      </c>
      <c r="L139" s="25">
        <f>VLOOKUP($E139,Atm!$D$2:$G$45, 3, FALSE)</f>
        <v>2.239751935473536</v>
      </c>
      <c r="M139" s="25">
        <f>VLOOKUP($E139,Atm!$D$2:$G$45, 4, FALSE)</f>
        <v>0.32489405963728157</v>
      </c>
      <c r="N139" s="21">
        <f>VLOOKUP($C139,Raw!$B$2:$F$353, 3, FALSE)</f>
        <v>471.57126165066222</v>
      </c>
      <c r="O139" s="21">
        <f>VLOOKUP($C139,Raw!$B$2:$F$353, 4, FALSE)</f>
        <v>21.909086697283641</v>
      </c>
      <c r="P139" s="21">
        <f>VLOOKUP($C139,Raw!$B$2:$F$353, 5, FALSE)</f>
        <v>0.32781795743425107</v>
      </c>
      <c r="Q139" s="14">
        <v>60</v>
      </c>
      <c r="R139" s="25">
        <v>1140</v>
      </c>
      <c r="S139">
        <f>EXP(24.4543-(100/H139*(67.4509))-(4.8489*LN(H139/100))-(0.000544*G139))</f>
        <v>1.616369666050204E-2</v>
      </c>
      <c r="T139" s="8">
        <f>EXP(-58.0931+90.5069*(100/H139)+22.294*LN(H139/100)+G139*(0.027766-0.025888*(H139/100)+0.0050578*(H139/100)^2)*G139)</f>
        <v>4.6084787774819023E-2</v>
      </c>
      <c r="U139" s="9">
        <f>(EXP(-67.1962+99.1624*(100/H139)+27.9015*LN(H139/100)+G139*(-0.072909+0.041674*(H139/100)-0.0064603*(H139/100)^2)*G139))</f>
        <v>3.8781340424700564E-2</v>
      </c>
      <c r="V139" s="9">
        <f>(EXP(-64.8539+100.252*(100/H139)+25.2049*LN(H139/100)+(-0.062544+0.035337*(H139/100)-0.0054699*(H139/100)^2)*G139))</f>
        <v>3.4219893314226764E-2</v>
      </c>
      <c r="W139" s="9">
        <f>(EXP(-68.8862+101.4956*(100/H139)+28.7314*LN(H139/100)+G139*(-0.076146+0.04397*(H139/100)-0.0068672*(H139/100)^2)))</f>
        <v>3.8759547724393648E-2</v>
      </c>
      <c r="X139">
        <f>N139*(AZ139-S139)</f>
        <v>433.29679481623771</v>
      </c>
      <c r="Y139">
        <f>O139*(AZ139-S139)</f>
        <v>20.130864230476675</v>
      </c>
      <c r="Z139">
        <f>((Y139/10^6)*AZ139)/(0.082056*H139)</f>
        <v>7.9771969815388459E-7</v>
      </c>
      <c r="AA139">
        <f>(((L139/10^6)*AZ139)/(0.082056*H139))</f>
        <v>8.875397585765849E-8</v>
      </c>
      <c r="AB139">
        <f>((Y139/10^6)*U139*1)/(0.082056*H139)</f>
        <v>3.3087314628444036E-8</v>
      </c>
      <c r="AC139">
        <f>(Z139*(Q139/1000))+(AB139*(R139/1000))</f>
        <v>8.5582720565659266E-8</v>
      </c>
      <c r="AD139" s="39">
        <f>((AC139-(AA139*(Q139/1000)))/(R139/1000))*1000000</f>
        <v>7.0401300012455939E-2</v>
      </c>
      <c r="AE139" s="39">
        <f>(AD139/((U139*AZ139*1))*(0.0821*273.15))</f>
        <v>43.540219495363168</v>
      </c>
      <c r="AF139" s="39">
        <f>L139*U139*AZ139*1/(0.0821*273.15)</f>
        <v>3.6215124726126755E-3</v>
      </c>
      <c r="AG139" s="39">
        <f>AD139-AF139</f>
        <v>6.6779787539843261E-2</v>
      </c>
      <c r="AH139" s="42">
        <f>P139*(AZ139-S139)</f>
        <v>0.30121104017719219</v>
      </c>
      <c r="AI139">
        <f>(((X139/10^6)*(Q139/1000))/(0.082056*H139))</f>
        <v>1.1018259901955266E-6</v>
      </c>
      <c r="AJ139">
        <f>(((K139/10^6)*AZ139)*(Q139/1000))/(0.082056*H139)</f>
        <v>1.0124925610057027E-6</v>
      </c>
      <c r="AK139">
        <f>(X139/10^6)*T139*(R139/1000)</f>
        <v>2.2763965549181799E-5</v>
      </c>
      <c r="AL139">
        <f>AI139+AK139</f>
        <v>2.3865791539377326E-5</v>
      </c>
      <c r="AM139" s="39">
        <f>((AL139-AJ139)/(R139/1000))*1000000</f>
        <v>20.046753489799674</v>
      </c>
      <c r="AN139" s="39">
        <f>AM139/(T139*AZ139)</f>
        <v>465.23764346533471</v>
      </c>
      <c r="AO139" s="39">
        <f>(K139*AZ139)*T139</f>
        <v>18.34940122413521</v>
      </c>
      <c r="AP139" s="39">
        <f>AM139-AO139</f>
        <v>1.6973522656644633</v>
      </c>
      <c r="AQ139">
        <f>(((AH139/10^6)*(Q139/1000))/(0.082056*H139))</f>
        <v>7.6594647496022082E-10</v>
      </c>
      <c r="AR139">
        <f>(((M139/10^6)*AZ139)*(Q139/1000))/(0.082056*H139)</f>
        <v>7.7246874714937807E-10</v>
      </c>
      <c r="AS139">
        <f>(AH139/10^6)*V139*(R139/1000)</f>
        <v>1.1750447012321098E-8</v>
      </c>
      <c r="AT139">
        <f>AQ139+AS139</f>
        <v>1.251639348728132E-8</v>
      </c>
      <c r="AU139" s="39">
        <f>((AT139-AR139)/(R139/1000))*1000000000</f>
        <v>10.301688368536791</v>
      </c>
      <c r="AV139" s="39">
        <f>(AU139/1000)/(V139*AZ139)</f>
        <v>0.32197203016756987</v>
      </c>
      <c r="AW139" s="39">
        <f>(M139*AZ139)*V139*1000</f>
        <v>10.395180455364908</v>
      </c>
      <c r="AX139" s="39">
        <f>AU139-AW139</f>
        <v>-9.3492086828117493E-2</v>
      </c>
      <c r="AY139" s="26">
        <f>VLOOKUP($E139,Water!$C$2:$G$90, 5, FALSE)</f>
        <v>710.6</v>
      </c>
      <c r="AZ139">
        <f>AY139/760</f>
        <v>0.93500000000000005</v>
      </c>
      <c r="BA139" s="3">
        <f>Assumptions!$B$3</f>
        <v>406.07</v>
      </c>
      <c r="BB139" s="3">
        <f>BA139*AZ139*T139</f>
        <v>17.49726253655891</v>
      </c>
      <c r="BC139" s="3">
        <f>Assumptions!$B$4</f>
        <v>1.8474300000000001</v>
      </c>
      <c r="BD139" s="45">
        <f>BC139*AZ139*U139*1/(0.0821*273.15)</f>
        <v>2.9871570513295745E-3</v>
      </c>
      <c r="BE139" s="3">
        <f>Assumptions!$B$2</f>
        <v>0.33054499999999998</v>
      </c>
      <c r="BF139" s="44">
        <f>BE139*AZ139*V139*1000</f>
        <v>10.575985684240266</v>
      </c>
      <c r="BG139">
        <f>1923.6+(-125.06*F139)+(4.3773*(F139^2))+(-0.085681*(F139^3))+(0.00070284*(F139^4))</f>
        <v>804.79166641766392</v>
      </c>
      <c r="BH139">
        <f>1909.4+(-120.78*F139)+(4.1555*(F139^2))+(-0.080578*(F139^3))+(0.00065777*(F139^4))</f>
        <v>819.53076726579195</v>
      </c>
      <c r="BI139">
        <f>2141.2+(-152.56*F139)+(5.8963*(F139^2))+(-0.12411*(F139^3))+(0.0010655*(F139^4))</f>
        <v>842.21684346879977</v>
      </c>
      <c r="BJ139" s="25">
        <f>VLOOKUP(E139,Wind!$C$2:$E$109,3, FALSE)</f>
        <v>3.75</v>
      </c>
      <c r="BK139" s="44">
        <v>1.66</v>
      </c>
      <c r="BL139">
        <f>BK139/(1-(((1.3*10^-3)^0.5)/0.41)*LN(10/1.5))</f>
        <v>1.9923982880693825</v>
      </c>
      <c r="BM139">
        <f>BK139*1.22</f>
        <v>2.0251999999999999</v>
      </c>
      <c r="BN139">
        <f>2.07+0.215*(BM139^1.7)*(24/100)</f>
        <v>2.241255750541113</v>
      </c>
      <c r="BO139">
        <f>BN139*((600/BG139)^0.67)</f>
        <v>1.8409620218044414</v>
      </c>
      <c r="BP139">
        <f>BN139*((600/BH139)^0.67)</f>
        <v>1.8187124032042781</v>
      </c>
      <c r="BQ139">
        <f>BN139*((600/BI139)^0.67)</f>
        <v>1.7857420546244527</v>
      </c>
      <c r="BR139" s="39">
        <f>BO139*(AM139-BB139)</f>
        <v>4.6935160198502484</v>
      </c>
      <c r="BS139" s="39">
        <f>BP139*(AD139-BD139)</f>
        <v>0.1226069379547869</v>
      </c>
      <c r="BT139" s="39">
        <f>BQ139*(AU139-BF139)</f>
        <v>-0.48982425212229508</v>
      </c>
      <c r="BU139">
        <f>(2.51+1.48*BM139)+(0.39*BM139*LOG10(0.0015))</f>
        <v>3.2768938069574309</v>
      </c>
      <c r="BV139">
        <f>BU139*((600/$BG139)^0.67)</f>
        <v>2.6916326022312838</v>
      </c>
      <c r="BW139">
        <f>BU139*((600/$BH139)^0.67)</f>
        <v>2.6591018937744568</v>
      </c>
      <c r="BX139">
        <f>BU139*((600/$BI139)^0.67)</f>
        <v>2.6108966271294642</v>
      </c>
      <c r="BY139" s="39">
        <f>BV139*($AM139-$BB139)</f>
        <v>6.8622929688365515</v>
      </c>
      <c r="BZ139" s="39">
        <f>BW139*($AD139-$BD139)</f>
        <v>0.17926107521511309</v>
      </c>
      <c r="CA139" s="39">
        <f>BX139*($AU139-$BF139)</f>
        <v>-0.71616193640086789</v>
      </c>
      <c r="CB139" s="42">
        <f>AVERAGE(0.72,0.69,0.4,0.22)</f>
        <v>0.50750000000000006</v>
      </c>
      <c r="CC139">
        <f>CB139*((600/$BG139)^0.67)</f>
        <v>0.41685926554351777</v>
      </c>
      <c r="CD139">
        <f>CB139*((600/$BH139)^0.67)</f>
        <v>0.41182116070570235</v>
      </c>
      <c r="CE139">
        <f>CB139*((600/$BI139)^0.67)</f>
        <v>0.40435550137600668</v>
      </c>
      <c r="CF139" s="39">
        <f>CC139*($AM139-$BB139)</f>
        <v>1.0627789262777876</v>
      </c>
      <c r="CG139" s="39">
        <f>CD139*($AD139-$BD139)</f>
        <v>2.7762570602231217E-2</v>
      </c>
      <c r="CH139" s="39">
        <f>CE139*($AU139-$BF139)</f>
        <v>-0.11091362861737131</v>
      </c>
      <c r="CI139">
        <v>0.86263901889527161</v>
      </c>
      <c r="CJ139">
        <f>((BG139/BH139)^0.67)*CI139</f>
        <v>0.85221328010614317</v>
      </c>
      <c r="CK139">
        <f>((BH139/BH139)^0.67)*CI139</f>
        <v>0.86263901889527161</v>
      </c>
      <c r="CL139">
        <f>((BI139/BH139)^0.67)*CI139</f>
        <v>0.87856601634592912</v>
      </c>
      <c r="CM139" s="39">
        <f>CJ139*($AM139-$BB139)</f>
        <v>2.1727100478622483</v>
      </c>
      <c r="CN139" s="39">
        <f>CK139*($AD139-$BD139)</f>
        <v>5.8154070143651634E-2</v>
      </c>
      <c r="CO139" s="39">
        <f>CL139*($AU139-$BF139)</f>
        <v>-0.24098829995198345</v>
      </c>
      <c r="CP139" s="27">
        <f>VLOOKUP(A139,Water!$A$2:$E$109, 5, FALSE)/1000</f>
        <v>6.6E-4</v>
      </c>
      <c r="CQ139">
        <f>0.64*CP139</f>
        <v>4.2240000000000002E-4</v>
      </c>
      <c r="CR139" s="19">
        <f>CQ139*1000*(2.5*10^-5)</f>
        <v>1.0560000000000001E-5</v>
      </c>
      <c r="CS139" s="18">
        <f>(-0.0000009*F139^3)+(0.0002*F139^2)-(0.0134*F139)+6.579</f>
        <v>6.4248246143999994</v>
      </c>
      <c r="CT139" s="18">
        <f>CS139-(SQRT(CP139))/(1+1.4*SQRT(CP139))</f>
        <v>6.400026069845433</v>
      </c>
      <c r="CU139" s="18">
        <f>10^(-CT139)</f>
        <v>3.9808327367859398E-7</v>
      </c>
      <c r="CV139" s="18">
        <f>(0.000001*F139^3)+(0.00006*F139^2)-(0.014*F139)+10.625</f>
        <v>10.438827584</v>
      </c>
      <c r="CW139" s="18">
        <f>CV139-(2*SQRT(CR139))/(1+1.4*SQRT(CR139))</f>
        <v>10.432357787367028</v>
      </c>
      <c r="CX139" s="18">
        <f>10^(-CW139)</f>
        <v>3.6952362753230161E-11</v>
      </c>
      <c r="CY139">
        <f>EXP(1246.98+-61900/H139-183*LN(H139))</f>
        <v>1.3266451874867741E-2</v>
      </c>
      <c r="CZ139">
        <f>12.225*(F139^2)+15.258*F139+1125.7</f>
        <v>3880.3912</v>
      </c>
      <c r="DA139" s="15">
        <f>10^(-4470.99/H139+6.0875-0.01706*H139)</f>
        <v>4.2986445285893668E-15</v>
      </c>
      <c r="DB139">
        <f>(10^-I139)</f>
        <v>1.9952623149688824E-9</v>
      </c>
      <c r="DC139">
        <f>DB139^2</f>
        <v>3.9810717055349837E-18</v>
      </c>
      <c r="DD139" s="20">
        <f>((14.6836*10^-9)*((H139/217.2056)-1)^1.997)*100*100</f>
        <v>1.545320240502394E-5</v>
      </c>
      <c r="DE139">
        <f>CY139+CZ139*DA139/DB139</f>
        <v>2.1626466633592072E-2</v>
      </c>
      <c r="DF139">
        <f>1+DC139*(CU139*CX139+CU139*DB139)^-1</f>
        <v>1.0049210353650242</v>
      </c>
      <c r="DG139">
        <f>(DE139*DF139/DD139)^0.5</f>
        <v>37.501574923025771</v>
      </c>
      <c r="DH139">
        <f>DD139/(BO139/60/60)</f>
        <v>3.0218726947749994E-2</v>
      </c>
      <c r="DI139" s="16">
        <f>DF139/((DF139-1)+TANH(DG139*DH139)/(DG139*DH139))</f>
        <v>1.3927102383210439</v>
      </c>
      <c r="DJ139">
        <f>$DI139*BR139</f>
        <v>6.5367078145692767</v>
      </c>
      <c r="DK139">
        <f>$DI139*BY139</f>
        <v>9.5571856760571769</v>
      </c>
      <c r="DL139">
        <f>$DI139*CF139</f>
        <v>1.4801430916989207</v>
      </c>
      <c r="DM139">
        <f>$DI139*CM139</f>
        <v>3.0259555285607584</v>
      </c>
    </row>
    <row r="140" spans="1:117" ht="15.75" x14ac:dyDescent="0.25">
      <c r="A140" s="52" t="s">
        <v>326</v>
      </c>
      <c r="B140" s="55" t="s">
        <v>341</v>
      </c>
      <c r="C140" t="s">
        <v>300</v>
      </c>
      <c r="D140" s="57">
        <v>43234</v>
      </c>
      <c r="E140" s="42" t="str">
        <f>A140&amp;D140</f>
        <v>66B43234</v>
      </c>
      <c r="F140" s="3">
        <f>VLOOKUP($E140,Water!$C$2:$E$90, 2, FALSE)</f>
        <v>14.4</v>
      </c>
      <c r="G140" s="3">
        <f>VLOOKUP($E140,Water!$C$2:$E$90, 3, FALSE)</f>
        <v>1.19</v>
      </c>
      <c r="H140" s="1">
        <f>F140+273.15</f>
        <v>287.54999999999995</v>
      </c>
      <c r="I140" s="3">
        <f>VLOOKUP($E140,Water!$C$2:$F$90, 4, FALSE)</f>
        <v>8.6999999999999993</v>
      </c>
      <c r="J140">
        <f>10^(I140*-1)</f>
        <v>1.9952623149688824E-9</v>
      </c>
      <c r="K140" s="25">
        <f>VLOOKUP($E140,Atm!$D$2:$G$45, 2, FALSE)</f>
        <v>425.84611961534631</v>
      </c>
      <c r="L140" s="25">
        <f>VLOOKUP($E140,Atm!$D$2:$G$45, 3, FALSE)</f>
        <v>2.239751935473536</v>
      </c>
      <c r="M140" s="25">
        <f>VLOOKUP($E140,Atm!$D$2:$G$45, 4, FALSE)</f>
        <v>0.32489405963728157</v>
      </c>
      <c r="N140" s="21">
        <f>VLOOKUP($C140,Raw!$B$2:$F$353, 3, FALSE)</f>
        <v>468.79547889104668</v>
      </c>
      <c r="O140" s="21">
        <f>VLOOKUP($C140,Raw!$B$2:$F$353, 4, FALSE)</f>
        <v>22.5936820597483</v>
      </c>
      <c r="P140" s="21">
        <f>VLOOKUP($C140,Raw!$B$2:$F$353, 5, FALSE)</f>
        <v>0.32717883458115787</v>
      </c>
      <c r="Q140" s="14">
        <v>60</v>
      </c>
      <c r="R140" s="25">
        <v>1140</v>
      </c>
      <c r="S140">
        <f>EXP(24.4543-(100/H140*(67.4509))-(4.8489*LN(H140/100))-(0.000544*G140))</f>
        <v>1.616369666050204E-2</v>
      </c>
      <c r="T140" s="8">
        <f>EXP(-58.0931+90.5069*(100/H140)+22.294*LN(H140/100)+G140*(0.027766-0.025888*(H140/100)+0.0050578*(H140/100)^2)*G140)</f>
        <v>4.6084787774819023E-2</v>
      </c>
      <c r="U140" s="9">
        <f>(EXP(-67.1962+99.1624*(100/H140)+27.9015*LN(H140/100)+G140*(-0.072909+0.041674*(H140/100)-0.0064603*(H140/100)^2)*G140))</f>
        <v>3.8781340424700564E-2</v>
      </c>
      <c r="V140" s="9">
        <f>(EXP(-64.8539+100.252*(100/H140)+25.2049*LN(H140/100)+(-0.062544+0.035337*(H140/100)-0.0054699*(H140/100)^2)*G140))</f>
        <v>3.4219893314226764E-2</v>
      </c>
      <c r="W140" s="9">
        <f>(EXP(-68.8862+101.4956*(100/H140)+28.7314*LN(H140/100)+G140*(-0.076146+0.04397*(H140/100)-0.0068672*(H140/100)^2)))</f>
        <v>3.8759547724393648E-2</v>
      </c>
      <c r="X140">
        <f>N140*(AZ140-S140)</f>
        <v>430.74630484651902</v>
      </c>
      <c r="Y140">
        <f>O140*(AZ140-S140)</f>
        <v>20.759895302607063</v>
      </c>
      <c r="Z140">
        <f>((Y140/10^6)*AZ140)/(0.082056*H140)</f>
        <v>8.2264612313218213E-7</v>
      </c>
      <c r="AA140">
        <f>(((L140/10^6)*AZ140)/(0.082056*H140))</f>
        <v>8.875397585765849E-8</v>
      </c>
      <c r="AB140">
        <f>((Y140/10^6)*U140*1)/(0.082056*H140)</f>
        <v>3.4121197166042021E-8</v>
      </c>
      <c r="AC140">
        <f>(Z140*(Q140/1000))+(AB140*(R140/1000))</f>
        <v>8.825693215721883E-8</v>
      </c>
      <c r="AD140" s="39">
        <f>((AC140-(AA140*(Q140/1000)))/(R140/1000))*1000000</f>
        <v>7.2747099654174849E-2</v>
      </c>
      <c r="AE140" s="39">
        <f>(AD140/((U140*AZ140*1))*(0.0821*273.15))</f>
        <v>44.990997126948301</v>
      </c>
      <c r="AF140" s="39">
        <f>L140*U140*AZ140*1/(0.0821*273.15)</f>
        <v>3.6215124726126755E-3</v>
      </c>
      <c r="AG140" s="39">
        <f>AD140-AF140</f>
        <v>6.912558718156217E-2</v>
      </c>
      <c r="AH140" s="42">
        <f>P140*(AZ140-S140)</f>
        <v>0.30062379089747626</v>
      </c>
      <c r="AI140">
        <f>(((X140/10^6)*(Q140/1000))/(0.082056*H140))</f>
        <v>1.0953403753237137E-6</v>
      </c>
      <c r="AJ140">
        <f>(((K140/10^6)*AZ140)*(Q140/1000))/(0.082056*H140)</f>
        <v>1.0124925610057027E-6</v>
      </c>
      <c r="AK140">
        <f>(X140/10^6)*T140*(R140/1000)</f>
        <v>2.2629971329748835E-5</v>
      </c>
      <c r="AL140">
        <f>AI140+AK140</f>
        <v>2.3725311705072548E-5</v>
      </c>
      <c r="AM140" s="39">
        <f>((AL140-AJ140)/(R140/1000))*1000000</f>
        <v>19.92352556497092</v>
      </c>
      <c r="AN140" s="39">
        <f>AM140/(T140*AZ140)</f>
        <v>462.37781534475528</v>
      </c>
      <c r="AO140" s="39">
        <f>(K140*AZ140)*T140</f>
        <v>18.34940122413521</v>
      </c>
      <c r="AP140" s="39">
        <f>AM140-AO140</f>
        <v>1.5741243408357093</v>
      </c>
      <c r="AQ140">
        <f>(((AH140/10^6)*(Q140/1000))/(0.082056*H140))</f>
        <v>7.6445316476994113E-10</v>
      </c>
      <c r="AR140">
        <f>(((M140/10^6)*AZ140)*(Q140/1000))/(0.082056*H140)</f>
        <v>7.7246874714937807E-10</v>
      </c>
      <c r="AS140">
        <f>(AH140/10^6)*V140*(R140/1000)</f>
        <v>1.172753801954226E-8</v>
      </c>
      <c r="AT140">
        <f>AQ140+AS140</f>
        <v>1.2491991184312201E-8</v>
      </c>
      <c r="AU140" s="39">
        <f>((AT140-AR140)/(R140/1000))*1000000000</f>
        <v>10.280282839616513</v>
      </c>
      <c r="AV140" s="39">
        <f>(AU140/1000)/(V140*AZ140)</f>
        <v>0.32130301540448286</v>
      </c>
      <c r="AW140" s="39">
        <f>(M140*AZ140)*V140*1000</f>
        <v>10.395180455364908</v>
      </c>
      <c r="AX140" s="39">
        <f>AU140-AW140</f>
        <v>-0.11489761574839541</v>
      </c>
      <c r="AY140" s="26">
        <f>VLOOKUP($E140,Water!$C$2:$G$90, 5, FALSE)</f>
        <v>710.6</v>
      </c>
      <c r="AZ140">
        <f>AY140/760</f>
        <v>0.93500000000000005</v>
      </c>
      <c r="BA140" s="3">
        <f>Assumptions!$B$3</f>
        <v>406.07</v>
      </c>
      <c r="BB140" s="3">
        <f>BA140*AZ140*T140</f>
        <v>17.49726253655891</v>
      </c>
      <c r="BC140" s="3">
        <f>Assumptions!$B$4</f>
        <v>1.8474300000000001</v>
      </c>
      <c r="BD140" s="45">
        <f>BC140*AZ140*U140*1/(0.0821*273.15)</f>
        <v>2.9871570513295745E-3</v>
      </c>
      <c r="BE140" s="3">
        <f>Assumptions!$B$2</f>
        <v>0.33054499999999998</v>
      </c>
      <c r="BF140" s="44">
        <f>BE140*AZ140*V140*1000</f>
        <v>10.575985684240266</v>
      </c>
      <c r="BG140">
        <f>1923.6+(-125.06*F140)+(4.3773*(F140^2))+(-0.085681*(F140^3))+(0.00070284*(F140^4))</f>
        <v>804.79166641766392</v>
      </c>
      <c r="BH140">
        <f>1909.4+(-120.78*F140)+(4.1555*(F140^2))+(-0.080578*(F140^3))+(0.00065777*(F140^4))</f>
        <v>819.53076726579195</v>
      </c>
      <c r="BI140">
        <f>2141.2+(-152.56*F140)+(5.8963*(F140^2))+(-0.12411*(F140^3))+(0.0010655*(F140^4))</f>
        <v>842.21684346879977</v>
      </c>
      <c r="BJ140" s="25">
        <f>VLOOKUP(E140,Wind!$C$2:$E$109,3, FALSE)</f>
        <v>3.75</v>
      </c>
      <c r="BK140" s="44">
        <v>1.66</v>
      </c>
      <c r="BL140">
        <f>BK140/(1-(((1.3*10^-3)^0.5)/0.41)*LN(10/1.5))</f>
        <v>1.9923982880693825</v>
      </c>
      <c r="BM140">
        <f>BK140*1.22</f>
        <v>2.0251999999999999</v>
      </c>
      <c r="BN140">
        <f>2.07+0.215*(BM140^1.7)*(24/100)</f>
        <v>2.241255750541113</v>
      </c>
      <c r="BO140">
        <f>BN140*((600/BG140)^0.67)</f>
        <v>1.8409620218044414</v>
      </c>
      <c r="BP140">
        <f>BN140*((600/BH140)^0.67)</f>
        <v>1.8187124032042781</v>
      </c>
      <c r="BQ140">
        <f>BN140*((600/BI140)^0.67)</f>
        <v>1.7857420546244527</v>
      </c>
      <c r="BR140" s="39">
        <f>BO140*(AM140-BB140)</f>
        <v>4.4666580902147395</v>
      </c>
      <c r="BS140" s="39">
        <f>BP140*(AD140-BD140)</f>
        <v>0.12687327285861325</v>
      </c>
      <c r="BT140" s="39">
        <f>BQ140*(AU140-BF140)</f>
        <v>-0.52804900531671528</v>
      </c>
      <c r="BU140">
        <f>(2.51+1.48*BM140)+(0.39*BM140*LOG10(0.0015))</f>
        <v>3.2768938069574309</v>
      </c>
      <c r="BV140">
        <f>BU140*((600/$BG140)^0.67)</f>
        <v>2.6916326022312838</v>
      </c>
      <c r="BW140">
        <f>BU140*((600/$BH140)^0.67)</f>
        <v>2.6591018937744568</v>
      </c>
      <c r="BX140">
        <f>BU140*((600/$BI140)^0.67)</f>
        <v>2.6108966271294642</v>
      </c>
      <c r="BY140" s="39">
        <f>BV140*($AM140-$BB140)</f>
        <v>6.5306086688621718</v>
      </c>
      <c r="BZ140" s="39">
        <f>BW140*($AD140-$BD140)</f>
        <v>0.18549879548482329</v>
      </c>
      <c r="CA140" s="39">
        <f>BX140*($AU140-$BF140)</f>
        <v>-0.77204955966074373</v>
      </c>
      <c r="CB140" s="42">
        <f>AVERAGE(0.72,0.69,0.4,0.22)</f>
        <v>0.50750000000000006</v>
      </c>
      <c r="CC140">
        <f>CB140*((600/$BG140)^0.67)</f>
        <v>0.41685926554351777</v>
      </c>
      <c r="CD140">
        <f>CB140*((600/$BH140)^0.67)</f>
        <v>0.41182116070570235</v>
      </c>
      <c r="CE140">
        <f>CB140*((600/$BI140)^0.67)</f>
        <v>0.40435550137600668</v>
      </c>
      <c r="CF140" s="39">
        <f>CC140*($AM140-$BB140)</f>
        <v>1.0114102240392213</v>
      </c>
      <c r="CG140" s="39">
        <f>CD140*($AD140-$BD140)</f>
        <v>2.8728620533466916E-2</v>
      </c>
      <c r="CH140" s="39">
        <f>CE140*($AU140-$BF140)</f>
        <v>-0.1195690719961489</v>
      </c>
      <c r="CI140">
        <v>0.86263901889527161</v>
      </c>
      <c r="CJ140">
        <f>((BG140/BH140)^0.67)*CI140</f>
        <v>0.85221328010614317</v>
      </c>
      <c r="CK140">
        <f>((BH140/BH140)^0.67)*CI140</f>
        <v>0.86263901889527161</v>
      </c>
      <c r="CL140">
        <f>((BI140/BH140)^0.67)*CI140</f>
        <v>0.87856601634592912</v>
      </c>
      <c r="CM140" s="39">
        <f>CJ140*($AM140-$BB140)</f>
        <v>2.0676935738432629</v>
      </c>
      <c r="CN140" s="39">
        <f>CK140*($AD140-$BD140)</f>
        <v>6.0177648445108915E-2</v>
      </c>
      <c r="CO140" s="39">
        <f>CL140*($AU140-$BF140)</f>
        <v>-0.25979447022324959</v>
      </c>
      <c r="CP140" s="27">
        <f>VLOOKUP(A140,Water!$A$2:$E$109, 5, FALSE)/1000</f>
        <v>6.6E-4</v>
      </c>
      <c r="CQ140">
        <f>0.64*CP140</f>
        <v>4.2240000000000002E-4</v>
      </c>
      <c r="CR140" s="19">
        <f>CQ140*1000*(2.5*10^-5)</f>
        <v>1.0560000000000001E-5</v>
      </c>
      <c r="CS140" s="18">
        <f>(-0.0000009*F140^3)+(0.0002*F140^2)-(0.0134*F140)+6.579</f>
        <v>6.4248246143999994</v>
      </c>
      <c r="CT140" s="18">
        <f>CS140-(SQRT(CP140))/(1+1.4*SQRT(CP140))</f>
        <v>6.400026069845433</v>
      </c>
      <c r="CU140" s="18">
        <f>10^(-CT140)</f>
        <v>3.9808327367859398E-7</v>
      </c>
      <c r="CV140" s="18">
        <f>(0.000001*F140^3)+(0.00006*F140^2)-(0.014*F140)+10.625</f>
        <v>10.438827584</v>
      </c>
      <c r="CW140" s="18">
        <f>CV140-(2*SQRT(CR140))/(1+1.4*SQRT(CR140))</f>
        <v>10.432357787367028</v>
      </c>
      <c r="CX140" s="18">
        <f>10^(-CW140)</f>
        <v>3.6952362753230161E-11</v>
      </c>
      <c r="CY140">
        <f>EXP(1246.98+-61900/H140-183*LN(H140))</f>
        <v>1.3266451874867741E-2</v>
      </c>
      <c r="CZ140">
        <f>12.225*(F140^2)+15.258*F140+1125.7</f>
        <v>3880.3912</v>
      </c>
      <c r="DA140" s="15">
        <f>10^(-4470.99/H140+6.0875-0.01706*H140)</f>
        <v>4.2986445285893668E-15</v>
      </c>
      <c r="DB140">
        <f>(10^-I140)</f>
        <v>1.9952623149688824E-9</v>
      </c>
      <c r="DC140">
        <f>DB140^2</f>
        <v>3.9810717055349837E-18</v>
      </c>
      <c r="DD140" s="20">
        <f>((14.6836*10^-9)*((H140/217.2056)-1)^1.997)*100*100</f>
        <v>1.545320240502394E-5</v>
      </c>
      <c r="DE140">
        <f>CY140+CZ140*DA140/DB140</f>
        <v>2.1626466633592072E-2</v>
      </c>
      <c r="DF140">
        <f>1+DC140*(CU140*CX140+CU140*DB140)^-1</f>
        <v>1.0049210353650242</v>
      </c>
      <c r="DG140">
        <f>(DE140*DF140/DD140)^0.5</f>
        <v>37.501574923025771</v>
      </c>
      <c r="DH140">
        <f>DD140/(BO140/60/60)</f>
        <v>3.0218726947749994E-2</v>
      </c>
      <c r="DI140" s="16">
        <f>DF140/((DF140-1)+TANH(DG140*DH140)/(DG140*DH140))</f>
        <v>1.3927102383210439</v>
      </c>
      <c r="DJ140">
        <f>$DI140*BR140</f>
        <v>6.2207604533215886</v>
      </c>
      <c r="DK140">
        <f>$DI140*BY140</f>
        <v>9.0952455555925109</v>
      </c>
      <c r="DL140">
        <f>$DI140*CF140</f>
        <v>1.4086013741620043</v>
      </c>
      <c r="DM140">
        <f>$DI140*CM140</f>
        <v>2.8796980100021417</v>
      </c>
    </row>
    <row r="141" spans="1:117" ht="15.75" x14ac:dyDescent="0.25">
      <c r="A141" s="52" t="s">
        <v>326</v>
      </c>
      <c r="B141" s="55" t="s">
        <v>342</v>
      </c>
      <c r="C141" t="s">
        <v>301</v>
      </c>
      <c r="D141" s="57">
        <v>43234</v>
      </c>
      <c r="E141" s="42" t="str">
        <f>A141&amp;D141</f>
        <v>66B43234</v>
      </c>
      <c r="F141" s="3">
        <f>VLOOKUP($E141,Water!$C$2:$E$90, 2, FALSE)</f>
        <v>14.4</v>
      </c>
      <c r="G141" s="3">
        <f>VLOOKUP($E141,Water!$C$2:$E$90, 3, FALSE)</f>
        <v>1.19</v>
      </c>
      <c r="H141" s="1">
        <f>F141+273.15</f>
        <v>287.54999999999995</v>
      </c>
      <c r="I141" s="3">
        <f>VLOOKUP($E141,Water!$C$2:$F$90, 4, FALSE)</f>
        <v>8.6999999999999993</v>
      </c>
      <c r="J141">
        <f>10^(I141*-1)</f>
        <v>1.9952623149688824E-9</v>
      </c>
      <c r="K141" s="25">
        <f>VLOOKUP($E141,Atm!$D$2:$G$45, 2, FALSE)</f>
        <v>425.84611961534631</v>
      </c>
      <c r="L141" s="25">
        <f>VLOOKUP($E141,Atm!$D$2:$G$45, 3, FALSE)</f>
        <v>2.239751935473536</v>
      </c>
      <c r="M141" s="25">
        <f>VLOOKUP($E141,Atm!$D$2:$G$45, 4, FALSE)</f>
        <v>0.32489405963728157</v>
      </c>
      <c r="N141" s="21">
        <f>VLOOKUP($C141,Raw!$B$2:$F$353, 3, FALSE)</f>
        <v>490.08909188326942</v>
      </c>
      <c r="O141" s="21">
        <f>VLOOKUP($C141,Raw!$B$2:$F$353, 4, FALSE)</f>
        <v>22.350821616036541</v>
      </c>
      <c r="P141" s="21">
        <f>VLOOKUP($C141,Raw!$B$2:$F$353, 5, FALSE)</f>
        <v>0.32961130513997933</v>
      </c>
      <c r="Q141" s="14">
        <v>60</v>
      </c>
      <c r="R141" s="25">
        <v>1140</v>
      </c>
      <c r="S141">
        <f>EXP(24.4543-(100/H141*(67.4509))-(4.8489*LN(H141/100))-(0.000544*G141))</f>
        <v>1.616369666050204E-2</v>
      </c>
      <c r="T141" s="8">
        <f>EXP(-58.0931+90.5069*(100/H141)+22.294*LN(H141/100)+G141*(0.027766-0.025888*(H141/100)+0.0050578*(H141/100)^2)*G141)</f>
        <v>4.6084787774819023E-2</v>
      </c>
      <c r="U141" s="9">
        <f>(EXP(-67.1962+99.1624*(100/H141)+27.9015*LN(H141/100)+G141*(-0.072909+0.041674*(H141/100)-0.0064603*(H141/100)^2)*G141))</f>
        <v>3.8781340424700564E-2</v>
      </c>
      <c r="V141" s="9">
        <f>(EXP(-64.8539+100.252*(100/H141)+25.2049*LN(H141/100)+(-0.062544+0.035337*(H141/100)-0.0054699*(H141/100)^2)*G141))</f>
        <v>3.4219893314226764E-2</v>
      </c>
      <c r="W141" s="9">
        <f>(EXP(-68.8862+101.4956*(100/H141)+28.7314*LN(H141/100)+G141*(-0.076146+0.04397*(H141/100)-0.0068672*(H141/100)^2)))</f>
        <v>3.8759547724393648E-2</v>
      </c>
      <c r="X141">
        <f>N141*(AZ141-S141)</f>
        <v>450.31164949303485</v>
      </c>
      <c r="Y141">
        <f>O141*(AZ141-S141)</f>
        <v>20.536746310279561</v>
      </c>
      <c r="Z141">
        <f>((Y141/10^6)*AZ141)/(0.082056*H141)</f>
        <v>8.1380346517349661E-7</v>
      </c>
      <c r="AA141">
        <f>(((L141/10^6)*AZ141)/(0.082056*H141))</f>
        <v>8.875397585765849E-8</v>
      </c>
      <c r="AB141">
        <f>((Y141/10^6)*U141*1)/(0.082056*H141)</f>
        <v>3.3754426975074143E-8</v>
      </c>
      <c r="AC141">
        <f>(Z141*(Q141/1000))+(AB141*(R141/1000))</f>
        <v>8.730825466199431E-8</v>
      </c>
      <c r="AD141" s="39">
        <f>((AC141-(AA141*(Q141/1000)))/(R141/1000))*1000000</f>
        <v>7.1914926412749824E-2</v>
      </c>
      <c r="AE141" s="39">
        <f>(AD141/((U141*AZ141*1))*(0.0821*273.15))</f>
        <v>44.476333255920316</v>
      </c>
      <c r="AF141" s="39">
        <f>L141*U141*AZ141*1/(0.0821*273.15)</f>
        <v>3.6215124726126755E-3</v>
      </c>
      <c r="AG141" s="39">
        <f>AD141-AF141</f>
        <v>6.8293413940137146E-2</v>
      </c>
      <c r="AH141" s="42">
        <f>P141*(AZ141-S141)</f>
        <v>0.30285883315372591</v>
      </c>
      <c r="AI141">
        <f>(((X141/10^6)*(Q141/1000))/(0.082056*H141))</f>
        <v>1.1450928902201294E-6</v>
      </c>
      <c r="AJ141">
        <f>(((K141/10^6)*AZ141)*(Q141/1000))/(0.082056*H141)</f>
        <v>1.0124925610057027E-6</v>
      </c>
      <c r="AK141">
        <f>(X141/10^6)*T141*(R141/1000)</f>
        <v>2.3657869151333327E-5</v>
      </c>
      <c r="AL141">
        <f>AI141+AK141</f>
        <v>2.4802962041553457E-5</v>
      </c>
      <c r="AM141" s="39">
        <f>((AL141-AJ141)/(R141/1000))*1000000</f>
        <v>20.868832877673469</v>
      </c>
      <c r="AN141" s="39">
        <f>AM141/(T141*AZ141)</f>
        <v>484.31615796647009</v>
      </c>
      <c r="AO141" s="39">
        <f>(K141*AZ141)*T141</f>
        <v>18.34940122413521</v>
      </c>
      <c r="AP141" s="39">
        <f>AM141-AO141</f>
        <v>2.519431653538259</v>
      </c>
      <c r="AQ141">
        <f>(((AH141/10^6)*(Q141/1000))/(0.082056*H141))</f>
        <v>7.7013663087581312E-10</v>
      </c>
      <c r="AR141">
        <f>(((M141/10^6)*AZ141)*(Q141/1000))/(0.082056*H141)</f>
        <v>7.7246874714937807E-10</v>
      </c>
      <c r="AS141">
        <f>(AH141/10^6)*V141*(R141/1000)</f>
        <v>1.1814728534162542E-8</v>
      </c>
      <c r="AT141">
        <f>AQ141+AS141</f>
        <v>1.2584865165038356E-8</v>
      </c>
      <c r="AU141" s="39">
        <f>((AT141-AR141)/(R141/1000))*1000000000</f>
        <v>10.361751243762262</v>
      </c>
      <c r="AV141" s="39">
        <f>(AU141/1000)/(V141*AZ141)</f>
        <v>0.32384925312192647</v>
      </c>
      <c r="AW141" s="39">
        <f>(M141*AZ141)*V141*1000</f>
        <v>10.395180455364908</v>
      </c>
      <c r="AX141" s="39">
        <f>AU141-AW141</f>
        <v>-3.3429211602646447E-2</v>
      </c>
      <c r="AY141" s="26">
        <f>VLOOKUP($E141,Water!$C$2:$G$90, 5, FALSE)</f>
        <v>710.6</v>
      </c>
      <c r="AZ141">
        <f>AY141/760</f>
        <v>0.93500000000000005</v>
      </c>
      <c r="BA141" s="3">
        <f>Assumptions!$B$3</f>
        <v>406.07</v>
      </c>
      <c r="BB141" s="3">
        <f>BA141*AZ141*T141</f>
        <v>17.49726253655891</v>
      </c>
      <c r="BC141" s="3">
        <f>Assumptions!$B$4</f>
        <v>1.8474300000000001</v>
      </c>
      <c r="BD141" s="45">
        <f>BC141*AZ141*U141*1/(0.0821*273.15)</f>
        <v>2.9871570513295745E-3</v>
      </c>
      <c r="BE141" s="3">
        <f>Assumptions!$B$2</f>
        <v>0.33054499999999998</v>
      </c>
      <c r="BF141" s="44">
        <f>BE141*AZ141*V141*1000</f>
        <v>10.575985684240266</v>
      </c>
      <c r="BG141">
        <f>1923.6+(-125.06*F141)+(4.3773*(F141^2))+(-0.085681*(F141^3))+(0.00070284*(F141^4))</f>
        <v>804.79166641766392</v>
      </c>
      <c r="BH141">
        <f>1909.4+(-120.78*F141)+(4.1555*(F141^2))+(-0.080578*(F141^3))+(0.00065777*(F141^4))</f>
        <v>819.53076726579195</v>
      </c>
      <c r="BI141">
        <f>2141.2+(-152.56*F141)+(5.8963*(F141^2))+(-0.12411*(F141^3))+(0.0010655*(F141^4))</f>
        <v>842.21684346879977</v>
      </c>
      <c r="BJ141" s="25">
        <f>VLOOKUP(E141,Wind!$C$2:$E$109,3, FALSE)</f>
        <v>3.75</v>
      </c>
      <c r="BK141" s="44">
        <v>1.66</v>
      </c>
      <c r="BL141">
        <f>BK141/(1-(((1.3*10^-3)^0.5)/0.41)*LN(10/1.5))</f>
        <v>1.9923982880693825</v>
      </c>
      <c r="BM141">
        <f>BK141*1.22</f>
        <v>2.0251999999999999</v>
      </c>
      <c r="BN141">
        <f>2.07+0.215*(BM141^1.7)*(24/100)</f>
        <v>2.241255750541113</v>
      </c>
      <c r="BO141">
        <f>BN141*((600/BG141)^0.67)</f>
        <v>1.8409620218044414</v>
      </c>
      <c r="BP141">
        <f>BN141*((600/BH141)^0.67)</f>
        <v>1.8187124032042781</v>
      </c>
      <c r="BQ141">
        <f>BN141*((600/BI141)^0.67)</f>
        <v>1.7857420546244527</v>
      </c>
      <c r="BR141" s="39">
        <f>BO141*(AM141-BB141)</f>
        <v>6.2069329518341485</v>
      </c>
      <c r="BS141" s="39">
        <f>BP141*(AD141-BD141)</f>
        <v>0.12535978906281883</v>
      </c>
      <c r="BT141" s="39">
        <f>BQ141*(AU141-BF141)</f>
        <v>-0.38256744991051028</v>
      </c>
      <c r="BU141">
        <f>(2.51+1.48*BM141)+(0.39*BM141*LOG10(0.0015))</f>
        <v>3.2768938069574309</v>
      </c>
      <c r="BV141">
        <f>BU141*((600/$BG141)^0.67)</f>
        <v>2.6916326022312838</v>
      </c>
      <c r="BW141">
        <f>BU141*((600/$BH141)^0.67)</f>
        <v>2.6591018937744568</v>
      </c>
      <c r="BX141">
        <f>BU141*((600/$BI141)^0.67)</f>
        <v>2.6108966271294642</v>
      </c>
      <c r="BY141" s="39">
        <f>BV141*($AM141-$BB141)</f>
        <v>9.0750286508599967</v>
      </c>
      <c r="BZ141" s="39">
        <f>BW141*($AD141-$BD141)</f>
        <v>0.18328596204260159</v>
      </c>
      <c r="CA141" s="39">
        <f>BX141*($AU141-$BF141)</f>
        <v>-0.55934397805898772</v>
      </c>
      <c r="CB141" s="42">
        <f>AVERAGE(0.72,0.69,0.4,0.22)</f>
        <v>0.50750000000000006</v>
      </c>
      <c r="CC141">
        <f>CB141*((600/$BG141)^0.67)</f>
        <v>0.41685926554351777</v>
      </c>
      <c r="CD141">
        <f>CB141*((600/$BH141)^0.67)</f>
        <v>0.41182116070570235</v>
      </c>
      <c r="CE141">
        <f>CB141*((600/$BI141)^0.67)</f>
        <v>0.40435550137600668</v>
      </c>
      <c r="CF141" s="39">
        <f>CC141*($AM141-$BB141)</f>
        <v>1.4054703361253227</v>
      </c>
      <c r="CG141" s="39">
        <f>CD141*($AD141-$BD141)</f>
        <v>2.8385913983275037E-2</v>
      </c>
      <c r="CH141" s="39">
        <f>CE141*($AU141-$BF141)</f>
        <v>-8.6626874591491432E-2</v>
      </c>
      <c r="CI141">
        <v>0.86263901889527161</v>
      </c>
      <c r="CJ141">
        <f>((BG141/BH141)^0.67)*CI141</f>
        <v>0.85221328010614317</v>
      </c>
      <c r="CK141">
        <f>((BH141/BH141)^0.67)*CI141</f>
        <v>0.86263901889527161</v>
      </c>
      <c r="CL141">
        <f>((BI141/BH141)^0.67)*CI141</f>
        <v>0.87856601634592912</v>
      </c>
      <c r="CM141" s="39">
        <f>CJ141*($AM141-$BB141)</f>
        <v>2.8732970195098262</v>
      </c>
      <c r="CN141" s="39">
        <f>CK141*($AD141-$BD141)</f>
        <v>5.9459783336575131E-2</v>
      </c>
      <c r="CO141" s="39">
        <f>CL141*($AU141-$BF141)</f>
        <v>-0.18821909893485875</v>
      </c>
      <c r="CP141" s="27">
        <f>VLOOKUP(A141,Water!$A$2:$E$109, 5, FALSE)/1000</f>
        <v>6.6E-4</v>
      </c>
      <c r="CQ141">
        <f>0.64*CP141</f>
        <v>4.2240000000000002E-4</v>
      </c>
      <c r="CR141" s="19">
        <f>CQ141*1000*(2.5*10^-5)</f>
        <v>1.0560000000000001E-5</v>
      </c>
      <c r="CS141" s="18">
        <f>(-0.0000009*F141^3)+(0.0002*F141^2)-(0.0134*F141)+6.579</f>
        <v>6.4248246143999994</v>
      </c>
      <c r="CT141" s="18">
        <f>CS141-(SQRT(CP141))/(1+1.4*SQRT(CP141))</f>
        <v>6.400026069845433</v>
      </c>
      <c r="CU141" s="18">
        <f>10^(-CT141)</f>
        <v>3.9808327367859398E-7</v>
      </c>
      <c r="CV141" s="18">
        <f>(0.000001*F141^3)+(0.00006*F141^2)-(0.014*F141)+10.625</f>
        <v>10.438827584</v>
      </c>
      <c r="CW141" s="18">
        <f>CV141-(2*SQRT(CR141))/(1+1.4*SQRT(CR141))</f>
        <v>10.432357787367028</v>
      </c>
      <c r="CX141" s="18">
        <f>10^(-CW141)</f>
        <v>3.6952362753230161E-11</v>
      </c>
      <c r="CY141">
        <f>EXP(1246.98+-61900/H141-183*LN(H141))</f>
        <v>1.3266451874867741E-2</v>
      </c>
      <c r="CZ141">
        <f>12.225*(F141^2)+15.258*F141+1125.7</f>
        <v>3880.3912</v>
      </c>
      <c r="DA141" s="15">
        <f>10^(-4470.99/H141+6.0875-0.01706*H141)</f>
        <v>4.2986445285893668E-15</v>
      </c>
      <c r="DB141">
        <f>(10^-I141)</f>
        <v>1.9952623149688824E-9</v>
      </c>
      <c r="DC141">
        <f>DB141^2</f>
        <v>3.9810717055349837E-18</v>
      </c>
      <c r="DD141" s="20">
        <f>((14.6836*10^-9)*((H141/217.2056)-1)^1.997)*100*100</f>
        <v>1.545320240502394E-5</v>
      </c>
      <c r="DE141">
        <f>CY141+CZ141*DA141/DB141</f>
        <v>2.1626466633592072E-2</v>
      </c>
      <c r="DF141">
        <f>1+DC141*(CU141*CX141+CU141*DB141)^-1</f>
        <v>1.0049210353650242</v>
      </c>
      <c r="DG141">
        <f>(DE141*DF141/DD141)^0.5</f>
        <v>37.501574923025771</v>
      </c>
      <c r="DH141">
        <f>DD141/(BO141/60/60)</f>
        <v>3.0218726947749994E-2</v>
      </c>
      <c r="DI141" s="16">
        <f>DF141/((DF141-1)+TANH(DG141*DH141)/(DG141*DH141))</f>
        <v>1.3927102383210439</v>
      </c>
      <c r="DJ141">
        <f>$DI141*BR141</f>
        <v>8.6444590705916777</v>
      </c>
      <c r="DK141">
        <f>$DI141*BY141</f>
        <v>12.638885315109528</v>
      </c>
      <c r="DL141">
        <f>$DI141*CF141</f>
        <v>1.9574129267782558</v>
      </c>
      <c r="DM141">
        <f>$DI141*CM141</f>
        <v>4.0016701768086751</v>
      </c>
    </row>
    <row r="142" spans="1:117" ht="15.75" x14ac:dyDescent="0.25">
      <c r="A142" s="52" t="s">
        <v>338</v>
      </c>
      <c r="B142" s="55" t="s">
        <v>339</v>
      </c>
      <c r="C142" t="s">
        <v>303</v>
      </c>
      <c r="D142" s="57">
        <v>43234</v>
      </c>
      <c r="E142" s="42" t="str">
        <f>A142&amp;D142</f>
        <v>4A43234</v>
      </c>
      <c r="F142" s="3">
        <f>VLOOKUP($E142,Water!$C$2:$E$90, 2, FALSE)</f>
        <v>18.5</v>
      </c>
      <c r="G142" s="3">
        <f>VLOOKUP($E142,Water!$C$2:$E$90, 3, FALSE)</f>
        <v>0.11</v>
      </c>
      <c r="H142" s="1">
        <f>F142+273.15</f>
        <v>291.64999999999998</v>
      </c>
      <c r="I142" s="3">
        <f>VLOOKUP($E142,Water!$C$2:$F$90, 4, FALSE)</f>
        <v>9.36</v>
      </c>
      <c r="J142">
        <f>10^(I142*-1)</f>
        <v>4.3651583224016624E-10</v>
      </c>
      <c r="K142" s="25">
        <f>VLOOKUP($E142,Atm!$D$2:$G$45, 2, FALSE)</f>
        <v>416.5814159956131</v>
      </c>
      <c r="L142" s="25">
        <f>VLOOKUP($E142,Atm!$D$2:$G$45, 3, FALSE)</f>
        <v>2.0266971350101919</v>
      </c>
      <c r="M142" s="25">
        <f>VLOOKUP($E142,Atm!$D$2:$G$45, 4, FALSE)</f>
        <v>0.33161689031893959</v>
      </c>
      <c r="N142" s="21">
        <f>VLOOKUP($C142,Raw!$B$2:$F$353, 3, FALSE)</f>
        <v>415.98826271995858</v>
      </c>
      <c r="O142" s="21">
        <f>VLOOKUP($C142,Raw!$B$2:$F$353, 4, FALSE)</f>
        <v>3.140445609674122</v>
      </c>
      <c r="P142" s="21">
        <f>VLOOKUP($C142,Raw!$B$2:$F$353, 5, FALSE)</f>
        <v>0.3306197470888258</v>
      </c>
      <c r="Q142" s="14">
        <v>60</v>
      </c>
      <c r="R142" s="25">
        <v>1140</v>
      </c>
      <c r="S142">
        <f>EXP(24.4543-(100/H142*(67.4509))-(4.8489*LN(H142/100))-(0.000544*G142))</f>
        <v>2.099878850915177E-2</v>
      </c>
      <c r="T142" s="8">
        <f>EXP(-58.0931+90.5069*(100/H142)+22.294*LN(H142/100)+G142*(0.027766-0.025888*(H142/100)+0.0050578*(H142/100)^2)*G142)</f>
        <v>4.0872420621370996E-2</v>
      </c>
      <c r="U142" s="9">
        <f>(EXP(-67.1962+99.1624*(100/H142)+27.9015*LN(H142/100)+G142*(-0.072909+0.041674*(H142/100)-0.0064603*(H142/100)^2)*G142))</f>
        <v>3.5776293856447455E-2</v>
      </c>
      <c r="V142" s="9">
        <f>(EXP(-64.8539+100.252*(100/H142)+25.2049*LN(H142/100)+(-0.062544+0.035337*(H142/100)-0.0054699*(H142/100)^2)*G142))</f>
        <v>3.0150486653263916E-2</v>
      </c>
      <c r="W142" s="9">
        <f>(EXP(-68.8862+101.4956*(100/H142)+28.7314*LN(H142/100)+G142*(-0.076146+0.04397*(H142/100)-0.0068672*(H142/100)^2)))</f>
        <v>3.5693859583672952E-2</v>
      </c>
      <c r="X142">
        <f>N142*(AZ142-S142)</f>
        <v>381.03480555791003</v>
      </c>
      <c r="Y142">
        <f>O142*(AZ142-S142)</f>
        <v>2.8765693397770931</v>
      </c>
      <c r="Z142">
        <f>((Y142/10^6)*AZ142)/(0.082056*H142)</f>
        <v>1.1262373277043918E-7</v>
      </c>
      <c r="AA142">
        <f>(((L142/10^6)*AZ142)/(0.082056*H142))</f>
        <v>7.9349450535995113E-8</v>
      </c>
      <c r="AB142">
        <f>((Y142/10^6)*U142*1)/(0.082056*H142)</f>
        <v>4.300291274669267E-9</v>
      </c>
      <c r="AC142">
        <f>(Z142*(Q142/1000))+(AB142*(R142/1000))</f>
        <v>1.1659756019349314E-8</v>
      </c>
      <c r="AD142" s="39">
        <f>((AC142-(AA142*(Q142/1000)))/(R142/1000))*1000000</f>
        <v>6.051569287008428E-3</v>
      </c>
      <c r="AE142" s="39">
        <f>(AD142/((U142*AZ142*1))*(0.0821*273.15))</f>
        <v>4.0484579195856636</v>
      </c>
      <c r="AF142" s="39">
        <f>L142*U142*AZ142*1/(0.0821*273.15)</f>
        <v>3.0294740318187307E-3</v>
      </c>
      <c r="AG142" s="39">
        <f>AD142-AF142</f>
        <v>3.0220952551896973E-3</v>
      </c>
      <c r="AH142" s="42">
        <f>P142*(AZ142-S142)</f>
        <v>0.30283938835650204</v>
      </c>
      <c r="AI142">
        <f>(((X142/10^6)*(Q142/1000))/(0.082056*H142))</f>
        <v>9.5530835303464736E-7</v>
      </c>
      <c r="AJ142">
        <f>(((K142/10^6)*AZ142)*(Q142/1000))/(0.082056*H142)</f>
        <v>9.7860225561307066E-7</v>
      </c>
      <c r="AK142">
        <f>(X142/10^6)*T142*(R142/1000)</f>
        <v>1.7754148922325538E-5</v>
      </c>
      <c r="AL142">
        <f>AI142+AK142</f>
        <v>1.8709457275360186E-5</v>
      </c>
      <c r="AM142" s="39">
        <f>((AL142-AJ142)/(R142/1000))*1000000</f>
        <v>15.553381596269404</v>
      </c>
      <c r="AN142" s="39">
        <f>AM142/(T142*AZ142)</f>
        <v>406.1318737661083</v>
      </c>
      <c r="AO142" s="39">
        <f>(K142*AZ142)*T142</f>
        <v>15.953561262776985</v>
      </c>
      <c r="AP142" s="39">
        <f>AM142-AO142</f>
        <v>-0.40017966650758119</v>
      </c>
      <c r="AQ142">
        <f>(((AH142/10^6)*(Q142/1000))/(0.082056*H142))</f>
        <v>7.5926134070946712E-10</v>
      </c>
      <c r="AR142">
        <f>(((M142/10^6)*AZ142)*(Q142/1000))/(0.082056*H142)</f>
        <v>7.7900987515228968E-10</v>
      </c>
      <c r="AS142">
        <f>(AH142/10^6)*V142*(R142/1000)</f>
        <v>1.0409060627866866E-8</v>
      </c>
      <c r="AT142">
        <f>AQ142+AS142</f>
        <v>1.1168321968576333E-8</v>
      </c>
      <c r="AU142" s="39">
        <f>((AT142-AR142)/(R142/1000))*1000000000</f>
        <v>9.1134316608982839</v>
      </c>
      <c r="AV142" s="39">
        <f>(AU142/1000)/(V142*AZ142)</f>
        <v>0.32259692352622638</v>
      </c>
      <c r="AW142" s="39">
        <f>(M142*AZ142)*V142*1000</f>
        <v>9.3682476400788204</v>
      </c>
      <c r="AX142" s="39">
        <f>AU142-AW142</f>
        <v>-0.25481597918053644</v>
      </c>
      <c r="AY142" s="26">
        <f>VLOOKUP($E142,Water!$C$2:$G$90, 5, FALSE)</f>
        <v>712.1</v>
      </c>
      <c r="AZ142">
        <f>AY142/760</f>
        <v>0.93697368421052629</v>
      </c>
      <c r="BA142" s="3">
        <f>Assumptions!$B$3</f>
        <v>406.07</v>
      </c>
      <c r="BB142" s="3">
        <f>BA142*AZ142*T142</f>
        <v>15.55101205485381</v>
      </c>
      <c r="BC142" s="3">
        <f>Assumptions!$B$4</f>
        <v>1.8474300000000001</v>
      </c>
      <c r="BD142" s="45">
        <f>BC142*AZ142*U142*1/(0.0821*273.15)</f>
        <v>2.7615084236918969E-3</v>
      </c>
      <c r="BE142" s="3">
        <f>Assumptions!$B$2</f>
        <v>0.33054499999999998</v>
      </c>
      <c r="BF142" s="44">
        <f>BE142*AZ142*V142*1000</f>
        <v>9.3379665107275009</v>
      </c>
      <c r="BG142">
        <f>1923.6+(-125.06*F142)+(4.3773*(F142^2))+(-0.085681*(F142^3))+(0.00070284*(F142^4))</f>
        <v>647.94817070249974</v>
      </c>
      <c r="BH142">
        <f>1909.4+(-120.78*F142)+(4.1555*(F142^2))+(-0.080578*(F142^3))+(0.00065777*(F142^4))</f>
        <v>664.04812581062538</v>
      </c>
      <c r="BI142">
        <f>2141.2+(-152.56*F142)+(5.8963*(F142^2))+(-0.12411*(F142^3))+(0.0010655*(F142^4))</f>
        <v>675.83810534374982</v>
      </c>
      <c r="BJ142" s="25">
        <f>VLOOKUP(E142,Wind!$C$2:$E$109,3, FALSE)</f>
        <v>0.69444444444444442</v>
      </c>
      <c r="BK142" s="44">
        <v>1.66</v>
      </c>
      <c r="BL142">
        <f>BK142/(1-(((1.3*10^-3)^0.5)/0.41)*LN(10/1.5))</f>
        <v>1.9923982880693825</v>
      </c>
      <c r="BM142">
        <f>BK142*1.22</f>
        <v>2.0251999999999999</v>
      </c>
      <c r="BN142">
        <f>2.07+0.215*(BM142^1.7)*(24/100)</f>
        <v>2.241255750541113</v>
      </c>
      <c r="BO142">
        <f>BN142*((600/BG142)^0.67)</f>
        <v>2.1287309525185099</v>
      </c>
      <c r="BP142">
        <f>BN142*((600/BH142)^0.67)</f>
        <v>2.0940114524995765</v>
      </c>
      <c r="BQ142">
        <f>BN142*((600/BI142)^0.67)</f>
        <v>2.0694653661431648</v>
      </c>
      <c r="BR142" s="39">
        <f>BO142*(AM142-BB142)</f>
        <v>5.0441161546475374E-3</v>
      </c>
      <c r="BS142" s="39">
        <f>BP142*(AD142-BD142)</f>
        <v>6.8894251272054599E-3</v>
      </c>
      <c r="BT142" s="39">
        <f>BQ142*(AU142-BF142)</f>
        <v>-0.46466709521372113</v>
      </c>
      <c r="BU142">
        <f>(2.51+1.48*BM142)+(0.39*BM142*LOG10(0.0015))</f>
        <v>3.2768938069574309</v>
      </c>
      <c r="BV142">
        <f>BU142*((600/$BG142)^0.67)</f>
        <v>3.1123736205929879</v>
      </c>
      <c r="BW142">
        <f>BU142*((600/$BH142)^0.67)</f>
        <v>3.0616109557051305</v>
      </c>
      <c r="BX142">
        <f>BU142*((600/$BI142)^0.67)</f>
        <v>3.0257226291065491</v>
      </c>
      <c r="BY142" s="39">
        <f>BV142*($AM142-$BB142)</f>
        <v>7.3748981947945012E-3</v>
      </c>
      <c r="BZ142" s="39">
        <f>BW142*($AD142-$BD142)</f>
        <v>1.0072886384066572E-2</v>
      </c>
      <c r="CA142" s="39">
        <f>BX142*($AU142-$BF142)</f>
        <v>-0.67938017615130264</v>
      </c>
      <c r="CB142" s="42">
        <f>AVERAGE(0.72,0.69,0.4,0.22)</f>
        <v>0.50750000000000006</v>
      </c>
      <c r="CC142">
        <f>CB142*((600/$BG142)^0.67)</f>
        <v>0.48202038439491629</v>
      </c>
      <c r="CD142">
        <f>CB142*((600/$BH142)^0.67)</f>
        <v>0.47415865498034382</v>
      </c>
      <c r="CE142">
        <f>CB142*((600/$BI142)^0.67)</f>
        <v>0.4686005481811214</v>
      </c>
      <c r="CF142" s="39">
        <f>CC142*($AM142-$BB142)</f>
        <v>1.1421672639838555E-3</v>
      </c>
      <c r="CG142" s="39">
        <f>CD142*($AD142-$BD142)</f>
        <v>1.5600108337536353E-3</v>
      </c>
      <c r="CH142" s="39">
        <f>CE142*($AU142-$BF142)</f>
        <v>-0.10521715371573687</v>
      </c>
      <c r="CI142">
        <v>0.86263901889527161</v>
      </c>
      <c r="CJ142">
        <f>((BG142/BH142)^0.67)*CI142</f>
        <v>0.84856941775688788</v>
      </c>
      <c r="CK142">
        <f>((BH142/BH142)^0.67)*CI142</f>
        <v>0.86263901889527161</v>
      </c>
      <c r="CL142">
        <f>((BI142/BH142)^0.67)*CI142</f>
        <v>0.87287084601285991</v>
      </c>
      <c r="CM142" s="39">
        <f>CJ142*($AM142-$BB142)</f>
        <v>2.0107203793806607E-3</v>
      </c>
      <c r="CN142" s="39">
        <f>CK142*($AD142-$BD142)</f>
        <v>2.8381348752371028E-3</v>
      </c>
      <c r="CO142" s="39">
        <f>CL142*($AU142-$BF142)</f>
        <v>-0.19598992432979911</v>
      </c>
      <c r="CP142" s="27">
        <f>VLOOKUP(A142,Water!$A$2:$E$109, 5, FALSE)/1000</f>
        <v>8.9999999999999992E-5</v>
      </c>
      <c r="CQ142">
        <f>0.64*CP142</f>
        <v>5.7599999999999997E-5</v>
      </c>
      <c r="CR142" s="19">
        <f>CQ142*1000*(2.5*10^-5)</f>
        <v>1.44E-6</v>
      </c>
      <c r="CS142" s="18">
        <f>(-0.0000009*F142^3)+(0.0002*F142^2)-(0.0134*F142)+6.579</f>
        <v>6.3938515374999998</v>
      </c>
      <c r="CT142" s="18">
        <f>CS142-(SQRT(CP142))/(1+1.4*SQRT(CP142))</f>
        <v>6.3844890529772247</v>
      </c>
      <c r="CU142" s="18">
        <f>10^(-CT142)</f>
        <v>4.1258263672985397E-7</v>
      </c>
      <c r="CV142" s="18">
        <f>(0.000001*F142^3)+(0.00006*F142^2)-(0.014*F142)+10.625</f>
        <v>10.392866625</v>
      </c>
      <c r="CW142" s="18">
        <f>CV142-(2*SQRT(CR142))/(1+1.4*SQRT(CR142))</f>
        <v>10.390470650237601</v>
      </c>
      <c r="CX142" s="18">
        <f>10^(-CW142)</f>
        <v>4.0693903395227583E-11</v>
      </c>
      <c r="CY142">
        <f>EXP(1246.98+-61900/H142-183*LN(H142))</f>
        <v>2.0503403052033957E-2</v>
      </c>
      <c r="CZ142">
        <f>12.225*(F142^2)+15.258*F142+1125.7</f>
        <v>5591.9792499999994</v>
      </c>
      <c r="DA142" s="15">
        <f>10^(-4470.99/H142+6.0875-0.01706*H142)</f>
        <v>6.0529408429337208E-15</v>
      </c>
      <c r="DB142">
        <f>(10^-I142)</f>
        <v>4.3651583224016624E-10</v>
      </c>
      <c r="DC142">
        <f>DB142^2</f>
        <v>1.9054607179632495E-19</v>
      </c>
      <c r="DD142" s="20">
        <f>((14.6836*10^-9)*((H142/217.2056)-1)^1.997)*100*100</f>
        <v>1.7304127008453514E-5</v>
      </c>
      <c r="DE142">
        <f>CY142+CZ142*DA142/DB142</f>
        <v>9.8044507166076988E-2</v>
      </c>
      <c r="DF142">
        <f>1+DC142*(CU142*CX142+CU142*DB142)^-1</f>
        <v>1.0009677869414229</v>
      </c>
      <c r="DG142">
        <f>(DE142*DF142/DD142)^0.5</f>
        <v>75.308992493244617</v>
      </c>
      <c r="DH142">
        <f>DD142/(BO142/60/60)</f>
        <v>2.9263847155851876E-2</v>
      </c>
      <c r="DI142" s="16">
        <f>DF142/((DF142-1)+TANH(DG142*DH142)/(DG142*DH142))</f>
        <v>2.2554508040628396</v>
      </c>
      <c r="DJ142">
        <f>$DI142*BR142</f>
        <v>1.1376755836786146E-2</v>
      </c>
      <c r="DK142">
        <f>$DI142*BY142</f>
        <v>1.6633720063330842E-2</v>
      </c>
      <c r="DL142">
        <f>$DI142*CF142</f>
        <v>2.5761020739266407E-3</v>
      </c>
      <c r="DM142">
        <f>$DI142*CM142</f>
        <v>4.5350808964196489E-3</v>
      </c>
    </row>
    <row r="143" spans="1:117" ht="15.75" x14ac:dyDescent="0.25">
      <c r="A143" s="51" t="s">
        <v>338</v>
      </c>
      <c r="B143" s="54" t="s">
        <v>340</v>
      </c>
      <c r="C143" s="48" t="s">
        <v>304</v>
      </c>
      <c r="D143" s="57">
        <v>43234</v>
      </c>
      <c r="E143" s="42" t="str">
        <f>A143&amp;D143</f>
        <v>4A43234</v>
      </c>
      <c r="F143" s="3">
        <f>VLOOKUP($E143,Water!$C$2:$E$90, 2, FALSE)</f>
        <v>18.5</v>
      </c>
      <c r="G143" s="3">
        <f>VLOOKUP($E143,Water!$C$2:$E$90, 3, FALSE)</f>
        <v>0.11</v>
      </c>
      <c r="H143" s="1">
        <f>F143+273.15</f>
        <v>291.64999999999998</v>
      </c>
      <c r="I143" s="3">
        <f>VLOOKUP($E143,Water!$C$2:$F$90, 4, FALSE)</f>
        <v>9.36</v>
      </c>
      <c r="J143">
        <f>10^(I143*-1)</f>
        <v>4.3651583224016624E-10</v>
      </c>
      <c r="K143" s="25">
        <f>VLOOKUP($E143,Atm!$D$2:$G$45, 2, FALSE)</f>
        <v>416.5814159956131</v>
      </c>
      <c r="L143" s="25">
        <f>VLOOKUP($E143,Atm!$D$2:$G$45, 3, FALSE)</f>
        <v>2.0266971350101919</v>
      </c>
      <c r="M143" s="25">
        <f>VLOOKUP($E143,Atm!$D$2:$G$45, 4, FALSE)</f>
        <v>0.33161689031893959</v>
      </c>
      <c r="N143" s="21">
        <f>VLOOKUP($C143,Raw!$B$2:$F$353, 3, FALSE)</f>
        <v>150.423</v>
      </c>
      <c r="O143" s="21">
        <f>VLOOKUP($C143,Raw!$B$2:$F$353, 4, FALSE)</f>
        <v>177.53</v>
      </c>
      <c r="P143" s="21">
        <f>VLOOKUP($C143,Raw!$B$2:$F$353, 5, FALSE)</f>
        <v>0.38800000000000001</v>
      </c>
      <c r="Q143" s="14">
        <v>60</v>
      </c>
      <c r="R143" s="25">
        <v>1140</v>
      </c>
      <c r="S143">
        <f>EXP(24.4543-(100/H143*(67.4509))-(4.8489*LN(H143/100))-(0.000544*G143))</f>
        <v>2.099878850915177E-2</v>
      </c>
      <c r="T143" s="8">
        <f>EXP(-58.0931+90.5069*(100/H143)+22.294*LN(H143/100)+G143*(0.027766-0.025888*(H143/100)+0.0050578*(H143/100)^2)*G143)</f>
        <v>4.0872420621370996E-2</v>
      </c>
      <c r="U143" s="9">
        <f>(EXP(-67.1962+99.1624*(100/H143)+27.9015*LN(H143/100)+G143*(-0.072909+0.041674*(H143/100)-0.0064603*(H143/100)^2)*G143))</f>
        <v>3.5776293856447455E-2</v>
      </c>
      <c r="V143" s="9">
        <f>(EXP(-64.8539+100.252*(100/H143)+25.2049*LN(H143/100)+(-0.062544+0.035337*(H143/100)-0.0054699*(H143/100)^2)*G143))</f>
        <v>3.0150486653263916E-2</v>
      </c>
      <c r="W143" s="9">
        <f>(EXP(-68.8862+101.4956*(100/H143)+28.7314*LN(H143/100)+G143*(-0.076146+0.04397*(H143/100)-0.0068672*(H143/100)^2)))</f>
        <v>3.5693859583672952E-2</v>
      </c>
      <c r="X143">
        <f>N143*(AZ143-S143)</f>
        <v>137.78369173608786</v>
      </c>
      <c r="Y143">
        <f>O143*(AZ143-S143)</f>
        <v>162.61302323386502</v>
      </c>
      <c r="Z143">
        <f>((Y143/10^6)*AZ143)/(0.082056*H143)</f>
        <v>6.3666414782489481E-6</v>
      </c>
      <c r="AA143">
        <f>(((L143/10^6)*AZ143)/(0.082056*H143))</f>
        <v>7.9349450535995113E-8</v>
      </c>
      <c r="AB143">
        <f>((Y143/10^6)*U143*1)/(0.082056*H143)</f>
        <v>2.4309630061424778E-7</v>
      </c>
      <c r="AC143">
        <f>(Z143*(Q143/1000))+(AB143*(R143/1000))</f>
        <v>6.5912827139517933E-7</v>
      </c>
      <c r="AD143" s="39">
        <f>((AC143-(AA143*(Q143/1000)))/(R143/1000))*1000000</f>
        <v>0.57400640733598218</v>
      </c>
      <c r="AE143" s="39">
        <f>(AD143/((U143*AZ143*1))*(0.0821*273.15))</f>
        <v>384.00630901824371</v>
      </c>
      <c r="AF143" s="39">
        <f>L143*U143*AZ143*1/(0.0821*273.15)</f>
        <v>3.0294740318187307E-3</v>
      </c>
      <c r="AG143" s="39">
        <f>AD143-AF143</f>
        <v>0.57097693330416344</v>
      </c>
      <c r="AH143" s="42">
        <f>P143*(AZ143-S143)</f>
        <v>0.35539825953213333</v>
      </c>
      <c r="AI143">
        <f>(((X143/10^6)*(Q143/1000))/(0.082056*H143))</f>
        <v>3.4544327632933528E-7</v>
      </c>
      <c r="AJ143">
        <f>(((K143/10^6)*AZ143)*(Q143/1000))/(0.082056*H143)</f>
        <v>9.7860225561307066E-7</v>
      </c>
      <c r="AK143">
        <f>(X143/10^6)*T143*(R143/1000)</f>
        <v>6.4199704238790791E-6</v>
      </c>
      <c r="AL143">
        <f>AI143+AK143</f>
        <v>6.7654137002084139E-6</v>
      </c>
      <c r="AM143" s="39">
        <f>((AL143-AJ143)/(R143/1000))*1000000</f>
        <v>5.0761503899959148</v>
      </c>
      <c r="AN143" s="39">
        <f>AM143/(T143*AZ143)</f>
        <v>132.54908308184824</v>
      </c>
      <c r="AO143" s="39">
        <f>(K143*AZ143)*T143</f>
        <v>15.953561262776985</v>
      </c>
      <c r="AP143" s="39">
        <f>AM143-AO143</f>
        <v>-10.87741087278107</v>
      </c>
      <c r="AQ143">
        <f>(((AH143/10^6)*(Q143/1000))/(0.082056*H143))</f>
        <v>8.9103389252828399E-10</v>
      </c>
      <c r="AR143">
        <f>(((M143/10^6)*AZ143)*(Q143/1000))/(0.082056*H143)</f>
        <v>7.7900987515228968E-10</v>
      </c>
      <c r="AS143">
        <f>(AH143/10^6)*V143*(R143/1000)</f>
        <v>1.2215590747903163E-8</v>
      </c>
      <c r="AT143">
        <f>AQ143+AS143</f>
        <v>1.3106624640431447E-8</v>
      </c>
      <c r="AU143" s="39">
        <f>((AT143-AR143)/(R143/1000))*1000000000</f>
        <v>10.813697162525578</v>
      </c>
      <c r="AV143" s="39">
        <f>(AU143/1000)/(V143*AZ143)</f>
        <v>0.38278286010993001</v>
      </c>
      <c r="AW143" s="39">
        <f>(M143*AZ143)*V143*1000</f>
        <v>9.3682476400788204</v>
      </c>
      <c r="AX143" s="39">
        <f>AU143-AW143</f>
        <v>1.4454495224467578</v>
      </c>
      <c r="AY143" s="26">
        <f>VLOOKUP($E143,Water!$C$2:$G$90, 5, FALSE)</f>
        <v>712.1</v>
      </c>
      <c r="AZ143">
        <f>AY143/760</f>
        <v>0.93697368421052629</v>
      </c>
      <c r="BA143" s="3">
        <f>Assumptions!$B$3</f>
        <v>406.07</v>
      </c>
      <c r="BB143" s="3">
        <f>BA143*AZ143*T143</f>
        <v>15.55101205485381</v>
      </c>
      <c r="BC143" s="3">
        <f>Assumptions!$B$4</f>
        <v>1.8474300000000001</v>
      </c>
      <c r="BD143" s="45">
        <f>BC143*AZ143*U143*1/(0.0821*273.15)</f>
        <v>2.7615084236918969E-3</v>
      </c>
      <c r="BE143" s="3">
        <f>Assumptions!$B$2</f>
        <v>0.33054499999999998</v>
      </c>
      <c r="BF143" s="44">
        <f>BE143*AZ143*V143*1000</f>
        <v>9.3379665107275009</v>
      </c>
      <c r="BG143">
        <f>1923.6+(-125.06*F143)+(4.3773*(F143^2))+(-0.085681*(F143^3))+(0.00070284*(F143^4))</f>
        <v>647.94817070249974</v>
      </c>
      <c r="BH143">
        <f>1909.4+(-120.78*F143)+(4.1555*(F143^2))+(-0.080578*(F143^3))+(0.00065777*(F143^4))</f>
        <v>664.04812581062538</v>
      </c>
      <c r="BI143">
        <f>2141.2+(-152.56*F143)+(5.8963*(F143^2))+(-0.12411*(F143^3))+(0.0010655*(F143^4))</f>
        <v>675.83810534374982</v>
      </c>
      <c r="BJ143" s="25">
        <f>VLOOKUP(E143,Wind!$C$2:$E$109,3, FALSE)</f>
        <v>0.69444444444444442</v>
      </c>
      <c r="BK143" s="44">
        <v>1.66</v>
      </c>
      <c r="BL143">
        <f>BK143/(1-(((1.3*10^-3)^0.5)/0.41)*LN(10/1.5))</f>
        <v>1.9923982880693825</v>
      </c>
      <c r="BM143">
        <f>BK143*1.22</f>
        <v>2.0251999999999999</v>
      </c>
      <c r="BN143">
        <f>2.07+0.215*(BM143^1.7)*(24/100)</f>
        <v>2.241255750541113</v>
      </c>
      <c r="BO143">
        <f>BN143*((600/BG143)^0.67)</f>
        <v>2.1287309525185099</v>
      </c>
      <c r="BP143">
        <f>BN143*((600/BH143)^0.67)</f>
        <v>2.0940114524995765</v>
      </c>
      <c r="BQ143">
        <f>BN143*((600/BI143)^0.67)</f>
        <v>2.0694653661431648</v>
      </c>
      <c r="BR143" s="39">
        <f>BO143*(AM143-BB143)</f>
        <v>-22.298162249332574</v>
      </c>
      <c r="BS143" s="39">
        <f>BP143*(AD143-BD143)</f>
        <v>1.1961933605042987</v>
      </c>
      <c r="BT143" s="39">
        <f>BQ143*(AU143-BF143)</f>
        <v>3.053973473651999</v>
      </c>
      <c r="BU143">
        <f>(2.51+1.48*BM143)+(0.39*BM143*LOG10(0.0015))</f>
        <v>3.2768938069574309</v>
      </c>
      <c r="BV143">
        <f>BU143*((600/$BG143)^0.67)</f>
        <v>3.1123736205929879</v>
      </c>
      <c r="BW143">
        <f>BU143*((600/$BH143)^0.67)</f>
        <v>3.0616109557051305</v>
      </c>
      <c r="BX143">
        <f>BU143*((600/$BI143)^0.67)</f>
        <v>3.0257226291065491</v>
      </c>
      <c r="BY143" s="39">
        <f>BV143*($AM143-$BB143)</f>
        <v>-32.601683125064461</v>
      </c>
      <c r="BZ143" s="39">
        <f>BW143*($AD143-$BD143)</f>
        <v>1.7489296409005377</v>
      </c>
      <c r="CA143" s="39">
        <f>BX143*($AU143-$BF143)</f>
        <v>4.4651516276115997</v>
      </c>
      <c r="CB143" s="42">
        <f>AVERAGE(0.72,0.69,0.4,0.22)</f>
        <v>0.50750000000000006</v>
      </c>
      <c r="CC143">
        <f>CB143*((600/$BG143)^0.67)</f>
        <v>0.48202038439491629</v>
      </c>
      <c r="CD143">
        <f>CB143*((600/$BH143)^0.67)</f>
        <v>0.47415865498034382</v>
      </c>
      <c r="CE143">
        <f>CB143*((600/$BI143)^0.67)</f>
        <v>0.4686005481811214</v>
      </c>
      <c r="CF143" s="39">
        <f>CC143*($AM143-$BB143)</f>
        <v>-5.0490968461783758</v>
      </c>
      <c r="CG143" s="39">
        <f>CD143*($AD143-$BD143)</f>
        <v>0.27086071293263403</v>
      </c>
      <c r="CH143" s="39">
        <f>CE143*($AU143-$BF143)</f>
        <v>0.69152819240026264</v>
      </c>
      <c r="CI143">
        <v>0.86263901889527161</v>
      </c>
      <c r="CJ143">
        <f>((BG143/BH143)^0.67)*CI143</f>
        <v>0.84856941775688788</v>
      </c>
      <c r="CK143">
        <f>((BH143/BH143)^0.67)*CI143</f>
        <v>0.86263901889527161</v>
      </c>
      <c r="CL143">
        <f>((BI143/BH143)^0.67)*CI143</f>
        <v>0.87287084601285991</v>
      </c>
      <c r="CM143" s="39">
        <f>CJ143*($AM143-$BB143)</f>
        <v>-8.888647264032409</v>
      </c>
      <c r="CN143" s="39">
        <f>CK143*($AD143-$BD143)</f>
        <v>0.49277813914662666</v>
      </c>
      <c r="CO143" s="39">
        <f>CL143*($AU143-$BF143)</f>
        <v>1.2881222625220969</v>
      </c>
      <c r="CP143" s="27">
        <f>VLOOKUP(A143,Water!$A$2:$E$109, 5, FALSE)/1000</f>
        <v>8.9999999999999992E-5</v>
      </c>
      <c r="CQ143">
        <f>0.64*CP143</f>
        <v>5.7599999999999997E-5</v>
      </c>
      <c r="CR143" s="19">
        <f>CQ143*1000*(2.5*10^-5)</f>
        <v>1.44E-6</v>
      </c>
      <c r="CS143" s="18">
        <f>(-0.0000009*F143^3)+(0.0002*F143^2)-(0.0134*F143)+6.579</f>
        <v>6.3938515374999998</v>
      </c>
      <c r="CT143" s="18">
        <f>CS143-(SQRT(CP143))/(1+1.4*SQRT(CP143))</f>
        <v>6.3844890529772247</v>
      </c>
      <c r="CU143" s="18">
        <f>10^(-CT143)</f>
        <v>4.1258263672985397E-7</v>
      </c>
      <c r="CV143" s="18">
        <f>(0.000001*F143^3)+(0.00006*F143^2)-(0.014*F143)+10.625</f>
        <v>10.392866625</v>
      </c>
      <c r="CW143" s="18">
        <f>CV143-(2*SQRT(CR143))/(1+1.4*SQRT(CR143))</f>
        <v>10.390470650237601</v>
      </c>
      <c r="CX143" s="18">
        <f>10^(-CW143)</f>
        <v>4.0693903395227583E-11</v>
      </c>
      <c r="CY143">
        <f>EXP(1246.98+-61900/H143-183*LN(H143))</f>
        <v>2.0503403052033957E-2</v>
      </c>
      <c r="CZ143">
        <f>12.225*(F143^2)+15.258*F143+1125.7</f>
        <v>5591.9792499999994</v>
      </c>
      <c r="DA143" s="15">
        <f>10^(-4470.99/H143+6.0875-0.01706*H143)</f>
        <v>6.0529408429337208E-15</v>
      </c>
      <c r="DB143">
        <f>(10^-I143)</f>
        <v>4.3651583224016624E-10</v>
      </c>
      <c r="DC143">
        <f>DB143^2</f>
        <v>1.9054607179632495E-19</v>
      </c>
      <c r="DD143" s="20">
        <f>((14.6836*10^-9)*((H143/217.2056)-1)^1.997)*100*100</f>
        <v>1.7304127008453514E-5</v>
      </c>
      <c r="DE143">
        <f>CY143+CZ143*DA143/DB143</f>
        <v>9.8044507166076988E-2</v>
      </c>
      <c r="DF143">
        <f>1+DC143*(CU143*CX143+CU143*DB143)^-1</f>
        <v>1.0009677869414229</v>
      </c>
      <c r="DG143">
        <f>(DE143*DF143/DD143)^0.5</f>
        <v>75.308992493244617</v>
      </c>
      <c r="DH143">
        <f>DD143/(BO143/60/60)</f>
        <v>2.9263847155851876E-2</v>
      </c>
      <c r="DI143" s="16">
        <f>DF143/((DF143-1)+TANH(DG143*DH143)/(DG143*DH143))</f>
        <v>2.2554508040628396</v>
      </c>
      <c r="DJ143">
        <f>$DI143*BR143</f>
        <v>-50.292407974380808</v>
      </c>
      <c r="DK143">
        <f>$DI143*BY143</f>
        <v>-73.531492418228552</v>
      </c>
      <c r="DL143">
        <f>$DI143*CF143</f>
        <v>-11.387989541504165</v>
      </c>
      <c r="DM143">
        <f>$DI143*CM143</f>
        <v>-20.047906618692856</v>
      </c>
    </row>
    <row r="144" spans="1:117" ht="15.75" x14ac:dyDescent="0.25">
      <c r="A144" s="52" t="s">
        <v>338</v>
      </c>
      <c r="B144" s="55" t="s">
        <v>341</v>
      </c>
      <c r="C144" t="s">
        <v>305</v>
      </c>
      <c r="D144" s="57">
        <v>43234</v>
      </c>
      <c r="E144" s="42" t="str">
        <f>A144&amp;D144</f>
        <v>4A43234</v>
      </c>
      <c r="F144" s="3">
        <f>VLOOKUP($E144,Water!$C$2:$E$90, 2, FALSE)</f>
        <v>18.5</v>
      </c>
      <c r="G144" s="3">
        <f>VLOOKUP($E144,Water!$C$2:$E$90, 3, FALSE)</f>
        <v>0.11</v>
      </c>
      <c r="H144" s="1">
        <f>F144+273.15</f>
        <v>291.64999999999998</v>
      </c>
      <c r="I144" s="3">
        <f>VLOOKUP($E144,Water!$C$2:$F$90, 4, FALSE)</f>
        <v>9.36</v>
      </c>
      <c r="J144">
        <f>10^(I144*-1)</f>
        <v>4.3651583224016624E-10</v>
      </c>
      <c r="K144" s="25">
        <f>VLOOKUP($E144,Atm!$D$2:$G$45, 2, FALSE)</f>
        <v>416.5814159956131</v>
      </c>
      <c r="L144" s="25">
        <f>VLOOKUP($E144,Atm!$D$2:$G$45, 3, FALSE)</f>
        <v>2.0266971350101919</v>
      </c>
      <c r="M144" s="25">
        <f>VLOOKUP($E144,Atm!$D$2:$G$45, 4, FALSE)</f>
        <v>0.33161689031893959</v>
      </c>
      <c r="N144" s="21">
        <f>VLOOKUP($C144,Raw!$B$2:$F$353, 3, FALSE)</f>
        <v>402.09737149619639</v>
      </c>
      <c r="O144" s="21">
        <f>VLOOKUP($C144,Raw!$B$2:$F$353, 4, FALSE)</f>
        <v>6.9819203412361093</v>
      </c>
      <c r="P144" s="21">
        <f>VLOOKUP($C144,Raw!$B$2:$F$353, 5, FALSE)</f>
        <v>0.33363987707009007</v>
      </c>
      <c r="Q144" s="14">
        <v>60</v>
      </c>
      <c r="R144" s="25">
        <v>1140</v>
      </c>
      <c r="S144">
        <f>EXP(24.4543-(100/H144*(67.4509))-(4.8489*LN(H144/100))-(0.000544*G144))</f>
        <v>2.099878850915177E-2</v>
      </c>
      <c r="T144" s="8">
        <f>EXP(-58.0931+90.5069*(100/H144)+22.294*LN(H144/100)+G144*(0.027766-0.025888*(H144/100)+0.0050578*(H144/100)^2)*G144)</f>
        <v>4.0872420621370996E-2</v>
      </c>
      <c r="U144" s="9">
        <f>(EXP(-67.1962+99.1624*(100/H144)+27.9015*LN(H144/100)+G144*(-0.072909+0.041674*(H144/100)-0.0064603*(H144/100)^2)*G144))</f>
        <v>3.5776293856447455E-2</v>
      </c>
      <c r="V144" s="9">
        <f>(EXP(-64.8539+100.252*(100/H144)+25.2049*LN(H144/100)+(-0.062544+0.035337*(H144/100)-0.0054699*(H144/100)^2)*G144))</f>
        <v>3.0150486653263916E-2</v>
      </c>
      <c r="W144" s="9">
        <f>(EXP(-68.8862+101.4956*(100/H144)+28.7314*LN(H144/100)+G144*(-0.076146+0.04397*(H144/100)-0.0068672*(H144/100)^2)))</f>
        <v>3.5693859583672952E-2</v>
      </c>
      <c r="X144">
        <f>N144*(AZ144-S144)</f>
        <v>368.31109791802533</v>
      </c>
      <c r="Y144">
        <f>O144*(AZ144-S144)</f>
        <v>6.39526375635905</v>
      </c>
      <c r="Z144">
        <f>((Y144/10^6)*AZ144)/(0.082056*H144)</f>
        <v>2.5038801127890422E-7</v>
      </c>
      <c r="AA144">
        <f>(((L144/10^6)*AZ144)/(0.082056*H144))</f>
        <v>7.9349450535995113E-8</v>
      </c>
      <c r="AB144">
        <f>((Y144/10^6)*U144*1)/(0.082056*H144)</f>
        <v>9.5605193834161266E-9</v>
      </c>
      <c r="AC144">
        <f>(Z144*(Q144/1000))+(AB144*(R144/1000))</f>
        <v>2.5922272773828634E-8</v>
      </c>
      <c r="AD144" s="39">
        <f>((AC144-(AA144*(Q144/1000)))/(R144/1000))*1000000</f>
        <v>1.8562548896200813E-2</v>
      </c>
      <c r="AE144" s="39">
        <f>(AD144/((U144*AZ144*1))*(0.0821*273.15))</f>
        <v>12.418216585217399</v>
      </c>
      <c r="AF144" s="39">
        <f>L144*U144*AZ144*1/(0.0821*273.15)</f>
        <v>3.0294740318187307E-3</v>
      </c>
      <c r="AG144" s="39">
        <f>AD144-AF144</f>
        <v>1.5533074864382082E-2</v>
      </c>
      <c r="AH144" s="42">
        <f>P144*(AZ144-S144)</f>
        <v>0.30560575160109515</v>
      </c>
      <c r="AI144">
        <f>(((X144/10^6)*(Q144/1000))/(0.082056*H144))</f>
        <v>9.2340821159702922E-7</v>
      </c>
      <c r="AJ144">
        <f>(((K144/10^6)*AZ144)*(Q144/1000))/(0.082056*H144)</f>
        <v>9.7860225561307066E-7</v>
      </c>
      <c r="AK144">
        <f>(X144/10^6)*T144*(R144/1000)</f>
        <v>1.7161293369531918E-5</v>
      </c>
      <c r="AL144">
        <f>AI144+AK144</f>
        <v>1.8084701581128948E-5</v>
      </c>
      <c r="AM144" s="39">
        <f>((AL144-AJ144)/(R144/1000))*1000000</f>
        <v>15.005350285540246</v>
      </c>
      <c r="AN144" s="39">
        <f>AM144/(T144*AZ144)</f>
        <v>391.82161064221538</v>
      </c>
      <c r="AO144" s="39">
        <f>(K144*AZ144)*T144</f>
        <v>15.953561262776985</v>
      </c>
      <c r="AP144" s="39">
        <f>AM144-AO144</f>
        <v>-0.94821097723673908</v>
      </c>
      <c r="AQ144">
        <f>(((AH144/10^6)*(Q144/1000))/(0.082056*H144))</f>
        <v>7.6619700610417662E-10</v>
      </c>
      <c r="AR144">
        <f>(((M144/10^6)*AZ144)*(Q144/1000))/(0.082056*H144)</f>
        <v>7.7900987515228968E-10</v>
      </c>
      <c r="AS144">
        <f>(AH144/10^6)*V144*(R144/1000)</f>
        <v>1.0504144833682838E-8</v>
      </c>
      <c r="AT144">
        <f>AQ144+AS144</f>
        <v>1.1270341839787014E-8</v>
      </c>
      <c r="AU144" s="39">
        <f>((AT144-AR144)/(R144/1000))*1000000000</f>
        <v>9.202922775995372</v>
      </c>
      <c r="AV144" s="39">
        <f>(AU144/1000)/(V144*AZ144)</f>
        <v>0.32576472677394464</v>
      </c>
      <c r="AW144" s="39">
        <f>(M144*AZ144)*V144*1000</f>
        <v>9.3682476400788204</v>
      </c>
      <c r="AX144" s="39">
        <f>AU144-AW144</f>
        <v>-0.16532486408344838</v>
      </c>
      <c r="AY144" s="26">
        <f>VLOOKUP($E144,Water!$C$2:$G$90, 5, FALSE)</f>
        <v>712.1</v>
      </c>
      <c r="AZ144">
        <f>AY144/760</f>
        <v>0.93697368421052629</v>
      </c>
      <c r="BA144" s="3">
        <f>Assumptions!$B$3</f>
        <v>406.07</v>
      </c>
      <c r="BB144" s="3">
        <f>BA144*AZ144*T144</f>
        <v>15.55101205485381</v>
      </c>
      <c r="BC144" s="3">
        <f>Assumptions!$B$4</f>
        <v>1.8474300000000001</v>
      </c>
      <c r="BD144" s="45">
        <f>BC144*AZ144*U144*1/(0.0821*273.15)</f>
        <v>2.7615084236918969E-3</v>
      </c>
      <c r="BE144" s="3">
        <f>Assumptions!$B$2</f>
        <v>0.33054499999999998</v>
      </c>
      <c r="BF144" s="44">
        <f>BE144*AZ144*V144*1000</f>
        <v>9.3379665107275009</v>
      </c>
      <c r="BG144">
        <f>1923.6+(-125.06*F144)+(4.3773*(F144^2))+(-0.085681*(F144^3))+(0.00070284*(F144^4))</f>
        <v>647.94817070249974</v>
      </c>
      <c r="BH144">
        <f>1909.4+(-120.78*F144)+(4.1555*(F144^2))+(-0.080578*(F144^3))+(0.00065777*(F144^4))</f>
        <v>664.04812581062538</v>
      </c>
      <c r="BI144">
        <f>2141.2+(-152.56*F144)+(5.8963*(F144^2))+(-0.12411*(F144^3))+(0.0010655*(F144^4))</f>
        <v>675.83810534374982</v>
      </c>
      <c r="BJ144" s="25">
        <f>VLOOKUP(E144,Wind!$C$2:$E$109,3, FALSE)</f>
        <v>0.69444444444444442</v>
      </c>
      <c r="BK144" s="44">
        <v>1.66</v>
      </c>
      <c r="BL144">
        <f>BK144/(1-(((1.3*10^-3)^0.5)/0.41)*LN(10/1.5))</f>
        <v>1.9923982880693825</v>
      </c>
      <c r="BM144">
        <f>BK144*1.22</f>
        <v>2.0251999999999999</v>
      </c>
      <c r="BN144">
        <f>2.07+0.215*(BM144^1.7)*(24/100)</f>
        <v>2.241255750541113</v>
      </c>
      <c r="BO144">
        <f>BN144*((600/BG144)^0.67)</f>
        <v>2.1287309525185099</v>
      </c>
      <c r="BP144">
        <f>BN144*((600/BH144)^0.67)</f>
        <v>2.0940114524995765</v>
      </c>
      <c r="BQ144">
        <f>BN144*((600/BI144)^0.67)</f>
        <v>2.0694653661431648</v>
      </c>
      <c r="BR144" s="39">
        <f>BO144*(AM144-BB144)</f>
        <v>-1.1615670979438002</v>
      </c>
      <c r="BS144" s="39">
        <f>BP144*(AD144-BD144)</f>
        <v>3.3087559710842991E-2</v>
      </c>
      <c r="BT144" s="39">
        <f>BQ144*(AU144-BF144)</f>
        <v>-0.27946833194276566</v>
      </c>
      <c r="BU144">
        <f>(2.51+1.48*BM144)+(0.39*BM144*LOG10(0.0015))</f>
        <v>3.2768938069574309</v>
      </c>
      <c r="BV144">
        <f>BU144*((600/$BG144)^0.67)</f>
        <v>3.1123736205929879</v>
      </c>
      <c r="BW144">
        <f>BU144*((600/$BH144)^0.67)</f>
        <v>3.0616109557051305</v>
      </c>
      <c r="BX144">
        <f>BU144*((600/$BI144)^0.67)</f>
        <v>3.0257226291065491</v>
      </c>
      <c r="BY144" s="39">
        <f>BV144*($AM144-$BB144)</f>
        <v>-1.6983032965776355</v>
      </c>
      <c r="BZ144" s="39">
        <f>BW144*($AD144-$BD144)</f>
        <v>4.8376638622173472E-2</v>
      </c>
      <c r="CA144" s="39">
        <f>BX144*($AU144-$BF144)</f>
        <v>-0.40860488409806456</v>
      </c>
      <c r="CB144" s="42">
        <f>AVERAGE(0.72,0.69,0.4,0.22)</f>
        <v>0.50750000000000006</v>
      </c>
      <c r="CC144">
        <f>CB144*((600/$BG144)^0.67)</f>
        <v>0.48202038439491629</v>
      </c>
      <c r="CD144">
        <f>CB144*((600/$BH144)^0.67)</f>
        <v>0.47415865498034382</v>
      </c>
      <c r="CE144">
        <f>CB144*((600/$BI144)^0.67)</f>
        <v>0.4686005481811214</v>
      </c>
      <c r="CF144" s="39">
        <f>CC144*($AM144-$BB144)</f>
        <v>-0.26302009579413466</v>
      </c>
      <c r="CG144" s="39">
        <f>CD144*($AD144-$BD144)</f>
        <v>7.4922000977348038E-3</v>
      </c>
      <c r="CH144" s="39">
        <f>CE144*($AU144-$BF144)</f>
        <v>-6.3281568123901566E-2</v>
      </c>
      <c r="CI144">
        <v>0.86263901889527161</v>
      </c>
      <c r="CJ144">
        <f>((BG144/BH144)^0.67)*CI144</f>
        <v>0.84856941775688788</v>
      </c>
      <c r="CK144">
        <f>((BH144/BH144)^0.67)*CI144</f>
        <v>0.86263901889527161</v>
      </c>
      <c r="CL144">
        <f>((BI144/BH144)^0.67)*CI144</f>
        <v>0.87287084601285991</v>
      </c>
      <c r="CM144" s="39">
        <f>CJ144*($AM144-$BB144)</f>
        <v>-0.46303188987860494</v>
      </c>
      <c r="CN144" s="39">
        <f>CK144*($AD144-$BD144)</f>
        <v>1.3630594050729571E-2</v>
      </c>
      <c r="CO144" s="39">
        <f>CL144*($AU144-$BF144)</f>
        <v>-0.11787573898436962</v>
      </c>
      <c r="CP144" s="27">
        <f>VLOOKUP(A144,Water!$A$2:$E$109, 5, FALSE)/1000</f>
        <v>8.9999999999999992E-5</v>
      </c>
      <c r="CQ144">
        <f>0.64*CP144</f>
        <v>5.7599999999999997E-5</v>
      </c>
      <c r="CR144" s="19">
        <f>CQ144*1000*(2.5*10^-5)</f>
        <v>1.44E-6</v>
      </c>
      <c r="CS144" s="18">
        <f>(-0.0000009*F144^3)+(0.0002*F144^2)-(0.0134*F144)+6.579</f>
        <v>6.3938515374999998</v>
      </c>
      <c r="CT144" s="18">
        <f>CS144-(SQRT(CP144))/(1+1.4*SQRT(CP144))</f>
        <v>6.3844890529772247</v>
      </c>
      <c r="CU144" s="18">
        <f>10^(-CT144)</f>
        <v>4.1258263672985397E-7</v>
      </c>
      <c r="CV144" s="18">
        <f>(0.000001*F144^3)+(0.00006*F144^2)-(0.014*F144)+10.625</f>
        <v>10.392866625</v>
      </c>
      <c r="CW144" s="18">
        <f>CV144-(2*SQRT(CR144))/(1+1.4*SQRT(CR144))</f>
        <v>10.390470650237601</v>
      </c>
      <c r="CX144" s="18">
        <f>10^(-CW144)</f>
        <v>4.0693903395227583E-11</v>
      </c>
      <c r="CY144">
        <f>EXP(1246.98+-61900/H144-183*LN(H144))</f>
        <v>2.0503403052033957E-2</v>
      </c>
      <c r="CZ144">
        <f>12.225*(F144^2)+15.258*F144+1125.7</f>
        <v>5591.9792499999994</v>
      </c>
      <c r="DA144" s="15">
        <f>10^(-4470.99/H144+6.0875-0.01706*H144)</f>
        <v>6.0529408429337208E-15</v>
      </c>
      <c r="DB144">
        <f>(10^-I144)</f>
        <v>4.3651583224016624E-10</v>
      </c>
      <c r="DC144">
        <f>DB144^2</f>
        <v>1.9054607179632495E-19</v>
      </c>
      <c r="DD144" s="20">
        <f>((14.6836*10^-9)*((H144/217.2056)-1)^1.997)*100*100</f>
        <v>1.7304127008453514E-5</v>
      </c>
      <c r="DE144">
        <f>CY144+CZ144*DA144/DB144</f>
        <v>9.8044507166076988E-2</v>
      </c>
      <c r="DF144">
        <f>1+DC144*(CU144*CX144+CU144*DB144)^-1</f>
        <v>1.0009677869414229</v>
      </c>
      <c r="DG144">
        <f>(DE144*DF144/DD144)^0.5</f>
        <v>75.308992493244617</v>
      </c>
      <c r="DH144">
        <f>DD144/(BO144/60/60)</f>
        <v>2.9263847155851876E-2</v>
      </c>
      <c r="DI144" s="16">
        <f>DF144/((DF144-1)+TANH(DG144*DH144)/(DG144*DH144))</f>
        <v>2.2554508040628396</v>
      </c>
      <c r="DJ144">
        <f>$DI144*BR144</f>
        <v>-2.6198574450302834</v>
      </c>
      <c r="DK144">
        <f>$DI144*BY144</f>
        <v>-3.830439535808599</v>
      </c>
      <c r="DL144">
        <f>$DI144*CF144</f>
        <v>-0.59322888654356609</v>
      </c>
      <c r="DM144">
        <f>$DI144*CM144</f>
        <v>-1.0443456483334357</v>
      </c>
    </row>
    <row r="145" spans="1:117" ht="15.75" x14ac:dyDescent="0.25">
      <c r="A145" s="51" t="s">
        <v>338</v>
      </c>
      <c r="B145" s="54" t="s">
        <v>342</v>
      </c>
      <c r="C145" s="48" t="s">
        <v>251</v>
      </c>
      <c r="D145" s="57">
        <v>43234</v>
      </c>
      <c r="E145" s="42" t="str">
        <f>A145&amp;D145</f>
        <v>4A43234</v>
      </c>
      <c r="F145" s="3">
        <f>VLOOKUP($E145,Water!$C$2:$E$90, 2, FALSE)</f>
        <v>18.5</v>
      </c>
      <c r="G145" s="3">
        <f>VLOOKUP($E145,Water!$C$2:$E$90, 3, FALSE)</f>
        <v>0.11</v>
      </c>
      <c r="H145" s="1">
        <f>F145+273.15</f>
        <v>291.64999999999998</v>
      </c>
      <c r="I145" s="3">
        <f>VLOOKUP($E145,Water!$C$2:$F$90, 4, FALSE)</f>
        <v>9.36</v>
      </c>
      <c r="J145">
        <f>10^(I145*-1)</f>
        <v>4.3651583224016624E-10</v>
      </c>
      <c r="K145" s="25">
        <f>VLOOKUP($E145,Atm!$D$2:$G$45, 2, FALSE)</f>
        <v>416.5814159956131</v>
      </c>
      <c r="L145" s="25">
        <f>VLOOKUP($E145,Atm!$D$2:$G$45, 3, FALSE)</f>
        <v>2.0266971350101919</v>
      </c>
      <c r="M145" s="25">
        <f>VLOOKUP($E145,Atm!$D$2:$G$45, 4, FALSE)</f>
        <v>0.33161689031893959</v>
      </c>
      <c r="N145" s="21">
        <f>VLOOKUP($C145,Raw!$B$2:$F$353, 3, FALSE)</f>
        <v>256.791</v>
      </c>
      <c r="O145" s="21">
        <f>VLOOKUP($C145,Raw!$B$2:$F$353, 4, FALSE)</f>
        <v>22.920999999999999</v>
      </c>
      <c r="P145" s="21">
        <f>VLOOKUP($C145,Raw!$B$2:$F$353, 5, FALSE)</f>
        <v>0.26</v>
      </c>
      <c r="Q145" s="14">
        <v>60</v>
      </c>
      <c r="R145" s="25">
        <v>1140</v>
      </c>
      <c r="S145">
        <f>EXP(24.4543-(100/H145*(67.4509))-(4.8489*LN(H145/100))-(0.000544*G145))</f>
        <v>2.099878850915177E-2</v>
      </c>
      <c r="T145" s="8">
        <f>EXP(-58.0931+90.5069*(100/H145)+22.294*LN(H145/100)+G145*(0.027766-0.025888*(H145/100)+0.0050578*(H145/100)^2)*G145)</f>
        <v>4.0872420621370996E-2</v>
      </c>
      <c r="U145" s="9">
        <f>(EXP(-67.1962+99.1624*(100/H145)+27.9015*LN(H145/100)+G145*(-0.072909+0.041674*(H145/100)-0.0064603*(H145/100)^2)*G145))</f>
        <v>3.5776293856447455E-2</v>
      </c>
      <c r="V145" s="9">
        <f>(EXP(-64.8539+100.252*(100/H145)+25.2049*LN(H145/100)+(-0.062544+0.035337*(H145/100)-0.0054699*(H145/100)^2)*G145))</f>
        <v>3.0150486653263916E-2</v>
      </c>
      <c r="W145" s="9">
        <f>(EXP(-68.8862+101.4956*(100/H145)+28.7314*LN(H145/100)+G145*(-0.076146+0.04397*(H145/100)-0.0068672*(H145/100)^2)))</f>
        <v>3.5693859583672952E-2</v>
      </c>
      <c r="X145">
        <f>N145*(AZ145-S145)</f>
        <v>235.21410944205164</v>
      </c>
      <c r="Y145">
        <f>O145*(AZ145-S145)</f>
        <v>20.995060584371203</v>
      </c>
      <c r="Z145">
        <f>((Y145/10^6)*AZ145)/(0.082056*H145)</f>
        <v>8.2200072845684756E-7</v>
      </c>
      <c r="AA145">
        <f>(((L145/10^6)*AZ145)/(0.082056*H145))</f>
        <v>7.9349450535995113E-8</v>
      </c>
      <c r="AB145">
        <f>((Y145/10^6)*U145*1)/(0.082056*H145)</f>
        <v>3.1386302632677143E-8</v>
      </c>
      <c r="AC145">
        <f>(Z145*(Q145/1000))+(AB145*(R145/1000))</f>
        <v>8.5100428708662788E-8</v>
      </c>
      <c r="AD145" s="39">
        <f>((AC145-(AA145*(Q145/1000)))/(R145/1000))*1000000</f>
        <v>7.047321199693253E-2</v>
      </c>
      <c r="AE145" s="39">
        <f>(AD145/((U145*AZ145*1))*(0.0821*273.15))</f>
        <v>47.146090492613659</v>
      </c>
      <c r="AF145" s="39">
        <f>L145*U145*AZ145*1/(0.0821*273.15)</f>
        <v>3.0294740318187307E-3</v>
      </c>
      <c r="AG145" s="39">
        <f>AD145-AF145</f>
        <v>6.7443737965113798E-2</v>
      </c>
      <c r="AH145" s="42">
        <f>P145*(AZ145-S145)</f>
        <v>0.23815347288235736</v>
      </c>
      <c r="AI145">
        <f>(((X145/10^6)*(Q145/1000))/(0.082056*H145))</f>
        <v>5.8971516571193447E-7</v>
      </c>
      <c r="AJ145">
        <f>(((K145/10^6)*AZ145)*(Q145/1000))/(0.082056*H145)</f>
        <v>9.7860225561307066E-7</v>
      </c>
      <c r="AK145">
        <f>(X145/10^6)*T145*(R145/1000)</f>
        <v>1.0959697819604267E-5</v>
      </c>
      <c r="AL145">
        <f>AI145+AK145</f>
        <v>1.1549412985316202E-5</v>
      </c>
      <c r="AM145" s="39">
        <f>((AL145-AJ145)/(R145/1000))*1000000</f>
        <v>9.272640990967659</v>
      </c>
      <c r="AN145" s="39">
        <f>AM145/(T145*AZ145)</f>
        <v>242.12837813517044</v>
      </c>
      <c r="AO145" s="39">
        <f>(K145*AZ145)*T145</f>
        <v>15.953561262776985</v>
      </c>
      <c r="AP145" s="39">
        <f>AM145-AO145</f>
        <v>-6.6809202718093257</v>
      </c>
      <c r="AQ145">
        <f>(((AH145/10^6)*(Q145/1000))/(0.082056*H145))</f>
        <v>5.9708456715812842E-10</v>
      </c>
      <c r="AR145">
        <f>(((M145/10^6)*AZ145)*(Q145/1000))/(0.082056*H145)</f>
        <v>7.7900987515228968E-10</v>
      </c>
      <c r="AS145">
        <f>(AH145/10^6)*V145*(R145/1000)</f>
        <v>8.1857051403474797E-9</v>
      </c>
      <c r="AT145">
        <f>AQ145+AS145</f>
        <v>8.7827897075056077E-9</v>
      </c>
      <c r="AU145" s="39">
        <f>((AT145-AR145)/(R145/1000))*1000000000</f>
        <v>7.0208595020643152</v>
      </c>
      <c r="AV145" s="39">
        <f>(AU145/1000)/(V145*AZ145)</f>
        <v>0.24852413011374647</v>
      </c>
      <c r="AW145" s="39">
        <f>(M145*AZ145)*V145*1000</f>
        <v>9.3682476400788204</v>
      </c>
      <c r="AX145" s="39">
        <f>AU145-AW145</f>
        <v>-2.3473881380145052</v>
      </c>
      <c r="AY145" s="26">
        <f>VLOOKUP($E145,Water!$C$2:$G$90, 5, FALSE)</f>
        <v>712.1</v>
      </c>
      <c r="AZ145">
        <f>AY145/760</f>
        <v>0.93697368421052629</v>
      </c>
      <c r="BA145" s="3">
        <f>Assumptions!$B$3</f>
        <v>406.07</v>
      </c>
      <c r="BB145" s="3">
        <f>BA145*AZ145*T145</f>
        <v>15.55101205485381</v>
      </c>
      <c r="BC145" s="3">
        <f>Assumptions!$B$4</f>
        <v>1.8474300000000001</v>
      </c>
      <c r="BD145" s="45">
        <f>BC145*AZ145*U145*1/(0.0821*273.15)</f>
        <v>2.7615084236918969E-3</v>
      </c>
      <c r="BE145" s="3">
        <f>Assumptions!$B$2</f>
        <v>0.33054499999999998</v>
      </c>
      <c r="BF145" s="44">
        <f>BE145*AZ145*V145*1000</f>
        <v>9.3379665107275009</v>
      </c>
      <c r="BG145">
        <f>1923.6+(-125.06*F145)+(4.3773*(F145^2))+(-0.085681*(F145^3))+(0.00070284*(F145^4))</f>
        <v>647.94817070249974</v>
      </c>
      <c r="BH145">
        <f>1909.4+(-120.78*F145)+(4.1555*(F145^2))+(-0.080578*(F145^3))+(0.00065777*(F145^4))</f>
        <v>664.04812581062538</v>
      </c>
      <c r="BI145">
        <f>2141.2+(-152.56*F145)+(5.8963*(F145^2))+(-0.12411*(F145^3))+(0.0010655*(F145^4))</f>
        <v>675.83810534374982</v>
      </c>
      <c r="BJ145" s="25">
        <f>VLOOKUP(E145,Wind!$C$2:$E$109,3, FALSE)</f>
        <v>0.69444444444444442</v>
      </c>
      <c r="BK145" s="44">
        <v>1.66</v>
      </c>
      <c r="BL145">
        <f>BK145/(1-(((1.3*10^-3)^0.5)/0.41)*LN(10/1.5))</f>
        <v>1.9923982880693825</v>
      </c>
      <c r="BM145">
        <f>BK145*1.22</f>
        <v>2.0251999999999999</v>
      </c>
      <c r="BN145">
        <f>2.07+0.215*(BM145^1.7)*(24/100)</f>
        <v>2.241255750541113</v>
      </c>
      <c r="BO145">
        <f>BN145*((600/BG145)^0.67)</f>
        <v>2.1287309525185099</v>
      </c>
      <c r="BP145">
        <f>BN145*((600/BH145)^0.67)</f>
        <v>2.0940114524995765</v>
      </c>
      <c r="BQ145">
        <f>BN145*((600/BI145)^0.67)</f>
        <v>2.0694653661431648</v>
      </c>
      <c r="BR145" s="39">
        <f>BO145*(AM145-BB145)</f>
        <v>-13.364962815091017</v>
      </c>
      <c r="BS145" s="39">
        <f>BP145*(AD145-BD145)</f>
        <v>0.14178908275062238</v>
      </c>
      <c r="BT145" s="39">
        <f>BQ145*(AU145-BF145)</f>
        <v>-4.7951727040760526</v>
      </c>
      <c r="BU145">
        <f>(2.51+1.48*BM145)+(0.39*BM145*LOG10(0.0015))</f>
        <v>3.2768938069574309</v>
      </c>
      <c r="BV145">
        <f>BU145*((600/$BG145)^0.67)</f>
        <v>3.1123736205929879</v>
      </c>
      <c r="BW145">
        <f>BU145*((600/$BH145)^0.67)</f>
        <v>3.0616109557051305</v>
      </c>
      <c r="BX145">
        <f>BU145*((600/$BI145)^0.67)</f>
        <v>3.0257226291065491</v>
      </c>
      <c r="BY145" s="39">
        <f>BV145*($AM145-$BB145)</f>
        <v>-19.540636479533589</v>
      </c>
      <c r="BZ145" s="39">
        <f>BW145*($AD145-$BD145)</f>
        <v>0.20730689348929177</v>
      </c>
      <c r="CA145" s="39">
        <f>BX145*($AU145-$BF145)</f>
        <v>-7.0109231101735858</v>
      </c>
      <c r="CB145" s="42">
        <f>AVERAGE(0.72,0.69,0.4,0.22)</f>
        <v>0.50750000000000006</v>
      </c>
      <c r="CC145">
        <f>CB145*((600/$BG145)^0.67)</f>
        <v>0.48202038439491629</v>
      </c>
      <c r="CD145">
        <f>CB145*((600/$BH145)^0.67)</f>
        <v>0.47415865498034382</v>
      </c>
      <c r="CE145">
        <f>CB145*((600/$BI145)^0.67)</f>
        <v>0.4686005481811214</v>
      </c>
      <c r="CF145" s="39">
        <f>CC145*($AM145-$BB145)</f>
        <v>-3.0263028335883222</v>
      </c>
      <c r="CG145" s="39">
        <f>CD145*($AD145-$BD145)</f>
        <v>3.2106090292715522E-2</v>
      </c>
      <c r="CH145" s="39">
        <f>CE145*($AU145-$BF145)</f>
        <v>-1.0857976144538872</v>
      </c>
      <c r="CI145">
        <v>0.86263901889527161</v>
      </c>
      <c r="CJ145">
        <f>((BG145/BH145)^0.67)*CI145</f>
        <v>0.84856941775688788</v>
      </c>
      <c r="CK145">
        <f>((BH145/BH145)^0.67)*CI145</f>
        <v>0.86263901889527161</v>
      </c>
      <c r="CL145">
        <f>((BI145/BH145)^0.67)*CI145</f>
        <v>0.87287084601285991</v>
      </c>
      <c r="CM145" s="39">
        <f>CJ145*($AM145-$BB145)</f>
        <v>-5.327633678143564</v>
      </c>
      <c r="CN145" s="39">
        <f>CK145*($AD145-$BD145)</f>
        <v>5.8410757538147756E-2</v>
      </c>
      <c r="CO145" s="39">
        <f>CL145*($AU145-$BF145)</f>
        <v>-2.0225351549541619</v>
      </c>
      <c r="CP145" s="27">
        <f>VLOOKUP(A145,Water!$A$2:$E$109, 5, FALSE)/1000</f>
        <v>8.9999999999999992E-5</v>
      </c>
      <c r="CQ145">
        <f>0.64*CP145</f>
        <v>5.7599999999999997E-5</v>
      </c>
      <c r="CR145" s="19">
        <f>CQ145*1000*(2.5*10^-5)</f>
        <v>1.44E-6</v>
      </c>
      <c r="CS145" s="18">
        <f>(-0.0000009*F145^3)+(0.0002*F145^2)-(0.0134*F145)+6.579</f>
        <v>6.3938515374999998</v>
      </c>
      <c r="CT145" s="18">
        <f>CS145-(SQRT(CP145))/(1+1.4*SQRT(CP145))</f>
        <v>6.3844890529772247</v>
      </c>
      <c r="CU145" s="18">
        <f>10^(-CT145)</f>
        <v>4.1258263672985397E-7</v>
      </c>
      <c r="CV145" s="18">
        <f>(0.000001*F145^3)+(0.00006*F145^2)-(0.014*F145)+10.625</f>
        <v>10.392866625</v>
      </c>
      <c r="CW145" s="18">
        <f>CV145-(2*SQRT(CR145))/(1+1.4*SQRT(CR145))</f>
        <v>10.390470650237601</v>
      </c>
      <c r="CX145" s="18">
        <f>10^(-CW145)</f>
        <v>4.0693903395227583E-11</v>
      </c>
      <c r="CY145">
        <f>EXP(1246.98+-61900/H145-183*LN(H145))</f>
        <v>2.0503403052033957E-2</v>
      </c>
      <c r="CZ145">
        <f>12.225*(F145^2)+15.258*F145+1125.7</f>
        <v>5591.9792499999994</v>
      </c>
      <c r="DA145" s="15">
        <f>10^(-4470.99/H145+6.0875-0.01706*H145)</f>
        <v>6.0529408429337208E-15</v>
      </c>
      <c r="DB145">
        <f>(10^-I145)</f>
        <v>4.3651583224016624E-10</v>
      </c>
      <c r="DC145">
        <f>DB145^2</f>
        <v>1.9054607179632495E-19</v>
      </c>
      <c r="DD145" s="20">
        <f>((14.6836*10^-9)*((H145/217.2056)-1)^1.997)*100*100</f>
        <v>1.7304127008453514E-5</v>
      </c>
      <c r="DE145">
        <f>CY145+CZ145*DA145/DB145</f>
        <v>9.8044507166076988E-2</v>
      </c>
      <c r="DF145">
        <f>1+DC145*(CU145*CX145+CU145*DB145)^-1</f>
        <v>1.0009677869414229</v>
      </c>
      <c r="DG145">
        <f>(DE145*DF145/DD145)^0.5</f>
        <v>75.308992493244617</v>
      </c>
      <c r="DH145">
        <f>DD145/(BO145/60/60)</f>
        <v>2.9263847155851876E-2</v>
      </c>
      <c r="DI145" s="16">
        <f>DF145/((DF145-1)+TANH(DG145*DH145)/(DG145*DH145))</f>
        <v>2.2554508040628396</v>
      </c>
      <c r="DJ145">
        <f>$DI145*BR145</f>
        <v>-30.144016127566985</v>
      </c>
      <c r="DK145">
        <f>$DI145*BY145</f>
        <v>-44.072944259663686</v>
      </c>
      <c r="DL145">
        <f>$DI145*CF145</f>
        <v>-6.8256771593544308</v>
      </c>
      <c r="DM145">
        <f>$DI145*CM145</f>
        <v>-12.016215663121166</v>
      </c>
    </row>
    <row r="146" spans="1:117" ht="15.75" x14ac:dyDescent="0.25">
      <c r="A146" s="52" t="s">
        <v>322</v>
      </c>
      <c r="B146" s="55" t="s">
        <v>339</v>
      </c>
      <c r="C146" t="s">
        <v>307</v>
      </c>
      <c r="D146" s="57">
        <v>43243</v>
      </c>
      <c r="E146" s="42" t="str">
        <f>A146&amp;D146</f>
        <v>32A43243</v>
      </c>
      <c r="F146" s="3">
        <f>VLOOKUP($E146,Water!$C$2:$E$90, 2, FALSE)</f>
        <v>18.7</v>
      </c>
      <c r="G146" s="3">
        <f>VLOOKUP($E146,Water!$C$2:$E$90, 3, FALSE)</f>
        <v>0.95</v>
      </c>
      <c r="H146" s="1">
        <f>F146+273.15</f>
        <v>291.84999999999997</v>
      </c>
      <c r="I146" s="3">
        <f>VLOOKUP($E146,Water!$C$2:$F$90, 4, FALSE)</f>
        <v>8.8800000000000008</v>
      </c>
      <c r="J146">
        <f>10^(I146*-1)</f>
        <v>1.3182567385564018E-9</v>
      </c>
      <c r="K146" s="25">
        <f>VLOOKUP($E146,Atm!$D$2:$G$45, 2, FALSE)</f>
        <v>434.47976898528862</v>
      </c>
      <c r="L146" s="25">
        <f>VLOOKUP($E146,Atm!$D$2:$G$45, 3, FALSE)</f>
        <v>2.266525490924796</v>
      </c>
      <c r="M146" s="25">
        <f>VLOOKUP($E146,Atm!$D$2:$G$45, 4, FALSE)</f>
        <v>0.32960395406414911</v>
      </c>
      <c r="N146" s="21">
        <f>VLOOKUP($C146,Raw!$B$2:$F$353, 3, FALSE)</f>
        <v>265.43228775943248</v>
      </c>
      <c r="O146" s="21">
        <f>VLOOKUP($C146,Raw!$B$2:$F$353, 4, FALSE)</f>
        <v>36.898793809440313</v>
      </c>
      <c r="P146" s="21">
        <f>VLOOKUP($C146,Raw!$B$2:$F$353, 5, FALSE)</f>
        <v>0.32115082052322658</v>
      </c>
      <c r="Q146" s="14">
        <v>60</v>
      </c>
      <c r="R146" s="25">
        <v>1140</v>
      </c>
      <c r="S146">
        <f>EXP(24.4543-(100/H146*(67.4509))-(4.8489*LN(H146/100))-(0.000544*G146))</f>
        <v>2.1253733285633746E-2</v>
      </c>
      <c r="T146" s="8">
        <f>EXP(-58.0931+90.5069*(100/H146)+22.294*LN(H146/100)+G146*(0.027766-0.025888*(H146/100)+0.0050578*(H146/100)^2)*G146)</f>
        <v>4.0458659886620958E-2</v>
      </c>
      <c r="U146" s="9">
        <f>(EXP(-67.1962+99.1624*(100/H146)+27.9015*LN(H146/100)+G146*(-0.072909+0.041674*(H146/100)-0.0064603*(H146/100)^2)*G146))</f>
        <v>3.5427708050784629E-2</v>
      </c>
      <c r="V146" s="9">
        <f>(EXP(-64.8539+100.252*(100/H146)+25.2049*LN(H146/100)+(-0.062544+0.035337*(H146/100)-0.0054699*(H146/100)^2)*G146))</f>
        <v>2.9811112071229263E-2</v>
      </c>
      <c r="W146" s="9">
        <f>(EXP(-68.8862+101.4956*(100/H146)+28.7314*LN(H146/100)+G146*(-0.076146+0.04397*(H146/100)-0.0068672*(H146/100)^2)))</f>
        <v>3.5358019892880767E-2</v>
      </c>
      <c r="X146">
        <f>N146*(AZ146-S146)</f>
        <v>241.31537646990057</v>
      </c>
      <c r="Y146">
        <f>O146*(AZ146-S146)</f>
        <v>33.546206433937883</v>
      </c>
      <c r="Z146">
        <f>((Y146/10^6)*AZ146)/(0.082056*H146)</f>
        <v>1.3032886706100107E-6</v>
      </c>
      <c r="AA146">
        <f>(((L146/10^6)*AZ146)/(0.082056*H146))</f>
        <v>8.8055768683956271E-8</v>
      </c>
      <c r="AB146">
        <f>((Y146/10^6)*U146*1)/(0.082056*H146)</f>
        <v>4.9626818273911291E-8</v>
      </c>
      <c r="AC146">
        <f>(Z146*(Q146/1000))+(AB146*(R146/1000))</f>
        <v>1.3477189306885951E-7</v>
      </c>
      <c r="AD146" s="39">
        <f>((AC146-(AA146*(Q146/1000)))/(R146/1000))*1000000</f>
        <v>0.11358644469107206</v>
      </c>
      <c r="AE146" s="39">
        <f>(AD146/((U146*AZ146*1))*(0.0821*273.15))</f>
        <v>77.278834940927467</v>
      </c>
      <c r="AF146" s="39">
        <f>L146*U146*AZ146*1/(0.0821*273.15)</f>
        <v>3.3313982090002834E-3</v>
      </c>
      <c r="AG146" s="39">
        <f>AD146-AF146</f>
        <v>0.11025504648207177</v>
      </c>
      <c r="AH146" s="42">
        <f>P146*(AZ146-S146)</f>
        <v>0.2919713792634705</v>
      </c>
      <c r="AI146">
        <f>(((X146/10^6)*(Q146/1000))/(0.082056*H146))</f>
        <v>6.0459730364755283E-7</v>
      </c>
      <c r="AJ146">
        <f>(((K146/10^6)*AZ146)*(Q146/1000))/(0.082056*H146)</f>
        <v>1.0127867572321097E-6</v>
      </c>
      <c r="AK146">
        <f>(X146/10^6)*T146*(R146/1000)</f>
        <v>1.1130158285888664E-5</v>
      </c>
      <c r="AL146">
        <f>AI146+AK146</f>
        <v>1.1734755589536217E-5</v>
      </c>
      <c r="AM146" s="39">
        <f>((AL146-AJ146)/(R146/1000))*1000000</f>
        <v>9.4052358178106203</v>
      </c>
      <c r="AN146" s="39">
        <f>AM146/(T146*AZ146)</f>
        <v>249.8566717601789</v>
      </c>
      <c r="AO146" s="39">
        <f>(K146*AZ146)*T146</f>
        <v>16.354915226345341</v>
      </c>
      <c r="AP146" s="39">
        <f>AM146-AO146</f>
        <v>-6.9496794085347204</v>
      </c>
      <c r="AQ146">
        <f>(((AH146/10^6)*(Q146/1000))/(0.082056*H146))</f>
        <v>7.3151206204619696E-10</v>
      </c>
      <c r="AR146">
        <f>(((M146/10^6)*AZ146)*(Q146/1000))/(0.082056*H146)</f>
        <v>7.6831775294654483E-10</v>
      </c>
      <c r="AS146">
        <f>(AH146/10^6)*V146*(R146/1000)</f>
        <v>9.9225503200487615E-9</v>
      </c>
      <c r="AT146">
        <f>AQ146+AS146</f>
        <v>1.0654062382094958E-8</v>
      </c>
      <c r="AU146" s="39">
        <f>((AT146-AR146)/(R146/1000))*1000000000</f>
        <v>8.6717058150424684</v>
      </c>
      <c r="AV146" s="39">
        <f>(AU146/1000)/(V146*AZ146)</f>
        <v>0.31265049020952645</v>
      </c>
      <c r="AW146" s="39">
        <f>(M146*AZ146)*V146*1000</f>
        <v>9.1419288138764667</v>
      </c>
      <c r="AX146" s="39">
        <f>AU146-AW146</f>
        <v>-0.47022299883399832</v>
      </c>
      <c r="AY146" s="26">
        <f>VLOOKUP($E146,Water!$C$2:$G$90, 5, FALSE)</f>
        <v>707.1</v>
      </c>
      <c r="AZ146">
        <f>AY146/760</f>
        <v>0.93039473684210527</v>
      </c>
      <c r="BA146" s="3">
        <f>Assumptions!$B$3</f>
        <v>406.07</v>
      </c>
      <c r="BB146" s="3">
        <f>BA146*AZ146*T146</f>
        <v>15.285499809283234</v>
      </c>
      <c r="BC146" s="3">
        <f>Assumptions!$B$4</f>
        <v>1.8474300000000001</v>
      </c>
      <c r="BD146" s="45">
        <f>BC146*AZ146*U146*1/(0.0821*273.15)</f>
        <v>2.7154007391031821E-3</v>
      </c>
      <c r="BE146" s="3">
        <f>Assumptions!$B$2</f>
        <v>0.33054499999999998</v>
      </c>
      <c r="BF146" s="44">
        <f>BE146*AZ146*V146*1000</f>
        <v>9.1680297597239253</v>
      </c>
      <c r="BG146">
        <f>1923.6+(-125.06*F146)+(4.3773*(F146^2))+(-0.085681*(F146^3))+(0.00070284*(F146^4))</f>
        <v>641.33603601992399</v>
      </c>
      <c r="BH146">
        <f>1909.4+(-120.78*F146)+(4.1555*(F146^2))+(-0.080578*(F146^3))+(0.00065777*(F146^4))</f>
        <v>657.46904778769726</v>
      </c>
      <c r="BI146">
        <f>2141.2+(-152.56*F146)+(5.8963*(F146^2))+(-0.12411*(F146^3))+(0.0010655*(F146^4))</f>
        <v>668.91730156455026</v>
      </c>
      <c r="BJ146" s="25">
        <f>VLOOKUP(E146,Wind!$C$2:$E$109,3, FALSE)</f>
        <v>0.77777777777777779</v>
      </c>
      <c r="BK146" s="44">
        <v>1.66</v>
      </c>
      <c r="BL146">
        <f>BK146/(1-(((1.3*10^-3)^0.5)/0.41)*LN(10/1.5))</f>
        <v>1.9923982880693825</v>
      </c>
      <c r="BM146">
        <f>BK146*1.22</f>
        <v>2.0251999999999999</v>
      </c>
      <c r="BN146">
        <f>2.07+0.215*(BM146^1.7)*(24/100)</f>
        <v>2.241255750541113</v>
      </c>
      <c r="BO146">
        <f>BN146*((600/BG146)^0.67)</f>
        <v>2.1434105978653366</v>
      </c>
      <c r="BP146">
        <f>BN146*((600/BH146)^0.67)</f>
        <v>2.1080276139452359</v>
      </c>
      <c r="BQ146">
        <f>BN146*((600/BI146)^0.67)</f>
        <v>2.083786533675283</v>
      </c>
      <c r="BR146" s="39">
        <f>BO146*(AM146-BB146)</f>
        <v>-12.603820157568325</v>
      </c>
      <c r="BS146" s="39">
        <f>BP146*(AD146-BD146)</f>
        <v>0.23371922223768629</v>
      </c>
      <c r="BT146" s="39">
        <f>BQ146*(AU146-BF146)</f>
        <v>-1.0342331522678161</v>
      </c>
      <c r="BU146">
        <f>(2.51+1.48*BM146)+(0.39*BM146*LOG10(0.0015))</f>
        <v>3.2768938069574309</v>
      </c>
      <c r="BV146">
        <f>BU146*((600/$BG146)^0.67)</f>
        <v>3.1338364272868393</v>
      </c>
      <c r="BW146">
        <f>BU146*((600/$BH146)^0.67)</f>
        <v>3.0821036962714436</v>
      </c>
      <c r="BX146">
        <f>BU146*((600/$BI146)^0.67)</f>
        <v>3.0466613127811222</v>
      </c>
      <c r="BY146" s="39">
        <f>BV146*($AM146-$BB146)</f>
        <v>-18.427785498539986</v>
      </c>
      <c r="BZ146" s="39">
        <f>BW146*($AD146-$BD146)</f>
        <v>0.34171605437383695</v>
      </c>
      <c r="CA146" s="39">
        <f>BX146*($AU146-$BF146)</f>
        <v>-1.5121309608679125</v>
      </c>
      <c r="CB146" s="42">
        <f>AVERAGE(0.72,0.69,0.4,0.22)</f>
        <v>0.50750000000000006</v>
      </c>
      <c r="CC146">
        <f>CB146*((600/$BG146)^0.67)</f>
        <v>0.48534437810322728</v>
      </c>
      <c r="CD146">
        <f>CB146*((600/$BH146)^0.67)</f>
        <v>0.47733241234023227</v>
      </c>
      <c r="CE146">
        <f>CB146*((600/$BI146)^0.67)</f>
        <v>0.47184336976486757</v>
      </c>
      <c r="CF146" s="39">
        <f>CC146*($AM146-$BB146)</f>
        <v>-2.8539530700240765</v>
      </c>
      <c r="CG146" s="39">
        <f>CD146*($AD146-$BD146)</f>
        <v>5.2922342868273221E-2</v>
      </c>
      <c r="CH146" s="39">
        <f>CE146*($AU146-$BF146)</f>
        <v>-0.23418716255349034</v>
      </c>
      <c r="CI146">
        <v>0.86263901889527161</v>
      </c>
      <c r="CJ146">
        <f>((BG146/BH146)^0.67)*CI146</f>
        <v>0.84839875034158374</v>
      </c>
      <c r="CK146">
        <f>((BH146/BH146)^0.67)*CI146</f>
        <v>0.86263901889527161</v>
      </c>
      <c r="CL146">
        <f>((BI146/BH146)^0.67)*CI146</f>
        <v>0.87267426068376308</v>
      </c>
      <c r="CM146" s="39">
        <f>CJ146*($AM146-$BB146)</f>
        <v>-4.9888086220439787</v>
      </c>
      <c r="CN146" s="39">
        <f>CK146*($AD146-$BD146)</f>
        <v>9.5641688578620959E-2</v>
      </c>
      <c r="CO146" s="39">
        <f>CL146*($AU146-$BF146)</f>
        <v>-0.43312913148453935</v>
      </c>
      <c r="CP146" s="27">
        <f>VLOOKUP(A146,Water!$A$2:$E$109, 5, FALSE)/1000</f>
        <v>7.0999999999999991E-4</v>
      </c>
      <c r="CQ146">
        <f>0.64*CP146</f>
        <v>4.5439999999999993E-4</v>
      </c>
      <c r="CR146" s="19">
        <f>CQ146*1000*(2.5*10^-5)</f>
        <v>1.1359999999999998E-5</v>
      </c>
      <c r="CS146" s="18">
        <f>(-0.0000009*F146^3)+(0.0002*F146^2)-(0.0134*F146)+6.579</f>
        <v>6.3924727172999996</v>
      </c>
      <c r="CT146" s="18">
        <f>CS146-(SQRT(CP146))/(1+1.4*SQRT(CP146))</f>
        <v>6.3667851452858359</v>
      </c>
      <c r="CU146" s="18">
        <f>10^(-CT146)</f>
        <v>4.2974898014101039E-7</v>
      </c>
      <c r="CV146" s="18">
        <f>(0.000001*F146^3)+(0.00006*F146^2)-(0.014*F146)+10.625</f>
        <v>10.390720603</v>
      </c>
      <c r="CW146" s="18">
        <f>CV146-(2*SQRT(CR146))/(1+1.4*SQRT(CR146))</f>
        <v>10.384011341795732</v>
      </c>
      <c r="CX146" s="18">
        <f>10^(-CW146)</f>
        <v>4.1303671520971593E-11</v>
      </c>
      <c r="CY146">
        <f>EXP(1246.98+-61900/H146-183*LN(H146))</f>
        <v>2.091749845981113E-2</v>
      </c>
      <c r="CZ146">
        <f>12.225*(F146^2)+15.258*F146+1125.7</f>
        <v>5685.9848499999998</v>
      </c>
      <c r="DA146" s="15">
        <f>10^(-4470.99/H146+6.0875-0.01706*H146)</f>
        <v>6.1526160700922171E-15</v>
      </c>
      <c r="DB146">
        <f>(10^-I146)</f>
        <v>1.3182567385564018E-9</v>
      </c>
      <c r="DC146">
        <f>DB146^2</f>
        <v>1.7378008287493616E-18</v>
      </c>
      <c r="DD146" s="20">
        <f>((14.6836*10^-9)*((H146/217.2056)-1)^1.997)*100*100</f>
        <v>1.7397089329994797E-5</v>
      </c>
      <c r="DE146">
        <f>CY146+CZ146*DA146/DB146</f>
        <v>4.7455334936733568E-2</v>
      </c>
      <c r="DF146">
        <f>1+DC146*(CU146*CX146+CU146*DB146)^-1</f>
        <v>1.0029743127698192</v>
      </c>
      <c r="DG146">
        <f>(DE146*DF146/DD146)^0.5</f>
        <v>52.30571341485863</v>
      </c>
      <c r="DH146">
        <f>DD146/(BO146/60/60)</f>
        <v>2.9219563274696502E-2</v>
      </c>
      <c r="DI146" s="16">
        <f>DF146/((DF146-1)+TANH(DG146*DH146)/(DG146*DH146))</f>
        <v>1.6758682011767585</v>
      </c>
      <c r="DJ146">
        <f>$DI146*BR146</f>
        <v>-21.122341415419399</v>
      </c>
      <c r="DK146">
        <f>$DI146*BY146</f>
        <v>-30.882539735109361</v>
      </c>
      <c r="DL146">
        <f>$DI146*CF146</f>
        <v>-4.7828491977041363</v>
      </c>
      <c r="DM146">
        <f>$DI146*CM146</f>
        <v>-8.3605857314399454</v>
      </c>
    </row>
    <row r="147" spans="1:117" ht="15.75" x14ac:dyDescent="0.25">
      <c r="A147" s="52" t="s">
        <v>322</v>
      </c>
      <c r="B147" s="55" t="s">
        <v>340</v>
      </c>
      <c r="C147" t="s">
        <v>308</v>
      </c>
      <c r="D147" s="57">
        <v>43243</v>
      </c>
      <c r="E147" s="42" t="str">
        <f>A147&amp;D147</f>
        <v>32A43243</v>
      </c>
      <c r="F147" s="3">
        <f>VLOOKUP($E147,Water!$C$2:$E$90, 2, FALSE)</f>
        <v>18.7</v>
      </c>
      <c r="G147" s="3">
        <f>VLOOKUP($E147,Water!$C$2:$E$90, 3, FALSE)</f>
        <v>0.95</v>
      </c>
      <c r="H147" s="1">
        <f>F147+273.15</f>
        <v>291.84999999999997</v>
      </c>
      <c r="I147" s="3">
        <f>VLOOKUP($E147,Water!$C$2:$F$90, 4, FALSE)</f>
        <v>8.8800000000000008</v>
      </c>
      <c r="J147">
        <f>10^(I147*-1)</f>
        <v>1.3182567385564018E-9</v>
      </c>
      <c r="K147" s="25">
        <f>VLOOKUP($E147,Atm!$D$2:$G$45, 2, FALSE)</f>
        <v>434.47976898528862</v>
      </c>
      <c r="L147" s="25">
        <f>VLOOKUP($E147,Atm!$D$2:$G$45, 3, FALSE)</f>
        <v>2.266525490924796</v>
      </c>
      <c r="M147" s="25">
        <f>VLOOKUP($E147,Atm!$D$2:$G$45, 4, FALSE)</f>
        <v>0.32960395406414911</v>
      </c>
      <c r="N147" s="21">
        <f>VLOOKUP($C147,Raw!$B$2:$F$353, 3, FALSE)</f>
        <v>280.0707926722535</v>
      </c>
      <c r="O147" s="21">
        <f>VLOOKUP($C147,Raw!$B$2:$F$353, 4, FALSE)</f>
        <v>39.861611513746517</v>
      </c>
      <c r="P147" s="21">
        <f>VLOOKUP($C147,Raw!$B$2:$F$353, 5, FALSE)</f>
        <v>0.32096946792672165</v>
      </c>
      <c r="Q147" s="14">
        <v>60</v>
      </c>
      <c r="R147" s="25">
        <v>1140</v>
      </c>
      <c r="S147">
        <f>EXP(24.4543-(100/H147*(67.4509))-(4.8489*LN(H147/100))-(0.000544*G147))</f>
        <v>2.1253733285633746E-2</v>
      </c>
      <c r="T147" s="8">
        <f>EXP(-58.0931+90.5069*(100/H147)+22.294*LN(H147/100)+G147*(0.027766-0.025888*(H147/100)+0.0050578*(H147/100)^2)*G147)</f>
        <v>4.0458659886620958E-2</v>
      </c>
      <c r="U147" s="9">
        <f>(EXP(-67.1962+99.1624*(100/H147)+27.9015*LN(H147/100)+G147*(-0.072909+0.041674*(H147/100)-0.0064603*(H147/100)^2)*G147))</f>
        <v>3.5427708050784629E-2</v>
      </c>
      <c r="V147" s="9">
        <f>(EXP(-64.8539+100.252*(100/H147)+25.2049*LN(H147/100)+(-0.062544+0.035337*(H147/100)-0.0054699*(H147/100)^2)*G147))</f>
        <v>2.9811112071229263E-2</v>
      </c>
      <c r="W147" s="9">
        <f>(EXP(-68.8862+101.4956*(100/H147)+28.7314*LN(H147/100)+G147*(-0.076146+0.04397*(H147/100)-0.0068672*(H147/100)^2)))</f>
        <v>3.5358019892880767E-2</v>
      </c>
      <c r="X147">
        <f>N147*(AZ147-S147)</f>
        <v>254.62384151690904</v>
      </c>
      <c r="Y147">
        <f>O147*(AZ147-S147)</f>
        <v>36.239825494985709</v>
      </c>
      <c r="Z147">
        <f>((Y147/10^6)*AZ147)/(0.082056*H147)</f>
        <v>1.4079372606708905E-6</v>
      </c>
      <c r="AA147">
        <f>(((L147/10^6)*AZ147)/(0.082056*H147))</f>
        <v>8.8055768683956271E-8</v>
      </c>
      <c r="AB147">
        <f>((Y147/10^6)*U147*1)/(0.082056*H147)</f>
        <v>5.361164272507569E-8</v>
      </c>
      <c r="AC147">
        <f>(Z147*(Q147/1000))+(AB147*(R147/1000))</f>
        <v>1.455935083468397E-7</v>
      </c>
      <c r="AD147" s="39">
        <f>((AC147-(AA147*(Q147/1000)))/(R147/1000))*1000000</f>
        <v>0.12307908967175643</v>
      </c>
      <c r="AE147" s="39">
        <f>(AD147/((U147*AZ147*1))*(0.0821*273.15))</f>
        <v>83.737180799100017</v>
      </c>
      <c r="AF147" s="39">
        <f>L147*U147*AZ147*1/(0.0821*273.15)</f>
        <v>3.3313982090002834E-3</v>
      </c>
      <c r="AG147" s="39">
        <f>AD147-AF147</f>
        <v>0.11974769146275614</v>
      </c>
      <c r="AH147" s="42">
        <f>P147*(AZ147-S147)</f>
        <v>0.29180650418188642</v>
      </c>
      <c r="AI147">
        <f>(((X147/10^6)*(Q147/1000))/(0.082056*H147))</f>
        <v>6.379406496075756E-7</v>
      </c>
      <c r="AJ147">
        <f>(((K147/10^6)*AZ147)*(Q147/1000))/(0.082056*H147)</f>
        <v>1.0127867572321097E-6</v>
      </c>
      <c r="AK147">
        <f>(X147/10^6)*T147*(R147/1000)</f>
        <v>1.1743982919371549E-5</v>
      </c>
      <c r="AL147">
        <f>AI147+AK147</f>
        <v>1.2381923568979124E-5</v>
      </c>
      <c r="AM147" s="39">
        <f>((AL147-AJ147)/(R147/1000))*1000000</f>
        <v>9.9729270278482591</v>
      </c>
      <c r="AN147" s="39">
        <f>AM147/(T147*AZ147)</f>
        <v>264.93778605386933</v>
      </c>
      <c r="AO147" s="39">
        <f>(K147*AZ147)*T147</f>
        <v>16.354915226345341</v>
      </c>
      <c r="AP147" s="39">
        <f>AM147-AO147</f>
        <v>-6.3819881984970817</v>
      </c>
      <c r="AQ147">
        <f>(((AH147/10^6)*(Q147/1000))/(0.082056*H147))</f>
        <v>7.3109898008174612E-10</v>
      </c>
      <c r="AR147">
        <f>(((M147/10^6)*AZ147)*(Q147/1000))/(0.082056*H147)</f>
        <v>7.6831775294654483E-10</v>
      </c>
      <c r="AS147">
        <f>(AH147/10^6)*V147*(R147/1000)</f>
        <v>9.9169470951790244E-9</v>
      </c>
      <c r="AT147">
        <f>AQ147+AS147</f>
        <v>1.064804607526077E-8</v>
      </c>
      <c r="AU147" s="39">
        <f>((AT147-AR147)/(R147/1000))*1000000000</f>
        <v>8.6664283529072161</v>
      </c>
      <c r="AV147" s="39">
        <f>(AU147/1000)/(V147*AZ147)</f>
        <v>0.31246021609750729</v>
      </c>
      <c r="AW147" s="39">
        <f>(M147*AZ147)*V147*1000</f>
        <v>9.1419288138764667</v>
      </c>
      <c r="AX147" s="39">
        <f>AU147-AW147</f>
        <v>-0.47550046096925058</v>
      </c>
      <c r="AY147" s="26">
        <f>VLOOKUP($E147,Water!$C$2:$G$90, 5, FALSE)</f>
        <v>707.1</v>
      </c>
      <c r="AZ147">
        <f>AY147/760</f>
        <v>0.93039473684210527</v>
      </c>
      <c r="BA147" s="3">
        <f>Assumptions!$B$3</f>
        <v>406.07</v>
      </c>
      <c r="BB147" s="3">
        <f>BA147*AZ147*T147</f>
        <v>15.285499809283234</v>
      </c>
      <c r="BC147" s="3">
        <f>Assumptions!$B$4</f>
        <v>1.8474300000000001</v>
      </c>
      <c r="BD147" s="45">
        <f>BC147*AZ147*U147*1/(0.0821*273.15)</f>
        <v>2.7154007391031821E-3</v>
      </c>
      <c r="BE147" s="3">
        <f>Assumptions!$B$2</f>
        <v>0.33054499999999998</v>
      </c>
      <c r="BF147" s="44">
        <f>BE147*AZ147*V147*1000</f>
        <v>9.1680297597239253</v>
      </c>
      <c r="BG147">
        <f>1923.6+(-125.06*F147)+(4.3773*(F147^2))+(-0.085681*(F147^3))+(0.00070284*(F147^4))</f>
        <v>641.33603601992399</v>
      </c>
      <c r="BH147">
        <f>1909.4+(-120.78*F147)+(4.1555*(F147^2))+(-0.080578*(F147^3))+(0.00065777*(F147^4))</f>
        <v>657.46904778769726</v>
      </c>
      <c r="BI147">
        <f>2141.2+(-152.56*F147)+(5.8963*(F147^2))+(-0.12411*(F147^3))+(0.0010655*(F147^4))</f>
        <v>668.91730156455026</v>
      </c>
      <c r="BJ147" s="25">
        <f>VLOOKUP(E147,Wind!$C$2:$E$109,3, FALSE)</f>
        <v>0.77777777777777779</v>
      </c>
      <c r="BK147" s="44">
        <v>1.66</v>
      </c>
      <c r="BL147">
        <f>BK147/(1-(((1.3*10^-3)^0.5)/0.41)*LN(10/1.5))</f>
        <v>1.9923982880693825</v>
      </c>
      <c r="BM147">
        <f>BK147*1.22</f>
        <v>2.0251999999999999</v>
      </c>
      <c r="BN147">
        <f>2.07+0.215*(BM147^1.7)*(24/100)</f>
        <v>2.241255750541113</v>
      </c>
      <c r="BO147">
        <f>BN147*((600/BG147)^0.67)</f>
        <v>2.1434105978653366</v>
      </c>
      <c r="BP147">
        <f>BN147*((600/BH147)^0.67)</f>
        <v>2.1080276139452359</v>
      </c>
      <c r="BQ147">
        <f>BN147*((600/BI147)^0.67)</f>
        <v>2.083786533675283</v>
      </c>
      <c r="BR147" s="39">
        <f>BO147*(AM147-BB147)</f>
        <v>-11.387024801658654</v>
      </c>
      <c r="BS147" s="39">
        <f>BP147*(AD147-BD147)</f>
        <v>0.25372997998634761</v>
      </c>
      <c r="BT147" s="39">
        <f>BQ147*(AU147-BF147)</f>
        <v>-1.0452302567972358</v>
      </c>
      <c r="BU147">
        <f>(2.51+1.48*BM147)+(0.39*BM147*LOG10(0.0015))</f>
        <v>3.2768938069574309</v>
      </c>
      <c r="BV147">
        <f>BU147*((600/$BG147)^0.67)</f>
        <v>3.1338364272868393</v>
      </c>
      <c r="BW147">
        <f>BU147*((600/$BH147)^0.67)</f>
        <v>3.0821036962714436</v>
      </c>
      <c r="BX147">
        <f>BU147*((600/$BI147)^0.67)</f>
        <v>3.0466613127811222</v>
      </c>
      <c r="BY147" s="39">
        <f>BV147*($AM147-$BB147)</f>
        <v>-16.648734105073487</v>
      </c>
      <c r="BZ147" s="39">
        <f>BW147*($AD147-$BD147)</f>
        <v>0.37097337055619684</v>
      </c>
      <c r="CA147" s="39">
        <f>BX147*($AU147-$BF147)</f>
        <v>-1.528209600585053</v>
      </c>
      <c r="CB147" s="42">
        <f>AVERAGE(0.72,0.69,0.4,0.22)</f>
        <v>0.50750000000000006</v>
      </c>
      <c r="CC147">
        <f>CB147*((600/$BG147)^0.67)</f>
        <v>0.48534437810322728</v>
      </c>
      <c r="CD147">
        <f>CB147*((600/$BH147)^0.67)</f>
        <v>0.47733241234023227</v>
      </c>
      <c r="CE147">
        <f>CB147*((600/$BI147)^0.67)</f>
        <v>0.47184336976486757</v>
      </c>
      <c r="CF147" s="39">
        <f>CC147*($AM147-$BB147)</f>
        <v>-2.5784273327336904</v>
      </c>
      <c r="CG147" s="39">
        <f>CD147*($AD147-$BD147)</f>
        <v>5.7453489996392687E-2</v>
      </c>
      <c r="CH147" s="39">
        <f>CE147*($AU147-$BF147)</f>
        <v>-0.23667729807119428</v>
      </c>
      <c r="CI147">
        <v>0.86263901889527161</v>
      </c>
      <c r="CJ147">
        <f>((BG147/BH147)^0.67)*CI147</f>
        <v>0.84839875034158374</v>
      </c>
      <c r="CK147">
        <f>((BH147/BH147)^0.67)*CI147</f>
        <v>0.86263901889527161</v>
      </c>
      <c r="CL147">
        <f>((BI147/BH147)^0.67)*CI147</f>
        <v>0.87267426068376308</v>
      </c>
      <c r="CM147" s="39">
        <f>CJ147*($AM147-$BB147)</f>
        <v>-4.5071801088681447</v>
      </c>
      <c r="CN147" s="39">
        <f>CK147*($AD147-$BD147)</f>
        <v>0.10383041453147966</v>
      </c>
      <c r="CO147" s="39">
        <f>CL147*($AU147-$BF147)</f>
        <v>-0.43773463685170716</v>
      </c>
      <c r="CP147" s="27">
        <f>VLOOKUP(A147,Water!$A$2:$E$109, 5, FALSE)/1000</f>
        <v>7.0999999999999991E-4</v>
      </c>
      <c r="CQ147">
        <f>0.64*CP147</f>
        <v>4.5439999999999993E-4</v>
      </c>
      <c r="CR147" s="19">
        <f>CQ147*1000*(2.5*10^-5)</f>
        <v>1.1359999999999998E-5</v>
      </c>
      <c r="CS147" s="18">
        <f>(-0.0000009*F147^3)+(0.0002*F147^2)-(0.0134*F147)+6.579</f>
        <v>6.3924727172999996</v>
      </c>
      <c r="CT147" s="18">
        <f>CS147-(SQRT(CP147))/(1+1.4*SQRT(CP147))</f>
        <v>6.3667851452858359</v>
      </c>
      <c r="CU147" s="18">
        <f>10^(-CT147)</f>
        <v>4.2974898014101039E-7</v>
      </c>
      <c r="CV147" s="18">
        <f>(0.000001*F147^3)+(0.00006*F147^2)-(0.014*F147)+10.625</f>
        <v>10.390720603</v>
      </c>
      <c r="CW147" s="18">
        <f>CV147-(2*SQRT(CR147))/(1+1.4*SQRT(CR147))</f>
        <v>10.384011341795732</v>
      </c>
      <c r="CX147" s="18">
        <f>10^(-CW147)</f>
        <v>4.1303671520971593E-11</v>
      </c>
      <c r="CY147">
        <f>EXP(1246.98+-61900/H147-183*LN(H147))</f>
        <v>2.091749845981113E-2</v>
      </c>
      <c r="CZ147">
        <f>12.225*(F147^2)+15.258*F147+1125.7</f>
        <v>5685.9848499999998</v>
      </c>
      <c r="DA147" s="15">
        <f>10^(-4470.99/H147+6.0875-0.01706*H147)</f>
        <v>6.1526160700922171E-15</v>
      </c>
      <c r="DB147">
        <f>(10^-I147)</f>
        <v>1.3182567385564018E-9</v>
      </c>
      <c r="DC147">
        <f>DB147^2</f>
        <v>1.7378008287493616E-18</v>
      </c>
      <c r="DD147" s="20">
        <f>((14.6836*10^-9)*((H147/217.2056)-1)^1.997)*100*100</f>
        <v>1.7397089329994797E-5</v>
      </c>
      <c r="DE147">
        <f>CY147+CZ147*DA147/DB147</f>
        <v>4.7455334936733568E-2</v>
      </c>
      <c r="DF147">
        <f>1+DC147*(CU147*CX147+CU147*DB147)^-1</f>
        <v>1.0029743127698192</v>
      </c>
      <c r="DG147">
        <f>(DE147*DF147/DD147)^0.5</f>
        <v>52.30571341485863</v>
      </c>
      <c r="DH147">
        <f>DD147/(BO147/60/60)</f>
        <v>2.9219563274696502E-2</v>
      </c>
      <c r="DI147" s="16">
        <f>DF147/((DF147-1)+TANH(DG147*DH147)/(DG147*DH147))</f>
        <v>1.6758682011767585</v>
      </c>
      <c r="DJ147">
        <f>$DI147*BR147</f>
        <v>-19.083152771110825</v>
      </c>
      <c r="DK147">
        <f>$DI147*BY147</f>
        <v>-27.901084076539654</v>
      </c>
      <c r="DL147">
        <f>$DI147*CF147</f>
        <v>-4.3211043759733974</v>
      </c>
      <c r="DM147">
        <f>$DI147*CM147</f>
        <v>-7.5534398214285243</v>
      </c>
    </row>
    <row r="148" spans="1:117" ht="15.75" x14ac:dyDescent="0.25">
      <c r="A148" s="51" t="s">
        <v>322</v>
      </c>
      <c r="B148" s="54" t="s">
        <v>341</v>
      </c>
      <c r="C148" s="48" t="s">
        <v>309</v>
      </c>
      <c r="D148" s="57">
        <v>43243</v>
      </c>
      <c r="E148" s="42" t="str">
        <f>A148&amp;D148</f>
        <v>32A43243</v>
      </c>
      <c r="F148" s="3">
        <f>VLOOKUP($E148,Water!$C$2:$E$90, 2, FALSE)</f>
        <v>18.7</v>
      </c>
      <c r="G148" s="3">
        <f>VLOOKUP($E148,Water!$C$2:$E$90, 3, FALSE)</f>
        <v>0.95</v>
      </c>
      <c r="H148" s="1">
        <f>F148+273.15</f>
        <v>291.84999999999997</v>
      </c>
      <c r="I148" s="3">
        <f>VLOOKUP($E148,Water!$C$2:$F$90, 4, FALSE)</f>
        <v>8.8800000000000008</v>
      </c>
      <c r="J148">
        <f>10^(I148*-1)</f>
        <v>1.3182567385564018E-9</v>
      </c>
      <c r="K148" s="25">
        <f>VLOOKUP($E148,Atm!$D$2:$G$45, 2, FALSE)</f>
        <v>434.47976898528862</v>
      </c>
      <c r="L148" s="25">
        <f>VLOOKUP($E148,Atm!$D$2:$G$45, 3, FALSE)</f>
        <v>2.266525490924796</v>
      </c>
      <c r="M148" s="25">
        <f>VLOOKUP($E148,Atm!$D$2:$G$45, 4, FALSE)</f>
        <v>0.32960395406414911</v>
      </c>
      <c r="N148" s="21">
        <f>VLOOKUP($C148,Raw!$B$2:$F$353, 3, FALSE)</f>
        <v>304.005</v>
      </c>
      <c r="O148" s="21">
        <f>VLOOKUP($C148,Raw!$B$2:$F$353, 4, FALSE)</f>
        <v>41.472000000000001</v>
      </c>
      <c r="P148" s="21">
        <f>VLOOKUP($C148,Raw!$B$2:$F$353, 5, FALSE)</f>
        <v>0.28899999999999998</v>
      </c>
      <c r="Q148" s="14">
        <v>60</v>
      </c>
      <c r="R148" s="25">
        <v>1140</v>
      </c>
      <c r="S148">
        <f>EXP(24.4543-(100/H148*(67.4509))-(4.8489*LN(H148/100))-(0.000544*G148))</f>
        <v>2.1253733285633746E-2</v>
      </c>
      <c r="T148" s="8">
        <f>EXP(-58.0931+90.5069*(100/H148)+22.294*LN(H148/100)+G148*(0.027766-0.025888*(H148/100)+0.0050578*(H148/100)^2)*G148)</f>
        <v>4.0458659886620958E-2</v>
      </c>
      <c r="U148" s="9">
        <f>(EXP(-67.1962+99.1624*(100/H148)+27.9015*LN(H148/100)+G148*(-0.072909+0.041674*(H148/100)-0.0064603*(H148/100)^2)*G148))</f>
        <v>3.5427708050784629E-2</v>
      </c>
      <c r="V148" s="9">
        <f>(EXP(-64.8539+100.252*(100/H148)+25.2049*LN(H148/100)+(-0.062544+0.035337*(H148/100)-0.0054699*(H148/100)^2)*G148))</f>
        <v>2.9811112071229263E-2</v>
      </c>
      <c r="W148" s="9">
        <f>(EXP(-68.8862+101.4956*(100/H148)+28.7314*LN(H148/100)+G148*(-0.076146+0.04397*(H148/100)-0.0068672*(H148/100)^2)))</f>
        <v>3.5358019892880767E-2</v>
      </c>
      <c r="X148">
        <f>N148*(AZ148-S148)</f>
        <v>276.38341078618515</v>
      </c>
      <c r="Y148">
        <f>O148*(AZ148-S148)</f>
        <v>37.703895699493991</v>
      </c>
      <c r="Z148">
        <f>((Y148/10^6)*AZ148)/(0.082056*H148)</f>
        <v>1.4648171977293754E-6</v>
      </c>
      <c r="AA148">
        <f>(((L148/10^6)*AZ148)/(0.082056*H148))</f>
        <v>8.8055768683956271E-8</v>
      </c>
      <c r="AB148">
        <f>((Y148/10^6)*U148*1)/(0.082056*H148)</f>
        <v>5.577752535989652E-8</v>
      </c>
      <c r="AC148">
        <f>(Z148*(Q148/1000))+(AB148*(R148/1000))</f>
        <v>1.5147541077404454E-7</v>
      </c>
      <c r="AD148" s="39">
        <f>((AC148-(AA148*(Q148/1000)))/(R148/1000))*1000000</f>
        <v>0.12823865320439226</v>
      </c>
      <c r="AE148" s="39">
        <f>(AD148/((U148*AZ148*1))*(0.0821*273.15))</f>
        <v>87.247503352906776</v>
      </c>
      <c r="AF148" s="39">
        <f>L148*U148*AZ148*1/(0.0821*273.15)</f>
        <v>3.3313982090002834E-3</v>
      </c>
      <c r="AG148" s="39">
        <f>AD148-AF148</f>
        <v>0.12490725499539197</v>
      </c>
      <c r="AH148" s="42">
        <f>P148*(AZ148-S148)</f>
        <v>0.26274175002782024</v>
      </c>
      <c r="AI148">
        <f>(((X148/10^6)*(Q148/1000))/(0.082056*H148))</f>
        <v>6.924575937873735E-7</v>
      </c>
      <c r="AJ148">
        <f>(((K148/10^6)*AZ148)*(Q148/1000))/(0.082056*H148)</f>
        <v>1.0127867572321097E-6</v>
      </c>
      <c r="AK148">
        <f>(X148/10^6)*T148*(R148/1000)</f>
        <v>1.2747596753444862E-5</v>
      </c>
      <c r="AL148">
        <f>AI148+AK148</f>
        <v>1.3440054347232235E-5</v>
      </c>
      <c r="AM148" s="39">
        <f>((AL148-AJ148)/(R148/1000))*1000000</f>
        <v>10.901111921052742</v>
      </c>
      <c r="AN148" s="39">
        <f>AM148/(T148*AZ148)</f>
        <v>289.59566733261164</v>
      </c>
      <c r="AO148" s="39">
        <f>(K148*AZ148)*T148</f>
        <v>16.354915226345341</v>
      </c>
      <c r="AP148" s="39">
        <f>AM148-AO148</f>
        <v>-5.4538033052925989</v>
      </c>
      <c r="AQ148">
        <f>(((AH148/10^6)*(Q148/1000))/(0.082056*H148))</f>
        <v>6.5827945133978357E-10</v>
      </c>
      <c r="AR148">
        <f>(((M148/10^6)*AZ148)*(Q148/1000))/(0.082056*H148)</f>
        <v>7.6831775294654483E-10</v>
      </c>
      <c r="AS148">
        <f>(AH148/10^6)*V148*(R148/1000)</f>
        <v>8.929191081692089E-9</v>
      </c>
      <c r="AT148">
        <f>AQ148+AS148</f>
        <v>9.5874705330318724E-9</v>
      </c>
      <c r="AU148" s="39">
        <f>((AT148-AR148)/(R148/1000))*1000000000</f>
        <v>7.7360989298994101</v>
      </c>
      <c r="AV148" s="39">
        <f>(AU148/1000)/(V148*AZ148)</f>
        <v>0.27891803231456819</v>
      </c>
      <c r="AW148" s="39">
        <f>(M148*AZ148)*V148*1000</f>
        <v>9.1419288138764667</v>
      </c>
      <c r="AX148" s="39">
        <f>AU148-AW148</f>
        <v>-1.4058298839770567</v>
      </c>
      <c r="AY148" s="26">
        <f>VLOOKUP($E148,Water!$C$2:$G$90, 5, FALSE)</f>
        <v>707.1</v>
      </c>
      <c r="AZ148">
        <f>AY148/760</f>
        <v>0.93039473684210527</v>
      </c>
      <c r="BA148" s="3">
        <f>Assumptions!$B$3</f>
        <v>406.07</v>
      </c>
      <c r="BB148" s="3">
        <f>BA148*AZ148*T148</f>
        <v>15.285499809283234</v>
      </c>
      <c r="BC148" s="3">
        <f>Assumptions!$B$4</f>
        <v>1.8474300000000001</v>
      </c>
      <c r="BD148" s="45">
        <f>BC148*AZ148*U148*1/(0.0821*273.15)</f>
        <v>2.7154007391031821E-3</v>
      </c>
      <c r="BE148" s="3">
        <f>Assumptions!$B$2</f>
        <v>0.33054499999999998</v>
      </c>
      <c r="BF148" s="44">
        <f>BE148*AZ148*V148*1000</f>
        <v>9.1680297597239253</v>
      </c>
      <c r="BG148">
        <f>1923.6+(-125.06*F148)+(4.3773*(F148^2))+(-0.085681*(F148^3))+(0.00070284*(F148^4))</f>
        <v>641.33603601992399</v>
      </c>
      <c r="BH148">
        <f>1909.4+(-120.78*F148)+(4.1555*(F148^2))+(-0.080578*(F148^3))+(0.00065777*(F148^4))</f>
        <v>657.46904778769726</v>
      </c>
      <c r="BI148">
        <f>2141.2+(-152.56*F148)+(5.8963*(F148^2))+(-0.12411*(F148^3))+(0.0010655*(F148^4))</f>
        <v>668.91730156455026</v>
      </c>
      <c r="BJ148" s="25">
        <f>VLOOKUP(E148,Wind!$C$2:$E$109,3, FALSE)</f>
        <v>0.77777777777777779</v>
      </c>
      <c r="BK148" s="44">
        <v>1.66</v>
      </c>
      <c r="BL148">
        <f>BK148/(1-(((1.3*10^-3)^0.5)/0.41)*LN(10/1.5))</f>
        <v>1.9923982880693825</v>
      </c>
      <c r="BM148">
        <f>BK148*1.22</f>
        <v>2.0251999999999999</v>
      </c>
      <c r="BN148">
        <f>2.07+0.215*(BM148^1.7)*(24/100)</f>
        <v>2.241255750541113</v>
      </c>
      <c r="BO148">
        <f>BN148*((600/BG148)^0.67)</f>
        <v>2.1434105978653366</v>
      </c>
      <c r="BP148">
        <f>BN148*((600/BH148)^0.67)</f>
        <v>2.1080276139452359</v>
      </c>
      <c r="BQ148">
        <f>BN148*((600/BI148)^0.67)</f>
        <v>2.083786533675283</v>
      </c>
      <c r="BR148" s="39">
        <f>BO148*(AM148-BB148)</f>
        <v>-9.3975434647856595</v>
      </c>
      <c r="BS148" s="39">
        <f>BP148*(AD148-BD148)</f>
        <v>0.26460648238904882</v>
      </c>
      <c r="BT148" s="39">
        <f>BQ148*(AU148-BF148)</f>
        <v>-2.983838180342798</v>
      </c>
      <c r="BU148">
        <f>(2.51+1.48*BM148)+(0.39*BM148*LOG10(0.0015))</f>
        <v>3.2768938069574309</v>
      </c>
      <c r="BV148">
        <f>BU148*((600/$BG148)^0.67)</f>
        <v>3.1338364272868393</v>
      </c>
      <c r="BW148">
        <f>BU148*((600/$BH148)^0.67)</f>
        <v>3.0821036962714436</v>
      </c>
      <c r="BX148">
        <f>BU148*((600/$BI148)^0.67)</f>
        <v>3.0466613127811222</v>
      </c>
      <c r="BY148" s="39">
        <f>BV148*($AM148-$BB148)</f>
        <v>-13.739954475491935</v>
      </c>
      <c r="BZ148" s="39">
        <f>BW148*($AD148-$BD148)</f>
        <v>0.38687568039128112</v>
      </c>
      <c r="CA148" s="39">
        <f>BX148*($AU148-$BF148)</f>
        <v>-4.3626082618049189</v>
      </c>
      <c r="CB148" s="42">
        <f>AVERAGE(0.72,0.69,0.4,0.22)</f>
        <v>0.50750000000000006</v>
      </c>
      <c r="CC148">
        <f>CB148*((600/$BG148)^0.67)</f>
        <v>0.48534437810322728</v>
      </c>
      <c r="CD148">
        <f>CB148*((600/$BH148)^0.67)</f>
        <v>0.47733241234023227</v>
      </c>
      <c r="CE148">
        <f>CB148*((600/$BI148)^0.67)</f>
        <v>0.47184336976486757</v>
      </c>
      <c r="CF148" s="39">
        <f>CC148*($AM148-$BB148)</f>
        <v>-2.1279380129765499</v>
      </c>
      <c r="CG148" s="39">
        <f>CD148*($AD148-$BD148)</f>
        <v>5.9916316904048444E-2</v>
      </c>
      <c r="CH148" s="39">
        <f>CE148*($AU148-$BF148)</f>
        <v>-0.67564706801460239</v>
      </c>
      <c r="CI148">
        <v>0.86263901889527161</v>
      </c>
      <c r="CJ148">
        <f>((BG148/BH148)^0.67)*CI148</f>
        <v>0.84839875034158374</v>
      </c>
      <c r="CK148">
        <f>((BH148/BH148)^0.67)*CI148</f>
        <v>0.86263901889527161</v>
      </c>
      <c r="CL148">
        <f>((BI148/BH148)^0.67)*CI148</f>
        <v>0.87267426068376308</v>
      </c>
      <c r="CM148" s="39">
        <f>CJ148*($AM148-$BB148)</f>
        <v>-3.7197092053875247</v>
      </c>
      <c r="CN148" s="39">
        <f>CK148*($AD148-$BD148)</f>
        <v>0.10828125535520046</v>
      </c>
      <c r="CO148" s="39">
        <f>CL148*($AU148-$BF148)</f>
        <v>-1.2496091782673961</v>
      </c>
      <c r="CP148" s="27">
        <f>VLOOKUP(A148,Water!$A$2:$E$109, 5, FALSE)/1000</f>
        <v>7.0999999999999991E-4</v>
      </c>
      <c r="CQ148">
        <f>0.64*CP148</f>
        <v>4.5439999999999993E-4</v>
      </c>
      <c r="CR148" s="19">
        <f>CQ148*1000*(2.5*10^-5)</f>
        <v>1.1359999999999998E-5</v>
      </c>
      <c r="CS148" s="18">
        <f>(-0.0000009*F148^3)+(0.0002*F148^2)-(0.0134*F148)+6.579</f>
        <v>6.3924727172999996</v>
      </c>
      <c r="CT148" s="18">
        <f>CS148-(SQRT(CP148))/(1+1.4*SQRT(CP148))</f>
        <v>6.3667851452858359</v>
      </c>
      <c r="CU148" s="18">
        <f>10^(-CT148)</f>
        <v>4.2974898014101039E-7</v>
      </c>
      <c r="CV148" s="18">
        <f>(0.000001*F148^3)+(0.00006*F148^2)-(0.014*F148)+10.625</f>
        <v>10.390720603</v>
      </c>
      <c r="CW148" s="18">
        <f>CV148-(2*SQRT(CR148))/(1+1.4*SQRT(CR148))</f>
        <v>10.384011341795732</v>
      </c>
      <c r="CX148" s="18">
        <f>10^(-CW148)</f>
        <v>4.1303671520971593E-11</v>
      </c>
      <c r="CY148">
        <f>EXP(1246.98+-61900/H148-183*LN(H148))</f>
        <v>2.091749845981113E-2</v>
      </c>
      <c r="CZ148">
        <f>12.225*(F148^2)+15.258*F148+1125.7</f>
        <v>5685.9848499999998</v>
      </c>
      <c r="DA148" s="15">
        <f>10^(-4470.99/H148+6.0875-0.01706*H148)</f>
        <v>6.1526160700922171E-15</v>
      </c>
      <c r="DB148">
        <f>(10^-I148)</f>
        <v>1.3182567385564018E-9</v>
      </c>
      <c r="DC148">
        <f>DB148^2</f>
        <v>1.7378008287493616E-18</v>
      </c>
      <c r="DD148" s="20">
        <f>((14.6836*10^-9)*((H148/217.2056)-1)^1.997)*100*100</f>
        <v>1.7397089329994797E-5</v>
      </c>
      <c r="DE148">
        <f>CY148+CZ148*DA148/DB148</f>
        <v>4.7455334936733568E-2</v>
      </c>
      <c r="DF148">
        <f>1+DC148*(CU148*CX148+CU148*DB148)^-1</f>
        <v>1.0029743127698192</v>
      </c>
      <c r="DG148">
        <f>(DE148*DF148/DD148)^0.5</f>
        <v>52.30571341485863</v>
      </c>
      <c r="DH148">
        <f>DD148/(BO148/60/60)</f>
        <v>2.9219563274696502E-2</v>
      </c>
      <c r="DI148" s="16">
        <f>DF148/((DF148-1)+TANH(DG148*DH148)/(DG148*DH148))</f>
        <v>1.6758682011767585</v>
      </c>
      <c r="DJ148">
        <f>$DI148*BR148</f>
        <v>-15.749044261810745</v>
      </c>
      <c r="DK148">
        <f>$DI148*BY148</f>
        <v>-23.02635279109322</v>
      </c>
      <c r="DL148">
        <f>$DI148*CF148</f>
        <v>-3.5661436500226564</v>
      </c>
      <c r="DM148">
        <f>$DI148*CM148</f>
        <v>-6.2337423749334206</v>
      </c>
    </row>
    <row r="149" spans="1:117" ht="15.75" x14ac:dyDescent="0.25">
      <c r="A149" s="52" t="s">
        <v>322</v>
      </c>
      <c r="B149" s="55" t="s">
        <v>342</v>
      </c>
      <c r="C149" t="s">
        <v>310</v>
      </c>
      <c r="D149" s="57">
        <v>43243</v>
      </c>
      <c r="E149" s="42" t="str">
        <f>A149&amp;D149</f>
        <v>32A43243</v>
      </c>
      <c r="F149" s="3">
        <f>VLOOKUP($E149,Water!$C$2:$E$90, 2, FALSE)</f>
        <v>18.7</v>
      </c>
      <c r="G149" s="3">
        <f>VLOOKUP($E149,Water!$C$2:$E$90, 3, FALSE)</f>
        <v>0.95</v>
      </c>
      <c r="H149" s="1">
        <f>F149+273.15</f>
        <v>291.84999999999997</v>
      </c>
      <c r="I149" s="3">
        <f>VLOOKUP($E149,Water!$C$2:$F$90, 4, FALSE)</f>
        <v>8.8800000000000008</v>
      </c>
      <c r="J149">
        <f>10^(I149*-1)</f>
        <v>1.3182567385564018E-9</v>
      </c>
      <c r="K149" s="25">
        <f>VLOOKUP($E149,Atm!$D$2:$G$45, 2, FALSE)</f>
        <v>434.47976898528862</v>
      </c>
      <c r="L149" s="25">
        <f>VLOOKUP($E149,Atm!$D$2:$G$45, 3, FALSE)</f>
        <v>2.266525490924796</v>
      </c>
      <c r="M149" s="25">
        <f>VLOOKUP($E149,Atm!$D$2:$G$45, 4, FALSE)</f>
        <v>0.32960395406414911</v>
      </c>
      <c r="N149" s="21">
        <f>VLOOKUP($C149,Raw!$B$2:$F$353, 3, FALSE)</f>
        <v>271.82242549926389</v>
      </c>
      <c r="O149" s="21">
        <f>VLOOKUP($C149,Raw!$B$2:$F$353, 4, FALSE)</f>
        <v>40.499785526792458</v>
      </c>
      <c r="P149" s="21">
        <f>VLOOKUP($C149,Raw!$B$2:$F$353, 5, FALSE)</f>
        <v>0.32510833255291238</v>
      </c>
      <c r="Q149" s="14">
        <v>60</v>
      </c>
      <c r="R149" s="25">
        <v>1140</v>
      </c>
      <c r="S149">
        <f>EXP(24.4543-(100/H149*(67.4509))-(4.8489*LN(H149/100))-(0.000544*G149))</f>
        <v>2.1253733285633746E-2</v>
      </c>
      <c r="T149" s="8">
        <f>EXP(-58.0931+90.5069*(100/H149)+22.294*LN(H149/100)+G149*(0.027766-0.025888*(H149/100)+0.0050578*(H149/100)^2)*G149)</f>
        <v>4.0458659886620958E-2</v>
      </c>
      <c r="U149" s="9">
        <f>(EXP(-67.1962+99.1624*(100/H149)+27.9015*LN(H149/100)+G149*(-0.072909+0.041674*(H149/100)-0.0064603*(H149/100)^2)*G149))</f>
        <v>3.5427708050784629E-2</v>
      </c>
      <c r="V149" s="9">
        <f>(EXP(-64.8539+100.252*(100/H149)+25.2049*LN(H149/100)+(-0.062544+0.035337*(H149/100)-0.0054699*(H149/100)^2)*G149))</f>
        <v>2.9811112071229263E-2</v>
      </c>
      <c r="W149" s="9">
        <f>(EXP(-68.8862+101.4956*(100/H149)+28.7314*LN(H149/100)+G149*(-0.076146+0.04397*(H149/100)-0.0068672*(H149/100)^2)))</f>
        <v>3.5358019892880767E-2</v>
      </c>
      <c r="X149">
        <f>N149*(AZ149-S149)</f>
        <v>247.12491270755498</v>
      </c>
      <c r="Y149">
        <f>O149*(AZ149-S149)</f>
        <v>36.820015657649954</v>
      </c>
      <c r="Z149">
        <f>((Y149/10^6)*AZ149)/(0.082056*H149)</f>
        <v>1.4304779693286271E-6</v>
      </c>
      <c r="AA149">
        <f>(((L149/10^6)*AZ149)/(0.082056*H149))</f>
        <v>8.8055768683956271E-8</v>
      </c>
      <c r="AB149">
        <f>((Y149/10^6)*U149*1)/(0.082056*H149)</f>
        <v>5.4469951154779983E-8</v>
      </c>
      <c r="AC149">
        <f>(Z149*(Q149/1000))+(AB149*(R149/1000))</f>
        <v>1.4792442247616679E-7</v>
      </c>
      <c r="AD149" s="39">
        <f>((AC149-(AA149*(Q149/1000)))/(R149/1000))*1000000</f>
        <v>0.12512375118871003</v>
      </c>
      <c r="AE149" s="39">
        <f>(AD149/((U149*AZ149*1))*(0.0821*273.15))</f>
        <v>85.128271613751991</v>
      </c>
      <c r="AF149" s="39">
        <f>L149*U149*AZ149*1/(0.0821*273.15)</f>
        <v>3.3313982090002834E-3</v>
      </c>
      <c r="AG149" s="39">
        <f>AD149-AF149</f>
        <v>0.12179235297970974</v>
      </c>
      <c r="AH149" s="42">
        <f>P149*(AZ149-S149)</f>
        <v>0.29556931572172584</v>
      </c>
      <c r="AI149">
        <f>(((X149/10^6)*(Q149/1000))/(0.082056*H149))</f>
        <v>6.1915265439274962E-7</v>
      </c>
      <c r="AJ149">
        <f>(((K149/10^6)*AZ149)*(Q149/1000))/(0.082056*H149)</f>
        <v>1.0127867572321097E-6</v>
      </c>
      <c r="AK149">
        <f>(X149/10^6)*T149*(R149/1000)</f>
        <v>1.139811078373028E-5</v>
      </c>
      <c r="AL149">
        <f>AI149+AK149</f>
        <v>1.201726343812303E-5</v>
      </c>
      <c r="AM149" s="39">
        <f>((AL149-AJ149)/(R149/1000))*1000000</f>
        <v>9.6530497200797551</v>
      </c>
      <c r="AN149" s="39">
        <f>AM149/(T149*AZ149)</f>
        <v>256.44002150666955</v>
      </c>
      <c r="AO149" s="39">
        <f>(K149*AZ149)*T149</f>
        <v>16.354915226345341</v>
      </c>
      <c r="AP149" s="39">
        <f>AM149-AO149</f>
        <v>-6.7018655062655856</v>
      </c>
      <c r="AQ149">
        <f>(((AH149/10^6)*(Q149/1000))/(0.082056*H149))</f>
        <v>7.4052641792014917E-10</v>
      </c>
      <c r="AR149">
        <f>(((M149/10^6)*AZ149)*(Q149/1000))/(0.082056*H149)</f>
        <v>7.6831775294654483E-10</v>
      </c>
      <c r="AS149">
        <f>(AH149/10^6)*V149*(R149/1000)</f>
        <v>1.0044824995208481E-8</v>
      </c>
      <c r="AT149">
        <f>AQ149+AS149</f>
        <v>1.078535141312863E-8</v>
      </c>
      <c r="AU149" s="39">
        <f>((AT149-AR149)/(R149/1000))*1000000000</f>
        <v>8.7868716317386717</v>
      </c>
      <c r="AV149" s="39">
        <f>(AU149/1000)/(V149*AZ149)</f>
        <v>0.31680268930546318</v>
      </c>
      <c r="AW149" s="39">
        <f>(M149*AZ149)*V149*1000</f>
        <v>9.1419288138764667</v>
      </c>
      <c r="AX149" s="39">
        <f>AU149-AW149</f>
        <v>-0.35505718213779502</v>
      </c>
      <c r="AY149" s="26">
        <f>VLOOKUP($E149,Water!$C$2:$G$90, 5, FALSE)</f>
        <v>707.1</v>
      </c>
      <c r="AZ149">
        <f>AY149/760</f>
        <v>0.93039473684210527</v>
      </c>
      <c r="BA149" s="3">
        <f>Assumptions!$B$3</f>
        <v>406.07</v>
      </c>
      <c r="BB149" s="3">
        <f>BA149*AZ149*T149</f>
        <v>15.285499809283234</v>
      </c>
      <c r="BC149" s="3">
        <f>Assumptions!$B$4</f>
        <v>1.8474300000000001</v>
      </c>
      <c r="BD149" s="45">
        <f>BC149*AZ149*U149*1/(0.0821*273.15)</f>
        <v>2.7154007391031821E-3</v>
      </c>
      <c r="BE149" s="3">
        <f>Assumptions!$B$2</f>
        <v>0.33054499999999998</v>
      </c>
      <c r="BF149" s="44">
        <f>BE149*AZ149*V149*1000</f>
        <v>9.1680297597239253</v>
      </c>
      <c r="BG149">
        <f>1923.6+(-125.06*F149)+(4.3773*(F149^2))+(-0.085681*(F149^3))+(0.00070284*(F149^4))</f>
        <v>641.33603601992399</v>
      </c>
      <c r="BH149">
        <f>1909.4+(-120.78*F149)+(4.1555*(F149^2))+(-0.080578*(F149^3))+(0.00065777*(F149^4))</f>
        <v>657.46904778769726</v>
      </c>
      <c r="BI149">
        <f>2141.2+(-152.56*F149)+(5.8963*(F149^2))+(-0.12411*(F149^3))+(0.0010655*(F149^4))</f>
        <v>668.91730156455026</v>
      </c>
      <c r="BJ149" s="25">
        <f>VLOOKUP(E149,Wind!$C$2:$E$109,3, FALSE)</f>
        <v>0.77777777777777779</v>
      </c>
      <c r="BK149" s="44">
        <v>1.66</v>
      </c>
      <c r="BL149">
        <f>BK149/(1-(((1.3*10^-3)^0.5)/0.41)*LN(10/1.5))</f>
        <v>1.9923982880693825</v>
      </c>
      <c r="BM149">
        <f>BK149*1.22</f>
        <v>2.0251999999999999</v>
      </c>
      <c r="BN149">
        <f>2.07+0.215*(BM149^1.7)*(24/100)</f>
        <v>2.241255750541113</v>
      </c>
      <c r="BO149">
        <f>BN149*((600/BG149)^0.67)</f>
        <v>2.1434105978653366</v>
      </c>
      <c r="BP149">
        <f>BN149*((600/BH149)^0.67)</f>
        <v>2.1080276139452359</v>
      </c>
      <c r="BQ149">
        <f>BN149*((600/BI149)^0.67)</f>
        <v>2.083786533675283</v>
      </c>
      <c r="BR149" s="39">
        <f>BO149*(AM149-BB149)</f>
        <v>-12.072653213146298</v>
      </c>
      <c r="BS149" s="39">
        <f>BP149*(AD149-BD149)</f>
        <v>0.25804018292525693</v>
      </c>
      <c r="BT149" s="39">
        <f>BQ149*(AU149-BF149)</f>
        <v>-0.79425217429655148</v>
      </c>
      <c r="BU149">
        <f>(2.51+1.48*BM149)+(0.39*BM149*LOG10(0.0015))</f>
        <v>3.2768938069574309</v>
      </c>
      <c r="BV149">
        <f>BU149*((600/$BG149)^0.67)</f>
        <v>3.1338364272868393</v>
      </c>
      <c r="BW149">
        <f>BU149*((600/$BH149)^0.67)</f>
        <v>3.0821036962714436</v>
      </c>
      <c r="BX149">
        <f>BU149*((600/$BI149)^0.67)</f>
        <v>3.0466613127811222</v>
      </c>
      <c r="BY149" s="39">
        <f>BV149*($AM149-$BB149)</f>
        <v>-17.65117726442087</v>
      </c>
      <c r="BZ149" s="39">
        <f>BW149*($AD149-$BD149)</f>
        <v>0.37727522937522345</v>
      </c>
      <c r="CA149" s="39">
        <f>BX149*($AU149-$BF149)</f>
        <v>-1.1612597225847479</v>
      </c>
      <c r="CB149" s="42">
        <f>AVERAGE(0.72,0.69,0.4,0.22)</f>
        <v>0.50750000000000006</v>
      </c>
      <c r="CC149">
        <f>CB149*((600/$BG149)^0.67)</f>
        <v>0.48534437810322728</v>
      </c>
      <c r="CD149">
        <f>CB149*((600/$BH149)^0.67)</f>
        <v>0.47733241234023227</v>
      </c>
      <c r="CE149">
        <f>CB149*((600/$BI149)^0.67)</f>
        <v>0.47184336976486757</v>
      </c>
      <c r="CF149" s="39">
        <f>CC149*($AM149-$BB149)</f>
        <v>-2.7336779857419296</v>
      </c>
      <c r="CG149" s="39">
        <f>CD149*($AD149-$BD149)</f>
        <v>5.8429473210699384E-2</v>
      </c>
      <c r="CH149" s="39">
        <f>CE149*($AU149-$BF149)</f>
        <v>-0.17984693552183073</v>
      </c>
      <c r="CI149">
        <v>0.86263901889527161</v>
      </c>
      <c r="CJ149">
        <f>((BG149/BH149)^0.67)*CI149</f>
        <v>0.84839875034158374</v>
      </c>
      <c r="CK149">
        <f>((BH149/BH149)^0.67)*CI149</f>
        <v>0.86263901889527161</v>
      </c>
      <c r="CL149">
        <f>((BI149/BH149)^0.67)*CI149</f>
        <v>0.87267426068376308</v>
      </c>
      <c r="CM149" s="39">
        <f>CJ149*($AM149-$BB149)</f>
        <v>-4.7785636170415735</v>
      </c>
      <c r="CN149" s="39">
        <f>CK149*($AD149-$BD149)</f>
        <v>0.10559421933643742</v>
      </c>
      <c r="CO149" s="39">
        <f>CL149*($AU149-$BF149)</f>
        <v>-0.33262688754313835</v>
      </c>
      <c r="CP149" s="27">
        <f>VLOOKUP(A149,Water!$A$2:$E$109, 5, FALSE)/1000</f>
        <v>7.0999999999999991E-4</v>
      </c>
      <c r="CQ149">
        <f>0.64*CP149</f>
        <v>4.5439999999999993E-4</v>
      </c>
      <c r="CR149" s="19">
        <f>CQ149*1000*(2.5*10^-5)</f>
        <v>1.1359999999999998E-5</v>
      </c>
      <c r="CS149" s="18">
        <f>(-0.0000009*F149^3)+(0.0002*F149^2)-(0.0134*F149)+6.579</f>
        <v>6.3924727172999996</v>
      </c>
      <c r="CT149" s="18">
        <f>CS149-(SQRT(CP149))/(1+1.4*SQRT(CP149))</f>
        <v>6.3667851452858359</v>
      </c>
      <c r="CU149" s="18">
        <f>10^(-CT149)</f>
        <v>4.2974898014101039E-7</v>
      </c>
      <c r="CV149" s="18">
        <f>(0.000001*F149^3)+(0.00006*F149^2)-(0.014*F149)+10.625</f>
        <v>10.390720603</v>
      </c>
      <c r="CW149" s="18">
        <f>CV149-(2*SQRT(CR149))/(1+1.4*SQRT(CR149))</f>
        <v>10.384011341795732</v>
      </c>
      <c r="CX149" s="18">
        <f>10^(-CW149)</f>
        <v>4.1303671520971593E-11</v>
      </c>
      <c r="CY149">
        <f>EXP(1246.98+-61900/H149-183*LN(H149))</f>
        <v>2.091749845981113E-2</v>
      </c>
      <c r="CZ149">
        <f>12.225*(F149^2)+15.258*F149+1125.7</f>
        <v>5685.9848499999998</v>
      </c>
      <c r="DA149" s="15">
        <f>10^(-4470.99/H149+6.0875-0.01706*H149)</f>
        <v>6.1526160700922171E-15</v>
      </c>
      <c r="DB149">
        <f>(10^-I149)</f>
        <v>1.3182567385564018E-9</v>
      </c>
      <c r="DC149">
        <f>DB149^2</f>
        <v>1.7378008287493616E-18</v>
      </c>
      <c r="DD149" s="20">
        <f>((14.6836*10^-9)*((H149/217.2056)-1)^1.997)*100*100</f>
        <v>1.7397089329994797E-5</v>
      </c>
      <c r="DE149">
        <f>CY149+CZ149*DA149/DB149</f>
        <v>4.7455334936733568E-2</v>
      </c>
      <c r="DF149">
        <f>1+DC149*(CU149*CX149+CU149*DB149)^-1</f>
        <v>1.0029743127698192</v>
      </c>
      <c r="DG149">
        <f>(DE149*DF149/DD149)^0.5</f>
        <v>52.30571341485863</v>
      </c>
      <c r="DH149">
        <f>DD149/(BO149/60/60)</f>
        <v>2.9219563274696502E-2</v>
      </c>
      <c r="DI149" s="16">
        <f>DF149/((DF149-1)+TANH(DG149*DH149)/(DG149*DH149))</f>
        <v>1.6758682011767585</v>
      </c>
      <c r="DJ149">
        <f>$DI149*BR149</f>
        <v>-20.232175623746301</v>
      </c>
      <c r="DK149">
        <f>$DI149*BY149</f>
        <v>-29.5810466907771</v>
      </c>
      <c r="DL149">
        <f>$DI149*CF149</f>
        <v>-4.5812840085618323</v>
      </c>
      <c r="DM149">
        <f>$DI149*CM149</f>
        <v>-8.0082428131001659</v>
      </c>
    </row>
    <row r="150" spans="1:117" ht="15.75" x14ac:dyDescent="0.25">
      <c r="A150" s="52" t="s">
        <v>324</v>
      </c>
      <c r="B150" s="55" t="s">
        <v>339</v>
      </c>
      <c r="C150" t="s">
        <v>312</v>
      </c>
      <c r="D150" s="57">
        <v>43243</v>
      </c>
      <c r="E150" s="42" t="str">
        <f>A150&amp;D150</f>
        <v>32B43243</v>
      </c>
      <c r="F150" s="3">
        <f>VLOOKUP($E150,Water!$C$2:$E$90, 2, FALSE)</f>
        <v>20.3</v>
      </c>
      <c r="G150" s="3">
        <f>VLOOKUP($E150,Water!$C$2:$E$90, 3, FALSE)</f>
        <v>0.85</v>
      </c>
      <c r="H150" s="1">
        <f>F150+273.15</f>
        <v>293.45</v>
      </c>
      <c r="I150" s="3">
        <f>VLOOKUP($E150,Water!$C$2:$F$90, 4, FALSE)</f>
        <v>8.9</v>
      </c>
      <c r="J150">
        <f>10^(I150*-1)</f>
        <v>1.2589254117941623E-9</v>
      </c>
      <c r="K150" s="25">
        <f>VLOOKUP($E150,Atm!$D$2:$G$45, 2, FALSE)</f>
        <v>417.31196402057247</v>
      </c>
      <c r="L150" s="25">
        <f>VLOOKUP($E150,Atm!$D$2:$G$45, 3, FALSE)</f>
        <v>2.6187584960266279</v>
      </c>
      <c r="M150" s="25">
        <f>VLOOKUP($E150,Atm!$D$2:$G$45, 4, FALSE)</f>
        <v>0.32730393793396539</v>
      </c>
      <c r="N150" s="21">
        <f>VLOOKUP($C150,Raw!$B$2:$F$353, 3, FALSE)</f>
        <v>279.38309537436118</v>
      </c>
      <c r="O150" s="21">
        <f>VLOOKUP($C150,Raw!$B$2:$F$353, 4, FALSE)</f>
        <v>38.851343474051767</v>
      </c>
      <c r="P150" s="21">
        <f>VLOOKUP($C150,Raw!$B$2:$F$353, 5, FALSE)</f>
        <v>0.321567817085126</v>
      </c>
      <c r="Q150" s="14">
        <v>60</v>
      </c>
      <c r="R150" s="25">
        <v>1140</v>
      </c>
      <c r="S150">
        <f>EXP(24.4543-(100/H150*(67.4509))-(4.8489*LN(H150/100))-(0.000544*G150))</f>
        <v>2.3478595594418242E-2</v>
      </c>
      <c r="T150" s="8">
        <f>EXP(-58.0931+90.5069*(100/H150)+22.294*LN(H150/100)+G150*(0.027766-0.025888*(H150/100)+0.0050578*(H150/100)^2)*G150)</f>
        <v>3.862782324314689E-2</v>
      </c>
      <c r="U150" s="9">
        <f>(EXP(-67.1962+99.1624*(100/H150)+27.9015*LN(H150/100)+G150*(-0.072909+0.041674*(H150/100)-0.0064603*(H150/100)^2)*G150))</f>
        <v>3.4328091466677348E-2</v>
      </c>
      <c r="V150" s="9">
        <f>(EXP(-64.8539+100.252*(100/H150)+25.2049*LN(H150/100)+(-0.062544+0.035337*(H150/100)-0.0054699*(H150/100)^2)*G150))</f>
        <v>2.8390011798366976E-2</v>
      </c>
      <c r="W150" s="9">
        <f>(EXP(-68.8862+101.4956*(100/H150)+28.7314*LN(H150/100)+G150*(-0.076146+0.04397*(H150/100)-0.0068672*(H150/100)^2)))</f>
        <v>3.4249622122096028E-2</v>
      </c>
      <c r="X150">
        <f>N150*(AZ150-S150)</f>
        <v>252.93590758352747</v>
      </c>
      <c r="Y150">
        <f>O150*(AZ150-S150)</f>
        <v>35.173566279237555</v>
      </c>
      <c r="Z150">
        <f>((Y150/10^6)*AZ150)/(0.082056*H150)</f>
        <v>1.356755332919891E-6</v>
      </c>
      <c r="AA150">
        <f>(((L150/10^6)*AZ150)/(0.082056*H150))</f>
        <v>1.0101377059427418E-7</v>
      </c>
      <c r="AB150">
        <f>((Y150/10^6)*U150*1)/(0.082056*H150)</f>
        <v>5.0144303848202272E-8</v>
      </c>
      <c r="AC150">
        <f>(Z150*(Q150/1000))+(AB150*(R150/1000))</f>
        <v>1.3856982636214405E-7</v>
      </c>
      <c r="AD150" s="39">
        <f>((AC150-(AA150*(Q150/1000)))/(R150/1000))*1000000</f>
        <v>0.11623596502323474</v>
      </c>
      <c r="AE150" s="39">
        <f>(AD150/((U150*AZ150*1))*(0.0821*273.15))</f>
        <v>81.753365343821514</v>
      </c>
      <c r="AF150" s="39">
        <f>L150*U150*AZ150*1/(0.0821*273.15)</f>
        <v>3.7233197638811867E-3</v>
      </c>
      <c r="AG150" s="39">
        <f>AD150-AF150</f>
        <v>0.11251264525935356</v>
      </c>
      <c r="AH150" s="42">
        <f>P150*(AZ150-S150)</f>
        <v>0.29112730516172902</v>
      </c>
      <c r="AI150">
        <f>(((X150/10^6)*(Q150/1000))/(0.082056*H150))</f>
        <v>6.3025642483370957E-7</v>
      </c>
      <c r="AJ150">
        <f>(((K150/10^6)*AZ150)*(Q150/1000))/(0.082056*H150)</f>
        <v>9.6582227946058323E-7</v>
      </c>
      <c r="AK150">
        <f>(X150/10^6)*T150*(R150/1000)</f>
        <v>1.1138214424178836E-5</v>
      </c>
      <c r="AL150">
        <f>AI150+AK150</f>
        <v>1.1768470849012545E-5</v>
      </c>
      <c r="AM150" s="39">
        <f>((AL150-AJ150)/(R150/1000))*1000000</f>
        <v>9.476007517150844</v>
      </c>
      <c r="AN150" s="39">
        <f>AM150/(T150*AZ150)</f>
        <v>264.11652311911803</v>
      </c>
      <c r="AO150" s="39">
        <f>(K150*AZ150)*T150</f>
        <v>14.97237378924774</v>
      </c>
      <c r="AP150" s="39">
        <f>AM150-AO150</f>
        <v>-5.4963662720968962</v>
      </c>
      <c r="AQ150">
        <f>(((AH150/10^6)*(Q150/1000))/(0.082056*H150))</f>
        <v>7.2542034966747926E-10</v>
      </c>
      <c r="AR150">
        <f>(((M150/10^6)*AZ150)*(Q150/1000))/(0.082056*H150)</f>
        <v>7.5750868095462486E-10</v>
      </c>
      <c r="AS150">
        <f>(AH150/10^6)*V150*(R150/1000)</f>
        <v>9.4222226963398281E-9</v>
      </c>
      <c r="AT150">
        <f>AQ150+AS150</f>
        <v>1.0147643046007307E-8</v>
      </c>
      <c r="AU150" s="39">
        <f>((AT150-AR150)/(R150/1000))*1000000000</f>
        <v>8.2369599693444595</v>
      </c>
      <c r="AV150" s="39">
        <f>(AU150/1000)/(V150*AZ150)</f>
        <v>0.31237178028252127</v>
      </c>
      <c r="AW150" s="39">
        <f>(M150*AZ150)*V150*1000</f>
        <v>8.630707396591708</v>
      </c>
      <c r="AX150" s="39">
        <f>AU150-AW150</f>
        <v>-0.39374742724724854</v>
      </c>
      <c r="AY150" s="26">
        <f>VLOOKUP($E150,Water!$C$2:$G$90, 5, FALSE)</f>
        <v>705.9</v>
      </c>
      <c r="AZ150">
        <f>AY150/760</f>
        <v>0.92881578947368415</v>
      </c>
      <c r="BA150" s="3">
        <f>Assumptions!$B$3</f>
        <v>406.07</v>
      </c>
      <c r="BB150" s="3">
        <f>BA150*AZ150*T150</f>
        <v>14.569033118590648</v>
      </c>
      <c r="BC150" s="3">
        <f>Assumptions!$B$4</f>
        <v>1.8474300000000001</v>
      </c>
      <c r="BD150" s="45">
        <f>BC150*AZ150*U150*1/(0.0821*273.15)</f>
        <v>2.6266540583347779E-3</v>
      </c>
      <c r="BE150" s="3">
        <f>Assumptions!$B$2</f>
        <v>0.33054499999999998</v>
      </c>
      <c r="BF150" s="44">
        <f>BE150*AZ150*V150*1000</f>
        <v>8.7161712578660602</v>
      </c>
      <c r="BG150">
        <f>1923.6+(-125.06*F150)+(4.3773*(F150^2))+(-0.085681*(F150^3))+(0.00070284*(F150^4))</f>
        <v>591.32040748040379</v>
      </c>
      <c r="BH150">
        <f>1909.4+(-120.78*F150)+(4.1555*(F150^2))+(-0.080578*(F150^3))+(0.00065777*(F150^4))</f>
        <v>607.63791462513689</v>
      </c>
      <c r="BI150">
        <f>2141.2+(-152.56*F150)+(5.8963*(F150^2))+(-0.12411*(F150^3))+(0.0010655*(F150^4))</f>
        <v>616.74638014054972</v>
      </c>
      <c r="BJ150" s="25">
        <f>VLOOKUP(E150,Wind!$C$2:$E$109,3, FALSE)</f>
        <v>1.6388888888888888</v>
      </c>
      <c r="BK150" s="44">
        <v>1.66</v>
      </c>
      <c r="BL150">
        <f>BK150/(1-(((1.3*10^-3)^0.5)/0.41)*LN(10/1.5))</f>
        <v>1.9923982880693825</v>
      </c>
      <c r="BM150">
        <f>BK150*1.22</f>
        <v>2.0251999999999999</v>
      </c>
      <c r="BN150">
        <f>2.07+0.215*(BM150^1.7)*(24/100)</f>
        <v>2.241255750541113</v>
      </c>
      <c r="BO150">
        <f>BN150*((600/BG150)^0.67)</f>
        <v>2.2632442902540135</v>
      </c>
      <c r="BP150">
        <f>BN150*((600/BH150)^0.67)</f>
        <v>2.2223409831316077</v>
      </c>
      <c r="BQ150">
        <f>BN150*((600/BI150)^0.67)</f>
        <v>2.2002971006292014</v>
      </c>
      <c r="BR150" s="39">
        <f>BO150*(AM150-BB150)</f>
        <v>-11.526761112576148</v>
      </c>
      <c r="BS150" s="39">
        <f>BP150*(AD150-BD150)</f>
        <v>0.25247862782264036</v>
      </c>
      <c r="BT150" s="39">
        <f>BQ150*(AU150-BF150)</f>
        <v>-1.0544072087228615</v>
      </c>
      <c r="BU150">
        <f>(2.51+1.48*BM150)+(0.39*BM150*LOG10(0.0015))</f>
        <v>3.2768938069574309</v>
      </c>
      <c r="BV150">
        <f>BU150*((600/$BG150)^0.67)</f>
        <v>3.3090427973579444</v>
      </c>
      <c r="BW150">
        <f>BU150*((600/$BH150)^0.67)</f>
        <v>3.2492389156451456</v>
      </c>
      <c r="BX150">
        <f>BU150*((600/$BI150)^0.67)</f>
        <v>3.2170090096935415</v>
      </c>
      <c r="BY150" s="39">
        <f>BV150*($AM150-$BB150)</f>
        <v>-16.853039683203995</v>
      </c>
      <c r="BZ150" s="39">
        <f>BW150*($AD150-$BD150)</f>
        <v>0.36914379436678374</v>
      </c>
      <c r="CA150" s="39">
        <f>BX150*($AU150-$BF150)</f>
        <v>-1.5416270327208406</v>
      </c>
      <c r="CB150" s="42">
        <f>AVERAGE(0.72,0.69,0.4,0.22)</f>
        <v>0.50750000000000006</v>
      </c>
      <c r="CC150">
        <f>CB150*((600/$BG150)^0.67)</f>
        <v>0.51247898729388786</v>
      </c>
      <c r="CD150">
        <f>CB150*((600/$BH150)^0.67)</f>
        <v>0.50321702405760416</v>
      </c>
      <c r="CE150">
        <f>CB150*((600/$BI150)^0.67)</f>
        <v>0.49822550518820691</v>
      </c>
      <c r="CF150" s="39">
        <f>CC150*($AM150-$BB150)</f>
        <v>-2.6100686024877149</v>
      </c>
      <c r="CG150" s="39">
        <f>CD150*($AD150-$BD150)</f>
        <v>5.7170139368991901E-2</v>
      </c>
      <c r="CH150" s="39">
        <f>CE150*($AU150-$BF150)</f>
        <v>-0.23875528631556606</v>
      </c>
      <c r="CI150">
        <v>0.86263901889527161</v>
      </c>
      <c r="CJ150">
        <f>((BG150/BH150)^0.67)*CI150</f>
        <v>0.84704866089565667</v>
      </c>
      <c r="CK150">
        <f>((BH150/BH150)^0.67)*CI150</f>
        <v>0.86263901889527161</v>
      </c>
      <c r="CL150">
        <f>((BI150/BH150)^0.67)*CI150</f>
        <v>0.87128144866945101</v>
      </c>
      <c r="CM150" s="39">
        <f>CJ150*($AM150-$BB150)</f>
        <v>-4.314040515606882</v>
      </c>
      <c r="CN150" s="39">
        <f>CK150*($AD150-$BD150)</f>
        <v>9.8003824548129129E-2</v>
      </c>
      <c r="CO150" s="39">
        <f>CL150*($AU150-$BF150)</f>
        <v>-0.41752790568185449</v>
      </c>
      <c r="CP150" s="27">
        <f>VLOOKUP(A150,Water!$A$2:$E$109, 5, FALSE)/1000</f>
        <v>6.6E-4</v>
      </c>
      <c r="CQ150">
        <f>0.64*CP150</f>
        <v>4.2240000000000002E-4</v>
      </c>
      <c r="CR150" s="19">
        <f>CQ150*1000*(2.5*10^-5)</f>
        <v>1.0560000000000001E-5</v>
      </c>
      <c r="CS150" s="18">
        <f>(-0.0000009*F150^3)+(0.0002*F150^2)-(0.0134*F150)+6.579</f>
        <v>6.3818691156999998</v>
      </c>
      <c r="CT150" s="18">
        <f>CS150-(SQRT(CP150))/(1+1.4*SQRT(CP150))</f>
        <v>6.3570705711454334</v>
      </c>
      <c r="CU150" s="18">
        <f>10^(-CT150)</f>
        <v>4.3947019745655317E-7</v>
      </c>
      <c r="CV150" s="18">
        <f>(0.000001*F150^3)+(0.00006*F150^2)-(0.014*F150)+10.625</f>
        <v>10.373890827</v>
      </c>
      <c r="CW150" s="18">
        <f>CV150-(2*SQRT(CR150))/(1+1.4*SQRT(CR150))</f>
        <v>10.367421030367028</v>
      </c>
      <c r="CX150" s="18">
        <f>10^(-CW150)</f>
        <v>4.2912021091819142E-11</v>
      </c>
      <c r="CY150">
        <f>EXP(1246.98+-61900/H150-183*LN(H150))</f>
        <v>2.4446676359998806E-2</v>
      </c>
      <c r="CZ150">
        <f>12.225*(F150^2)+15.258*F150+1125.7</f>
        <v>6473.23765</v>
      </c>
      <c r="DA150" s="15">
        <f>10^(-4470.99/H150+6.0875-0.01706*H150)</f>
        <v>7.0031171248926193E-15</v>
      </c>
      <c r="DB150">
        <f>(10^-I150)</f>
        <v>1.2589254117941623E-9</v>
      </c>
      <c r="DC150">
        <f>DB150^2</f>
        <v>1.5848931924611013E-18</v>
      </c>
      <c r="DD150" s="20">
        <f>((14.6836*10^-9)*((H150/217.2056)-1)^1.997)*100*100</f>
        <v>1.8149739689417121E-5</v>
      </c>
      <c r="DE150">
        <f>CY150+CZ150*DA150/DB150</f>
        <v>6.0455832276240407E-2</v>
      </c>
      <c r="DF150">
        <f>1+DC150*(CU150*CX150+CU150*DB150)^-1</f>
        <v>1.0027702171660133</v>
      </c>
      <c r="DG150">
        <f>(DE150*DF150/DD150)^0.5</f>
        <v>57.794247735117864</v>
      </c>
      <c r="DH150">
        <f>DD150/(BO150/60/60)</f>
        <v>2.8869646623329536E-2</v>
      </c>
      <c r="DI150" s="16">
        <f>DF150/((DF150-1)+TANH(DG150*DH150)/(DG150*DH150))</f>
        <v>1.7875705877452537</v>
      </c>
      <c r="DJ150">
        <f>$DI150*BR150</f>
        <v>-20.604899136806878</v>
      </c>
      <c r="DK150">
        <f>$DI150*BY150</f>
        <v>-30.125998051799051</v>
      </c>
      <c r="DL150">
        <f>$DI150*CF150</f>
        <v>-4.6656818658043973</v>
      </c>
      <c r="DM150">
        <f>$DI150*CM150</f>
        <v>-7.7116519400402312</v>
      </c>
    </row>
    <row r="151" spans="1:117" ht="15.75" x14ac:dyDescent="0.25">
      <c r="A151" s="52" t="s">
        <v>324</v>
      </c>
      <c r="B151" s="55" t="s">
        <v>340</v>
      </c>
      <c r="C151" t="s">
        <v>313</v>
      </c>
      <c r="D151" s="57">
        <v>43243</v>
      </c>
      <c r="E151" s="42" t="str">
        <f>A151&amp;D151</f>
        <v>32B43243</v>
      </c>
      <c r="F151" s="3">
        <f>VLOOKUP($E151,Water!$C$2:$E$90, 2, FALSE)</f>
        <v>20.3</v>
      </c>
      <c r="G151" s="3">
        <f>VLOOKUP($E151,Water!$C$2:$E$90, 3, FALSE)</f>
        <v>0.85</v>
      </c>
      <c r="H151" s="1">
        <f>F151+273.15</f>
        <v>293.45</v>
      </c>
      <c r="I151" s="3">
        <f>VLOOKUP($E151,Water!$C$2:$F$90, 4, FALSE)</f>
        <v>8.9</v>
      </c>
      <c r="J151">
        <f>10^(I151*-1)</f>
        <v>1.2589254117941623E-9</v>
      </c>
      <c r="K151" s="25">
        <f>VLOOKUP($E151,Atm!$D$2:$G$45, 2, FALSE)</f>
        <v>417.31196402057247</v>
      </c>
      <c r="L151" s="25">
        <f>VLOOKUP($E151,Atm!$D$2:$G$45, 3, FALSE)</f>
        <v>2.6187584960266279</v>
      </c>
      <c r="M151" s="25">
        <f>VLOOKUP($E151,Atm!$D$2:$G$45, 4, FALSE)</f>
        <v>0.32730393793396539</v>
      </c>
      <c r="N151" s="21">
        <f>VLOOKUP($C151,Raw!$B$2:$F$353, 3, FALSE)</f>
        <v>269.55898923539269</v>
      </c>
      <c r="O151" s="21">
        <f>VLOOKUP($C151,Raw!$B$2:$F$353, 4, FALSE)</f>
        <v>36.070112206980198</v>
      </c>
      <c r="P151" s="21">
        <f>VLOOKUP($C151,Raw!$B$2:$F$353, 5, FALSE)</f>
        <v>0.32241918759524385</v>
      </c>
      <c r="Q151" s="14">
        <v>60</v>
      </c>
      <c r="R151" s="25">
        <v>1140</v>
      </c>
      <c r="S151">
        <f>EXP(24.4543-(100/H151*(67.4509))-(4.8489*LN(H151/100))-(0.000544*G151))</f>
        <v>2.3478595594418242E-2</v>
      </c>
      <c r="T151" s="8">
        <f>EXP(-58.0931+90.5069*(100/H151)+22.294*LN(H151/100)+G151*(0.027766-0.025888*(H151/100)+0.0050578*(H151/100)^2)*G151)</f>
        <v>3.862782324314689E-2</v>
      </c>
      <c r="U151" s="9">
        <f>(EXP(-67.1962+99.1624*(100/H151)+27.9015*LN(H151/100)+G151*(-0.072909+0.041674*(H151/100)-0.0064603*(H151/100)^2)*G151))</f>
        <v>3.4328091466677348E-2</v>
      </c>
      <c r="V151" s="9">
        <f>(EXP(-64.8539+100.252*(100/H151)+25.2049*LN(H151/100)+(-0.062544+0.035337*(H151/100)-0.0054699*(H151/100)^2)*G151))</f>
        <v>2.8390011798366976E-2</v>
      </c>
      <c r="W151" s="9">
        <f>(EXP(-68.8862+101.4956*(100/H151)+28.7314*LN(H151/100)+G151*(-0.076146+0.04397*(H151/100)-0.0068672*(H151/100)^2)))</f>
        <v>3.4249622122096028E-2</v>
      </c>
      <c r="X151">
        <f>N151*(AZ151-S151)</f>
        <v>244.04177889930168</v>
      </c>
      <c r="Y151">
        <f>O151*(AZ151-S151)</f>
        <v>32.65561416837771</v>
      </c>
      <c r="Z151">
        <f>((Y151/10^6)*AZ151)/(0.082056*H151)</f>
        <v>1.2596299823846354E-6</v>
      </c>
      <c r="AA151">
        <f>(((L151/10^6)*AZ151)/(0.082056*H151))</f>
        <v>1.0101377059427418E-7</v>
      </c>
      <c r="AB151">
        <f>((Y151/10^6)*U151*1)/(0.082056*H151)</f>
        <v>4.6554649199031593E-8</v>
      </c>
      <c r="AC151">
        <f>(Z151*(Q151/1000))+(AB151*(R151/1000))</f>
        <v>1.2865009902997413E-7</v>
      </c>
      <c r="AD151" s="39">
        <f>((AC151-(AA151*(Q151/1000)))/(R151/1000))*1000000</f>
        <v>0.10753444981957694</v>
      </c>
      <c r="AE151" s="39">
        <f>(AD151/((U151*AZ151*1))*(0.0821*273.15))</f>
        <v>75.633244507320924</v>
      </c>
      <c r="AF151" s="39">
        <f>L151*U151*AZ151*1/(0.0821*273.15)</f>
        <v>3.7233197638811867E-3</v>
      </c>
      <c r="AG151" s="39">
        <f>AD151-AF151</f>
        <v>0.10381113005569576</v>
      </c>
      <c r="AH151" s="42">
        <f>P151*(AZ151-S151)</f>
        <v>0.29189808255031069</v>
      </c>
      <c r="AI151">
        <f>(((X151/10^6)*(Q151/1000))/(0.082056*H151))</f>
        <v>6.0809436093347046E-7</v>
      </c>
      <c r="AJ151">
        <f>(((K151/10^6)*AZ151)*(Q151/1000))/(0.082056*H151)</f>
        <v>9.6582227946058323E-7</v>
      </c>
      <c r="AK151">
        <f>(X151/10^6)*T151*(R151/1000)</f>
        <v>1.0746555077162509E-5</v>
      </c>
      <c r="AL151">
        <f>AI151+AK151</f>
        <v>1.1354649438095979E-5</v>
      </c>
      <c r="AM151" s="39">
        <f>((AL151-AJ151)/(R151/1000))*1000000</f>
        <v>9.1130062795047362</v>
      </c>
      <c r="AN151" s="39">
        <f>AM151/(T151*AZ151)</f>
        <v>253.99890506093254</v>
      </c>
      <c r="AO151" s="39">
        <f>(K151*AZ151)*T151</f>
        <v>14.97237378924774</v>
      </c>
      <c r="AP151" s="39">
        <f>AM151-AO151</f>
        <v>-5.859367509743004</v>
      </c>
      <c r="AQ151">
        <f>(((AH151/10^6)*(Q151/1000))/(0.082056*H151))</f>
        <v>7.2734094451662973E-10</v>
      </c>
      <c r="AR151">
        <f>(((M151/10^6)*AZ151)*(Q151/1000))/(0.082056*H151)</f>
        <v>7.5750868095462486E-10</v>
      </c>
      <c r="AS151">
        <f>(AH151/10^6)*V151*(R151/1000)</f>
        <v>9.4471686085773808E-9</v>
      </c>
      <c r="AT151">
        <f>AQ151+AS151</f>
        <v>1.0174509553094011E-8</v>
      </c>
      <c r="AU151" s="39">
        <f>((AT151-AR151)/(R151/1000))*1000000000</f>
        <v>8.2605270808240245</v>
      </c>
      <c r="AV151" s="39">
        <f>(AU151/1000)/(V151*AZ151)</f>
        <v>0.31326552027839188</v>
      </c>
      <c r="AW151" s="39">
        <f>(M151*AZ151)*V151*1000</f>
        <v>8.630707396591708</v>
      </c>
      <c r="AX151" s="39">
        <f>AU151-AW151</f>
        <v>-0.37018031576768351</v>
      </c>
      <c r="AY151" s="26">
        <f>VLOOKUP($E151,Water!$C$2:$G$90, 5, FALSE)</f>
        <v>705.9</v>
      </c>
      <c r="AZ151">
        <f>AY151/760</f>
        <v>0.92881578947368415</v>
      </c>
      <c r="BA151" s="3">
        <f>Assumptions!$B$3</f>
        <v>406.07</v>
      </c>
      <c r="BB151" s="3">
        <f>BA151*AZ151*T151</f>
        <v>14.569033118590648</v>
      </c>
      <c r="BC151" s="3">
        <f>Assumptions!$B$4</f>
        <v>1.8474300000000001</v>
      </c>
      <c r="BD151" s="45">
        <f>BC151*AZ151*U151*1/(0.0821*273.15)</f>
        <v>2.6266540583347779E-3</v>
      </c>
      <c r="BE151" s="3">
        <f>Assumptions!$B$2</f>
        <v>0.33054499999999998</v>
      </c>
      <c r="BF151" s="44">
        <f>BE151*AZ151*V151*1000</f>
        <v>8.7161712578660602</v>
      </c>
      <c r="BG151">
        <f>1923.6+(-125.06*F151)+(4.3773*(F151^2))+(-0.085681*(F151^3))+(0.00070284*(F151^4))</f>
        <v>591.32040748040379</v>
      </c>
      <c r="BH151">
        <f>1909.4+(-120.78*F151)+(4.1555*(F151^2))+(-0.080578*(F151^3))+(0.00065777*(F151^4))</f>
        <v>607.63791462513689</v>
      </c>
      <c r="BI151">
        <f>2141.2+(-152.56*F151)+(5.8963*(F151^2))+(-0.12411*(F151^3))+(0.0010655*(F151^4))</f>
        <v>616.74638014054972</v>
      </c>
      <c r="BJ151" s="25">
        <f>VLOOKUP(E151,Wind!$C$2:$E$109,3, FALSE)</f>
        <v>1.6388888888888888</v>
      </c>
      <c r="BK151" s="44">
        <v>1.66</v>
      </c>
      <c r="BL151">
        <f>BK151/(1-(((1.3*10^-3)^0.5)/0.41)*LN(10/1.5))</f>
        <v>1.9923982880693825</v>
      </c>
      <c r="BM151">
        <f>BK151*1.22</f>
        <v>2.0251999999999999</v>
      </c>
      <c r="BN151">
        <f>2.07+0.215*(BM151^1.7)*(24/100)</f>
        <v>2.241255750541113</v>
      </c>
      <c r="BO151">
        <f>BN151*((600/BG151)^0.67)</f>
        <v>2.2632442902540135</v>
      </c>
      <c r="BP151">
        <f>BN151*((600/BH151)^0.67)</f>
        <v>2.2223409831316077</v>
      </c>
      <c r="BQ151">
        <f>BN151*((600/BI151)^0.67)</f>
        <v>2.2002971006292014</v>
      </c>
      <c r="BR151" s="39">
        <f>BO151*(AM151-BB151)</f>
        <v>-12.348321591033843</v>
      </c>
      <c r="BS151" s="39">
        <f>BP151*(AD151-BD151)</f>
        <v>0.23314089397020882</v>
      </c>
      <c r="BT151" s="39">
        <f>BQ151*(AU151-BF151)</f>
        <v>-1.0025525616641695</v>
      </c>
      <c r="BU151">
        <f>(2.51+1.48*BM151)+(0.39*BM151*LOG10(0.0015))</f>
        <v>3.2768938069574309</v>
      </c>
      <c r="BV151">
        <f>BU151*((600/$BG151)^0.67)</f>
        <v>3.3090427973579444</v>
      </c>
      <c r="BW151">
        <f>BU151*((600/$BH151)^0.67)</f>
        <v>3.2492389156451456</v>
      </c>
      <c r="BX151">
        <f>BU151*((600/$BI151)^0.67)</f>
        <v>3.2170090096935415</v>
      </c>
      <c r="BY151" s="39">
        <f>BV151*($AM151-$BB151)</f>
        <v>-18.054226314068867</v>
      </c>
      <c r="BZ151" s="39">
        <f>BW151*($AD151-$BD151)</f>
        <v>0.34087049254198087</v>
      </c>
      <c r="CA151" s="39">
        <f>BX151*($AU151-$BF151)</f>
        <v>-1.4658114227586279</v>
      </c>
      <c r="CB151" s="42">
        <f>AVERAGE(0.72,0.69,0.4,0.22)</f>
        <v>0.50750000000000006</v>
      </c>
      <c r="CC151">
        <f>CB151*((600/$BG151)^0.67)</f>
        <v>0.51247898729388786</v>
      </c>
      <c r="CD151">
        <f>CB151*((600/$BH151)^0.67)</f>
        <v>0.50321702405760416</v>
      </c>
      <c r="CE151">
        <f>CB151*((600/$BI151)^0.67)</f>
        <v>0.49822550518820691</v>
      </c>
      <c r="CF151" s="39">
        <f>CC151*($AM151-$BB151)</f>
        <v>-2.7960991091430198</v>
      </c>
      <c r="CG151" s="39">
        <f>CD151*($AD151-$BD151)</f>
        <v>5.2791388783415223E-2</v>
      </c>
      <c r="CH151" s="39">
        <f>CE151*($AU151-$BF151)</f>
        <v>-0.22701355029283299</v>
      </c>
      <c r="CI151">
        <v>0.86263901889527161</v>
      </c>
      <c r="CJ151">
        <f>((BG151/BH151)^0.67)*CI151</f>
        <v>0.84704866089565667</v>
      </c>
      <c r="CK151">
        <f>((BH151/BH151)^0.67)*CI151</f>
        <v>0.86263901889527161</v>
      </c>
      <c r="CL151">
        <f>((BI151/BH151)^0.67)*CI151</f>
        <v>0.87128144866945101</v>
      </c>
      <c r="CM151" s="39">
        <f>CJ151*($AM151-$BB151)</f>
        <v>-4.6215202278584835</v>
      </c>
      <c r="CN151" s="39">
        <f>CK151*($AD151-$BD151)</f>
        <v>9.0497558009943468E-2</v>
      </c>
      <c r="CO151" s="39">
        <f>CL151*($AU151-$BF151)</f>
        <v>-0.39699431865098461</v>
      </c>
      <c r="CP151" s="27">
        <f>VLOOKUP(A151,Water!$A$2:$E$109, 5, FALSE)/1000</f>
        <v>6.6E-4</v>
      </c>
      <c r="CQ151">
        <f>0.64*CP151</f>
        <v>4.2240000000000002E-4</v>
      </c>
      <c r="CR151" s="19">
        <f>CQ151*1000*(2.5*10^-5)</f>
        <v>1.0560000000000001E-5</v>
      </c>
      <c r="CS151" s="18">
        <f>(-0.0000009*F151^3)+(0.0002*F151^2)-(0.0134*F151)+6.579</f>
        <v>6.3818691156999998</v>
      </c>
      <c r="CT151" s="18">
        <f>CS151-(SQRT(CP151))/(1+1.4*SQRT(CP151))</f>
        <v>6.3570705711454334</v>
      </c>
      <c r="CU151" s="18">
        <f>10^(-CT151)</f>
        <v>4.3947019745655317E-7</v>
      </c>
      <c r="CV151" s="18">
        <f>(0.000001*F151^3)+(0.00006*F151^2)-(0.014*F151)+10.625</f>
        <v>10.373890827</v>
      </c>
      <c r="CW151" s="18">
        <f>CV151-(2*SQRT(CR151))/(1+1.4*SQRT(CR151))</f>
        <v>10.367421030367028</v>
      </c>
      <c r="CX151" s="18">
        <f>10^(-CW151)</f>
        <v>4.2912021091819142E-11</v>
      </c>
      <c r="CY151">
        <f>EXP(1246.98+-61900/H151-183*LN(H151))</f>
        <v>2.4446676359998806E-2</v>
      </c>
      <c r="CZ151">
        <f>12.225*(F151^2)+15.258*F151+1125.7</f>
        <v>6473.23765</v>
      </c>
      <c r="DA151" s="15">
        <f>10^(-4470.99/H151+6.0875-0.01706*H151)</f>
        <v>7.0031171248926193E-15</v>
      </c>
      <c r="DB151">
        <f>(10^-I151)</f>
        <v>1.2589254117941623E-9</v>
      </c>
      <c r="DC151">
        <f>DB151^2</f>
        <v>1.5848931924611013E-18</v>
      </c>
      <c r="DD151" s="20">
        <f>((14.6836*10^-9)*((H151/217.2056)-1)^1.997)*100*100</f>
        <v>1.8149739689417121E-5</v>
      </c>
      <c r="DE151">
        <f>CY151+CZ151*DA151/DB151</f>
        <v>6.0455832276240407E-2</v>
      </c>
      <c r="DF151">
        <f>1+DC151*(CU151*CX151+CU151*DB151)^-1</f>
        <v>1.0027702171660133</v>
      </c>
      <c r="DG151">
        <f>(DE151*DF151/DD151)^0.5</f>
        <v>57.794247735117864</v>
      </c>
      <c r="DH151">
        <f>DD151/(BO151/60/60)</f>
        <v>2.8869646623329536E-2</v>
      </c>
      <c r="DI151" s="16">
        <f>DF151/((DF151-1)+TANH(DG151*DH151)/(DG151*DH151))</f>
        <v>1.7875705877452537</v>
      </c>
      <c r="DJ151">
        <f>$DI151*BR151</f>
        <v>-22.073496484151772</v>
      </c>
      <c r="DK151">
        <f>$DI151*BY151</f>
        <v>-32.273203943525907</v>
      </c>
      <c r="DL151">
        <f>$DI151*CF151</f>
        <v>-4.9982245279247683</v>
      </c>
      <c r="DM151">
        <f>$DI151*CM151</f>
        <v>-8.2612936299895683</v>
      </c>
    </row>
    <row r="152" spans="1:117" ht="15.75" x14ac:dyDescent="0.25">
      <c r="A152" s="52" t="s">
        <v>324</v>
      </c>
      <c r="B152" s="55" t="s">
        <v>341</v>
      </c>
      <c r="C152" t="s">
        <v>314</v>
      </c>
      <c r="D152" s="57">
        <v>43243</v>
      </c>
      <c r="E152" s="42" t="str">
        <f>A152&amp;D152</f>
        <v>32B43243</v>
      </c>
      <c r="F152" s="3">
        <f>VLOOKUP($E152,Water!$C$2:$E$90, 2, FALSE)</f>
        <v>20.3</v>
      </c>
      <c r="G152" s="3">
        <f>VLOOKUP($E152,Water!$C$2:$E$90, 3, FALSE)</f>
        <v>0.85</v>
      </c>
      <c r="H152" s="1">
        <f>F152+273.15</f>
        <v>293.45</v>
      </c>
      <c r="I152" s="3">
        <f>VLOOKUP($E152,Water!$C$2:$F$90, 4, FALSE)</f>
        <v>8.9</v>
      </c>
      <c r="J152">
        <f>10^(I152*-1)</f>
        <v>1.2589254117941623E-9</v>
      </c>
      <c r="K152" s="25">
        <f>VLOOKUP($E152,Atm!$D$2:$G$45, 2, FALSE)</f>
        <v>417.31196402057247</v>
      </c>
      <c r="L152" s="25">
        <f>VLOOKUP($E152,Atm!$D$2:$G$45, 3, FALSE)</f>
        <v>2.6187584960266279</v>
      </c>
      <c r="M152" s="25">
        <f>VLOOKUP($E152,Atm!$D$2:$G$45, 4, FALSE)</f>
        <v>0.32730393793396539</v>
      </c>
      <c r="N152" s="21">
        <f>VLOOKUP($C152,Raw!$B$2:$F$353, 3, FALSE)</f>
        <v>280.10426101146533</v>
      </c>
      <c r="O152" s="21">
        <f>VLOOKUP($C152,Raw!$B$2:$F$353, 4, FALSE)</f>
        <v>33.495724808557704</v>
      </c>
      <c r="P152" s="21">
        <f>VLOOKUP($C152,Raw!$B$2:$F$353, 5, FALSE)</f>
        <v>0.32141059310199738</v>
      </c>
      <c r="Q152" s="14">
        <v>60</v>
      </c>
      <c r="R152" s="25">
        <v>1140</v>
      </c>
      <c r="S152">
        <f>EXP(24.4543-(100/H152*(67.4509))-(4.8489*LN(H152/100))-(0.000544*G152))</f>
        <v>2.3478595594418242E-2</v>
      </c>
      <c r="T152" s="8">
        <f>EXP(-58.0931+90.5069*(100/H152)+22.294*LN(H152/100)+G152*(0.027766-0.025888*(H152/100)+0.0050578*(H152/100)^2)*G152)</f>
        <v>3.862782324314689E-2</v>
      </c>
      <c r="U152" s="9">
        <f>(EXP(-67.1962+99.1624*(100/H152)+27.9015*LN(H152/100)+G152*(-0.072909+0.041674*(H152/100)-0.0064603*(H152/100)^2)*G152))</f>
        <v>3.4328091466677348E-2</v>
      </c>
      <c r="V152" s="9">
        <f>(EXP(-64.8539+100.252*(100/H152)+25.2049*LN(H152/100)+(-0.062544+0.035337*(H152/100)-0.0054699*(H152/100)^2)*G152))</f>
        <v>2.8390011798366976E-2</v>
      </c>
      <c r="W152" s="9">
        <f>(EXP(-68.8862+101.4956*(100/H152)+28.7314*LN(H152/100)+G152*(-0.076146+0.04397*(H152/100)-0.0068672*(H152/100)^2)))</f>
        <v>3.4249622122096028E-2</v>
      </c>
      <c r="X152">
        <f>N152*(AZ152-S152)</f>
        <v>253.5888056577455</v>
      </c>
      <c r="Y152">
        <f>O152*(AZ152-S152)</f>
        <v>30.324925505131745</v>
      </c>
      <c r="Z152">
        <f>((Y152/10^6)*AZ152)/(0.082056*H152)</f>
        <v>1.1697279733551592E-6</v>
      </c>
      <c r="AA152">
        <f>(((L152/10^6)*AZ152)/(0.082056*H152))</f>
        <v>1.0101377059427418E-7</v>
      </c>
      <c r="AB152">
        <f>((Y152/10^6)*U152*1)/(0.082056*H152)</f>
        <v>4.3231961940720982E-8</v>
      </c>
      <c r="AC152">
        <f>(Z152*(Q152/1000))+(AB152*(R152/1000))</f>
        <v>1.1946811501373145E-7</v>
      </c>
      <c r="AD152" s="39">
        <f>((AC152-(AA152*(Q152/1000)))/(R152/1000))*1000000</f>
        <v>9.9480077875504405E-2</v>
      </c>
      <c r="AE152" s="39">
        <f>(AD152/((U152*AZ152*1))*(0.0821*273.15))</f>
        <v>69.96828519780631</v>
      </c>
      <c r="AF152" s="39">
        <f>L152*U152*AZ152*1/(0.0821*273.15)</f>
        <v>3.7233197638811867E-3</v>
      </c>
      <c r="AG152" s="39">
        <f>AD152-AF152</f>
        <v>9.5756758111623222E-2</v>
      </c>
      <c r="AH152" s="42">
        <f>P152*(AZ152-S152)</f>
        <v>0.29098496444203287</v>
      </c>
      <c r="AI152">
        <f>(((X152/10^6)*(Q152/1000))/(0.082056*H152))</f>
        <v>6.3188329232741084E-7</v>
      </c>
      <c r="AJ152">
        <f>(((K152/10^6)*AZ152)*(Q152/1000))/(0.082056*H152)</f>
        <v>9.6582227946058323E-7</v>
      </c>
      <c r="AK152">
        <f>(X152/10^6)*T152*(R152/1000)</f>
        <v>1.1166965259982458E-5</v>
      </c>
      <c r="AL152">
        <f>AI152+AK152</f>
        <v>1.1798848552309869E-5</v>
      </c>
      <c r="AM152" s="39">
        <f>((AL152-AJ152)/(R152/1000))*1000000</f>
        <v>9.5026546253063913</v>
      </c>
      <c r="AN152" s="39">
        <f>AM152/(T152*AZ152)</f>
        <v>264.85923480908701</v>
      </c>
      <c r="AO152" s="39">
        <f>(K152*AZ152)*T152</f>
        <v>14.97237378924774</v>
      </c>
      <c r="AP152" s="39">
        <f>AM152-AO152</f>
        <v>-5.4697191639413489</v>
      </c>
      <c r="AQ152">
        <f>(((AH152/10^6)*(Q152/1000))/(0.082056*H152))</f>
        <v>7.2506567027869235E-10</v>
      </c>
      <c r="AR152">
        <f>(((M152/10^6)*AZ152)*(Q152/1000))/(0.082056*H152)</f>
        <v>7.5750868095462486E-10</v>
      </c>
      <c r="AS152">
        <f>(AH152/10^6)*V152*(R152/1000)</f>
        <v>9.417615893968646E-9</v>
      </c>
      <c r="AT152">
        <f>AQ152+AS152</f>
        <v>1.0142681564247338E-8</v>
      </c>
      <c r="AU152" s="39">
        <f>((AT152-AR152)/(R152/1000))*1000000000</f>
        <v>8.23260779236203</v>
      </c>
      <c r="AV152" s="39">
        <f>(AU152/1000)/(V152*AZ152)</f>
        <v>0.31220673185723258</v>
      </c>
      <c r="AW152" s="39">
        <f>(M152*AZ152)*V152*1000</f>
        <v>8.630707396591708</v>
      </c>
      <c r="AX152" s="39">
        <f>AU152-AW152</f>
        <v>-0.39809960422967805</v>
      </c>
      <c r="AY152" s="26">
        <f>VLOOKUP($E152,Water!$C$2:$G$90, 5, FALSE)</f>
        <v>705.9</v>
      </c>
      <c r="AZ152">
        <f>AY152/760</f>
        <v>0.92881578947368415</v>
      </c>
      <c r="BA152" s="3">
        <f>Assumptions!$B$3</f>
        <v>406.07</v>
      </c>
      <c r="BB152" s="3">
        <f>BA152*AZ152*T152</f>
        <v>14.569033118590648</v>
      </c>
      <c r="BC152" s="3">
        <f>Assumptions!$B$4</f>
        <v>1.8474300000000001</v>
      </c>
      <c r="BD152" s="45">
        <f>BC152*AZ152*U152*1/(0.0821*273.15)</f>
        <v>2.6266540583347779E-3</v>
      </c>
      <c r="BE152" s="3">
        <f>Assumptions!$B$2</f>
        <v>0.33054499999999998</v>
      </c>
      <c r="BF152" s="44">
        <f>BE152*AZ152*V152*1000</f>
        <v>8.7161712578660602</v>
      </c>
      <c r="BG152">
        <f>1923.6+(-125.06*F152)+(4.3773*(F152^2))+(-0.085681*(F152^3))+(0.00070284*(F152^4))</f>
        <v>591.32040748040379</v>
      </c>
      <c r="BH152">
        <f>1909.4+(-120.78*F152)+(4.1555*(F152^2))+(-0.080578*(F152^3))+(0.00065777*(F152^4))</f>
        <v>607.63791462513689</v>
      </c>
      <c r="BI152">
        <f>2141.2+(-152.56*F152)+(5.8963*(F152^2))+(-0.12411*(F152^3))+(0.0010655*(F152^4))</f>
        <v>616.74638014054972</v>
      </c>
      <c r="BJ152" s="25">
        <f>VLOOKUP(E152,Wind!$C$2:$E$109,3, FALSE)</f>
        <v>1.6388888888888888</v>
      </c>
      <c r="BK152" s="44">
        <v>1.66</v>
      </c>
      <c r="BL152">
        <f>BK152/(1-(((1.3*10^-3)^0.5)/0.41)*LN(10/1.5))</f>
        <v>1.9923982880693825</v>
      </c>
      <c r="BM152">
        <f>BK152*1.22</f>
        <v>2.0251999999999999</v>
      </c>
      <c r="BN152">
        <f>2.07+0.215*(BM152^1.7)*(24/100)</f>
        <v>2.241255750541113</v>
      </c>
      <c r="BO152">
        <f>BN152*((600/BG152)^0.67)</f>
        <v>2.2632442902540135</v>
      </c>
      <c r="BP152">
        <f>BN152*((600/BH152)^0.67)</f>
        <v>2.2223409831316077</v>
      </c>
      <c r="BQ152">
        <f>BN152*((600/BI152)^0.67)</f>
        <v>2.2002971006292014</v>
      </c>
      <c r="BR152" s="39">
        <f>BO152*(AM152-BB152)</f>
        <v>-11.466452197191325</v>
      </c>
      <c r="BS152" s="39">
        <f>BP152*(AD152-BD152)</f>
        <v>0.21524133310551102</v>
      </c>
      <c r="BT152" s="39">
        <f>BQ152*(AU152-BF152)</f>
        <v>-1.0639832911187264</v>
      </c>
      <c r="BU152">
        <f>(2.51+1.48*BM152)+(0.39*BM152*LOG10(0.0015))</f>
        <v>3.2768938069574309</v>
      </c>
      <c r="BV152">
        <f>BU152*((600/$BG152)^0.67)</f>
        <v>3.3090427973579444</v>
      </c>
      <c r="BW152">
        <f>BU152*((600/$BH152)^0.67)</f>
        <v>3.2492389156451456</v>
      </c>
      <c r="BX152">
        <f>BU152*((600/$BI152)^0.67)</f>
        <v>3.2170090096935415</v>
      </c>
      <c r="BY152" s="39">
        <f>BV152*($AM152-$BB152)</f>
        <v>-16.764863261891463</v>
      </c>
      <c r="BZ152" s="39">
        <f>BW152*($AD152-$BD152)</f>
        <v>0.31469991378021994</v>
      </c>
      <c r="CA152" s="39">
        <f>BX152*($AU152-$BF152)</f>
        <v>-1.5556280252850971</v>
      </c>
      <c r="CB152" s="42">
        <f>AVERAGE(0.72,0.69,0.4,0.22)</f>
        <v>0.50750000000000006</v>
      </c>
      <c r="CC152">
        <f>CB152*((600/$BG152)^0.67)</f>
        <v>0.51247898729388786</v>
      </c>
      <c r="CD152">
        <f>CB152*((600/$BH152)^0.67)</f>
        <v>0.50321702405760416</v>
      </c>
      <c r="CE152">
        <f>CB152*((600/$BI152)^0.67)</f>
        <v>0.49822550518820691</v>
      </c>
      <c r="CF152" s="39">
        <f>CC152*($AM152-$BB152)</f>
        <v>-2.5964125194858489</v>
      </c>
      <c r="CG152" s="39">
        <f>CD152*($AD152-$BD152)</f>
        <v>4.8738291703065983E-2</v>
      </c>
      <c r="CH152" s="39">
        <f>CE152*($AU152-$BF152)</f>
        <v>-0.24092365189130549</v>
      </c>
      <c r="CI152">
        <v>0.86263901889527161</v>
      </c>
      <c r="CJ152">
        <f>((BG152/BH152)^0.67)*CI152</f>
        <v>0.84704866089565667</v>
      </c>
      <c r="CK152">
        <f>((BH152/BH152)^0.67)*CI152</f>
        <v>0.86263901889527161</v>
      </c>
      <c r="CL152">
        <f>((BI152/BH152)^0.67)*CI152</f>
        <v>0.87128144866945101</v>
      </c>
      <c r="CM152" s="39">
        <f>CJ152*($AM152-$BB152)</f>
        <v>-4.291469118326984</v>
      </c>
      <c r="CN152" s="39">
        <f>CK152*($AD152-$BD152)</f>
        <v>8.3549542498291149E-2</v>
      </c>
      <c r="CO152" s="39">
        <f>CL152*($AU152-$BF152)</f>
        <v>-0.4213198767479715</v>
      </c>
      <c r="CP152" s="27">
        <f>VLOOKUP(A152,Water!$A$2:$E$109, 5, FALSE)/1000</f>
        <v>6.6E-4</v>
      </c>
      <c r="CQ152">
        <f>0.64*CP152</f>
        <v>4.2240000000000002E-4</v>
      </c>
      <c r="CR152" s="19">
        <f>CQ152*1000*(2.5*10^-5)</f>
        <v>1.0560000000000001E-5</v>
      </c>
      <c r="CS152" s="18">
        <f>(-0.0000009*F152^3)+(0.0002*F152^2)-(0.0134*F152)+6.579</f>
        <v>6.3818691156999998</v>
      </c>
      <c r="CT152" s="18">
        <f>CS152-(SQRT(CP152))/(1+1.4*SQRT(CP152))</f>
        <v>6.3570705711454334</v>
      </c>
      <c r="CU152" s="18">
        <f>10^(-CT152)</f>
        <v>4.3947019745655317E-7</v>
      </c>
      <c r="CV152" s="18">
        <f>(0.000001*F152^3)+(0.00006*F152^2)-(0.014*F152)+10.625</f>
        <v>10.373890827</v>
      </c>
      <c r="CW152" s="18">
        <f>CV152-(2*SQRT(CR152))/(1+1.4*SQRT(CR152))</f>
        <v>10.367421030367028</v>
      </c>
      <c r="CX152" s="18">
        <f>10^(-CW152)</f>
        <v>4.2912021091819142E-11</v>
      </c>
      <c r="CY152">
        <f>EXP(1246.98+-61900/H152-183*LN(H152))</f>
        <v>2.4446676359998806E-2</v>
      </c>
      <c r="CZ152">
        <f>12.225*(F152^2)+15.258*F152+1125.7</f>
        <v>6473.23765</v>
      </c>
      <c r="DA152" s="15">
        <f>10^(-4470.99/H152+6.0875-0.01706*H152)</f>
        <v>7.0031171248926193E-15</v>
      </c>
      <c r="DB152">
        <f>(10^-I152)</f>
        <v>1.2589254117941623E-9</v>
      </c>
      <c r="DC152">
        <f>DB152^2</f>
        <v>1.5848931924611013E-18</v>
      </c>
      <c r="DD152" s="20">
        <f>((14.6836*10^-9)*((H152/217.2056)-1)^1.997)*100*100</f>
        <v>1.8149739689417121E-5</v>
      </c>
      <c r="DE152">
        <f>CY152+CZ152*DA152/DB152</f>
        <v>6.0455832276240407E-2</v>
      </c>
      <c r="DF152">
        <f>1+DC152*(CU152*CX152+CU152*DB152)^-1</f>
        <v>1.0027702171660133</v>
      </c>
      <c r="DG152">
        <f>(DE152*DF152/DD152)^0.5</f>
        <v>57.794247735117864</v>
      </c>
      <c r="DH152">
        <f>DD152/(BO152/60/60)</f>
        <v>2.8869646623329536E-2</v>
      </c>
      <c r="DI152" s="16">
        <f>DF152/((DF152-1)+TANH(DG152*DH152)/(DG152*DH152))</f>
        <v>1.7875705877452537</v>
      </c>
      <c r="DJ152">
        <f>$DI152*BR152</f>
        <v>-20.497092693486152</v>
      </c>
      <c r="DK152">
        <f>$DI152*BY152</f>
        <v>-29.968376474528135</v>
      </c>
      <c r="DL152">
        <f>$DI152*CF152</f>
        <v>-4.6412706534864538</v>
      </c>
      <c r="DM152">
        <f>$DI152*CM152</f>
        <v>-7.6713039741383726</v>
      </c>
    </row>
    <row r="153" spans="1:117" ht="15.75" x14ac:dyDescent="0.25">
      <c r="A153" s="52" t="s">
        <v>324</v>
      </c>
      <c r="B153" s="55" t="s">
        <v>342</v>
      </c>
      <c r="C153" t="s">
        <v>315</v>
      </c>
      <c r="D153" s="57">
        <v>43243</v>
      </c>
      <c r="E153" s="42" t="str">
        <f>A153&amp;D153</f>
        <v>32B43243</v>
      </c>
      <c r="F153" s="3">
        <f>VLOOKUP($E153,Water!$C$2:$E$90, 2, FALSE)</f>
        <v>20.3</v>
      </c>
      <c r="G153" s="3">
        <f>VLOOKUP($E153,Water!$C$2:$E$90, 3, FALSE)</f>
        <v>0.85</v>
      </c>
      <c r="H153" s="1">
        <f>F153+273.15</f>
        <v>293.45</v>
      </c>
      <c r="I153" s="3">
        <f>VLOOKUP($E153,Water!$C$2:$F$90, 4, FALSE)</f>
        <v>8.9</v>
      </c>
      <c r="J153">
        <f>10^(I153*-1)</f>
        <v>1.2589254117941623E-9</v>
      </c>
      <c r="K153" s="25">
        <f>VLOOKUP($E153,Atm!$D$2:$G$45, 2, FALSE)</f>
        <v>417.31196402057247</v>
      </c>
      <c r="L153" s="25">
        <f>VLOOKUP($E153,Atm!$D$2:$G$45, 3, FALSE)</f>
        <v>2.6187584960266279</v>
      </c>
      <c r="M153" s="25">
        <f>VLOOKUP($E153,Atm!$D$2:$G$45, 4, FALSE)</f>
        <v>0.32730393793396539</v>
      </c>
      <c r="N153" s="21">
        <f>VLOOKUP($C153,Raw!$B$2:$F$353, 3, FALSE)</f>
        <v>268.324873432814</v>
      </c>
      <c r="O153" s="21">
        <f>VLOOKUP($C153,Raw!$B$2:$F$353, 4, FALSE)</f>
        <v>39.933583865703099</v>
      </c>
      <c r="P153" s="21">
        <f>VLOOKUP($C153,Raw!$B$2:$F$353, 5, FALSE)</f>
        <v>0.32037745536417311</v>
      </c>
      <c r="Q153" s="14">
        <v>60</v>
      </c>
      <c r="R153" s="25">
        <v>1140</v>
      </c>
      <c r="S153">
        <f>EXP(24.4543-(100/H153*(67.4509))-(4.8489*LN(H153/100))-(0.000544*G153))</f>
        <v>2.3478595594418242E-2</v>
      </c>
      <c r="T153" s="8">
        <f>EXP(-58.0931+90.5069*(100/H153)+22.294*LN(H153/100)+G153*(0.027766-0.025888*(H153/100)+0.0050578*(H153/100)^2)*G153)</f>
        <v>3.862782324314689E-2</v>
      </c>
      <c r="U153" s="9">
        <f>(EXP(-67.1962+99.1624*(100/H153)+27.9015*LN(H153/100)+G153*(-0.072909+0.041674*(H153/100)-0.0064603*(H153/100)^2)*G153))</f>
        <v>3.4328091466677348E-2</v>
      </c>
      <c r="V153" s="9">
        <f>(EXP(-64.8539+100.252*(100/H153)+25.2049*LN(H153/100)+(-0.062544+0.035337*(H153/100)-0.0054699*(H153/100)^2)*G153))</f>
        <v>2.8390011798366976E-2</v>
      </c>
      <c r="W153" s="9">
        <f>(EXP(-68.8862+101.4956*(100/H153)+28.7314*LN(H153/100)+G153*(-0.076146+0.04397*(H153/100)-0.0068672*(H153/100)^2)))</f>
        <v>3.4249622122096028E-2</v>
      </c>
      <c r="X153">
        <f>N153*(AZ153-S153)</f>
        <v>242.92448796167301</v>
      </c>
      <c r="Y153">
        <f>O153*(AZ153-S153)</f>
        <v>36.153358758517975</v>
      </c>
      <c r="Z153">
        <f>((Y153/10^6)*AZ153)/(0.082056*H153)</f>
        <v>1.3945490175541158E-6</v>
      </c>
      <c r="AA153">
        <f>(((L153/10^6)*AZ153)/(0.082056*H153))</f>
        <v>1.0101377059427418E-7</v>
      </c>
      <c r="AB153">
        <f>((Y153/10^6)*U153*1)/(0.082056*H153)</f>
        <v>5.1541120178942728E-8</v>
      </c>
      <c r="AC153">
        <f>(Z153*(Q153/1000))+(AB153*(R153/1000))</f>
        <v>1.4242981805724165E-7</v>
      </c>
      <c r="AD153" s="39">
        <f>((AC153-(AA153*(Q153/1000)))/(R153/1000))*1000000</f>
        <v>0.11962192265051336</v>
      </c>
      <c r="AE153" s="39">
        <f>(AD153/((U153*AZ153*1))*(0.0821*273.15))</f>
        <v>84.134843665838929</v>
      </c>
      <c r="AF153" s="39">
        <f>L153*U153*AZ153*1/(0.0821*273.15)</f>
        <v>3.7233197638811867E-3</v>
      </c>
      <c r="AG153" s="39">
        <f>AD153-AF153</f>
        <v>0.11589860288663217</v>
      </c>
      <c r="AH153" s="42">
        <f>P153*(AZ153-S153)</f>
        <v>0.29004962642158028</v>
      </c>
      <c r="AI153">
        <f>(((X153/10^6)*(Q153/1000))/(0.082056*H153))</f>
        <v>6.0531033632195348E-7</v>
      </c>
      <c r="AJ153">
        <f>(((K153/10^6)*AZ153)*(Q153/1000))/(0.082056*H153)</f>
        <v>9.6582227946058323E-7</v>
      </c>
      <c r="AK153">
        <f>(X153/10^6)*T153*(R153/1000)</f>
        <v>1.0697354367953636E-5</v>
      </c>
      <c r="AL153">
        <f>AI153+AK153</f>
        <v>1.1302664704275589E-5</v>
      </c>
      <c r="AM153" s="39">
        <f>((AL153-AJ153)/(R153/1000))*1000000</f>
        <v>9.067405635802638</v>
      </c>
      <c r="AN153" s="39">
        <f>AM153/(T153*AZ153)</f>
        <v>252.72791794480864</v>
      </c>
      <c r="AO153" s="39">
        <f>(K153*AZ153)*T153</f>
        <v>14.97237378924774</v>
      </c>
      <c r="AP153" s="39">
        <f>AM153-AO153</f>
        <v>-5.9049681534451022</v>
      </c>
      <c r="AQ153">
        <f>(((AH153/10^6)*(Q153/1000))/(0.082056*H153))</f>
        <v>7.2273502927792108E-10</v>
      </c>
      <c r="AR153">
        <f>(((M153/10^6)*AZ153)*(Q153/1000))/(0.082056*H153)</f>
        <v>7.5750868095462486E-10</v>
      </c>
      <c r="AS153">
        <f>(AH153/10^6)*V153*(R153/1000)</f>
        <v>9.3873440404914807E-9</v>
      </c>
      <c r="AT153">
        <f>AQ153+AS153</f>
        <v>1.0110079069769402E-8</v>
      </c>
      <c r="AU153" s="39">
        <f>((AT153-AR153)/(R153/1000))*1000000000</f>
        <v>8.2040091129954185</v>
      </c>
      <c r="AV153" s="39">
        <f>(AU153/1000)/(V153*AZ153)</f>
        <v>0.31112217876716963</v>
      </c>
      <c r="AW153" s="39">
        <f>(M153*AZ153)*V153*1000</f>
        <v>8.630707396591708</v>
      </c>
      <c r="AX153" s="39">
        <f>AU153-AW153</f>
        <v>-0.42669828359628958</v>
      </c>
      <c r="AY153" s="26">
        <f>VLOOKUP($E153,Water!$C$2:$G$90, 5, FALSE)</f>
        <v>705.9</v>
      </c>
      <c r="AZ153">
        <f>AY153/760</f>
        <v>0.92881578947368415</v>
      </c>
      <c r="BA153" s="3">
        <f>Assumptions!$B$3</f>
        <v>406.07</v>
      </c>
      <c r="BB153" s="3">
        <f>BA153*AZ153*T153</f>
        <v>14.569033118590648</v>
      </c>
      <c r="BC153" s="3">
        <f>Assumptions!$B$4</f>
        <v>1.8474300000000001</v>
      </c>
      <c r="BD153" s="45">
        <f>BC153*AZ153*U153*1/(0.0821*273.15)</f>
        <v>2.6266540583347779E-3</v>
      </c>
      <c r="BE153" s="3">
        <f>Assumptions!$B$2</f>
        <v>0.33054499999999998</v>
      </c>
      <c r="BF153" s="44">
        <f>BE153*AZ153*V153*1000</f>
        <v>8.7161712578660602</v>
      </c>
      <c r="BG153">
        <f>1923.6+(-125.06*F153)+(4.3773*(F153^2))+(-0.085681*(F153^3))+(0.00070284*(F153^4))</f>
        <v>591.32040748040379</v>
      </c>
      <c r="BH153">
        <f>1909.4+(-120.78*F153)+(4.1555*(F153^2))+(-0.080578*(F153^3))+(0.00065777*(F153^4))</f>
        <v>607.63791462513689</v>
      </c>
      <c r="BI153">
        <f>2141.2+(-152.56*F153)+(5.8963*(F153^2))+(-0.12411*(F153^3))+(0.0010655*(F153^4))</f>
        <v>616.74638014054972</v>
      </c>
      <c r="BJ153" s="25">
        <f>VLOOKUP(E153,Wind!$C$2:$E$109,3, FALSE)</f>
        <v>1.6388888888888888</v>
      </c>
      <c r="BK153" s="44">
        <v>1.66</v>
      </c>
      <c r="BL153">
        <f>BK153/(1-(((1.3*10^-3)^0.5)/0.41)*LN(10/1.5))</f>
        <v>1.9923982880693825</v>
      </c>
      <c r="BM153">
        <f>BK153*1.22</f>
        <v>2.0251999999999999</v>
      </c>
      <c r="BN153">
        <f>2.07+0.215*(BM153^1.7)*(24/100)</f>
        <v>2.241255750541113</v>
      </c>
      <c r="BO153">
        <f>BN153*((600/BG153)^0.67)</f>
        <v>2.2632442902540135</v>
      </c>
      <c r="BP153">
        <f>BN153*((600/BH153)^0.67)</f>
        <v>2.2223409831316077</v>
      </c>
      <c r="BQ153">
        <f>BN153*((600/BI153)^0.67)</f>
        <v>2.2002971006292014</v>
      </c>
      <c r="BR153" s="39">
        <f>BO153*(AM153-BB153)</f>
        <v>-12.451526987524524</v>
      </c>
      <c r="BS153" s="39">
        <f>BP153*(AD153-BD153)</f>
        <v>0.26000338022488867</v>
      </c>
      <c r="BT153" s="39">
        <f>BQ153*(AU153-BF153)</f>
        <v>-1.1269088824109059</v>
      </c>
      <c r="BU153">
        <f>(2.51+1.48*BM153)+(0.39*BM153*LOG10(0.0015))</f>
        <v>3.2768938069574309</v>
      </c>
      <c r="BV153">
        <f>BU153*((600/$BG153)^0.67)</f>
        <v>3.3090427973579444</v>
      </c>
      <c r="BW153">
        <f>BU153*((600/$BH153)^0.67)</f>
        <v>3.2492389156451456</v>
      </c>
      <c r="BX153">
        <f>BU153*((600/$BI153)^0.67)</f>
        <v>3.2170090096935415</v>
      </c>
      <c r="BY153" s="39">
        <f>BV153*($AM153-$BB153)</f>
        <v>-18.205120795666183</v>
      </c>
      <c r="BZ153" s="39">
        <f>BW153*($AD153-$BD153)</f>
        <v>0.38014557965606288</v>
      </c>
      <c r="CA153" s="39">
        <f>BX153*($AU153-$BF153)</f>
        <v>-1.6476302344728233</v>
      </c>
      <c r="CB153" s="42">
        <f>AVERAGE(0.72,0.69,0.4,0.22)</f>
        <v>0.50750000000000006</v>
      </c>
      <c r="CC153">
        <f>CB153*((600/$BG153)^0.67)</f>
        <v>0.51247898729388786</v>
      </c>
      <c r="CD153">
        <f>CB153*((600/$BH153)^0.67)</f>
        <v>0.50321702405760416</v>
      </c>
      <c r="CE153">
        <f>CB153*((600/$BI153)^0.67)</f>
        <v>0.49822550518820691</v>
      </c>
      <c r="CF153" s="39">
        <f>CC153*($AM153-$BB153)</f>
        <v>-2.8194684808474206</v>
      </c>
      <c r="CG153" s="39">
        <f>CD153*($AD153-$BD153)</f>
        <v>5.8874010889776188E-2</v>
      </c>
      <c r="CH153" s="39">
        <f>CE153*($AU153-$BF153)</f>
        <v>-0.25517224336645106</v>
      </c>
      <c r="CI153">
        <v>0.86263901889527161</v>
      </c>
      <c r="CJ153">
        <f>((BG153/BH153)^0.67)*CI153</f>
        <v>0.84704866089565667</v>
      </c>
      <c r="CK153">
        <f>((BH153/BH153)^0.67)*CI153</f>
        <v>0.86263901889527161</v>
      </c>
      <c r="CL153">
        <f>((BI153/BH153)^0.67)*CI153</f>
        <v>0.87128144866945101</v>
      </c>
      <c r="CM153" s="39">
        <f>CJ153*($AM153-$BB153)</f>
        <v>-4.6601461920423262</v>
      </c>
      <c r="CN153" s="39">
        <f>CK153*($AD153-$BD153)</f>
        <v>0.10092468371374572</v>
      </c>
      <c r="CO153" s="39">
        <f>CL153*($AU153-$BF153)</f>
        <v>-0.44623737553654597</v>
      </c>
      <c r="CP153" s="27">
        <f>VLOOKUP(A153,Water!$A$2:$E$109, 5, FALSE)/1000</f>
        <v>6.6E-4</v>
      </c>
      <c r="CQ153">
        <f>0.64*CP153</f>
        <v>4.2240000000000002E-4</v>
      </c>
      <c r="CR153" s="19">
        <f>CQ153*1000*(2.5*10^-5)</f>
        <v>1.0560000000000001E-5</v>
      </c>
      <c r="CS153" s="18">
        <f>(-0.0000009*F153^3)+(0.0002*F153^2)-(0.0134*F153)+6.579</f>
        <v>6.3818691156999998</v>
      </c>
      <c r="CT153" s="18">
        <f>CS153-(SQRT(CP153))/(1+1.4*SQRT(CP153))</f>
        <v>6.3570705711454334</v>
      </c>
      <c r="CU153" s="18">
        <f>10^(-CT153)</f>
        <v>4.3947019745655317E-7</v>
      </c>
      <c r="CV153" s="18">
        <f>(0.000001*F153^3)+(0.00006*F153^2)-(0.014*F153)+10.625</f>
        <v>10.373890827</v>
      </c>
      <c r="CW153" s="18">
        <f>CV153-(2*SQRT(CR153))/(1+1.4*SQRT(CR153))</f>
        <v>10.367421030367028</v>
      </c>
      <c r="CX153" s="18">
        <f>10^(-CW153)</f>
        <v>4.2912021091819142E-11</v>
      </c>
      <c r="CY153">
        <f>EXP(1246.98+-61900/H153-183*LN(H153))</f>
        <v>2.4446676359998806E-2</v>
      </c>
      <c r="CZ153">
        <f>12.225*(F153^2)+15.258*F153+1125.7</f>
        <v>6473.23765</v>
      </c>
      <c r="DA153" s="15">
        <f>10^(-4470.99/H153+6.0875-0.01706*H153)</f>
        <v>7.0031171248926193E-15</v>
      </c>
      <c r="DB153">
        <f>(10^-I153)</f>
        <v>1.2589254117941623E-9</v>
      </c>
      <c r="DC153">
        <f>DB153^2</f>
        <v>1.5848931924611013E-18</v>
      </c>
      <c r="DD153" s="20">
        <f>((14.6836*10^-9)*((H153/217.2056)-1)^1.997)*100*100</f>
        <v>1.8149739689417121E-5</v>
      </c>
      <c r="DE153">
        <f>CY153+CZ153*DA153/DB153</f>
        <v>6.0455832276240407E-2</v>
      </c>
      <c r="DF153">
        <f>1+DC153*(CU153*CX153+CU153*DB153)^-1</f>
        <v>1.0027702171660133</v>
      </c>
      <c r="DG153">
        <f>(DE153*DF153/DD153)^0.5</f>
        <v>57.794247735117864</v>
      </c>
      <c r="DH153">
        <f>DD153/(BO153/60/60)</f>
        <v>2.8869646623329536E-2</v>
      </c>
      <c r="DI153" s="16">
        <f>DF153/((DF153-1)+TANH(DG153*DH153)/(DG153*DH153))</f>
        <v>1.7875705877452537</v>
      </c>
      <c r="DJ153">
        <f>$DI153*BR153</f>
        <v>-22.257983415415101</v>
      </c>
      <c r="DK153">
        <f>$DI153*BY153</f>
        <v>-32.542938480682338</v>
      </c>
      <c r="DL153">
        <f>$DI153*CF153</f>
        <v>-5.0399989294376413</v>
      </c>
      <c r="DM153">
        <f>$DI153*CM153</f>
        <v>-8.330340267487907</v>
      </c>
    </row>
    <row r="154" spans="1:117" ht="15.75" x14ac:dyDescent="0.25">
      <c r="A154" s="52" t="s">
        <v>323</v>
      </c>
      <c r="B154" s="55" t="s">
        <v>339</v>
      </c>
      <c r="C154" t="s">
        <v>317</v>
      </c>
      <c r="D154" s="57">
        <v>43234</v>
      </c>
      <c r="E154" s="42" t="str">
        <f>A154&amp;D154</f>
        <v>66A43234</v>
      </c>
      <c r="F154" s="3">
        <f>VLOOKUP($E154,Water!$C$2:$E$90, 2, FALSE)</f>
        <v>14.6</v>
      </c>
      <c r="G154" s="3">
        <f>VLOOKUP($E154,Water!$C$2:$E$90, 3, FALSE)</f>
        <v>0.37</v>
      </c>
      <c r="H154" s="1">
        <f>F154+273.15</f>
        <v>287.75</v>
      </c>
      <c r="I154" s="3">
        <f>VLOOKUP($E154,Water!$C$2:$F$90, 4, FALSE)</f>
        <v>8.74</v>
      </c>
      <c r="J154">
        <f>10^(I154*-1)</f>
        <v>1.8197008586099804E-9</v>
      </c>
      <c r="K154" s="25">
        <f>VLOOKUP($E154,Atm!$D$2:$G$45, 2, FALSE)</f>
        <v>428.76056654028031</v>
      </c>
      <c r="L154" s="25">
        <f>VLOOKUP($E154,Atm!$D$2:$G$45, 3, FALSE)</f>
        <v>1.9572047477822729</v>
      </c>
      <c r="M154" s="25">
        <f>VLOOKUP($E154,Atm!$D$2:$G$45, 4, FALSE)</f>
        <v>0.32582317351407991</v>
      </c>
      <c r="N154" s="21">
        <f>VLOOKUP($C154,Raw!$B$2:$F$353, 3, FALSE)</f>
        <v>248.28792584229299</v>
      </c>
      <c r="O154" s="21">
        <f>VLOOKUP($C154,Raw!$B$2:$F$353, 4, FALSE)</f>
        <v>7.7345982878399644</v>
      </c>
      <c r="P154" s="21">
        <f>VLOOKUP($C154,Raw!$B$2:$F$353, 5, FALSE)</f>
        <v>0.33166373757628975</v>
      </c>
      <c r="Q154" s="14">
        <v>60</v>
      </c>
      <c r="R154" s="25">
        <v>1140</v>
      </c>
      <c r="S154">
        <f>EXP(24.4543-(100/H154*(67.4509))-(4.8489*LN(H154/100))-(0.000544*G154))</f>
        <v>1.6381395648973653E-2</v>
      </c>
      <c r="T154" s="8">
        <f>EXP(-58.0931+90.5069*(100/H154)+22.294*LN(H154/100)+G154*(0.027766-0.025888*(H154/100)+0.0050578*(H154/100)^2)*G154)</f>
        <v>4.607717561286144E-2</v>
      </c>
      <c r="U154" s="9">
        <f>(EXP(-67.1962+99.1624*(100/H154)+27.9015*LN(H154/100)+G154*(-0.072909+0.041674*(H154/100)-0.0064603*(H154/100)^2)*G154))</f>
        <v>3.8926538411507346E-2</v>
      </c>
      <c r="V154" s="9">
        <f>(EXP(-64.8539+100.252*(100/H154)+25.2049*LN(H154/100)+(-0.062544+0.035337*(H154/100)-0.0054699*(H154/100)^2)*G154))</f>
        <v>3.4163365938684215E-2</v>
      </c>
      <c r="W154" s="9">
        <f>(EXP(-68.8862+101.4956*(100/H154)+28.7314*LN(H154/100)+G154*(-0.076146+0.04397*(H154/100)-0.0068672*(H154/100)^2)))</f>
        <v>3.8789414364181436E-2</v>
      </c>
      <c r="X154">
        <f>N154*(AZ154-S154)</f>
        <v>228.0492384505317</v>
      </c>
      <c r="Y154">
        <f>O154*(AZ154-S154)</f>
        <v>7.1041281740903539</v>
      </c>
      <c r="Z154">
        <f>((Y154/10^6)*AZ154)/(0.082056*H154)</f>
        <v>2.8127789523695263E-7</v>
      </c>
      <c r="AA154">
        <f>(((L154/10^6)*AZ154)/(0.082056*H154))</f>
        <v>7.749275048439838E-8</v>
      </c>
      <c r="AB154">
        <f>((Y154/10^6)*U154*1)/(0.082056*H154)</f>
        <v>1.1711995556466395E-8</v>
      </c>
      <c r="AC154">
        <f>(Z154*(Q154/1000))+(AB154*(R154/1000))</f>
        <v>3.0228348648588847E-8</v>
      </c>
      <c r="AD154" s="39">
        <f>((AC154-(AA154*(Q154/1000)))/(R154/1000))*1000000</f>
        <v>2.2437529490811355E-2</v>
      </c>
      <c r="AE154" s="39">
        <f>(AD154/((U154*AZ154*1))*(0.0821*273.15))</f>
        <v>13.826845924708133</v>
      </c>
      <c r="AF154" s="39">
        <f>L154*U154*AZ154*1/(0.0821*273.15)</f>
        <v>3.176056165451756E-3</v>
      </c>
      <c r="AG154" s="39">
        <f>AD154-AF154</f>
        <v>1.9261473325359598E-2</v>
      </c>
      <c r="AH154" s="42">
        <f>P154*(AZ154-S154)</f>
        <v>0.30462883976070576</v>
      </c>
      <c r="AI154">
        <f>(((X154/10^6)*(Q154/1000))/(0.082056*H154))</f>
        <v>5.7950101619617791E-7</v>
      </c>
      <c r="AJ154">
        <f>(((K154/10^6)*AZ154)*(Q154/1000))/(0.082056*H154)</f>
        <v>1.0185700490897666E-6</v>
      </c>
      <c r="AK154">
        <f>(X154/10^6)*T154*(R154/1000)</f>
        <v>1.1978965881649486E-5</v>
      </c>
      <c r="AL154">
        <f>AI154+AK154</f>
        <v>1.2558466897845663E-5</v>
      </c>
      <c r="AM154" s="39">
        <f>((AL154-AJ154)/(R154/1000))*1000000</f>
        <v>10.122716533996401</v>
      </c>
      <c r="AN154" s="39">
        <f>AM154/(T154*AZ154)</f>
        <v>234.99614350460749</v>
      </c>
      <c r="AO154" s="39">
        <f>(K154*AZ154)*T154</f>
        <v>18.46933150185021</v>
      </c>
      <c r="AP154" s="39">
        <f>AM154-AO154</f>
        <v>-8.3466149678538084</v>
      </c>
      <c r="AQ154">
        <f>(((AH154/10^6)*(Q154/1000))/(0.082056*H154))</f>
        <v>7.7409915246125677E-10</v>
      </c>
      <c r="AR154">
        <f>(((M154/10^6)*AZ154)*(Q154/1000))/(0.082056*H154)</f>
        <v>7.7403043036058149E-10</v>
      </c>
      <c r="AS154">
        <f>(AH154/10^6)*V154*(R154/1000)</f>
        <v>1.1864147042172836E-8</v>
      </c>
      <c r="AT154">
        <f>AQ154+AS154</f>
        <v>1.2638246194634092E-8</v>
      </c>
      <c r="AU154" s="39">
        <f>((AT154-AR154)/(R154/1000))*1000000000</f>
        <v>10.407206810766239</v>
      </c>
      <c r="AV154" s="39">
        <f>(AU154/1000)/(V154*AZ154)</f>
        <v>0.32585398911573288</v>
      </c>
      <c r="AW154" s="39">
        <f>(M154*AZ154)*V154*1000</f>
        <v>10.406222614315949</v>
      </c>
      <c r="AX154" s="39">
        <f>AU154-AW154</f>
        <v>9.8419645028968716E-4</v>
      </c>
      <c r="AY154" s="26">
        <f>VLOOKUP($E154,Water!$C$2:$G$90, 5, FALSE)</f>
        <v>710.5</v>
      </c>
      <c r="AZ154">
        <f>AY154/760</f>
        <v>0.93486842105263157</v>
      </c>
      <c r="BA154" s="3">
        <f>Assumptions!$B$3</f>
        <v>406.07</v>
      </c>
      <c r="BB154" s="3">
        <f>BA154*AZ154*T154</f>
        <v>17.491910469923624</v>
      </c>
      <c r="BC154" s="3">
        <f>Assumptions!$B$4</f>
        <v>1.8474300000000001</v>
      </c>
      <c r="BD154" s="45">
        <f>BC154*AZ154*U154*1/(0.0821*273.15)</f>
        <v>2.9979190722836252E-3</v>
      </c>
      <c r="BE154" s="3">
        <f>Assumptions!$B$2</f>
        <v>0.33054499999999998</v>
      </c>
      <c r="BF154" s="44">
        <f>BE154*AZ154*V154*1000</f>
        <v>10.557029498395769</v>
      </c>
      <c r="BG154">
        <f>1923.6+(-125.06*F154)+(4.3773*(F154^2))+(-0.085681*(F154^3))+(0.00070284*(F154^4))</f>
        <v>796.07341491110401</v>
      </c>
      <c r="BH154">
        <f>1909.4+(-120.78*F154)+(4.1555*(F154^2))+(-0.080578*(F154^3))+(0.00065777*(F154^4))</f>
        <v>810.91590296411221</v>
      </c>
      <c r="BI154">
        <f>2141.2+(-152.56*F154)+(5.8963*(F154^2))+(-0.12411*(F154^3))+(0.0010655*(F154^4))</f>
        <v>832.84543029679958</v>
      </c>
      <c r="BJ154" s="25">
        <f>VLOOKUP(E154,Wind!$C$2:$E$109,3, FALSE)</f>
        <v>0.77777777777777779</v>
      </c>
      <c r="BK154" s="44">
        <v>1.66</v>
      </c>
      <c r="BL154">
        <f>BK154/(1-(((1.3*10^-3)^0.5)/0.41)*LN(10/1.5))</f>
        <v>1.9923982880693825</v>
      </c>
      <c r="BM154">
        <f>BK154*1.22</f>
        <v>2.0251999999999999</v>
      </c>
      <c r="BN154">
        <f>2.07+0.215*(BM154^1.7)*(24/100)</f>
        <v>2.241255750541113</v>
      </c>
      <c r="BO154">
        <f>BN154*((600/BG154)^0.67)</f>
        <v>1.8544458811594029</v>
      </c>
      <c r="BP154">
        <f>BN154*((600/BH154)^0.67)</f>
        <v>1.8316350978584495</v>
      </c>
      <c r="BQ154">
        <f>BN154*((600/BI154)^0.67)</f>
        <v>1.799179946399436</v>
      </c>
      <c r="BR154" s="39">
        <f>BO154*(AM154-BB154)</f>
        <v>-13.665771341945087</v>
      </c>
      <c r="BS154" s="39">
        <f>BP154*(AD154-BD154)</f>
        <v>3.5606272731270171E-2</v>
      </c>
      <c r="BT154" s="39">
        <f>BQ154*(AU154-BF154)</f>
        <v>-0.26955797509871821</v>
      </c>
      <c r="BU154">
        <f>(2.51+1.48*BM154)+(0.39*BM154*LOG10(0.0015))</f>
        <v>3.2768938069574309</v>
      </c>
      <c r="BV154">
        <f>BU154*((600/$BG154)^0.67)</f>
        <v>2.7113470748895203</v>
      </c>
      <c r="BW154">
        <f>BU154*((600/$BH154)^0.67)</f>
        <v>2.6779958990976924</v>
      </c>
      <c r="BX154">
        <f>BU154*((600/$BI154)^0.67)</f>
        <v>2.630543891537096</v>
      </c>
      <c r="BY154" s="39">
        <f>BV154*($AM154-$BB154)</f>
        <v>-19.980442422469867</v>
      </c>
      <c r="BZ154" s="39">
        <f>BW154*($AD154-$BD154)</f>
        <v>5.2059196980874037E-2</v>
      </c>
      <c r="CA154" s="39">
        <f>BX154*($AU154-$BF154)</f>
        <v>-0.39411515575753203</v>
      </c>
      <c r="CB154" s="42">
        <f>AVERAGE(0.72,0.69,0.4,0.22)</f>
        <v>0.50750000000000006</v>
      </c>
      <c r="CC154">
        <f>CB154*((600/$BG154)^0.67)</f>
        <v>0.41991249078164189</v>
      </c>
      <c r="CD154">
        <f>CB154*((600/$BH154)^0.67)</f>
        <v>0.41474731830079548</v>
      </c>
      <c r="CE154">
        <f>CB154*((600/$BI154)^0.67)</f>
        <v>0.40739831791943659</v>
      </c>
      <c r="CF154" s="39">
        <f>CC154*($AM154-$BB154)</f>
        <v>-3.0944165806881712</v>
      </c>
      <c r="CG154" s="39">
        <f>CD154*($AD154-$BD154)</f>
        <v>8.0625262898965794E-3</v>
      </c>
      <c r="CH154" s="39">
        <f>CE154*($AU154-$BF154)</f>
        <v>-6.1037510926439928E-2</v>
      </c>
      <c r="CI154">
        <v>0.86263901889527161</v>
      </c>
      <c r="CJ154">
        <f>((BG154/BH154)^0.67)*CI154</f>
        <v>0.85202804775457441</v>
      </c>
      <c r="CK154">
        <f>((BH154/BH154)^0.67)*CI154</f>
        <v>0.86263901889527161</v>
      </c>
      <c r="CL154">
        <f>((BI154/BH154)^0.67)*CI154</f>
        <v>0.87820004160938603</v>
      </c>
      <c r="CM154" s="39">
        <f>CJ154*($AM154-$BB154)</f>
        <v>-6.2787599227529203</v>
      </c>
      <c r="CN154" s="39">
        <f>CK154*($AD154-$BD154)</f>
        <v>1.676936645914506E-2</v>
      </c>
      <c r="CO154" s="39">
        <f>CL154*($AU154-$BF154)</f>
        <v>-0.13157429051028377</v>
      </c>
      <c r="CP154" s="27">
        <f>VLOOKUP(A154,Water!$A$2:$E$109, 5, FALSE)/1000</f>
        <v>1.3000000000000002E-4</v>
      </c>
      <c r="CQ154">
        <f>0.64*CP154</f>
        <v>8.3200000000000017E-5</v>
      </c>
      <c r="CR154" s="19">
        <f>CQ154*1000*(2.5*10^-5)</f>
        <v>2.0800000000000004E-6</v>
      </c>
      <c r="CS154" s="18">
        <f>(-0.0000009*F154^3)+(0.0002*F154^2)-(0.0134*F154)+6.579</f>
        <v>6.4231910775999994</v>
      </c>
      <c r="CT154" s="18">
        <f>CS154-(SQRT(CP154))/(1+1.4*SQRT(CP154))</f>
        <v>6.4119684638270185</v>
      </c>
      <c r="CU154" s="18">
        <f>10^(-CT154)</f>
        <v>3.8728576654877625E-7</v>
      </c>
      <c r="CV154" s="18">
        <f>(0.000001*F154^3)+(0.00006*F154^2)-(0.014*F154)+10.625</f>
        <v>10.436501736</v>
      </c>
      <c r="CW154" s="18">
        <f>CV154-(2*SQRT(CR154))/(1+1.4*SQRT(CR154))</f>
        <v>10.433623107244035</v>
      </c>
      <c r="CX154" s="18">
        <f>10^(-CW154)</f>
        <v>3.6844858480515188E-11</v>
      </c>
      <c r="CY154">
        <f>EXP(1246.98+-61900/H154-183*LN(H154))</f>
        <v>1.3566740610584088E-2</v>
      </c>
      <c r="CZ154">
        <f>12.225*(F154^2)+15.258*F154+1125.7</f>
        <v>3954.3477999999996</v>
      </c>
      <c r="DA154" s="15">
        <f>10^(-4470.99/H154+6.0875-0.01706*H154)</f>
        <v>4.3724668858390218E-15</v>
      </c>
      <c r="DB154">
        <f>(10^-I154)</f>
        <v>1.8197008586099804E-9</v>
      </c>
      <c r="DC154">
        <f>DB154^2</f>
        <v>3.3113112148258999E-18</v>
      </c>
      <c r="DD154" s="20">
        <f>((14.6836*10^-9)*((H154/217.2056)-1)^1.997)*100*100</f>
        <v>1.5541066637023989E-5</v>
      </c>
      <c r="DE154">
        <f>CY154+CZ154*DA154/DB154</f>
        <v>2.3068442348416939E-2</v>
      </c>
      <c r="DF154">
        <f>1+DC154*(CU154*CX154+CU154*DB154)^-1</f>
        <v>1.0046053518469096</v>
      </c>
      <c r="DG154">
        <f>(DE154*DF154/DD154)^0.5</f>
        <v>38.615927259046401</v>
      </c>
      <c r="DH154">
        <f>DD154/(BO154/60/60)</f>
        <v>3.0169572734205473E-2</v>
      </c>
      <c r="DI154" s="16">
        <f>DF154/((DF154-1)+TANH(DG154*DH154)/(DG154*DH154))</f>
        <v>1.4134539541956845</v>
      </c>
      <c r="DJ154">
        <f>$DI154*BR154</f>
        <v>-19.31593854040635</v>
      </c>
      <c r="DK154">
        <f>$DI154*BY154</f>
        <v>-28.241435348619234</v>
      </c>
      <c r="DL154">
        <f>$DI154*CF154</f>
        <v>-4.373815351902385</v>
      </c>
      <c r="DM154">
        <f>$DI154*CM154</f>
        <v>-8.8747380402605067</v>
      </c>
    </row>
    <row r="155" spans="1:117" ht="15.75" x14ac:dyDescent="0.25">
      <c r="A155" s="51" t="s">
        <v>323</v>
      </c>
      <c r="B155" s="54" t="s">
        <v>340</v>
      </c>
      <c r="C155" s="48" t="s">
        <v>318</v>
      </c>
      <c r="D155" s="57">
        <v>43234</v>
      </c>
      <c r="E155" s="42" t="str">
        <f>A155&amp;D155</f>
        <v>66A43234</v>
      </c>
      <c r="F155" s="3">
        <f>VLOOKUP($E155,Water!$C$2:$E$90, 2, FALSE)</f>
        <v>14.6</v>
      </c>
      <c r="G155" s="3">
        <f>VLOOKUP($E155,Water!$C$2:$E$90, 3, FALSE)</f>
        <v>0.37</v>
      </c>
      <c r="H155" s="1">
        <f>F155+273.15</f>
        <v>287.75</v>
      </c>
      <c r="I155" s="3">
        <f>VLOOKUP($E155,Water!$C$2:$F$90, 4, FALSE)</f>
        <v>8.74</v>
      </c>
      <c r="J155">
        <f>10^(I155*-1)</f>
        <v>1.8197008586099804E-9</v>
      </c>
      <c r="K155" s="25">
        <f>VLOOKUP($E155,Atm!$D$2:$G$45, 2, FALSE)</f>
        <v>428.76056654028031</v>
      </c>
      <c r="L155" s="25">
        <f>VLOOKUP($E155,Atm!$D$2:$G$45, 3, FALSE)</f>
        <v>1.9572047477822729</v>
      </c>
      <c r="M155" s="25">
        <f>VLOOKUP($E155,Atm!$D$2:$G$45, 4, FALSE)</f>
        <v>0.32582317351407991</v>
      </c>
      <c r="N155" s="21">
        <f>VLOOKUP($C155,Raw!$B$2:$F$353, 3, FALSE)</f>
        <v>273.79700000000003</v>
      </c>
      <c r="O155" s="21">
        <f>VLOOKUP($C155,Raw!$B$2:$F$353, 4, FALSE)</f>
        <v>8.2919999999999998</v>
      </c>
      <c r="P155" s="21">
        <f>VLOOKUP($C155,Raw!$B$2:$F$353, 5, FALSE)</f>
        <v>0.311</v>
      </c>
      <c r="Q155" s="14">
        <v>60</v>
      </c>
      <c r="R155" s="25">
        <v>1140</v>
      </c>
      <c r="S155">
        <f>EXP(24.4543-(100/H155*(67.4509))-(4.8489*LN(H155/100))-(0.000544*G155))</f>
        <v>1.6381395648973653E-2</v>
      </c>
      <c r="T155" s="8">
        <f>EXP(-58.0931+90.5069*(100/H155)+22.294*LN(H155/100)+G155*(0.027766-0.025888*(H155/100)+0.0050578*(H155/100)^2)*G155)</f>
        <v>4.607717561286144E-2</v>
      </c>
      <c r="U155" s="9">
        <f>(EXP(-67.1962+99.1624*(100/H155)+27.9015*LN(H155/100)+G155*(-0.072909+0.041674*(H155/100)-0.0064603*(H155/100)^2)*G155))</f>
        <v>3.8926538411507346E-2</v>
      </c>
      <c r="V155" s="9">
        <f>(EXP(-64.8539+100.252*(100/H155)+25.2049*LN(H155/100)+(-0.062544+0.035337*(H155/100)-0.0054699*(H155/100)^2)*G155))</f>
        <v>3.4163365938684215E-2</v>
      </c>
      <c r="W155" s="9">
        <f>(EXP(-68.8862+101.4956*(100/H155)+28.7314*LN(H155/100)+G155*(-0.076146+0.04397*(H155/100)-0.0068672*(H155/100)^2)))</f>
        <v>3.8789414364181436E-2</v>
      </c>
      <c r="X155">
        <f>N155*(AZ155-S155)</f>
        <v>251.47899209444535</v>
      </c>
      <c r="Y155">
        <f>O155*(AZ155-S155)</f>
        <v>7.6160944146471312</v>
      </c>
      <c r="Z155">
        <f>((Y155/10^6)*AZ155)/(0.082056*H155)</f>
        <v>3.0154847356088962E-7</v>
      </c>
      <c r="AA155">
        <f>(((L155/10^6)*AZ155)/(0.082056*H155))</f>
        <v>7.749275048439838E-8</v>
      </c>
      <c r="AB155">
        <f>((Y155/10^6)*U155*1)/(0.082056*H155)</f>
        <v>1.2556032458324456E-8</v>
      </c>
      <c r="AC155">
        <f>(Z155*(Q155/1000))+(AB155*(R155/1000))</f>
        <v>3.2406785416143258E-8</v>
      </c>
      <c r="AD155" s="39">
        <f>((AC155-(AA155*(Q155/1000)))/(R155/1000))*1000000</f>
        <v>2.4348438936034524E-2</v>
      </c>
      <c r="AE155" s="39">
        <f>(AD155/((U155*AZ155*1))*(0.0821*273.15))</f>
        <v>15.004419885602113</v>
      </c>
      <c r="AF155" s="39">
        <f>L155*U155*AZ155*1/(0.0821*273.15)</f>
        <v>3.176056165451756E-3</v>
      </c>
      <c r="AG155" s="39">
        <f>AD155-AF155</f>
        <v>2.1172382770582768E-2</v>
      </c>
      <c r="AH155" s="42">
        <f>P155*(AZ155-S155)</f>
        <v>0.28564946490053761</v>
      </c>
      <c r="AI155">
        <f>(((X155/10^6)*(Q155/1000))/(0.082056*H155))</f>
        <v>6.3903888678117144E-7</v>
      </c>
      <c r="AJ155">
        <f>(((K155/10^6)*AZ155)*(Q155/1000))/(0.082056*H155)</f>
        <v>1.0185700490897666E-6</v>
      </c>
      <c r="AK155">
        <f>(X155/10^6)*T155*(R155/1000)</f>
        <v>1.3209683517116513E-5</v>
      </c>
      <c r="AL155">
        <f>AI155+AK155</f>
        <v>1.3848722403897685E-5</v>
      </c>
      <c r="AM155" s="39">
        <f>((AL155-AJ155)/(R155/1000))*1000000</f>
        <v>11.254519609480631</v>
      </c>
      <c r="AN155" s="39">
        <f>AM155/(T155*AZ155)</f>
        <v>261.27064769053521</v>
      </c>
      <c r="AO155" s="39">
        <f>(K155*AZ155)*T155</f>
        <v>18.46933150185021</v>
      </c>
      <c r="AP155" s="39">
        <f>AM155-AO155</f>
        <v>-7.2148118923695783</v>
      </c>
      <c r="AQ155">
        <f>(((AH155/10^6)*(Q155/1000))/(0.082056*H155))</f>
        <v>7.2587023885924342E-10</v>
      </c>
      <c r="AR155">
        <f>(((M155/10^6)*AZ155)*(Q155/1000))/(0.082056*H155)</f>
        <v>7.7403043036058149E-10</v>
      </c>
      <c r="AS155">
        <f>(AH155/10^6)*V155*(R155/1000)</f>
        <v>1.1124971807528493E-8</v>
      </c>
      <c r="AT155">
        <f>AQ155+AS155</f>
        <v>1.1850842046387737E-8</v>
      </c>
      <c r="AU155" s="39">
        <f>((AT155-AR155)/(R155/1000))*1000000000</f>
        <v>9.7165014175676827</v>
      </c>
      <c r="AV155" s="39">
        <f>(AU155/1000)/(V155*AZ155)</f>
        <v>0.30422771496072454</v>
      </c>
      <c r="AW155" s="39">
        <f>(M155*AZ155)*V155*1000</f>
        <v>10.406222614315949</v>
      </c>
      <c r="AX155" s="39">
        <f>AU155-AW155</f>
        <v>-0.68972119674826615</v>
      </c>
      <c r="AY155" s="26">
        <f>VLOOKUP($E155,Water!$C$2:$G$90, 5, FALSE)</f>
        <v>710.5</v>
      </c>
      <c r="AZ155">
        <f>AY155/760</f>
        <v>0.93486842105263157</v>
      </c>
      <c r="BA155" s="3">
        <f>Assumptions!$B$3</f>
        <v>406.07</v>
      </c>
      <c r="BB155" s="3">
        <f>BA155*AZ155*T155</f>
        <v>17.491910469923624</v>
      </c>
      <c r="BC155" s="3">
        <f>Assumptions!$B$4</f>
        <v>1.8474300000000001</v>
      </c>
      <c r="BD155" s="45">
        <f>BC155*AZ155*U155*1/(0.0821*273.15)</f>
        <v>2.9979190722836252E-3</v>
      </c>
      <c r="BE155" s="3">
        <f>Assumptions!$B$2</f>
        <v>0.33054499999999998</v>
      </c>
      <c r="BF155" s="44">
        <f>BE155*AZ155*V155*1000</f>
        <v>10.557029498395769</v>
      </c>
      <c r="BG155">
        <f>1923.6+(-125.06*F155)+(4.3773*(F155^2))+(-0.085681*(F155^3))+(0.00070284*(F155^4))</f>
        <v>796.07341491110401</v>
      </c>
      <c r="BH155">
        <f>1909.4+(-120.78*F155)+(4.1555*(F155^2))+(-0.080578*(F155^3))+(0.00065777*(F155^4))</f>
        <v>810.91590296411221</v>
      </c>
      <c r="BI155">
        <f>2141.2+(-152.56*F155)+(5.8963*(F155^2))+(-0.12411*(F155^3))+(0.0010655*(F155^4))</f>
        <v>832.84543029679958</v>
      </c>
      <c r="BJ155" s="25">
        <f>VLOOKUP(E155,Wind!$C$2:$E$109,3, FALSE)</f>
        <v>0.77777777777777779</v>
      </c>
      <c r="BK155" s="44">
        <v>1.66</v>
      </c>
      <c r="BL155">
        <f>BK155/(1-(((1.3*10^-3)^0.5)/0.41)*LN(10/1.5))</f>
        <v>1.9923982880693825</v>
      </c>
      <c r="BM155">
        <f>BK155*1.22</f>
        <v>2.0251999999999999</v>
      </c>
      <c r="BN155">
        <f>2.07+0.215*(BM155^1.7)*(24/100)</f>
        <v>2.241255750541113</v>
      </c>
      <c r="BO155">
        <f>BN155*((600/BG155)^0.67)</f>
        <v>1.8544458811594029</v>
      </c>
      <c r="BP155">
        <f>BN155*((600/BH155)^0.67)</f>
        <v>1.8316350978584495</v>
      </c>
      <c r="BQ155">
        <f>BN155*((600/BI155)^0.67)</f>
        <v>1.799179946399436</v>
      </c>
      <c r="BR155" s="39">
        <f>BO155*(AM155-BB155)</f>
        <v>-11.566903790329812</v>
      </c>
      <c r="BS155" s="39">
        <f>BP155*(AD155-BD155)</f>
        <v>3.9106361539970144E-2</v>
      </c>
      <c r="BT155" s="39">
        <f>BQ155*(AU155-BF155)</f>
        <v>-1.5122612674114972</v>
      </c>
      <c r="BU155">
        <f>(2.51+1.48*BM155)+(0.39*BM155*LOG10(0.0015))</f>
        <v>3.2768938069574309</v>
      </c>
      <c r="BV155">
        <f>BU155*((600/$BG155)^0.67)</f>
        <v>2.7113470748895203</v>
      </c>
      <c r="BW155">
        <f>BU155*((600/$BH155)^0.67)</f>
        <v>2.6779958990976924</v>
      </c>
      <c r="BX155">
        <f>BU155*((600/$BI155)^0.67)</f>
        <v>2.630543891537096</v>
      </c>
      <c r="BY155" s="39">
        <f>BV155*($AM155-$BB155)</f>
        <v>-16.911731464404738</v>
      </c>
      <c r="BZ155" s="39">
        <f>BW155*($AD155-$BD155)</f>
        <v>5.7176604638728729E-2</v>
      </c>
      <c r="CA155" s="39">
        <f>BX155*($AU155-$BF155)</f>
        <v>-2.2110460086877213</v>
      </c>
      <c r="CB155" s="42">
        <f>AVERAGE(0.72,0.69,0.4,0.22)</f>
        <v>0.50750000000000006</v>
      </c>
      <c r="CC155">
        <f>CB155*((600/$BG155)^0.67)</f>
        <v>0.41991249078164189</v>
      </c>
      <c r="CD155">
        <f>CB155*((600/$BH155)^0.67)</f>
        <v>0.41474731830079548</v>
      </c>
      <c r="CE155">
        <f>CB155*((600/$BI155)^0.67)</f>
        <v>0.40739831791943659</v>
      </c>
      <c r="CF155" s="39">
        <f>CC155*($AM155-$BB155)</f>
        <v>-2.6191583321872658</v>
      </c>
      <c r="CG155" s="39">
        <f>CD155*($AD155-$BD155)</f>
        <v>8.8550708578185502E-3</v>
      </c>
      <c r="CH155" s="39">
        <f>CE155*($AU155-$BF155)</f>
        <v>-0.34242972629341462</v>
      </c>
      <c r="CI155">
        <v>0.86263901889527161</v>
      </c>
      <c r="CJ155">
        <f>((BG155/BH155)^0.67)*CI155</f>
        <v>0.85202804775457441</v>
      </c>
      <c r="CK155">
        <f>((BH155/BH155)^0.67)*CI155</f>
        <v>0.86263901889527161</v>
      </c>
      <c r="CL155">
        <f>((BI155/BH155)^0.67)*CI155</f>
        <v>0.87820004160938603</v>
      </c>
      <c r="CM155" s="39">
        <f>CJ155*($AM155-$BB155)</f>
        <v>-5.3144319579054686</v>
      </c>
      <c r="CN155" s="39">
        <f>CK155*($AD155-$BD155)</f>
        <v>1.8417791508170085E-2</v>
      </c>
      <c r="CO155" s="39">
        <f>CL155*($AU155-$BF155)</f>
        <v>-0.73815179555708288</v>
      </c>
      <c r="CP155" s="27">
        <f>VLOOKUP(A155,Water!$A$2:$E$109, 5, FALSE)/1000</f>
        <v>1.3000000000000002E-4</v>
      </c>
      <c r="CQ155">
        <f>0.64*CP155</f>
        <v>8.3200000000000017E-5</v>
      </c>
      <c r="CR155" s="19">
        <f>CQ155*1000*(2.5*10^-5)</f>
        <v>2.0800000000000004E-6</v>
      </c>
      <c r="CS155" s="18">
        <f>(-0.0000009*F155^3)+(0.0002*F155^2)-(0.0134*F155)+6.579</f>
        <v>6.4231910775999994</v>
      </c>
      <c r="CT155" s="18">
        <f>CS155-(SQRT(CP155))/(1+1.4*SQRT(CP155))</f>
        <v>6.4119684638270185</v>
      </c>
      <c r="CU155" s="18">
        <f>10^(-CT155)</f>
        <v>3.8728576654877625E-7</v>
      </c>
      <c r="CV155" s="18">
        <f>(0.000001*F155^3)+(0.00006*F155^2)-(0.014*F155)+10.625</f>
        <v>10.436501736</v>
      </c>
      <c r="CW155" s="18">
        <f>CV155-(2*SQRT(CR155))/(1+1.4*SQRT(CR155))</f>
        <v>10.433623107244035</v>
      </c>
      <c r="CX155" s="18">
        <f>10^(-CW155)</f>
        <v>3.6844858480515188E-11</v>
      </c>
      <c r="CY155">
        <f>EXP(1246.98+-61900/H155-183*LN(H155))</f>
        <v>1.3566740610584088E-2</v>
      </c>
      <c r="CZ155">
        <f>12.225*(F155^2)+15.258*F155+1125.7</f>
        <v>3954.3477999999996</v>
      </c>
      <c r="DA155" s="15">
        <f>10^(-4470.99/H155+6.0875-0.01706*H155)</f>
        <v>4.3724668858390218E-15</v>
      </c>
      <c r="DB155">
        <f>(10^-I155)</f>
        <v>1.8197008586099804E-9</v>
      </c>
      <c r="DC155">
        <f>DB155^2</f>
        <v>3.3113112148258999E-18</v>
      </c>
      <c r="DD155" s="20">
        <f>((14.6836*10^-9)*((H155/217.2056)-1)^1.997)*100*100</f>
        <v>1.5541066637023989E-5</v>
      </c>
      <c r="DE155">
        <f>CY155+CZ155*DA155/DB155</f>
        <v>2.3068442348416939E-2</v>
      </c>
      <c r="DF155">
        <f>1+DC155*(CU155*CX155+CU155*DB155)^-1</f>
        <v>1.0046053518469096</v>
      </c>
      <c r="DG155">
        <f>(DE155*DF155/DD155)^0.5</f>
        <v>38.615927259046401</v>
      </c>
      <c r="DH155">
        <f>DD155/(BO155/60/60)</f>
        <v>3.0169572734205473E-2</v>
      </c>
      <c r="DI155" s="16">
        <f>DF155/((DF155-1)+TANH(DG155*DH155)/(DG155*DH155))</f>
        <v>1.4134539541956845</v>
      </c>
      <c r="DJ155">
        <f>$DI155*BR155</f>
        <v>-16.349285900242723</v>
      </c>
      <c r="DK155">
        <f>$DI155*BY155</f>
        <v>-23.903953710658453</v>
      </c>
      <c r="DL155">
        <f>$DI155*CF155</f>
        <v>-3.7020597012946652</v>
      </c>
      <c r="DM155">
        <f>$DI155*CM155</f>
        <v>-7.5117048652053979</v>
      </c>
    </row>
    <row r="156" spans="1:117" ht="15.75" x14ac:dyDescent="0.25">
      <c r="A156" s="52" t="s">
        <v>323</v>
      </c>
      <c r="B156" s="55" t="s">
        <v>341</v>
      </c>
      <c r="C156" t="s">
        <v>319</v>
      </c>
      <c r="D156" s="57">
        <v>43234</v>
      </c>
      <c r="E156" s="42" t="str">
        <f>A156&amp;D156</f>
        <v>66A43234</v>
      </c>
      <c r="F156" s="3">
        <f>VLOOKUP($E156,Water!$C$2:$E$90, 2, FALSE)</f>
        <v>14.6</v>
      </c>
      <c r="G156" s="3">
        <f>VLOOKUP($E156,Water!$C$2:$E$90, 3, FALSE)</f>
        <v>0.37</v>
      </c>
      <c r="H156" s="1">
        <f>F156+273.15</f>
        <v>287.75</v>
      </c>
      <c r="I156" s="3">
        <f>VLOOKUP($E156,Water!$C$2:$F$90, 4, FALSE)</f>
        <v>8.74</v>
      </c>
      <c r="J156">
        <f>10^(I156*-1)</f>
        <v>1.8197008586099804E-9</v>
      </c>
      <c r="K156" s="25">
        <f>VLOOKUP($E156,Atm!$D$2:$G$45, 2, FALSE)</f>
        <v>428.76056654028031</v>
      </c>
      <c r="L156" s="25">
        <f>VLOOKUP($E156,Atm!$D$2:$G$45, 3, FALSE)</f>
        <v>1.9572047477822729</v>
      </c>
      <c r="M156" s="25">
        <f>VLOOKUP($E156,Atm!$D$2:$G$45, 4, FALSE)</f>
        <v>0.32582317351407991</v>
      </c>
      <c r="N156" s="21">
        <f>VLOOKUP($C156,Raw!$B$2:$F$353, 3, FALSE)</f>
        <v>234.873043893568</v>
      </c>
      <c r="O156" s="21">
        <f>VLOOKUP($C156,Raw!$B$2:$F$353, 4, FALSE)</f>
        <v>8.0038997067271556</v>
      </c>
      <c r="P156" s="21">
        <f>VLOOKUP($C156,Raw!$B$2:$F$353, 5, FALSE)</f>
        <v>0.32775374285160958</v>
      </c>
      <c r="Q156" s="14">
        <v>60</v>
      </c>
      <c r="R156" s="25">
        <v>1140</v>
      </c>
      <c r="S156">
        <f>EXP(24.4543-(100/H156*(67.4509))-(4.8489*LN(H156/100))-(0.000544*G156))</f>
        <v>1.6381395648973653E-2</v>
      </c>
      <c r="T156" s="8">
        <f>EXP(-58.0931+90.5069*(100/H156)+22.294*LN(H156/100)+G156*(0.027766-0.025888*(H156/100)+0.0050578*(H156/100)^2)*G156)</f>
        <v>4.607717561286144E-2</v>
      </c>
      <c r="U156" s="9">
        <f>(EXP(-67.1962+99.1624*(100/H156)+27.9015*LN(H156/100)+G156*(-0.072909+0.041674*(H156/100)-0.0064603*(H156/100)^2)*G156))</f>
        <v>3.8926538411507346E-2</v>
      </c>
      <c r="V156" s="9">
        <f>(EXP(-64.8539+100.252*(100/H156)+25.2049*LN(H156/100)+(-0.062544+0.035337*(H156/100)-0.0054699*(H156/100)^2)*G156))</f>
        <v>3.4163365938684215E-2</v>
      </c>
      <c r="W156" s="9">
        <f>(EXP(-68.8862+101.4956*(100/H156)+28.7314*LN(H156/100)+G156*(-0.076146+0.04397*(H156/100)-0.0068672*(H156/100)^2)))</f>
        <v>3.8789414364181436E-2</v>
      </c>
      <c r="X156">
        <f>N156*(AZ156-S156)</f>
        <v>215.72784343330605</v>
      </c>
      <c r="Y156">
        <f>O156*(AZ156-S156)</f>
        <v>7.351478033261035</v>
      </c>
      <c r="Z156">
        <f>((Y156/10^6)*AZ156)/(0.082056*H156)</f>
        <v>2.9107136265050959E-7</v>
      </c>
      <c r="AA156">
        <f>(((L156/10^6)*AZ156)/(0.082056*H156))</f>
        <v>7.749275048439838E-8</v>
      </c>
      <c r="AB156">
        <f>((Y156/10^6)*U156*1)/(0.082056*H156)</f>
        <v>1.2119781055335233E-8</v>
      </c>
      <c r="AC156">
        <f>(Z156*(Q156/1000))+(AB156*(R156/1000))</f>
        <v>3.1280832162112736E-8</v>
      </c>
      <c r="AD156" s="39">
        <f>((AC156-(AA156*(Q156/1000)))/(R156/1000))*1000000</f>
        <v>2.3360760643025294E-2</v>
      </c>
      <c r="AE156" s="39">
        <f>(AD156/((U156*AZ156*1))*(0.0821*273.15))</f>
        <v>14.395775534350786</v>
      </c>
      <c r="AF156" s="39">
        <f>L156*U156*AZ156*1/(0.0821*273.15)</f>
        <v>3.176056165451756E-3</v>
      </c>
      <c r="AG156" s="39">
        <f>AD156-AF156</f>
        <v>2.0184704477573538E-2</v>
      </c>
      <c r="AH156" s="42">
        <f>P156*(AZ156-S156)</f>
        <v>0.30103756033669027</v>
      </c>
      <c r="AI156">
        <f>(((X156/10^6)*(Q156/1000))/(0.082056*H156))</f>
        <v>5.4819084396341403E-7</v>
      </c>
      <c r="AJ156">
        <f>(((K156/10^6)*AZ156)*(Q156/1000))/(0.082056*H156)</f>
        <v>1.0185700490897666E-6</v>
      </c>
      <c r="AK156">
        <f>(X156/10^6)*T156*(R156/1000)</f>
        <v>1.1331747888164764E-5</v>
      </c>
      <c r="AL156">
        <f>AI156+AK156</f>
        <v>1.1879938732128178E-5</v>
      </c>
      <c r="AM156" s="39">
        <f>((AL156-AJ156)/(R156/1000))*1000000</f>
        <v>9.5275163886301861</v>
      </c>
      <c r="AN156" s="39">
        <f>AM156/(T156*AZ156)</f>
        <v>221.1787321106699</v>
      </c>
      <c r="AO156" s="39">
        <f>(K156*AZ156)*T156</f>
        <v>18.46933150185021</v>
      </c>
      <c r="AP156" s="39">
        <f>AM156-AO156</f>
        <v>-8.9418151132200236</v>
      </c>
      <c r="AQ156">
        <f>(((AH156/10^6)*(Q156/1000))/(0.082056*H156))</f>
        <v>7.649732720601572E-10</v>
      </c>
      <c r="AR156">
        <f>(((M156/10^6)*AZ156)*(Q156/1000))/(0.082056*H156)</f>
        <v>7.7403043036058149E-10</v>
      </c>
      <c r="AS156">
        <f>(AH156/10^6)*V156*(R156/1000)</f>
        <v>1.1724280221981029E-8</v>
      </c>
      <c r="AT156">
        <f>AQ156+AS156</f>
        <v>1.2489253494041186E-8</v>
      </c>
      <c r="AU156" s="39">
        <f>((AT156-AR156)/(R156/1000))*1000000000</f>
        <v>10.276511459368953</v>
      </c>
      <c r="AV156" s="39">
        <f>(AU156/1000)/(V156*AZ156)</f>
        <v>0.32176186311246835</v>
      </c>
      <c r="AW156" s="39">
        <f>(M156*AZ156)*V156*1000</f>
        <v>10.406222614315949</v>
      </c>
      <c r="AX156" s="39">
        <f>AU156-AW156</f>
        <v>-0.12971115494699603</v>
      </c>
      <c r="AY156" s="26">
        <f>VLOOKUP($E156,Water!$C$2:$G$90, 5, FALSE)</f>
        <v>710.5</v>
      </c>
      <c r="AZ156">
        <f>AY156/760</f>
        <v>0.93486842105263157</v>
      </c>
      <c r="BA156" s="3">
        <f>Assumptions!$B$3</f>
        <v>406.07</v>
      </c>
      <c r="BB156" s="3">
        <f>BA156*AZ156*T156</f>
        <v>17.491910469923624</v>
      </c>
      <c r="BC156" s="3">
        <f>Assumptions!$B$4</f>
        <v>1.8474300000000001</v>
      </c>
      <c r="BD156" s="45">
        <f>BC156*AZ156*U156*1/(0.0821*273.15)</f>
        <v>2.9979190722836252E-3</v>
      </c>
      <c r="BE156" s="3">
        <f>Assumptions!$B$2</f>
        <v>0.33054499999999998</v>
      </c>
      <c r="BF156" s="44">
        <f>BE156*AZ156*V156*1000</f>
        <v>10.557029498395769</v>
      </c>
      <c r="BG156">
        <f>1923.6+(-125.06*F156)+(4.3773*(F156^2))+(-0.085681*(F156^3))+(0.00070284*(F156^4))</f>
        <v>796.07341491110401</v>
      </c>
      <c r="BH156">
        <f>1909.4+(-120.78*F156)+(4.1555*(F156^2))+(-0.080578*(F156^3))+(0.00065777*(F156^4))</f>
        <v>810.91590296411221</v>
      </c>
      <c r="BI156">
        <f>2141.2+(-152.56*F156)+(5.8963*(F156^2))+(-0.12411*(F156^3))+(0.0010655*(F156^4))</f>
        <v>832.84543029679958</v>
      </c>
      <c r="BJ156" s="25">
        <f>VLOOKUP(E156,Wind!$C$2:$E$109,3, FALSE)</f>
        <v>0.77777777777777779</v>
      </c>
      <c r="BK156" s="44">
        <v>1.66</v>
      </c>
      <c r="BL156">
        <f>BK156/(1-(((1.3*10^-3)^0.5)/0.41)*LN(10/1.5))</f>
        <v>1.9923982880693825</v>
      </c>
      <c r="BM156">
        <f>BK156*1.22</f>
        <v>2.0251999999999999</v>
      </c>
      <c r="BN156">
        <f>2.07+0.215*(BM156^1.7)*(24/100)</f>
        <v>2.241255750541113</v>
      </c>
      <c r="BO156">
        <f>BN156*((600/BG156)^0.67)</f>
        <v>1.8544458811594029</v>
      </c>
      <c r="BP156">
        <f>BN156*((600/BH156)^0.67)</f>
        <v>1.8316350978584495</v>
      </c>
      <c r="BQ156">
        <f>BN156*((600/BI156)^0.67)</f>
        <v>1.799179946399436</v>
      </c>
      <c r="BR156" s="39">
        <f>BO156*(AM156-BB156)</f>
        <v>-14.769537799984944</v>
      </c>
      <c r="BS156" s="39">
        <f>BP156*(AD156-BD156)</f>
        <v>3.7297295313101518E-2</v>
      </c>
      <c r="BT156" s="39">
        <f>BQ156*(AU156-BF156)</f>
        <v>-0.50470243042034224</v>
      </c>
      <c r="BU156">
        <f>(2.51+1.48*BM156)+(0.39*BM156*LOG10(0.0015))</f>
        <v>3.2768938069574309</v>
      </c>
      <c r="BV156">
        <f>BU156*((600/$BG156)^0.67)</f>
        <v>2.7113470748895203</v>
      </c>
      <c r="BW156">
        <f>BU156*((600/$BH156)^0.67)</f>
        <v>2.6779958990976924</v>
      </c>
      <c r="BX156">
        <f>BU156*((600/$BI156)^0.67)</f>
        <v>2.630543891537096</v>
      </c>
      <c r="BY156" s="39">
        <f>BV156*($AM156-$BB156)</f>
        <v>-21.594236595582373</v>
      </c>
      <c r="BZ156" s="39">
        <f>BW156*($AD156-$BD156)</f>
        <v>5.4531606220422205E-2</v>
      </c>
      <c r="CA156" s="39">
        <f>BX156*($AU156-$BF156)</f>
        <v>-0.73791501402795623</v>
      </c>
      <c r="CB156" s="42">
        <f>AVERAGE(0.72,0.69,0.4,0.22)</f>
        <v>0.50750000000000006</v>
      </c>
      <c r="CC156">
        <f>CB156*((600/$BG156)^0.67)</f>
        <v>0.41991249078164189</v>
      </c>
      <c r="CD156">
        <f>CB156*((600/$BH156)^0.67)</f>
        <v>0.41474731830079548</v>
      </c>
      <c r="CE156">
        <f>CB156*((600/$BI156)^0.67)</f>
        <v>0.40739831791943659</v>
      </c>
      <c r="CF156" s="39">
        <f>CC156*($AM156-$BB156)</f>
        <v>-3.3443485562424939</v>
      </c>
      <c r="CG156" s="39">
        <f>CD156*($AD156-$BD156)</f>
        <v>8.4454339344490655E-3</v>
      </c>
      <c r="CH156" s="39">
        <f>CE156*($AU156-$BF156)</f>
        <v>-0.11428257724558381</v>
      </c>
      <c r="CI156">
        <v>0.86263901889527161</v>
      </c>
      <c r="CJ156">
        <f>((BG156/BH156)^0.67)*CI156</f>
        <v>0.85202804775457441</v>
      </c>
      <c r="CK156">
        <f>((BH156/BH156)^0.67)*CI156</f>
        <v>0.86263901889527161</v>
      </c>
      <c r="CL156">
        <f>((BI156/BH156)^0.67)*CI156</f>
        <v>0.87820004160938603</v>
      </c>
      <c r="CM156" s="39">
        <f>CJ156*($AM156-$BB156)</f>
        <v>-6.7858871406325356</v>
      </c>
      <c r="CN156" s="39">
        <f>CK156*($AD156-$BD156)</f>
        <v>1.7565781674504444E-2</v>
      </c>
      <c r="CO156" s="39">
        <f>CL156*($AU156-$BF156)</f>
        <v>-0.24635095354553341</v>
      </c>
      <c r="CP156" s="27">
        <f>VLOOKUP(A156,Water!$A$2:$E$109, 5, FALSE)/1000</f>
        <v>1.3000000000000002E-4</v>
      </c>
      <c r="CQ156">
        <f>0.64*CP156</f>
        <v>8.3200000000000017E-5</v>
      </c>
      <c r="CR156" s="19">
        <f>CQ156*1000*(2.5*10^-5)</f>
        <v>2.0800000000000004E-6</v>
      </c>
      <c r="CS156" s="18">
        <f>(-0.0000009*F156^3)+(0.0002*F156^2)-(0.0134*F156)+6.579</f>
        <v>6.4231910775999994</v>
      </c>
      <c r="CT156" s="18">
        <f>CS156-(SQRT(CP156))/(1+1.4*SQRT(CP156))</f>
        <v>6.4119684638270185</v>
      </c>
      <c r="CU156" s="18">
        <f>10^(-CT156)</f>
        <v>3.8728576654877625E-7</v>
      </c>
      <c r="CV156" s="18">
        <f>(0.000001*F156^3)+(0.00006*F156^2)-(0.014*F156)+10.625</f>
        <v>10.436501736</v>
      </c>
      <c r="CW156" s="18">
        <f>CV156-(2*SQRT(CR156))/(1+1.4*SQRT(CR156))</f>
        <v>10.433623107244035</v>
      </c>
      <c r="CX156" s="18">
        <f>10^(-CW156)</f>
        <v>3.6844858480515188E-11</v>
      </c>
      <c r="CY156">
        <f>EXP(1246.98+-61900/H156-183*LN(H156))</f>
        <v>1.3566740610584088E-2</v>
      </c>
      <c r="CZ156">
        <f>12.225*(F156^2)+15.258*F156+1125.7</f>
        <v>3954.3477999999996</v>
      </c>
      <c r="DA156" s="15">
        <f>10^(-4470.99/H156+6.0875-0.01706*H156)</f>
        <v>4.3724668858390218E-15</v>
      </c>
      <c r="DB156">
        <f>(10^-I156)</f>
        <v>1.8197008586099804E-9</v>
      </c>
      <c r="DC156">
        <f>DB156^2</f>
        <v>3.3113112148258999E-18</v>
      </c>
      <c r="DD156" s="20">
        <f>((14.6836*10^-9)*((H156/217.2056)-1)^1.997)*100*100</f>
        <v>1.5541066637023989E-5</v>
      </c>
      <c r="DE156">
        <f>CY156+CZ156*DA156/DB156</f>
        <v>2.3068442348416939E-2</v>
      </c>
      <c r="DF156">
        <f>1+DC156*(CU156*CX156+CU156*DB156)^-1</f>
        <v>1.0046053518469096</v>
      </c>
      <c r="DG156">
        <f>(DE156*DF156/DD156)^0.5</f>
        <v>38.615927259046401</v>
      </c>
      <c r="DH156">
        <f>DD156/(BO156/60/60)</f>
        <v>3.0169572734205473E-2</v>
      </c>
      <c r="DI156" s="16">
        <f>DF156/((DF156-1)+TANH(DG156*DH156)/(DG156*DH156))</f>
        <v>1.4134539541956845</v>
      </c>
      <c r="DJ156">
        <f>$DI156*BR156</f>
        <v>-20.876061605031349</v>
      </c>
      <c r="DK156">
        <f>$DI156*BY156</f>
        <v>-30.522459103863063</v>
      </c>
      <c r="DL156">
        <f>$DI156*CF156</f>
        <v>-4.7270826910295813</v>
      </c>
      <c r="DM156">
        <f>$DI156*CM156</f>
        <v>-9.5915390116527046</v>
      </c>
    </row>
    <row r="157" spans="1:117" ht="15.75" x14ac:dyDescent="0.25">
      <c r="A157" s="52" t="s">
        <v>323</v>
      </c>
      <c r="B157" s="55" t="s">
        <v>342</v>
      </c>
      <c r="C157" t="s">
        <v>320</v>
      </c>
      <c r="D157" s="57">
        <v>43234</v>
      </c>
      <c r="E157" s="42" t="str">
        <f>A157&amp;D157</f>
        <v>66A43234</v>
      </c>
      <c r="F157" s="3">
        <f>VLOOKUP($E157,Water!$C$2:$E$90, 2, FALSE)</f>
        <v>14.6</v>
      </c>
      <c r="G157" s="3">
        <f>VLOOKUP($E157,Water!$C$2:$E$90, 3, FALSE)</f>
        <v>0.37</v>
      </c>
      <c r="H157" s="1">
        <f>F157+273.15</f>
        <v>287.75</v>
      </c>
      <c r="I157" s="3">
        <f>VLOOKUP($E157,Water!$C$2:$F$90, 4, FALSE)</f>
        <v>8.74</v>
      </c>
      <c r="J157">
        <f>10^(I157*-1)</f>
        <v>1.8197008586099804E-9</v>
      </c>
      <c r="K157" s="25">
        <f>VLOOKUP($E157,Atm!$D$2:$G$45, 2, FALSE)</f>
        <v>428.76056654028031</v>
      </c>
      <c r="L157" s="25">
        <f>VLOOKUP($E157,Atm!$D$2:$G$45, 3, FALSE)</f>
        <v>1.9572047477822729</v>
      </c>
      <c r="M157" s="25">
        <f>VLOOKUP($E157,Atm!$D$2:$G$45, 4, FALSE)</f>
        <v>0.32582317351407991</v>
      </c>
      <c r="N157" s="21">
        <f>VLOOKUP($C157,Raw!$B$2:$F$353, 3, FALSE)</f>
        <v>237.7820990161074</v>
      </c>
      <c r="O157" s="21">
        <f>VLOOKUP($C157,Raw!$B$2:$F$353, 4, FALSE)</f>
        <v>7.7424017742589024</v>
      </c>
      <c r="P157" s="21">
        <f>VLOOKUP($C157,Raw!$B$2:$F$353, 5, FALSE)</f>
        <v>0.32627778475040503</v>
      </c>
      <c r="Q157" s="14">
        <v>60</v>
      </c>
      <c r="R157" s="25">
        <v>1140</v>
      </c>
      <c r="S157">
        <f>EXP(24.4543-(100/H157*(67.4509))-(4.8489*LN(H157/100))-(0.000544*G157))</f>
        <v>1.6381395648973653E-2</v>
      </c>
      <c r="T157" s="8">
        <f>EXP(-58.0931+90.5069*(100/H157)+22.294*LN(H157/100)+G157*(0.027766-0.025888*(H157/100)+0.0050578*(H157/100)^2)*G157)</f>
        <v>4.607717561286144E-2</v>
      </c>
      <c r="U157" s="9">
        <f>(EXP(-67.1962+99.1624*(100/H157)+27.9015*LN(H157/100)+G157*(-0.072909+0.041674*(H157/100)-0.0064603*(H157/100)^2)*G157))</f>
        <v>3.8926538411507346E-2</v>
      </c>
      <c r="V157" s="9">
        <f>(EXP(-64.8539+100.252*(100/H157)+25.2049*LN(H157/100)+(-0.062544+0.035337*(H157/100)-0.0054699*(H157/100)^2)*G157))</f>
        <v>3.4163365938684215E-2</v>
      </c>
      <c r="W157" s="9">
        <f>(EXP(-68.8862+101.4956*(100/H157)+28.7314*LN(H157/100)+G157*(-0.076146+0.04397*(H157/100)-0.0068672*(H157/100)^2)))</f>
        <v>3.8789414364181436E-2</v>
      </c>
      <c r="X157">
        <f>N157*(AZ157-S157)</f>
        <v>218.39977281954253</v>
      </c>
      <c r="Y157">
        <f>O157*(AZ157-S157)</f>
        <v>7.1112955751190627</v>
      </c>
      <c r="Z157">
        <f>((Y157/10^6)*AZ157)/(0.082056*H157)</f>
        <v>2.8156167833127055E-7</v>
      </c>
      <c r="AA157">
        <f>(((L157/10^6)*AZ157)/(0.082056*H157))</f>
        <v>7.749275048439838E-8</v>
      </c>
      <c r="AB157">
        <f>((Y157/10^6)*U157*1)/(0.082056*H157)</f>
        <v>1.1723811864807481E-8</v>
      </c>
      <c r="AC157">
        <f>(Z157*(Q157/1000))+(AB157*(R157/1000))</f>
        <v>3.0258846225756757E-8</v>
      </c>
      <c r="AD157" s="39">
        <f>((AC157-(AA157*(Q157/1000)))/(R157/1000))*1000000</f>
        <v>2.2464281751484964E-2</v>
      </c>
      <c r="AE157" s="39">
        <f>(AD157/((U157*AZ157*1))*(0.0821*273.15))</f>
        <v>13.843331669568014</v>
      </c>
      <c r="AF157" s="39">
        <f>L157*U157*AZ157*1/(0.0821*273.15)</f>
        <v>3.176056165451756E-3</v>
      </c>
      <c r="AG157" s="39">
        <f>AD157-AF157</f>
        <v>1.9288225586033207E-2</v>
      </c>
      <c r="AH157" s="42">
        <f>P157*(AZ157-S157)</f>
        <v>0.29968191197069449</v>
      </c>
      <c r="AI157">
        <f>(((X157/10^6)*(Q157/1000))/(0.082056*H157))</f>
        <v>5.5498054343818054E-7</v>
      </c>
      <c r="AJ157">
        <f>(((K157/10^6)*AZ157)*(Q157/1000))/(0.082056*H157)</f>
        <v>1.0185700490897666E-6</v>
      </c>
      <c r="AK157">
        <f>(X157/10^6)*T157*(R157/1000)</f>
        <v>1.1472098942057218E-5</v>
      </c>
      <c r="AL157">
        <f>AI157+AK157</f>
        <v>1.2027079485495399E-5</v>
      </c>
      <c r="AM157" s="39">
        <f>((AL157-AJ157)/(R157/1000))*1000000</f>
        <v>9.6565872249172209</v>
      </c>
      <c r="AN157" s="39">
        <f>AM157/(T157*AZ157)</f>
        <v>224.1750768827973</v>
      </c>
      <c r="AO157" s="39">
        <f>(K157*AZ157)*T157</f>
        <v>18.46933150185021</v>
      </c>
      <c r="AP157" s="39">
        <f>AM157-AO157</f>
        <v>-8.8127442769329889</v>
      </c>
      <c r="AQ157">
        <f>(((AH157/10^6)*(Q157/1000))/(0.082056*H157))</f>
        <v>7.6152840370174063E-10</v>
      </c>
      <c r="AR157">
        <f>(((M157/10^6)*AZ157)*(Q157/1000))/(0.082056*H157)</f>
        <v>7.7403043036058149E-10</v>
      </c>
      <c r="AS157">
        <f>(AH157/10^6)*V157*(R157/1000)</f>
        <v>1.1671482819199698E-8</v>
      </c>
      <c r="AT157">
        <f>AQ157+AS157</f>
        <v>1.2433011222901438E-8</v>
      </c>
      <c r="AU157" s="39">
        <f>((AT157-AR157)/(R157/1000))*1000000000</f>
        <v>10.22717613380777</v>
      </c>
      <c r="AV157" s="39">
        <f>(AU157/1000)/(V157*AZ157)</f>
        <v>0.32021715347704494</v>
      </c>
      <c r="AW157" s="39">
        <f>(M157*AZ157)*V157*1000</f>
        <v>10.406222614315949</v>
      </c>
      <c r="AX157" s="39">
        <f>AU157-AW157</f>
        <v>-0.17904648050817862</v>
      </c>
      <c r="AY157" s="26">
        <f>VLOOKUP($E157,Water!$C$2:$G$90, 5, FALSE)</f>
        <v>710.5</v>
      </c>
      <c r="AZ157">
        <f>AY157/760</f>
        <v>0.93486842105263157</v>
      </c>
      <c r="BA157" s="3">
        <f>Assumptions!$B$3</f>
        <v>406.07</v>
      </c>
      <c r="BB157" s="3">
        <f>BA157*AZ157*T157</f>
        <v>17.491910469923624</v>
      </c>
      <c r="BC157" s="3">
        <f>Assumptions!$B$4</f>
        <v>1.8474300000000001</v>
      </c>
      <c r="BD157" s="45">
        <f>BC157*AZ157*U157*1/(0.0821*273.15)</f>
        <v>2.9979190722836252E-3</v>
      </c>
      <c r="BE157" s="3">
        <f>Assumptions!$B$2</f>
        <v>0.33054499999999998</v>
      </c>
      <c r="BF157" s="44">
        <f>BE157*AZ157*V157*1000</f>
        <v>10.557029498395769</v>
      </c>
      <c r="BG157">
        <f>1923.6+(-125.06*F157)+(4.3773*(F157^2))+(-0.085681*(F157^3))+(0.00070284*(F157^4))</f>
        <v>796.07341491110401</v>
      </c>
      <c r="BH157">
        <f>1909.4+(-120.78*F157)+(4.1555*(F157^2))+(-0.080578*(F157^3))+(0.00065777*(F157^4))</f>
        <v>810.91590296411221</v>
      </c>
      <c r="BI157">
        <f>2141.2+(-152.56*F157)+(5.8963*(F157^2))+(-0.12411*(F157^3))+(0.0010655*(F157^4))</f>
        <v>832.84543029679958</v>
      </c>
      <c r="BJ157" s="25">
        <f>VLOOKUP(E157,Wind!$C$2:$E$109,3, FALSE)</f>
        <v>0.77777777777777779</v>
      </c>
      <c r="BK157" s="44">
        <v>1.66</v>
      </c>
      <c r="BL157">
        <f>BK157/(1-(((1.3*10^-3)^0.5)/0.41)*LN(10/1.5))</f>
        <v>1.9923982880693825</v>
      </c>
      <c r="BM157">
        <f>BK157*1.22</f>
        <v>2.0251999999999999</v>
      </c>
      <c r="BN157">
        <f>2.07+0.215*(BM157^1.7)*(24/100)</f>
        <v>2.241255750541113</v>
      </c>
      <c r="BO157">
        <f>BN157*((600/BG157)^0.67)</f>
        <v>1.8544458811594029</v>
      </c>
      <c r="BP157">
        <f>BN157*((600/BH157)^0.67)</f>
        <v>1.8316350978584495</v>
      </c>
      <c r="BQ157">
        <f>BN157*((600/BI157)^0.67)</f>
        <v>1.799179946399436</v>
      </c>
      <c r="BR157" s="39">
        <f>BO157*(AM157-BB157)</f>
        <v>-14.530182919254651</v>
      </c>
      <c r="BS157" s="39">
        <f>BP157*(AD157-BD157)</f>
        <v>3.5655273110867011E-2</v>
      </c>
      <c r="BT157" s="39">
        <f>BQ157*(AU157-BF157)</f>
        <v>-0.59346555881910945</v>
      </c>
      <c r="BU157">
        <f>(2.51+1.48*BM157)+(0.39*BM157*LOG10(0.0015))</f>
        <v>3.2768938069574309</v>
      </c>
      <c r="BV157">
        <f>BU157*((600/$BG157)^0.67)</f>
        <v>2.7113470748895203</v>
      </c>
      <c r="BW157">
        <f>BU157*((600/$BH157)^0.67)</f>
        <v>2.6779958990976924</v>
      </c>
      <c r="BX157">
        <f>BU157*((600/$BI157)^0.67)</f>
        <v>2.630543891537096</v>
      </c>
      <c r="BY157" s="39">
        <f>BV157*($AM157-$BB157)</f>
        <v>-21.244280761161978</v>
      </c>
      <c r="BZ157" s="39">
        <f>BW157*($AD157-$BD157)</f>
        <v>5.2130839425249556E-2</v>
      </c>
      <c r="CA157" s="39">
        <f>BX157*($AU157-$BF157)</f>
        <v>-0.86769375331991905</v>
      </c>
      <c r="CB157" s="42">
        <f>AVERAGE(0.72,0.69,0.4,0.22)</f>
        <v>0.50750000000000006</v>
      </c>
      <c r="CC157">
        <f>CB157*((600/$BG157)^0.67)</f>
        <v>0.41991249078164189</v>
      </c>
      <c r="CD157">
        <f>CB157*((600/$BH157)^0.67)</f>
        <v>0.41474731830079548</v>
      </c>
      <c r="CE157">
        <f>CB157*((600/$BI157)^0.67)</f>
        <v>0.40739831791943659</v>
      </c>
      <c r="CF157" s="39">
        <f>CC157*($AM157-$BB157)</f>
        <v>-3.290150099889936</v>
      </c>
      <c r="CG157" s="39">
        <f>CD157*($AD157-$BD157)</f>
        <v>8.0736217182694435E-3</v>
      </c>
      <c r="CH157" s="39">
        <f>CE157*($AU157-$BF157)</f>
        <v>-0.13438170589321738</v>
      </c>
      <c r="CI157">
        <v>0.86263901889527161</v>
      </c>
      <c r="CJ157">
        <f>((BG157/BH157)^0.67)*CI157</f>
        <v>0.85202804775457441</v>
      </c>
      <c r="CK157">
        <f>((BH157/BH157)^0.67)*CI157</f>
        <v>0.86263901889527161</v>
      </c>
      <c r="CL157">
        <f>((BI157/BH157)^0.67)*CI157</f>
        <v>0.87820004160938603</v>
      </c>
      <c r="CM157" s="39">
        <f>CJ157*($AM157-$BB157)</f>
        <v>-6.6759151679688431</v>
      </c>
      <c r="CN157" s="39">
        <f>CK157*($AD157-$BD157)</f>
        <v>1.6792444003045772E-2</v>
      </c>
      <c r="CO157" s="39">
        <f>CL157*($AU157-$BF157)</f>
        <v>-0.28967723850617655</v>
      </c>
      <c r="CP157" s="27">
        <f>VLOOKUP(A157,Water!$A$2:$E$109, 5, FALSE)/1000</f>
        <v>1.3000000000000002E-4</v>
      </c>
      <c r="CQ157">
        <f>0.64*CP157</f>
        <v>8.3200000000000017E-5</v>
      </c>
      <c r="CR157" s="19">
        <f>CQ157*1000*(2.5*10^-5)</f>
        <v>2.0800000000000004E-6</v>
      </c>
      <c r="CS157" s="18">
        <f>(-0.0000009*F157^3)+(0.0002*F157^2)-(0.0134*F157)+6.579</f>
        <v>6.4231910775999994</v>
      </c>
      <c r="CT157" s="18">
        <f>CS157-(SQRT(CP157))/(1+1.4*SQRT(CP157))</f>
        <v>6.4119684638270185</v>
      </c>
      <c r="CU157" s="18">
        <f>10^(-CT157)</f>
        <v>3.8728576654877625E-7</v>
      </c>
      <c r="CV157" s="18">
        <f>(0.000001*F157^3)+(0.00006*F157^2)-(0.014*F157)+10.625</f>
        <v>10.436501736</v>
      </c>
      <c r="CW157" s="18">
        <f>CV157-(2*SQRT(CR157))/(1+1.4*SQRT(CR157))</f>
        <v>10.433623107244035</v>
      </c>
      <c r="CX157" s="18">
        <f>10^(-CW157)</f>
        <v>3.6844858480515188E-11</v>
      </c>
      <c r="CY157">
        <f>EXP(1246.98+-61900/H157-183*LN(H157))</f>
        <v>1.3566740610584088E-2</v>
      </c>
      <c r="CZ157">
        <f>12.225*(F157^2)+15.258*F157+1125.7</f>
        <v>3954.3477999999996</v>
      </c>
      <c r="DA157" s="15">
        <f>10^(-4470.99/H157+6.0875-0.01706*H157)</f>
        <v>4.3724668858390218E-15</v>
      </c>
      <c r="DB157">
        <f>(10^-I157)</f>
        <v>1.8197008586099804E-9</v>
      </c>
      <c r="DC157">
        <f>DB157^2</f>
        <v>3.3113112148258999E-18</v>
      </c>
      <c r="DD157" s="20">
        <f>((14.6836*10^-9)*((H157/217.2056)-1)^1.997)*100*100</f>
        <v>1.5541066637023989E-5</v>
      </c>
      <c r="DE157">
        <f>CY157+CZ157*DA157/DB157</f>
        <v>2.3068442348416939E-2</v>
      </c>
      <c r="DF157">
        <f>1+DC157*(CU157*CX157+CU157*DB157)^-1</f>
        <v>1.0046053518469096</v>
      </c>
      <c r="DG157">
        <f>(DE157*DF157/DD157)^0.5</f>
        <v>38.615927259046401</v>
      </c>
      <c r="DH157">
        <f>DD157/(BO157/60/60)</f>
        <v>3.0169572734205473E-2</v>
      </c>
      <c r="DI157" s="16">
        <f>DF157/((DF157-1)+TANH(DG157*DH157)/(DG157*DH157))</f>
        <v>1.4134539541956845</v>
      </c>
      <c r="DJ157">
        <f>$DI157*BR157</f>
        <v>-20.537744502407083</v>
      </c>
      <c r="DK157">
        <f>$DI157*BY157</f>
        <v>-30.027812645907705</v>
      </c>
      <c r="DL157">
        <f>$DI157*CF157</f>
        <v>-4.6504756685867568</v>
      </c>
      <c r="DM157">
        <f>$DI157*CM157</f>
        <v>-9.4360986920405097</v>
      </c>
    </row>
    <row r="158" spans="1:117" ht="15.75" x14ac:dyDescent="0.25">
      <c r="A158" s="51" t="s">
        <v>478</v>
      </c>
      <c r="B158" s="55" t="s">
        <v>339</v>
      </c>
      <c r="C158" s="62" t="s">
        <v>350</v>
      </c>
      <c r="D158" s="57">
        <v>43262</v>
      </c>
      <c r="E158" s="42" t="str">
        <f>A158&amp;D158</f>
        <v>23A43262</v>
      </c>
      <c r="F158" s="3">
        <f>VLOOKUP($E158,Water!$C$2:$E$90, 2, FALSE)</f>
        <v>20.8</v>
      </c>
      <c r="G158" s="3">
        <f>VLOOKUP($E158,Water!$C$2:$E$90, 3, FALSE)</f>
        <v>0.1</v>
      </c>
      <c r="H158" s="1">
        <f>F158+273.15</f>
        <v>293.95</v>
      </c>
      <c r="I158" s="3">
        <f>VLOOKUP($E158,Water!$C$2:$F$90, 4, FALSE)</f>
        <v>9.15</v>
      </c>
      <c r="J158">
        <f>10^(I158*-1)</f>
        <v>7.079457843841369E-10</v>
      </c>
      <c r="K158" s="25">
        <v>439.52751160265137</v>
      </c>
      <c r="L158" s="25">
        <v>2.8430237635924795</v>
      </c>
      <c r="M158" s="25">
        <v>0.32236441181786135</v>
      </c>
      <c r="N158" s="21">
        <f>VLOOKUP($C158,Raw!$B$2:$F$353, 3, FALSE)</f>
        <v>131.76023245232921</v>
      </c>
      <c r="O158" s="21">
        <f>VLOOKUP($C158,Raw!$B$2:$F$353, 4, FALSE)</f>
        <v>275.21303463746159</v>
      </c>
      <c r="P158" s="21">
        <f>VLOOKUP($C158,Raw!$B$2:$F$353, 5, FALSE)</f>
        <v>0.26960183694437351</v>
      </c>
      <c r="Q158" s="14">
        <v>60</v>
      </c>
      <c r="R158" s="25">
        <v>1140</v>
      </c>
      <c r="S158">
        <f>EXP(24.4543-(100/H158*(67.4509))-(4.8489*LN(H158/100))-(0.000544*G158))</f>
        <v>2.4223904460814211E-2</v>
      </c>
      <c r="T158" s="8">
        <f>EXP(-58.0931+90.5069*(100/H158)+22.294*LN(H158/100)+G158*(0.027766-0.025888*(H158/100)+0.0050578*(H158/100)^2)*G158)</f>
        <v>3.8197750138580476E-2</v>
      </c>
      <c r="U158" s="9">
        <f>(EXP(-67.1962+99.1624*(100/H158)+27.9015*LN(H158/100)+G158*(-0.072909+0.041674*(H158/100)-0.0064603*(H158/100)^2)*G158))</f>
        <v>3.413888286051607E-2</v>
      </c>
      <c r="V158" s="9">
        <f>(EXP(-64.8539+100.252*(100/H158)+25.2049*LN(H158/100)+(-0.062544+0.035337*(H158/100)-0.0054699*(H158/100)^2)*G158))</f>
        <v>2.8086822005277928E-2</v>
      </c>
      <c r="W158" s="9">
        <f>(EXP(-68.8862+101.4956*(100/H158)+28.7314*LN(H158/100)+G158*(-0.076146+0.04397*(H158/100)-0.0068672*(H158/100)^2)))</f>
        <v>3.4071026123476539E-2</v>
      </c>
      <c r="X158">
        <f>N158*(AZ158-S158)</f>
        <v>118.68646773574463</v>
      </c>
      <c r="Y158">
        <f>O158*(AZ158-S158)</f>
        <v>247.90532278222335</v>
      </c>
      <c r="Z158">
        <f>((Y158/10^6)*AZ158)/(0.082056*H158)</f>
        <v>9.5070062041009814E-6</v>
      </c>
      <c r="AA158">
        <f>(((L158/10^6)*AZ158)/(0.082056*H158))</f>
        <v>1.0902809288457271E-7</v>
      </c>
      <c r="AB158">
        <f>((Y158/10^6)*U158*1)/(0.082056*H158)</f>
        <v>3.508741309794626E-7</v>
      </c>
      <c r="AC158">
        <f>(Z158*(Q158/1000))+(AB158*(R158/1000))</f>
        <v>9.7041688156264629E-7</v>
      </c>
      <c r="AD158" s="39">
        <f>((AC158-(AA158*(Q158/1000)))/(R158/1000))*1000000</f>
        <v>0.84550455788558954</v>
      </c>
      <c r="AE158" s="39">
        <f>(AD158/((U158*AZ158*1))*(0.0821*273.15))</f>
        <v>600.43953078712241</v>
      </c>
      <c r="AF158" s="39">
        <f>L158*U158*AZ158*1/(0.0821*273.15)</f>
        <v>4.0033832335178397E-3</v>
      </c>
      <c r="AG158" s="39">
        <f>AD158-AF158</f>
        <v>0.84150117465207175</v>
      </c>
      <c r="AH158" s="42">
        <f>P158*(AZ158-S158)</f>
        <v>0.24285089003294499</v>
      </c>
      <c r="AI158">
        <f>(((X158/10^6)*(Q158/1000))/(0.082056*H158))</f>
        <v>2.9523554830284539E-7</v>
      </c>
      <c r="AJ158">
        <f>(((K158/10^6)*AZ158)*(Q158/1000))/(0.082056*H158)</f>
        <v>1.0113354726191725E-6</v>
      </c>
      <c r="AK158">
        <f>(X158/10^6)*T158*(R158/1000)</f>
        <v>5.1682538849167591E-6</v>
      </c>
      <c r="AL158">
        <f>AI158+AK158</f>
        <v>5.4634894332196047E-6</v>
      </c>
      <c r="AM158" s="39">
        <f>((AL158-AJ158)/(R158/1000))*1000000</f>
        <v>3.905398211053011</v>
      </c>
      <c r="AN158" s="39">
        <f>AM158/(T158*AZ158)</f>
        <v>110.53143456721429</v>
      </c>
      <c r="AO158" s="39">
        <f>(K158*AZ158)*T158</f>
        <v>15.52978991218785</v>
      </c>
      <c r="AP158" s="39">
        <f>AM158-AO158</f>
        <v>-11.624391701134838</v>
      </c>
      <c r="AQ158">
        <f>(((AH158/10^6)*(Q158/1000))/(0.082056*H158))</f>
        <v>6.0409764518686803E-10</v>
      </c>
      <c r="AR158">
        <f>(((M158/10^6)*AZ158)*(Q158/1000))/(0.082056*H158)</f>
        <v>7.4174780002429261E-10</v>
      </c>
      <c r="AS158">
        <f>(AH158/10^6)*V158*(R158/1000)</f>
        <v>7.7758370832836598E-9</v>
      </c>
      <c r="AT158">
        <f>AQ158+AS158</f>
        <v>8.379934728470528E-9</v>
      </c>
      <c r="AU158" s="39">
        <f>((AT158-AR158)/(R158/1000))*1000000000</f>
        <v>6.7001639723212589</v>
      </c>
      <c r="AV158" s="39">
        <f>(AU158/1000)/(V158*AZ158)</f>
        <v>0.25789391584624388</v>
      </c>
      <c r="AW158" s="39">
        <f>(M158*AZ158)*V158*1000</f>
        <v>8.3751274663970552</v>
      </c>
      <c r="AX158" s="39">
        <f>AU158-AW158</f>
        <v>-1.6749634940757963</v>
      </c>
      <c r="AY158" s="26">
        <f>VLOOKUP($E158,Water!$C$2:$G$90, 5, FALSE)</f>
        <v>703</v>
      </c>
      <c r="AZ158">
        <f>AY158/760</f>
        <v>0.92500000000000004</v>
      </c>
      <c r="BA158" s="3">
        <f>Assumptions!$B$3</f>
        <v>406.07</v>
      </c>
      <c r="BB158" s="3">
        <f>BA158*AZ158*T158</f>
        <v>14.347638368865372</v>
      </c>
      <c r="BC158" s="3">
        <f>Assumptions!$B$4</f>
        <v>1.8474300000000001</v>
      </c>
      <c r="BD158" s="45">
        <f>BC158*AZ158*U158*1/(0.0821*273.15)</f>
        <v>2.6014451169244618E-3</v>
      </c>
      <c r="BE158" s="3">
        <f>Assumptions!$B$2</f>
        <v>0.33054499999999998</v>
      </c>
      <c r="BF158" s="44">
        <f>BE158*AZ158*V158*1000</f>
        <v>8.5876616862544974</v>
      </c>
      <c r="BG158">
        <f>1923.6+(-125.06*F158)+(4.3773*(F158^2))+(-0.085681*(F158^3))+(0.00070284*(F158^4))</f>
        <v>576.66703537766398</v>
      </c>
      <c r="BH158">
        <f>1909.4+(-120.78*F158)+(4.1555*(F158^2))+(-0.080578*(F158^3))+(0.00065777*(F158^4))</f>
        <v>593.01684726579185</v>
      </c>
      <c r="BI158">
        <f>2141.2+(-152.56*F158)+(5.8963*(F158^2))+(-0.12411*(F158^3))+(0.0010655*(F158^4))</f>
        <v>601.50975098879974</v>
      </c>
      <c r="BJ158" s="25">
        <f>VLOOKUP(E158,Wind!$C$2:$E$109,3, FALSE)</f>
        <v>0.63888888888888895</v>
      </c>
      <c r="BK158" s="44">
        <v>1.66</v>
      </c>
      <c r="BL158">
        <f>BK158/(1-(((1.3*10^-3)^0.5)/0.41)*LN(10/1.5))</f>
        <v>1.9923982880693825</v>
      </c>
      <c r="BM158">
        <f>BK158*1.22</f>
        <v>2.0251999999999999</v>
      </c>
      <c r="BN158">
        <f>2.07+0.215*(BM158^1.7)*(24/100)</f>
        <v>2.241255750541113</v>
      </c>
      <c r="BO158">
        <f>BN158*((600/BG158)^0.67)</f>
        <v>2.3016162766253809</v>
      </c>
      <c r="BP158">
        <f>BN158*((600/BH158)^0.67)</f>
        <v>2.2589043589136022</v>
      </c>
      <c r="BQ158">
        <f>BN158*((600/BI158)^0.67)</f>
        <v>2.2374851641836062</v>
      </c>
      <c r="BR158" s="39">
        <f>BO158*(AM158-BB158)</f>
        <v>-24.034029911652116</v>
      </c>
      <c r="BS158" s="39">
        <f>BP158*(AD158-BD158)</f>
        <v>1.9040375155749809</v>
      </c>
      <c r="BT158" s="39">
        <f>BQ158*(AU158-BF158)</f>
        <v>-4.223248132356094</v>
      </c>
      <c r="BU158">
        <f>(2.51+1.48*BM158)+(0.39*BM158*LOG10(0.0015))</f>
        <v>3.2768938069574309</v>
      </c>
      <c r="BV158">
        <f>BU158*((600/$BG158)^0.67)</f>
        <v>3.3651456872091492</v>
      </c>
      <c r="BW158">
        <f>BU158*((600/$BH158)^0.67)</f>
        <v>3.30269747325623</v>
      </c>
      <c r="BX158">
        <f>BU158*((600/$BI158)^0.67)</f>
        <v>3.2713809104124789</v>
      </c>
      <c r="BY158" s="39">
        <f>BV158*($AM158-$BB158)</f>
        <v>-35.139659431864452</v>
      </c>
      <c r="BZ158" s="39">
        <f>BW158*($AD158-$BD158)</f>
        <v>2.7838539807408811</v>
      </c>
      <c r="CA158" s="39">
        <f>BX158*($AU158-$BF158)</f>
        <v>-6.1747239898083901</v>
      </c>
      <c r="CB158" s="42">
        <f>AVERAGE(0.72,0.69,0.4,0.22)</f>
        <v>0.50750000000000006</v>
      </c>
      <c r="CC158">
        <f>CB158*((600/$BG158)^0.67)</f>
        <v>0.52116776949947374</v>
      </c>
      <c r="CD158">
        <f>CB158*((600/$BH158)^0.67)</f>
        <v>0.51149627251235208</v>
      </c>
      <c r="CE158">
        <f>CB158*((600/$BI158)^0.67)</f>
        <v>0.50664620516825332</v>
      </c>
      <c r="CF158" s="39">
        <f>CC158*($AM158-$BB158)</f>
        <v>-5.4421590116249003</v>
      </c>
      <c r="CG158" s="39">
        <f>CD158*($AD158-$BD158)</f>
        <v>0.43114180027023091</v>
      </c>
      <c r="CH158" s="39">
        <f>CE158*($AU158-$BF158)</f>
        <v>-0.95629355402802863</v>
      </c>
      <c r="CI158">
        <v>0.86263901889527161</v>
      </c>
      <c r="CJ158">
        <f>((BG158/BH158)^0.67)*CI158</f>
        <v>0.84663071761403186</v>
      </c>
      <c r="CK158">
        <f>((BH158/BH158)^0.67)*CI158</f>
        <v>0.86263901889527161</v>
      </c>
      <c r="CL158">
        <f>((BI158/BH158)^0.67)*CI158</f>
        <v>0.87089696555037366</v>
      </c>
      <c r="CM158" s="39">
        <f>CJ158*($AM158-$BB158)</f>
        <v>-8.8407212783067397</v>
      </c>
      <c r="CN158" s="39">
        <f>CK158*($AD158-$BD158)</f>
        <v>0.72712111422253167</v>
      </c>
      <c r="CO158" s="39">
        <f>CL158*($AU158-$BF158)</f>
        <v>-1.6438160315477246</v>
      </c>
      <c r="CP158" s="27">
        <f>VLOOKUP(A158,Water!$A$2:$E$109, 5, FALSE)/1000</f>
        <v>1E-4</v>
      </c>
      <c r="CQ158">
        <f>0.64*CP158</f>
        <v>6.4000000000000011E-5</v>
      </c>
      <c r="CR158" s="19">
        <f>CQ158*1000*(2.5*10^-5)</f>
        <v>1.6000000000000004E-6</v>
      </c>
      <c r="CS158" s="18">
        <f>(-0.0000009*F158^3)+(0.0002*F158^2)-(0.0134*F158)+6.579</f>
        <v>6.3787089791999998</v>
      </c>
      <c r="CT158" s="18">
        <f>CS158-(SQRT(CP158))/(1+1.4*SQRT(CP158))</f>
        <v>6.368847046261144</v>
      </c>
      <c r="CU158" s="18">
        <f>10^(-CT158)</f>
        <v>4.2771349561641339E-7</v>
      </c>
      <c r="CV158" s="18">
        <f>(0.000001*F158^3)+(0.00006*F158^2)-(0.014*F158)+10.625</f>
        <v>10.368757312</v>
      </c>
      <c r="CW158" s="18">
        <f>CV158-(2*SQRT(CR158))/(1+1.4*SQRT(CR158))</f>
        <v>10.366231961952368</v>
      </c>
      <c r="CX158" s="18">
        <f>10^(-CW158)</f>
        <v>4.30296722403655E-11</v>
      </c>
      <c r="CY158">
        <f>EXP(1246.98+-61900/H158-183*LN(H158))</f>
        <v>2.5629712789829767E-2</v>
      </c>
      <c r="CZ158">
        <f>12.225*(F158^2)+15.258*F158+1125.7</f>
        <v>6732.0904</v>
      </c>
      <c r="DA158" s="15">
        <f>10^(-4470.99/H158+6.0875-0.01706*H158)</f>
        <v>7.2891565822468511E-15</v>
      </c>
      <c r="DB158">
        <f>(10^-I158)</f>
        <v>7.079457843841369E-10</v>
      </c>
      <c r="DC158">
        <f>DB158^2</f>
        <v>5.0118723362727082E-19</v>
      </c>
      <c r="DD158" s="20">
        <f>((14.6836*10^-9)*((H158/217.2056)-1)^1.997)*100*100</f>
        <v>1.8388206499714474E-5</v>
      </c>
      <c r="DE158">
        <f>CY158+CZ158*DA158/DB158</f>
        <v>9.4944711386974315E-2</v>
      </c>
      <c r="DF158">
        <f>1+DC158*(CU158*CX158+CU158*DB158)^-1</f>
        <v>1.0015603474036181</v>
      </c>
      <c r="DG158">
        <f>(DE158*DF158/DD158)^0.5</f>
        <v>71.912479673765617</v>
      </c>
      <c r="DH158">
        <f>DD158/(BO158/60/60)</f>
        <v>2.8761329189082138E-2</v>
      </c>
      <c r="DI158" s="16">
        <f>DF158/((DF158-1)+TANH(DG158*DH158)/(DG158*DH158))</f>
        <v>2.131691665674095</v>
      </c>
      <c r="DJ158">
        <f>$DI158*BR158</f>
        <v>-51.23314125523072</v>
      </c>
      <c r="DK158">
        <f>$DI158*BY158</f>
        <v>-74.90691914553156</v>
      </c>
      <c r="DL158">
        <f>$DI158*CF158</f>
        <v>-11.601005008353971</v>
      </c>
      <c r="DM158">
        <f>$DI158*CM158</f>
        <v>-18.845691867514109</v>
      </c>
    </row>
    <row r="159" spans="1:117" ht="15.75" x14ac:dyDescent="0.25">
      <c r="A159" s="51" t="s">
        <v>478</v>
      </c>
      <c r="B159" s="55" t="s">
        <v>340</v>
      </c>
      <c r="C159" s="62" t="s">
        <v>351</v>
      </c>
      <c r="D159" s="57">
        <v>43262</v>
      </c>
      <c r="E159" s="42" t="str">
        <f>A159&amp;D159</f>
        <v>23A43262</v>
      </c>
      <c r="F159" s="3">
        <f>VLOOKUP($E159,Water!$C$2:$E$90, 2, FALSE)</f>
        <v>20.8</v>
      </c>
      <c r="G159" s="3">
        <f>VLOOKUP($E159,Water!$C$2:$E$90, 3, FALSE)</f>
        <v>0.1</v>
      </c>
      <c r="H159" s="1">
        <f>F159+273.15</f>
        <v>293.95</v>
      </c>
      <c r="I159" s="3">
        <f>VLOOKUP($E159,Water!$C$2:$F$90, 4, FALSE)</f>
        <v>9.15</v>
      </c>
      <c r="J159">
        <f>10^(I159*-1)</f>
        <v>7.079457843841369E-10</v>
      </c>
      <c r="K159" s="25">
        <v>439.52751160265137</v>
      </c>
      <c r="L159" s="25">
        <v>2.8430237635924795</v>
      </c>
      <c r="M159" s="25">
        <v>0.32236441181786135</v>
      </c>
      <c r="N159" s="21">
        <f>VLOOKUP($C159,Raw!$B$2:$F$353, 3, FALSE)</f>
        <v>124.9872368589017</v>
      </c>
      <c r="O159" s="21">
        <f>VLOOKUP($C159,Raw!$B$2:$F$353, 4, FALSE)</f>
        <v>290.51006313654551</v>
      </c>
      <c r="P159" s="21">
        <f>VLOOKUP($C159,Raw!$B$2:$F$353, 5, FALSE)</f>
        <v>0.26909069879135039</v>
      </c>
      <c r="Q159" s="14">
        <v>60</v>
      </c>
      <c r="R159" s="25">
        <v>1140</v>
      </c>
      <c r="S159">
        <f>EXP(24.4543-(100/H159*(67.4509))-(4.8489*LN(H159/100))-(0.000544*G159))</f>
        <v>2.4223904460814211E-2</v>
      </c>
      <c r="T159" s="8">
        <f>EXP(-58.0931+90.5069*(100/H159)+22.294*LN(H159/100)+G159*(0.027766-0.025888*(H159/100)+0.0050578*(H159/100)^2)*G159)</f>
        <v>3.8197750138580476E-2</v>
      </c>
      <c r="U159" s="9">
        <f>(EXP(-67.1962+99.1624*(100/H159)+27.9015*LN(H159/100)+G159*(-0.072909+0.041674*(H159/100)-0.0064603*(H159/100)^2)*G159))</f>
        <v>3.413888286051607E-2</v>
      </c>
      <c r="V159" s="9">
        <f>(EXP(-64.8539+100.252*(100/H159)+25.2049*LN(H159/100)+(-0.062544+0.035337*(H159/100)-0.0054699*(H159/100)^2)*G159))</f>
        <v>2.8086822005277928E-2</v>
      </c>
      <c r="W159" s="9">
        <f>(EXP(-68.8862+101.4956*(100/H159)+28.7314*LN(H159/100)+G159*(-0.076146+0.04397*(H159/100)-0.0068672*(H159/100)^2)))</f>
        <v>3.4071026123476539E-2</v>
      </c>
      <c r="X159">
        <f>N159*(AZ159-S159)</f>
        <v>112.58551520999288</v>
      </c>
      <c r="Y159">
        <f>O159*(AZ159-S159)</f>
        <v>261.68452038697984</v>
      </c>
      <c r="Z159">
        <f>((Y159/10^6)*AZ159)/(0.082056*H159)</f>
        <v>1.0035429376486963E-5</v>
      </c>
      <c r="AA159">
        <f>(((L159/10^6)*AZ159)/(0.082056*H159))</f>
        <v>1.0902809288457271E-7</v>
      </c>
      <c r="AB159">
        <f>((Y159/10^6)*U159*1)/(0.082056*H159)</f>
        <v>3.7037659236634629E-7</v>
      </c>
      <c r="AC159">
        <f>(Z159*(Q159/1000))+(AB159*(R159/1000))</f>
        <v>1.0243550778868525E-6</v>
      </c>
      <c r="AD159" s="39">
        <f>((AC159-(AA159*(Q159/1000)))/(R159/1000))*1000000</f>
        <v>0.89281876518752479</v>
      </c>
      <c r="AE159" s="39">
        <f>(AD159/((U159*AZ159*1))*(0.0821*273.15))</f>
        <v>634.03996518688928</v>
      </c>
      <c r="AF159" s="39">
        <f>L159*U159*AZ159*1/(0.0821*273.15)</f>
        <v>4.0033832335178397E-3</v>
      </c>
      <c r="AG159" s="39">
        <f>AD159-AF159</f>
        <v>0.888815381954007</v>
      </c>
      <c r="AH159" s="42">
        <f>P159*(AZ159-S159)</f>
        <v>0.2423904690031837</v>
      </c>
      <c r="AI159">
        <f>(((X159/10^6)*(Q159/1000))/(0.082056*H159))</f>
        <v>2.800592767491215E-7</v>
      </c>
      <c r="AJ159">
        <f>(((K159/10^6)*AZ159)*(Q159/1000))/(0.082056*H159)</f>
        <v>1.0113354726191725E-6</v>
      </c>
      <c r="AK159">
        <f>(X159/10^6)*T159*(R159/1000)</f>
        <v>4.9025852523047114E-6</v>
      </c>
      <c r="AL159">
        <f>AI159+AK159</f>
        <v>5.1826445290538325E-6</v>
      </c>
      <c r="AM159" s="39">
        <f>((AL159-AJ159)/(R159/1000))*1000000</f>
        <v>3.6590430319602283</v>
      </c>
      <c r="AN159" s="39">
        <f>AM159/(T159*AZ159)</f>
        <v>103.5590363925231</v>
      </c>
      <c r="AO159" s="39">
        <f>(K159*AZ159)*T159</f>
        <v>15.52978991218785</v>
      </c>
      <c r="AP159" s="39">
        <f>AM159-AO159</f>
        <v>-11.870746880227621</v>
      </c>
      <c r="AQ159">
        <f>(((AH159/10^6)*(Q159/1000))/(0.082056*H159))</f>
        <v>6.0295233639332973E-10</v>
      </c>
      <c r="AR159">
        <f>(((M159/10^6)*AZ159)*(Q159/1000))/(0.082056*H159)</f>
        <v>7.4174780002429261E-10</v>
      </c>
      <c r="AS159">
        <f>(AH159/10^6)*V159*(R159/1000)</f>
        <v>7.7610948728818113E-9</v>
      </c>
      <c r="AT159">
        <f>AQ159+AS159</f>
        <v>8.3640472092751413E-9</v>
      </c>
      <c r="AU159" s="39">
        <f>((AT159-AR159)/(R159/1000))*1000000000</f>
        <v>6.6862275519744285</v>
      </c>
      <c r="AV159" s="39">
        <f>(AU159/1000)/(V159*AZ159)</f>
        <v>0.25735749344957254</v>
      </c>
      <c r="AW159" s="39">
        <f>(M159*AZ159)*V159*1000</f>
        <v>8.3751274663970552</v>
      </c>
      <c r="AX159" s="39">
        <f>AU159-AW159</f>
        <v>-1.6888999144226267</v>
      </c>
      <c r="AY159" s="26">
        <f>VLOOKUP($E159,Water!$C$2:$G$90, 5, FALSE)</f>
        <v>703</v>
      </c>
      <c r="AZ159">
        <f>AY159/760</f>
        <v>0.92500000000000004</v>
      </c>
      <c r="BA159" s="3">
        <f>Assumptions!$B$3</f>
        <v>406.07</v>
      </c>
      <c r="BB159" s="3">
        <f>BA159*AZ159*T159</f>
        <v>14.347638368865372</v>
      </c>
      <c r="BC159" s="3">
        <f>Assumptions!$B$4</f>
        <v>1.8474300000000001</v>
      </c>
      <c r="BD159" s="45">
        <f>BC159*AZ159*U159*1/(0.0821*273.15)</f>
        <v>2.6014451169244618E-3</v>
      </c>
      <c r="BE159" s="3">
        <f>Assumptions!$B$2</f>
        <v>0.33054499999999998</v>
      </c>
      <c r="BF159" s="44">
        <f>BE159*AZ159*V159*1000</f>
        <v>8.5876616862544974</v>
      </c>
      <c r="BG159">
        <f>1923.6+(-125.06*F159)+(4.3773*(F159^2))+(-0.085681*(F159^3))+(0.00070284*(F159^4))</f>
        <v>576.66703537766398</v>
      </c>
      <c r="BH159">
        <f>1909.4+(-120.78*F159)+(4.1555*(F159^2))+(-0.080578*(F159^3))+(0.00065777*(F159^4))</f>
        <v>593.01684726579185</v>
      </c>
      <c r="BI159">
        <f>2141.2+(-152.56*F159)+(5.8963*(F159^2))+(-0.12411*(F159^3))+(0.0010655*(F159^4))</f>
        <v>601.50975098879974</v>
      </c>
      <c r="BJ159" s="25">
        <f>VLOOKUP(E159,Wind!$C$2:$E$109,3, FALSE)</f>
        <v>0.63888888888888895</v>
      </c>
      <c r="BK159" s="44">
        <v>1.66</v>
      </c>
      <c r="BL159">
        <f>BK159/(1-(((1.3*10^-3)^0.5)/0.41)*LN(10/1.5))</f>
        <v>1.9923982880693825</v>
      </c>
      <c r="BM159">
        <f>BK159*1.22</f>
        <v>2.0251999999999999</v>
      </c>
      <c r="BN159">
        <f>2.07+0.215*(BM159^1.7)*(24/100)</f>
        <v>2.241255750541113</v>
      </c>
      <c r="BO159">
        <f>BN159*((600/BG159)^0.67)</f>
        <v>2.3016162766253809</v>
      </c>
      <c r="BP159">
        <f>BN159*((600/BH159)^0.67)</f>
        <v>2.2589043589136022</v>
      </c>
      <c r="BQ159">
        <f>BN159*((600/BI159)^0.67)</f>
        <v>2.2374851641836062</v>
      </c>
      <c r="BR159" s="39">
        <f>BO159*(AM159-BB159)</f>
        <v>-24.601045001683026</v>
      </c>
      <c r="BS159" s="39">
        <f>BP159*(AD159-BD159)</f>
        <v>2.0109157846878642</v>
      </c>
      <c r="BT159" s="39">
        <f>BQ159*(AU159-BF159)</f>
        <v>-4.2544306661239535</v>
      </c>
      <c r="BU159">
        <f>(2.51+1.48*BM159)+(0.39*BM159*LOG10(0.0015))</f>
        <v>3.2768938069574309</v>
      </c>
      <c r="BV159">
        <f>BU159*((600/$BG159)^0.67)</f>
        <v>3.3651456872091492</v>
      </c>
      <c r="BW159">
        <f>BU159*((600/$BH159)^0.67)</f>
        <v>3.30269747325623</v>
      </c>
      <c r="BX159">
        <f>BU159*((600/$BI159)^0.67)</f>
        <v>3.2713809104124789</v>
      </c>
      <c r="BY159" s="39">
        <f>BV159*($AM159-$BB159)</f>
        <v>-35.968680500310164</v>
      </c>
      <c r="BZ159" s="39">
        <f>BW159*($AD159-$BD159)</f>
        <v>2.940118493646104</v>
      </c>
      <c r="CA159" s="39">
        <f>BX159*($AU159-$BF159)</f>
        <v>-6.2203153292904956</v>
      </c>
      <c r="CB159" s="42">
        <f>AVERAGE(0.72,0.69,0.4,0.22)</f>
        <v>0.50750000000000006</v>
      </c>
      <c r="CC159">
        <f>CB159*((600/$BG159)^0.67)</f>
        <v>0.52116776949947374</v>
      </c>
      <c r="CD159">
        <f>CB159*((600/$BH159)^0.67)</f>
        <v>0.51149627251235208</v>
      </c>
      <c r="CE159">
        <f>CB159*((600/$BI159)^0.67)</f>
        <v>0.50664620516825332</v>
      </c>
      <c r="CF159" s="39">
        <f>CC159*($AM159-$BB159)</f>
        <v>-5.5705513908173296</v>
      </c>
      <c r="CG159" s="39">
        <f>CD159*($AD159-$BD159)</f>
        <v>0.45534284094204752</v>
      </c>
      <c r="CH159" s="39">
        <f>CE159*($AU159-$BF159)</f>
        <v>-0.96335438851037991</v>
      </c>
      <c r="CI159">
        <v>0.86263901889527161</v>
      </c>
      <c r="CJ159">
        <f>((BG159/BH159)^0.67)*CI159</f>
        <v>0.84663071761403186</v>
      </c>
      <c r="CK159">
        <f>((BH159/BH159)^0.67)*CI159</f>
        <v>0.86263901889527161</v>
      </c>
      <c r="CL159">
        <f>((BI159/BH159)^0.67)*CI159</f>
        <v>0.87089696555037366</v>
      </c>
      <c r="CM159" s="39">
        <f>CJ159*($AM159-$BB159)</f>
        <v>-9.0492931403699952</v>
      </c>
      <c r="CN159" s="39">
        <f>CK159*($AD159-$BD159)</f>
        <v>0.76793619558928061</v>
      </c>
      <c r="CO159" s="39">
        <f>CL159*($AU159-$BF159)</f>
        <v>-1.6559532177384138</v>
      </c>
      <c r="CP159" s="27">
        <f>VLOOKUP(A159,Water!$A$2:$E$109, 5, FALSE)/1000</f>
        <v>1E-4</v>
      </c>
      <c r="CQ159">
        <f>0.64*CP159</f>
        <v>6.4000000000000011E-5</v>
      </c>
      <c r="CR159" s="19">
        <f>CQ159*1000*(2.5*10^-5)</f>
        <v>1.6000000000000004E-6</v>
      </c>
      <c r="CS159" s="18">
        <f>(-0.0000009*F159^3)+(0.0002*F159^2)-(0.0134*F159)+6.579</f>
        <v>6.3787089791999998</v>
      </c>
      <c r="CT159" s="18">
        <f>CS159-(SQRT(CP159))/(1+1.4*SQRT(CP159))</f>
        <v>6.368847046261144</v>
      </c>
      <c r="CU159" s="18">
        <f>10^(-CT159)</f>
        <v>4.2771349561641339E-7</v>
      </c>
      <c r="CV159" s="18">
        <f>(0.000001*F159^3)+(0.00006*F159^2)-(0.014*F159)+10.625</f>
        <v>10.368757312</v>
      </c>
      <c r="CW159" s="18">
        <f>CV159-(2*SQRT(CR159))/(1+1.4*SQRT(CR159))</f>
        <v>10.366231961952368</v>
      </c>
      <c r="CX159" s="18">
        <f>10^(-CW159)</f>
        <v>4.30296722403655E-11</v>
      </c>
      <c r="CY159">
        <f>EXP(1246.98+-61900/H159-183*LN(H159))</f>
        <v>2.5629712789829767E-2</v>
      </c>
      <c r="CZ159">
        <f>12.225*(F159^2)+15.258*F159+1125.7</f>
        <v>6732.0904</v>
      </c>
      <c r="DA159" s="15">
        <f>10^(-4470.99/H159+6.0875-0.01706*H159)</f>
        <v>7.2891565822468511E-15</v>
      </c>
      <c r="DB159">
        <f>(10^-I159)</f>
        <v>7.079457843841369E-10</v>
      </c>
      <c r="DC159">
        <f>DB159^2</f>
        <v>5.0118723362727082E-19</v>
      </c>
      <c r="DD159" s="20">
        <f>((14.6836*10^-9)*((H159/217.2056)-1)^1.997)*100*100</f>
        <v>1.8388206499714474E-5</v>
      </c>
      <c r="DE159">
        <f>CY159+CZ159*DA159/DB159</f>
        <v>9.4944711386974315E-2</v>
      </c>
      <c r="DF159">
        <f>1+DC159*(CU159*CX159+CU159*DB159)^-1</f>
        <v>1.0015603474036181</v>
      </c>
      <c r="DG159">
        <f>(DE159*DF159/DD159)^0.5</f>
        <v>71.912479673765617</v>
      </c>
      <c r="DH159">
        <f>DD159/(BO159/60/60)</f>
        <v>2.8761329189082138E-2</v>
      </c>
      <c r="DI159" s="16">
        <f>DF159/((DF159-1)+TANH(DG159*DH159)/(DG159*DH159))</f>
        <v>2.131691665674095</v>
      </c>
      <c r="DJ159">
        <f>$DI159*BR159</f>
        <v>-52.44184259696106</v>
      </c>
      <c r="DK159">
        <f>$DI159*BY159</f>
        <v>-76.674136447805509</v>
      </c>
      <c r="DL159">
        <f>$DI159*CF159</f>
        <v>-11.874697973014539</v>
      </c>
      <c r="DM159">
        <f>$DI159*CM159</f>
        <v>-19.290302767568477</v>
      </c>
    </row>
    <row r="160" spans="1:117" ht="15.75" x14ac:dyDescent="0.25">
      <c r="A160" s="51" t="s">
        <v>478</v>
      </c>
      <c r="B160" s="55" t="s">
        <v>341</v>
      </c>
      <c r="C160" s="62" t="s">
        <v>352</v>
      </c>
      <c r="D160" s="57">
        <v>43262</v>
      </c>
      <c r="E160" s="42" t="str">
        <f>A160&amp;D160</f>
        <v>23A43262</v>
      </c>
      <c r="F160" s="3">
        <f>VLOOKUP($E160,Water!$C$2:$E$90, 2, FALSE)</f>
        <v>20.8</v>
      </c>
      <c r="G160" s="3">
        <f>VLOOKUP($E160,Water!$C$2:$E$90, 3, FALSE)</f>
        <v>0.1</v>
      </c>
      <c r="H160" s="1">
        <f>F160+273.15</f>
        <v>293.95</v>
      </c>
      <c r="I160" s="3">
        <f>VLOOKUP($E160,Water!$C$2:$F$90, 4, FALSE)</f>
        <v>9.15</v>
      </c>
      <c r="J160">
        <f>10^(I160*-1)</f>
        <v>7.079457843841369E-10</v>
      </c>
      <c r="K160" s="25">
        <v>439.52751160265137</v>
      </c>
      <c r="L160" s="25">
        <v>2.8430237635924795</v>
      </c>
      <c r="M160" s="25">
        <v>0.32236441181786135</v>
      </c>
      <c r="N160" s="21">
        <f>VLOOKUP($C160,Raw!$B$2:$F$353, 3, FALSE)</f>
        <v>99.323214750768074</v>
      </c>
      <c r="O160" s="21">
        <f>VLOOKUP($C160,Raw!$B$2:$F$353, 4, FALSE)</f>
        <v>303.7228017431944</v>
      </c>
      <c r="P160" s="21">
        <f>VLOOKUP($C160,Raw!$B$2:$F$353, 5, FALSE)</f>
        <v>0.26876875081837831</v>
      </c>
      <c r="Q160" s="14">
        <v>60</v>
      </c>
      <c r="R160" s="25">
        <v>1140</v>
      </c>
      <c r="S160">
        <f>EXP(24.4543-(100/H160*(67.4509))-(4.8489*LN(H160/100))-(0.000544*G160))</f>
        <v>2.4223904460814211E-2</v>
      </c>
      <c r="T160" s="8">
        <f>EXP(-58.0931+90.5069*(100/H160)+22.294*LN(H160/100)+G160*(0.027766-0.025888*(H160/100)+0.0050578*(H160/100)^2)*G160)</f>
        <v>3.8197750138580476E-2</v>
      </c>
      <c r="U160" s="9">
        <f>(EXP(-67.1962+99.1624*(100/H160)+27.9015*LN(H160/100)+G160*(-0.072909+0.041674*(H160/100)-0.0064603*(H160/100)^2)*G160))</f>
        <v>3.413888286051607E-2</v>
      </c>
      <c r="V160" s="9">
        <f>(EXP(-64.8539+100.252*(100/H160)+25.2049*LN(H160/100)+(-0.062544+0.035337*(H160/100)-0.0054699*(H160/100)^2)*G160))</f>
        <v>2.8086822005277928E-2</v>
      </c>
      <c r="W160" s="9">
        <f>(EXP(-68.8862+101.4956*(100/H160)+28.7314*LN(H160/100)+G160*(-0.076146+0.04397*(H160/100)-0.0068672*(H160/100)^2)))</f>
        <v>3.4071026123476539E-2</v>
      </c>
      <c r="X160">
        <f>N160*(AZ160-S160)</f>
        <v>89.467977579596933</v>
      </c>
      <c r="Y160">
        <f>O160*(AZ160-S160)</f>
        <v>273.58623948045687</v>
      </c>
      <c r="Z160">
        <f>((Y160/10^6)*AZ160)/(0.082056*H160)</f>
        <v>1.0491852481853488E-5</v>
      </c>
      <c r="AA160">
        <f>(((L160/10^6)*AZ160)/(0.082056*H160))</f>
        <v>1.0902809288457271E-7</v>
      </c>
      <c r="AB160">
        <f>((Y160/10^6)*U160*1)/(0.082056*H160)</f>
        <v>3.8722175445168763E-7</v>
      </c>
      <c r="AC160">
        <f>(Z160*(Q160/1000))+(AB160*(R160/1000))</f>
        <v>1.0709439489861331E-6</v>
      </c>
      <c r="AD160" s="39">
        <f>((AC160-(AA160*(Q160/1000)))/(R160/1000))*1000000</f>
        <v>0.93368619597636737</v>
      </c>
      <c r="AE160" s="39">
        <f>(AD160/((U160*AZ160*1))*(0.0821*273.15))</f>
        <v>663.06218717075728</v>
      </c>
      <c r="AF160" s="39">
        <f>L160*U160*AZ160*1/(0.0821*273.15)</f>
        <v>4.0033832335178397E-3</v>
      </c>
      <c r="AG160" s="39">
        <f>AD160-AF160</f>
        <v>0.92968281274284958</v>
      </c>
      <c r="AH160" s="42">
        <f>P160*(AZ160-S160)</f>
        <v>0.24210046596512316</v>
      </c>
      <c r="AI160">
        <f>(((X160/10^6)*(Q160/1000))/(0.082056*H160))</f>
        <v>2.2255382538698529E-7</v>
      </c>
      <c r="AJ160">
        <f>(((K160/10^6)*AZ160)*(Q160/1000))/(0.082056*H160)</f>
        <v>1.0113354726191725E-6</v>
      </c>
      <c r="AK160">
        <f>(X160/10^6)*T160*(R160/1000)</f>
        <v>3.8959220164081027E-6</v>
      </c>
      <c r="AL160">
        <f>AI160+AK160</f>
        <v>4.1184758417950882E-6</v>
      </c>
      <c r="AM160" s="39">
        <f>((AL160-AJ160)/(R160/1000))*1000000</f>
        <v>2.7255617273472943</v>
      </c>
      <c r="AN160" s="39">
        <f>AM160/(T160*AZ160)</f>
        <v>77.139444288310443</v>
      </c>
      <c r="AO160" s="39">
        <f>(K160*AZ160)*T160</f>
        <v>15.52978991218785</v>
      </c>
      <c r="AP160" s="39">
        <f>AM160-AO160</f>
        <v>-12.804228184840555</v>
      </c>
      <c r="AQ160">
        <f>(((AH160/10^6)*(Q160/1000))/(0.082056*H160))</f>
        <v>6.0223094660404131E-10</v>
      </c>
      <c r="AR160">
        <f>(((M160/10^6)*AZ160)*(Q160/1000))/(0.082056*H160)</f>
        <v>7.4174780002429261E-10</v>
      </c>
      <c r="AS160">
        <f>(AH160/10^6)*V160*(R160/1000)</f>
        <v>7.7518092722512777E-9</v>
      </c>
      <c r="AT160">
        <f>AQ160+AS160</f>
        <v>8.3540402188553185E-9</v>
      </c>
      <c r="AU160" s="39">
        <f>((AT160-AR160)/(R160/1000))*1000000000</f>
        <v>6.6774494902026547</v>
      </c>
      <c r="AV160" s="39">
        <f>(AU160/1000)/(V160*AZ160)</f>
        <v>0.25701961981943233</v>
      </c>
      <c r="AW160" s="39">
        <f>(M160*AZ160)*V160*1000</f>
        <v>8.3751274663970552</v>
      </c>
      <c r="AX160" s="39">
        <f>AU160-AW160</f>
        <v>-1.6976779761944005</v>
      </c>
      <c r="AY160" s="26">
        <f>VLOOKUP($E160,Water!$C$2:$G$90, 5, FALSE)</f>
        <v>703</v>
      </c>
      <c r="AZ160">
        <f>AY160/760</f>
        <v>0.92500000000000004</v>
      </c>
      <c r="BA160" s="3">
        <f>Assumptions!$B$3</f>
        <v>406.07</v>
      </c>
      <c r="BB160" s="3">
        <f>BA160*AZ160*T160</f>
        <v>14.347638368865372</v>
      </c>
      <c r="BC160" s="3">
        <f>Assumptions!$B$4</f>
        <v>1.8474300000000001</v>
      </c>
      <c r="BD160" s="45">
        <f>BC160*AZ160*U160*1/(0.0821*273.15)</f>
        <v>2.6014451169244618E-3</v>
      </c>
      <c r="BE160" s="3">
        <f>Assumptions!$B$2</f>
        <v>0.33054499999999998</v>
      </c>
      <c r="BF160" s="44">
        <f>BE160*AZ160*V160*1000</f>
        <v>8.5876616862544974</v>
      </c>
      <c r="BG160">
        <f>1923.6+(-125.06*F160)+(4.3773*(F160^2))+(-0.085681*(F160^3))+(0.00070284*(F160^4))</f>
        <v>576.66703537766398</v>
      </c>
      <c r="BH160">
        <f>1909.4+(-120.78*F160)+(4.1555*(F160^2))+(-0.080578*(F160^3))+(0.00065777*(F160^4))</f>
        <v>593.01684726579185</v>
      </c>
      <c r="BI160">
        <f>2141.2+(-152.56*F160)+(5.8963*(F160^2))+(-0.12411*(F160^3))+(0.0010655*(F160^4))</f>
        <v>601.50975098879974</v>
      </c>
      <c r="BJ160" s="25">
        <f>VLOOKUP(E160,Wind!$C$2:$E$109,3, FALSE)</f>
        <v>0.63888888888888895</v>
      </c>
      <c r="BK160" s="44">
        <v>1.66</v>
      </c>
      <c r="BL160">
        <f>BK160/(1-(((1.3*10^-3)^0.5)/0.41)*LN(10/1.5))</f>
        <v>1.9923982880693825</v>
      </c>
      <c r="BM160">
        <f>BK160*1.22</f>
        <v>2.0251999999999999</v>
      </c>
      <c r="BN160">
        <f>2.07+0.215*(BM160^1.7)*(24/100)</f>
        <v>2.241255750541113</v>
      </c>
      <c r="BO160">
        <f>BN160*((600/BG160)^0.67)</f>
        <v>2.3016162766253809</v>
      </c>
      <c r="BP160">
        <f>BN160*((600/BH160)^0.67)</f>
        <v>2.2589043589136022</v>
      </c>
      <c r="BQ160">
        <f>BN160*((600/BI160)^0.67)</f>
        <v>2.2374851641836062</v>
      </c>
      <c r="BR160" s="39">
        <f>BO160*(AM160-BB160)</f>
        <v>-26.749560766305649</v>
      </c>
      <c r="BS160" s="39">
        <f>BP160*(AD160-BD160)</f>
        <v>2.103231402234381</v>
      </c>
      <c r="BT160" s="39">
        <f>BQ160*(AU160-BF160)</f>
        <v>-4.2740714491085843</v>
      </c>
      <c r="BU160">
        <f>(2.51+1.48*BM160)+(0.39*BM160*LOG10(0.0015))</f>
        <v>3.2768938069574309</v>
      </c>
      <c r="BV160">
        <f>BU160*((600/$BG160)^0.67)</f>
        <v>3.3651456872091492</v>
      </c>
      <c r="BW160">
        <f>BU160*((600/$BH160)^0.67)</f>
        <v>3.30269747325623</v>
      </c>
      <c r="BX160">
        <f>BU160*((600/$BI160)^0.67)</f>
        <v>3.2713809104124789</v>
      </c>
      <c r="BY160" s="39">
        <f>BV160*($AM160-$BB160)</f>
        <v>-39.109981086618752</v>
      </c>
      <c r="BZ160" s="39">
        <f>BW160*($AD160-$BD160)</f>
        <v>3.0750912540508883</v>
      </c>
      <c r="CA160" s="39">
        <f>BX160*($AU160-$BF160)</f>
        <v>-6.2490317130010977</v>
      </c>
      <c r="CB160" s="42">
        <f>AVERAGE(0.72,0.69,0.4,0.22)</f>
        <v>0.50750000000000006</v>
      </c>
      <c r="CC160">
        <f>CB160*((600/$BG160)^0.67)</f>
        <v>0.52116776949947374</v>
      </c>
      <c r="CD160">
        <f>CB160*((600/$BH160)^0.67)</f>
        <v>0.51149627251235208</v>
      </c>
      <c r="CE160">
        <f>CB160*((600/$BI160)^0.67)</f>
        <v>0.50664620516825332</v>
      </c>
      <c r="CF160" s="39">
        <f>CC160*($AM160-$BB160)</f>
        <v>-6.0570517602119116</v>
      </c>
      <c r="CG160" s="39">
        <f>CD160*($AD160-$BD160)</f>
        <v>0.47624637945769704</v>
      </c>
      <c r="CH160" s="39">
        <f>CE160*($AU160-$BF160)</f>
        <v>-0.96780176019578168</v>
      </c>
      <c r="CI160">
        <v>0.86263901889527161</v>
      </c>
      <c r="CJ160">
        <f>((BG160/BH160)^0.67)*CI160</f>
        <v>0.84663071761403186</v>
      </c>
      <c r="CK160">
        <f>((BH160/BH160)^0.67)*CI160</f>
        <v>0.86263901889527161</v>
      </c>
      <c r="CL160">
        <f>((BI160/BH160)^0.67)*CI160</f>
        <v>0.87089696555037366</v>
      </c>
      <c r="CM160" s="39">
        <f>CJ160*($AM160-$BB160)</f>
        <v>-9.8396070871737269</v>
      </c>
      <c r="CN160" s="39">
        <f>CK160*($AD160-$BD160)</f>
        <v>0.80319003598973815</v>
      </c>
      <c r="CO160" s="39">
        <f>CL160*($AU160-$BF160)</f>
        <v>-1.6635980050988652</v>
      </c>
      <c r="CP160" s="27">
        <f>VLOOKUP(A160,Water!$A$2:$E$109, 5, FALSE)/1000</f>
        <v>1E-4</v>
      </c>
      <c r="CQ160">
        <f>0.64*CP160</f>
        <v>6.4000000000000011E-5</v>
      </c>
      <c r="CR160" s="19">
        <f>CQ160*1000*(2.5*10^-5)</f>
        <v>1.6000000000000004E-6</v>
      </c>
      <c r="CS160" s="18">
        <f>(-0.0000009*F160^3)+(0.0002*F160^2)-(0.0134*F160)+6.579</f>
        <v>6.3787089791999998</v>
      </c>
      <c r="CT160" s="18">
        <f>CS160-(SQRT(CP160))/(1+1.4*SQRT(CP160))</f>
        <v>6.368847046261144</v>
      </c>
      <c r="CU160" s="18">
        <f>10^(-CT160)</f>
        <v>4.2771349561641339E-7</v>
      </c>
      <c r="CV160" s="18">
        <f>(0.000001*F160^3)+(0.00006*F160^2)-(0.014*F160)+10.625</f>
        <v>10.368757312</v>
      </c>
      <c r="CW160" s="18">
        <f>CV160-(2*SQRT(CR160))/(1+1.4*SQRT(CR160))</f>
        <v>10.366231961952368</v>
      </c>
      <c r="CX160" s="18">
        <f>10^(-CW160)</f>
        <v>4.30296722403655E-11</v>
      </c>
      <c r="CY160">
        <f>EXP(1246.98+-61900/H160-183*LN(H160))</f>
        <v>2.5629712789829767E-2</v>
      </c>
      <c r="CZ160">
        <f>12.225*(F160^2)+15.258*F160+1125.7</f>
        <v>6732.0904</v>
      </c>
      <c r="DA160" s="15">
        <f>10^(-4470.99/H160+6.0875-0.01706*H160)</f>
        <v>7.2891565822468511E-15</v>
      </c>
      <c r="DB160">
        <f>(10^-I160)</f>
        <v>7.079457843841369E-10</v>
      </c>
      <c r="DC160">
        <f>DB160^2</f>
        <v>5.0118723362727082E-19</v>
      </c>
      <c r="DD160" s="20">
        <f>((14.6836*10^-9)*((H160/217.2056)-1)^1.997)*100*100</f>
        <v>1.8388206499714474E-5</v>
      </c>
      <c r="DE160">
        <f>CY160+CZ160*DA160/DB160</f>
        <v>9.4944711386974315E-2</v>
      </c>
      <c r="DF160">
        <f>1+DC160*(CU160*CX160+CU160*DB160)^-1</f>
        <v>1.0015603474036181</v>
      </c>
      <c r="DG160">
        <f>(DE160*DF160/DD160)^0.5</f>
        <v>71.912479673765617</v>
      </c>
      <c r="DH160">
        <f>DD160/(BO160/60/60)</f>
        <v>2.8761329189082138E-2</v>
      </c>
      <c r="DI160" s="16">
        <f>DF160/((DF160-1)+TANH(DG160*DH160)/(DG160*DH160))</f>
        <v>2.131691665674095</v>
      </c>
      <c r="DJ160">
        <f>$DI160*BR160</f>
        <v>-57.021815745976511</v>
      </c>
      <c r="DK160">
        <f>$DI160*BY160</f>
        <v>-83.370420727016679</v>
      </c>
      <c r="DL160">
        <f>$DI160*CF160</f>
        <v>-12.911766755800338</v>
      </c>
      <c r="DM160">
        <f>$DI160*CM160</f>
        <v>-20.975008421235991</v>
      </c>
    </row>
    <row r="161" spans="1:117" ht="15.75" x14ac:dyDescent="0.25">
      <c r="A161" s="51" t="s">
        <v>478</v>
      </c>
      <c r="B161" s="55" t="s">
        <v>342</v>
      </c>
      <c r="C161" s="62" t="s">
        <v>353</v>
      </c>
      <c r="D161" s="57">
        <v>43262</v>
      </c>
      <c r="E161" s="42" t="str">
        <f>A161&amp;D161</f>
        <v>23A43262</v>
      </c>
      <c r="F161" s="3">
        <f>VLOOKUP($E161,Water!$C$2:$E$90, 2, FALSE)</f>
        <v>20.8</v>
      </c>
      <c r="G161" s="3">
        <f>VLOOKUP($E161,Water!$C$2:$E$90, 3, FALSE)</f>
        <v>0.1</v>
      </c>
      <c r="H161" s="1">
        <f>F161+273.15</f>
        <v>293.95</v>
      </c>
      <c r="I161" s="3">
        <f>VLOOKUP($E161,Water!$C$2:$F$90, 4, FALSE)</f>
        <v>9.15</v>
      </c>
      <c r="J161">
        <f>10^(I161*-1)</f>
        <v>7.079457843841369E-10</v>
      </c>
      <c r="K161" s="25">
        <v>439.52751160265137</v>
      </c>
      <c r="L161" s="25">
        <v>2.8430237635924795</v>
      </c>
      <c r="M161" s="25">
        <v>0.32236441181786135</v>
      </c>
      <c r="N161" s="21">
        <f>VLOOKUP($C161,Raw!$B$2:$F$353, 3, FALSE)</f>
        <v>167.96678039038451</v>
      </c>
      <c r="O161" s="21">
        <f>VLOOKUP($C161,Raw!$B$2:$F$353, 4, FALSE)</f>
        <v>303.02609433417712</v>
      </c>
      <c r="P161" s="21">
        <f>VLOOKUP($C161,Raw!$B$2:$F$353, 5, FALSE)</f>
        <v>0.27201419893522755</v>
      </c>
      <c r="Q161" s="14">
        <v>60</v>
      </c>
      <c r="R161" s="25">
        <v>1140</v>
      </c>
      <c r="S161">
        <f>EXP(24.4543-(100/H161*(67.4509))-(4.8489*LN(H161/100))-(0.000544*G161))</f>
        <v>2.4223904460814211E-2</v>
      </c>
      <c r="T161" s="8">
        <f>EXP(-58.0931+90.5069*(100/H161)+22.294*LN(H161/100)+G161*(0.027766-0.025888*(H161/100)+0.0050578*(H161/100)^2)*G161)</f>
        <v>3.8197750138580476E-2</v>
      </c>
      <c r="U161" s="9">
        <f>(EXP(-67.1962+99.1624*(100/H161)+27.9015*LN(H161/100)+G161*(-0.072909+0.041674*(H161/100)-0.0064603*(H161/100)^2)*G161))</f>
        <v>3.413888286051607E-2</v>
      </c>
      <c r="V161" s="9">
        <f>(EXP(-64.8539+100.252*(100/H161)+25.2049*LN(H161/100)+(-0.062544+0.035337*(H161/100)-0.0054699*(H161/100)^2)*G161))</f>
        <v>2.8086822005277928E-2</v>
      </c>
      <c r="W161" s="9">
        <f>(EXP(-68.8862+101.4956*(100/H161)+28.7314*LN(H161/100)+G161*(-0.076146+0.04397*(H161/100)-0.0068672*(H161/100)^2)))</f>
        <v>3.4071026123476539E-2</v>
      </c>
      <c r="X161">
        <f>N161*(AZ161-S161)</f>
        <v>151.30046062033844</v>
      </c>
      <c r="Y161">
        <f>O161*(AZ161-S161)</f>
        <v>272.95866210082903</v>
      </c>
      <c r="Z161">
        <f>((Y161/10^6)*AZ161)/(0.082056*H161)</f>
        <v>1.0467785301791702E-5</v>
      </c>
      <c r="AA161">
        <f>(((L161/10^6)*AZ161)/(0.082056*H161))</f>
        <v>1.0902809288457271E-7</v>
      </c>
      <c r="AB161">
        <f>((Y161/10^6)*U161*1)/(0.082056*H161)</f>
        <v>3.8633350943448514E-7</v>
      </c>
      <c r="AC161">
        <f>(Z161*(Q161/1000))+(AB161*(R161/1000))</f>
        <v>1.0684873188628153E-6</v>
      </c>
      <c r="AD161" s="39">
        <f>((AC161-(AA161*(Q161/1000)))/(R161/1000))*1000000</f>
        <v>0.93153125727170261</v>
      </c>
      <c r="AE161" s="39">
        <f>(AD161/((U161*AZ161*1))*(0.0821*273.15))</f>
        <v>661.53184605948093</v>
      </c>
      <c r="AF161" s="39">
        <f>L161*U161*AZ161*1/(0.0821*273.15)</f>
        <v>4.0033832335178397E-3</v>
      </c>
      <c r="AG161" s="39">
        <f>AD161-AF161</f>
        <v>0.92752787403818482</v>
      </c>
      <c r="AH161" s="42">
        <f>P161*(AZ161-S161)</f>
        <v>0.24502388804809364</v>
      </c>
      <c r="AI161">
        <f>(((X161/10^6)*(Q161/1000))/(0.082056*H161))</f>
        <v>3.7636366893296384E-7</v>
      </c>
      <c r="AJ161">
        <f>(((K161/10^6)*AZ161)*(Q161/1000))/(0.082056*H161)</f>
        <v>1.0113354726191725E-6</v>
      </c>
      <c r="AK161">
        <f>(X161/10^6)*T161*(R161/1000)</f>
        <v>6.5884443973157175E-6</v>
      </c>
      <c r="AL161">
        <f>AI161+AK161</f>
        <v>6.9648080662486813E-6</v>
      </c>
      <c r="AM161" s="39">
        <f>((AL161-AJ161)/(R161/1000))*1000000</f>
        <v>5.2223443803767626</v>
      </c>
      <c r="AN161" s="39">
        <f>AM161/(T161*AZ161)</f>
        <v>147.8039331644581</v>
      </c>
      <c r="AO161" s="39">
        <f>(K161*AZ161)*T161</f>
        <v>15.52978991218785</v>
      </c>
      <c r="AP161" s="39">
        <f>AM161-AO161</f>
        <v>-10.307445531811087</v>
      </c>
      <c r="AQ161">
        <f>(((AH161/10^6)*(Q161/1000))/(0.082056*H161))</f>
        <v>6.0950303193990394E-10</v>
      </c>
      <c r="AR161">
        <f>(((M161/10^6)*AZ161)*(Q161/1000))/(0.082056*H161)</f>
        <v>7.4174780002429261E-10</v>
      </c>
      <c r="AS161">
        <f>(AH161/10^6)*V161*(R161/1000)</f>
        <v>7.8454142569386646E-9</v>
      </c>
      <c r="AT161">
        <f>AQ161+AS161</f>
        <v>8.4549172888785686E-9</v>
      </c>
      <c r="AU161" s="39">
        <f>((AT161-AR161)/(R161/1000))*1000000000</f>
        <v>6.7659381481177858</v>
      </c>
      <c r="AV161" s="39">
        <f>(AU161/1000)/(V161*AZ161)</f>
        <v>0.26042560907461854</v>
      </c>
      <c r="AW161" s="39">
        <f>(M161*AZ161)*V161*1000</f>
        <v>8.3751274663970552</v>
      </c>
      <c r="AX161" s="39">
        <f>AU161-AW161</f>
        <v>-1.6091893182792694</v>
      </c>
      <c r="AY161" s="26">
        <f>VLOOKUP($E161,Water!$C$2:$G$90, 5, FALSE)</f>
        <v>703</v>
      </c>
      <c r="AZ161">
        <f>AY161/760</f>
        <v>0.92500000000000004</v>
      </c>
      <c r="BA161" s="3">
        <f>Assumptions!$B$3</f>
        <v>406.07</v>
      </c>
      <c r="BB161" s="3">
        <f>BA161*AZ161*T161</f>
        <v>14.347638368865372</v>
      </c>
      <c r="BC161" s="3">
        <f>Assumptions!$B$4</f>
        <v>1.8474300000000001</v>
      </c>
      <c r="BD161" s="45">
        <f>BC161*AZ161*U161*1/(0.0821*273.15)</f>
        <v>2.6014451169244618E-3</v>
      </c>
      <c r="BE161" s="3">
        <f>Assumptions!$B$2</f>
        <v>0.33054499999999998</v>
      </c>
      <c r="BF161" s="44">
        <f>BE161*AZ161*V161*1000</f>
        <v>8.5876616862544974</v>
      </c>
      <c r="BG161">
        <f>1923.6+(-125.06*F161)+(4.3773*(F161^2))+(-0.085681*(F161^3))+(0.00070284*(F161^4))</f>
        <v>576.66703537766398</v>
      </c>
      <c r="BH161">
        <f>1909.4+(-120.78*F161)+(4.1555*(F161^2))+(-0.080578*(F161^3))+(0.00065777*(F161^4))</f>
        <v>593.01684726579185</v>
      </c>
      <c r="BI161">
        <f>2141.2+(-152.56*F161)+(5.8963*(F161^2))+(-0.12411*(F161^3))+(0.0010655*(F161^4))</f>
        <v>601.50975098879974</v>
      </c>
      <c r="BJ161" s="25">
        <f>VLOOKUP(E161,Wind!$C$2:$E$109,3, FALSE)</f>
        <v>0.63888888888888895</v>
      </c>
      <c r="BK161" s="44">
        <v>1.66</v>
      </c>
      <c r="BL161">
        <f>BK161/(1-(((1.3*10^-3)^0.5)/0.41)*LN(10/1.5))</f>
        <v>1.9923982880693825</v>
      </c>
      <c r="BM161">
        <f>BK161*1.22</f>
        <v>2.0251999999999999</v>
      </c>
      <c r="BN161">
        <f>2.07+0.215*(BM161^1.7)*(24/100)</f>
        <v>2.241255750541113</v>
      </c>
      <c r="BO161">
        <f>BN161*((600/BG161)^0.67)</f>
        <v>2.3016162766253809</v>
      </c>
      <c r="BP161">
        <f>BN161*((600/BH161)^0.67)</f>
        <v>2.2589043589136022</v>
      </c>
      <c r="BQ161">
        <f>BN161*((600/BI161)^0.67)</f>
        <v>2.2374851641836062</v>
      </c>
      <c r="BR161" s="39">
        <f>BO161*(AM161-BB161)</f>
        <v>-21.002925172897125</v>
      </c>
      <c r="BS161" s="39">
        <f>BP161*(AD161-BD161)</f>
        <v>2.0983636018012217</v>
      </c>
      <c r="BT161" s="39">
        <f>BQ161*(AU161-BF161)</f>
        <v>-4.0760793898249599</v>
      </c>
      <c r="BU161">
        <f>(2.51+1.48*BM161)+(0.39*BM161*LOG10(0.0015))</f>
        <v>3.2768938069574309</v>
      </c>
      <c r="BV161">
        <f>BU161*((600/$BG161)^0.67)</f>
        <v>3.3651456872091492</v>
      </c>
      <c r="BW161">
        <f>BU161*((600/$BH161)^0.67)</f>
        <v>3.30269747325623</v>
      </c>
      <c r="BX161">
        <f>BU161*((600/$BI161)^0.67)</f>
        <v>3.2713809104124789</v>
      </c>
      <c r="BY161" s="39">
        <f>BV161*($AM161-$BB161)</f>
        <v>-30.70794370987802</v>
      </c>
      <c r="BZ161" s="39">
        <f>BW161*($AD161-$BD161)</f>
        <v>3.0679741434359702</v>
      </c>
      <c r="CA161" s="39">
        <f>BX161*($AU161-$BF161)</f>
        <v>-5.9595516067095176</v>
      </c>
      <c r="CB161" s="42">
        <f>AVERAGE(0.72,0.69,0.4,0.22)</f>
        <v>0.50750000000000006</v>
      </c>
      <c r="CC161">
        <f>CB161*((600/$BG161)^0.67)</f>
        <v>0.52116776949947374</v>
      </c>
      <c r="CD161">
        <f>CB161*((600/$BH161)^0.67)</f>
        <v>0.51149627251235208</v>
      </c>
      <c r="CE161">
        <f>CB161*((600/$BI161)^0.67)</f>
        <v>0.50664620516825332</v>
      </c>
      <c r="CF161" s="39">
        <f>CC161*($AM161-$BB161)</f>
        <v>-4.7558091140075653</v>
      </c>
      <c r="CG161" s="39">
        <f>CD161*($AD161-$BD161)</f>
        <v>0.47514413634276842</v>
      </c>
      <c r="CH161" s="39">
        <f>CE161*($AU161-$BF161)</f>
        <v>-0.92296931746264876</v>
      </c>
      <c r="CI161">
        <v>0.86263901889527161</v>
      </c>
      <c r="CJ161">
        <f>((BG161/BH161)^0.67)*CI161</f>
        <v>0.84663071761403186</v>
      </c>
      <c r="CK161">
        <f>((BH161/BH161)^0.67)*CI161</f>
        <v>0.86263901889527161</v>
      </c>
      <c r="CL161">
        <f>((BI161/BH161)^0.67)*CI161</f>
        <v>0.87089696555037366</v>
      </c>
      <c r="CM161" s="39">
        <f>CJ161*($AM161-$BB161)</f>
        <v>-7.7257541979131226</v>
      </c>
      <c r="CN161" s="39">
        <f>CK161*($AD161-$BD161)</f>
        <v>0.80133110177976674</v>
      </c>
      <c r="CO161" s="39">
        <f>CL161*($AU161-$BF161)</f>
        <v>-1.5865335014349526</v>
      </c>
      <c r="CP161" s="27">
        <f>VLOOKUP(A161,Water!$A$2:$E$109, 5, FALSE)/1000</f>
        <v>1E-4</v>
      </c>
      <c r="CQ161">
        <f>0.64*CP161</f>
        <v>6.4000000000000011E-5</v>
      </c>
      <c r="CR161" s="19">
        <f>CQ161*1000*(2.5*10^-5)</f>
        <v>1.6000000000000004E-6</v>
      </c>
      <c r="CS161" s="18">
        <f>(-0.0000009*F161^3)+(0.0002*F161^2)-(0.0134*F161)+6.579</f>
        <v>6.3787089791999998</v>
      </c>
      <c r="CT161" s="18">
        <f>CS161-(SQRT(CP161))/(1+1.4*SQRT(CP161))</f>
        <v>6.368847046261144</v>
      </c>
      <c r="CU161" s="18">
        <f>10^(-CT161)</f>
        <v>4.2771349561641339E-7</v>
      </c>
      <c r="CV161" s="18">
        <f>(0.000001*F161^3)+(0.00006*F161^2)-(0.014*F161)+10.625</f>
        <v>10.368757312</v>
      </c>
      <c r="CW161" s="18">
        <f>CV161-(2*SQRT(CR161))/(1+1.4*SQRT(CR161))</f>
        <v>10.366231961952368</v>
      </c>
      <c r="CX161" s="18">
        <f>10^(-CW161)</f>
        <v>4.30296722403655E-11</v>
      </c>
      <c r="CY161">
        <f>EXP(1246.98+-61900/H161-183*LN(H161))</f>
        <v>2.5629712789829767E-2</v>
      </c>
      <c r="CZ161">
        <f>12.225*(F161^2)+15.258*F161+1125.7</f>
        <v>6732.0904</v>
      </c>
      <c r="DA161" s="15">
        <f>10^(-4470.99/H161+6.0875-0.01706*H161)</f>
        <v>7.2891565822468511E-15</v>
      </c>
      <c r="DB161">
        <f>(10^-I161)</f>
        <v>7.079457843841369E-10</v>
      </c>
      <c r="DC161">
        <f>DB161^2</f>
        <v>5.0118723362727082E-19</v>
      </c>
      <c r="DD161" s="20">
        <f>((14.6836*10^-9)*((H161/217.2056)-1)^1.997)*100*100</f>
        <v>1.8388206499714474E-5</v>
      </c>
      <c r="DE161">
        <f>CY161+CZ161*DA161/DB161</f>
        <v>9.4944711386974315E-2</v>
      </c>
      <c r="DF161">
        <f>1+DC161*(CU161*CX161+CU161*DB161)^-1</f>
        <v>1.0015603474036181</v>
      </c>
      <c r="DG161">
        <f>(DE161*DF161/DD161)^0.5</f>
        <v>71.912479673765617</v>
      </c>
      <c r="DH161">
        <f>DD161/(BO161/60/60)</f>
        <v>2.8761329189082138E-2</v>
      </c>
      <c r="DI161" s="16">
        <f>DF161/((DF161-1)+TANH(DG161*DH161)/(DG161*DH161))</f>
        <v>2.131691665674095</v>
      </c>
      <c r="DJ161">
        <f>$DI161*BR161</f>
        <v>-44.771760545841452</v>
      </c>
      <c r="DK161">
        <f>$DI161*BY161</f>
        <v>-65.459867676336216</v>
      </c>
      <c r="DL161">
        <f>$DI161*CF161</f>
        <v>-10.137918651866828</v>
      </c>
      <c r="DM161">
        <f>$DI161*CM161</f>
        <v>-16.468925834738055</v>
      </c>
    </row>
    <row r="162" spans="1:117" ht="15.75" x14ac:dyDescent="0.25">
      <c r="A162" s="52" t="s">
        <v>338</v>
      </c>
      <c r="B162" s="55" t="s">
        <v>339</v>
      </c>
      <c r="C162" s="62" t="s">
        <v>355</v>
      </c>
      <c r="D162" s="57">
        <v>43262</v>
      </c>
      <c r="E162" s="42" t="str">
        <f>A162&amp;D162</f>
        <v>4A43262</v>
      </c>
      <c r="F162" s="3">
        <f>VLOOKUP($E162,Water!$C$2:$E$90, 2, FALSE)</f>
        <v>18.8</v>
      </c>
      <c r="G162" s="3">
        <f>VLOOKUP($E162,Water!$C$2:$E$90, 3, FALSE)</f>
        <v>0.13</v>
      </c>
      <c r="H162" s="1">
        <f>F162+273.15</f>
        <v>291.95</v>
      </c>
      <c r="I162" s="3">
        <f>VLOOKUP($E162,Water!$C$2:$F$90, 4, FALSE)</f>
        <v>8.26</v>
      </c>
      <c r="J162">
        <f>10^(I162*-1)</f>
        <v>5.4954087385762298E-9</v>
      </c>
      <c r="K162" s="25">
        <f>VLOOKUP($E162,Atm!$D$2:$G$45, 2, FALSE)</f>
        <v>419.53269305300228</v>
      </c>
      <c r="L162" s="25">
        <f>VLOOKUP($E162,Atm!$D$2:$G$45, 3, FALSE)</f>
        <v>1.87347037645888</v>
      </c>
      <c r="M162" s="25">
        <f>VLOOKUP($E162,Atm!$D$2:$G$45, 4, FALSE)</f>
        <v>0.28512434451129015</v>
      </c>
      <c r="N162" s="21">
        <f>VLOOKUP($C162,Raw!$B$2:$F$353, 3, FALSE)</f>
        <v>740.00630546481375</v>
      </c>
      <c r="O162" s="21">
        <f>VLOOKUP($C162,Raw!$B$2:$F$353, 4, FALSE)</f>
        <v>1137.403308596653</v>
      </c>
      <c r="P162" s="21">
        <f>VLOOKUP($C162,Raw!$B$2:$F$353, 5, FALSE)</f>
        <v>0.28634816493803061</v>
      </c>
      <c r="Q162" s="14">
        <v>60</v>
      </c>
      <c r="R162" s="25">
        <v>1140</v>
      </c>
      <c r="S162">
        <f>EXP(24.4543-(100/H162*(67.4509))-(4.8489*LN(H162/100))-(0.000544*G162))</f>
        <v>2.1396636657975854E-2</v>
      </c>
      <c r="T162" s="8">
        <f>EXP(-58.0931+90.5069*(100/H162)+22.294*LN(H162/100)+G162*(0.027766-0.025888*(H162/100)+0.0050578*(H162/100)^2)*G162)</f>
        <v>4.0506610758314639E-2</v>
      </c>
      <c r="U162" s="9">
        <f>(EXP(-67.1962+99.1624*(100/H162)+27.9015*LN(H162/100)+G162*(-0.072909+0.041674*(H162/100)-0.0064603*(H162/100)^2)*G162))</f>
        <v>3.5552232706205798E-2</v>
      </c>
      <c r="V162" s="9">
        <f>(EXP(-64.8539+100.252*(100/H162)+25.2049*LN(H162/100)+(-0.062544+0.035337*(H162/100)-0.0054699*(H162/100)^2)*G162))</f>
        <v>2.9864590087595597E-2</v>
      </c>
      <c r="W162" s="9">
        <f>(EXP(-68.8862+101.4956*(100/H162)+28.7314*LN(H162/100)+G162*(-0.076146+0.04397*(H162/100)-0.0068672*(H162/100)^2)))</f>
        <v>3.5468059277972537E-2</v>
      </c>
      <c r="X162">
        <f>N162*(AZ162-S162)</f>
        <v>671.39852553244452</v>
      </c>
      <c r="Y162">
        <f>O162*(AZ162-S162)</f>
        <v>1031.95188836648</v>
      </c>
      <c r="Z162">
        <f>((Y162/10^6)*AZ162)/(0.082056*H162)</f>
        <v>4.0004485541449676E-5</v>
      </c>
      <c r="AA162">
        <f>(((L162/10^6)*AZ162)/(0.082056*H162))</f>
        <v>7.2626659665326685E-8</v>
      </c>
      <c r="AB162">
        <f>((Y162/10^6)*U162*1)/(0.082056*H162)</f>
        <v>1.5314665234327924E-6</v>
      </c>
      <c r="AC162">
        <f>(Z162*(Q162/1000))+(AB162*(R162/1000))</f>
        <v>4.1461409692003638E-6</v>
      </c>
      <c r="AD162" s="39">
        <f>((AC162-(AA162*(Q162/1000)))/(R162/1000))*1000000</f>
        <v>3.6331433066845999</v>
      </c>
      <c r="AE162" s="39">
        <f>(AD162/((U162*AZ162*1))*(0.0821*273.15))</f>
        <v>2467.6976580369487</v>
      </c>
      <c r="AF162" s="39">
        <f>L162*U162*AZ162*1/(0.0821*273.15)</f>
        <v>2.7582740277502598E-3</v>
      </c>
      <c r="AG162" s="39">
        <f>AD162-AF162</f>
        <v>3.6303850326568496</v>
      </c>
      <c r="AH162" s="42">
        <f>P162*(AZ162-S162)</f>
        <v>0.25980013184827705</v>
      </c>
      <c r="AI162">
        <f>(((X162/10^6)*(Q162/1000))/(0.082056*H162))</f>
        <v>1.6815617167626839E-6</v>
      </c>
      <c r="AJ162">
        <f>(((K162/10^6)*AZ162)*(Q162/1000))/(0.082056*H162)</f>
        <v>9.7581232667567995E-7</v>
      </c>
      <c r="AK162">
        <f>(X162/10^6)*T162*(R162/1000)</f>
        <v>3.1003529760691973E-5</v>
      </c>
      <c r="AL162">
        <f>AI162+AK162</f>
        <v>3.2685091477454656E-5</v>
      </c>
      <c r="AM162" s="39">
        <f>((AL162-AJ162)/(R162/1000))*1000000</f>
        <v>27.815157149806119</v>
      </c>
      <c r="AN162" s="39">
        <f>AM162/(T162*AZ162)</f>
        <v>739.41379619392126</v>
      </c>
      <c r="AO162" s="39">
        <f>(K162*AZ162)*T162</f>
        <v>15.781917847378361</v>
      </c>
      <c r="AP162" s="39">
        <f>AM162-AO162</f>
        <v>12.033239302427758</v>
      </c>
      <c r="AQ162">
        <f>(((AH162/10^6)*(Q162/1000))/(0.082056*H162))</f>
        <v>6.5068649857326686E-10</v>
      </c>
      <c r="AR162">
        <f>(((M162/10^6)*AZ162)*(Q162/1000))/(0.082056*H162)</f>
        <v>6.6318514532141555E-10</v>
      </c>
      <c r="AS162">
        <f>(AH162/10^6)*V162*(R162/1000)</f>
        <v>8.845059864281375E-9</v>
      </c>
      <c r="AT162">
        <f>AQ162+AS162</f>
        <v>9.495746362854642E-9</v>
      </c>
      <c r="AU162" s="39">
        <f>((AT162-AR162)/(R162/1000))*1000000000</f>
        <v>7.7478607171344089</v>
      </c>
      <c r="AV162" s="39">
        <f>(AU162/1000)/(V162*AZ162)</f>
        <v>0.27935547344172801</v>
      </c>
      <c r="AW162" s="39">
        <f>(M162*AZ162)*V162*1000</f>
        <v>7.907859048262142</v>
      </c>
      <c r="AX162" s="39">
        <f>AU162-AW162</f>
        <v>-0.1599983311277331</v>
      </c>
      <c r="AY162" s="26">
        <f>VLOOKUP($E162,Water!$C$2:$G$90, 5, FALSE)</f>
        <v>705.8</v>
      </c>
      <c r="AZ162">
        <f>AY162/760</f>
        <v>0.92868421052631578</v>
      </c>
      <c r="BA162" s="3">
        <f>Assumptions!$B$3</f>
        <v>406.07</v>
      </c>
      <c r="BB162" s="3">
        <f>BA162*AZ162*T162</f>
        <v>15.275480281760297</v>
      </c>
      <c r="BC162" s="3">
        <f>Assumptions!$B$4</f>
        <v>1.8474300000000001</v>
      </c>
      <c r="BD162" s="45">
        <f>BC162*AZ162*U162*1/(0.0821*273.15)</f>
        <v>2.7199352875374948E-3</v>
      </c>
      <c r="BE162" s="3">
        <f>Assumptions!$B$2</f>
        <v>0.33054499999999998</v>
      </c>
      <c r="BF162" s="44">
        <f>BE162*AZ162*V162*1000</f>
        <v>9.1675906299341108</v>
      </c>
      <c r="BG162">
        <f>1923.6+(-125.06*F162)+(4.3773*(F162^2))+(-0.085681*(F162^3))+(0.00070284*(F162^4))</f>
        <v>638.06142621542392</v>
      </c>
      <c r="BH162">
        <f>1909.4+(-120.78*F162)+(4.1555*(F162^2))+(-0.080578*(F162^3))+(0.00065777*(F162^4))</f>
        <v>654.21005853107204</v>
      </c>
      <c r="BI162">
        <f>2141.2+(-152.56*F162)+(5.8963*(F162^2))+(-0.12411*(F162^3))+(0.0010655*(F162^4))</f>
        <v>665.49211278079997</v>
      </c>
      <c r="BJ162" s="25">
        <f>VLOOKUP(E162,Wind!$C$2:$E$109,3, FALSE)</f>
        <v>1.4722222222222221</v>
      </c>
      <c r="BK162" s="44">
        <v>1.66</v>
      </c>
      <c r="BL162">
        <f>BK162/(1-(((1.3*10^-3)^0.5)/0.41)*LN(10/1.5))</f>
        <v>1.9923982880693825</v>
      </c>
      <c r="BM162">
        <f>BK162*1.22</f>
        <v>2.0251999999999999</v>
      </c>
      <c r="BN162">
        <f>2.07+0.215*(BM162^1.7)*(24/100)</f>
        <v>2.241255750541113</v>
      </c>
      <c r="BO162">
        <f>BN162*((600/BG162)^0.67)</f>
        <v>2.1507745365271789</v>
      </c>
      <c r="BP162">
        <f>BN162*((600/BH162)^0.67)</f>
        <v>2.1150576973584556</v>
      </c>
      <c r="BQ162">
        <f>BN162*((600/BI162)^0.67)</f>
        <v>2.0909661543129809</v>
      </c>
      <c r="BR162" s="39">
        <f>BO162*(AM162-BB162)</f>
        <v>26.970017704071839</v>
      </c>
      <c r="BS162" s="39">
        <f>BP162*(AD162-BD162)</f>
        <v>7.6785548963433925</v>
      </c>
      <c r="BT162" s="39">
        <f>BQ162*(AU162-BF162)</f>
        <v>-2.9686071959298963</v>
      </c>
      <c r="BU162">
        <f>(2.51+1.48*BM162)+(0.39*BM162*LOG10(0.0015))</f>
        <v>3.2768938069574309</v>
      </c>
      <c r="BV162">
        <f>BU162*((600/$BG162)^0.67)</f>
        <v>3.1446030901230553</v>
      </c>
      <c r="BW162">
        <f>BU162*((600/$BH162)^0.67)</f>
        <v>3.0923822362344144</v>
      </c>
      <c r="BX162">
        <f>BU162*((600/$BI162)^0.67)</f>
        <v>3.0571584880357965</v>
      </c>
      <c r="BY162" s="39">
        <f>BV162*($AM162-$BB162)</f>
        <v>39.432306628401484</v>
      </c>
      <c r="BZ162" s="39">
        <f>BW162*($AD162-$BD162)</f>
        <v>11.226656743718531</v>
      </c>
      <c r="CA162" s="39">
        <f>BX162*($AU162-$BF162)</f>
        <v>-4.3403393536339294</v>
      </c>
      <c r="CB162" s="42">
        <f>AVERAGE(0.72,0.69,0.4,0.22)</f>
        <v>0.50750000000000006</v>
      </c>
      <c r="CC162">
        <f>CB162*((600/$BG162)^0.67)</f>
        <v>0.48701183567471718</v>
      </c>
      <c r="CD162">
        <f>CB162*((600/$BH162)^0.67)</f>
        <v>0.4789242732116869</v>
      </c>
      <c r="CE162">
        <f>CB162*((600/$BI162)^0.67)</f>
        <v>0.47346909118142261</v>
      </c>
      <c r="CF162" s="39">
        <f>CC162*($AM162-$BB162)</f>
        <v>6.106971050274784</v>
      </c>
      <c r="CG162" s="39">
        <f>CD162*($AD162-$BD162)</f>
        <v>1.7386978745970603</v>
      </c>
      <c r="CH162" s="39">
        <f>CE162*($AU162-$BF162)</f>
        <v>-0.67219823153635516</v>
      </c>
      <c r="CI162">
        <v>0.86263901889527161</v>
      </c>
      <c r="CJ162">
        <f>((BG162/BH162)^0.67)*CI162</f>
        <v>0.84831360329485406</v>
      </c>
      <c r="CK162">
        <f>((BH162/BH162)^0.67)*CI162</f>
        <v>0.86263901889527161</v>
      </c>
      <c r="CL162">
        <f>((BI162/BH162)^0.67)*CI162</f>
        <v>0.87257811093344473</v>
      </c>
      <c r="CM162" s="39">
        <f>CJ162*($AM162-$BB162)</f>
        <v>10.637578468085081</v>
      </c>
      <c r="CN162" s="39">
        <f>CK162*($AD162-$BD162)</f>
        <v>3.131744855276426</v>
      </c>
      <c r="CO162" s="39">
        <f>CL162*($AU162-$BF162)</f>
        <v>-1.2388252453464681</v>
      </c>
      <c r="CP162" s="27">
        <f>VLOOKUP(A162,Water!$A$2:$E$109, 5, FALSE)/1000</f>
        <v>8.9999999999999992E-5</v>
      </c>
      <c r="CQ162">
        <f>0.64*CP162</f>
        <v>5.7599999999999997E-5</v>
      </c>
      <c r="CR162" s="19">
        <f>CQ162*1000*(2.5*10^-5)</f>
        <v>1.44E-6</v>
      </c>
      <c r="CS162" s="18">
        <f>(-0.0000009*F162^3)+(0.0002*F162^2)-(0.0134*F162)+6.579</f>
        <v>6.3917877952</v>
      </c>
      <c r="CT162" s="18">
        <f>CS162-(SQRT(CP162))/(1+1.4*SQRT(CP162))</f>
        <v>6.3824253106772249</v>
      </c>
      <c r="CU162" s="18">
        <f>10^(-CT162)</f>
        <v>4.145478712377032E-7</v>
      </c>
      <c r="CV162" s="18">
        <f>(0.000001*F162^3)+(0.00006*F162^2)-(0.014*F162)+10.625</f>
        <v>10.389651071999999</v>
      </c>
      <c r="CW162" s="18">
        <f>CV162-(2*SQRT(CR162))/(1+1.4*SQRT(CR162))</f>
        <v>10.387255097237601</v>
      </c>
      <c r="CX162" s="18">
        <f>10^(-CW162)</f>
        <v>4.0996322678060146E-11</v>
      </c>
      <c r="CY162">
        <f>EXP(1246.98+-61900/H162-183*LN(H162))</f>
        <v>2.1126774141658252E-2</v>
      </c>
      <c r="CZ162">
        <f>12.225*(F162^2)+15.258*F162+1125.7</f>
        <v>5733.3544000000002</v>
      </c>
      <c r="DA162" s="15">
        <f>10^(-4470.99/H162+6.0875-0.01706*H162)</f>
        <v>6.2029904277689493E-15</v>
      </c>
      <c r="DB162">
        <f>(10^-I162)</f>
        <v>5.4954087385762298E-9</v>
      </c>
      <c r="DC162">
        <f>DB162^2</f>
        <v>3.0199517204019989E-17</v>
      </c>
      <c r="DD162" s="20">
        <f>((14.6836*10^-9)*((H162/217.2056)-1)^1.997)*100*100</f>
        <v>1.7443663740412183E-5</v>
      </c>
      <c r="DE162">
        <f>CY162+CZ162*DA162/DB162</f>
        <v>2.7598347805061679E-2</v>
      </c>
      <c r="DF162">
        <f>1+DC162*(CU162*CX162+CU162*DB162)^-1</f>
        <v>1.0131582294024997</v>
      </c>
      <c r="DG162">
        <f>(DE162*DF162/DD162)^0.5</f>
        <v>40.03698144802388</v>
      </c>
      <c r="DH162">
        <f>DD162/(BO162/60/60)</f>
        <v>2.9197476722446915E-2</v>
      </c>
      <c r="DI162" s="16">
        <f>DF162/((DF162-1)+TANH(DG162*DH162)/(DG162*DH162))</f>
        <v>1.4110848551987283</v>
      </c>
      <c r="DJ162">
        <f>$DI162*BR162</f>
        <v>38.056983526657348</v>
      </c>
      <c r="DK162">
        <f>$DI162*BY162</f>
        <v>55.642330688889764</v>
      </c>
      <c r="DL162">
        <f>$DI162*CF162</f>
        <v>8.6174543601798188</v>
      </c>
      <c r="DM162">
        <f>$DI162*CM162</f>
        <v>15.010525872302948</v>
      </c>
    </row>
    <row r="163" spans="1:117" ht="15.75" x14ac:dyDescent="0.25">
      <c r="A163" s="52" t="s">
        <v>338</v>
      </c>
      <c r="B163" s="55" t="s">
        <v>340</v>
      </c>
      <c r="C163" s="62" t="s">
        <v>356</v>
      </c>
      <c r="D163" s="57">
        <v>43262</v>
      </c>
      <c r="E163" s="42" t="str">
        <f>A163&amp;D163</f>
        <v>4A43262</v>
      </c>
      <c r="F163" s="3">
        <f>VLOOKUP($E163,Water!$C$2:$E$90, 2, FALSE)</f>
        <v>18.8</v>
      </c>
      <c r="G163" s="3">
        <f>VLOOKUP($E163,Water!$C$2:$E$90, 3, FALSE)</f>
        <v>0.13</v>
      </c>
      <c r="H163" s="1">
        <f>F163+273.15</f>
        <v>291.95</v>
      </c>
      <c r="I163" s="3">
        <f>VLOOKUP($E163,Water!$C$2:$F$90, 4, FALSE)</f>
        <v>8.26</v>
      </c>
      <c r="J163">
        <f>10^(I163*-1)</f>
        <v>5.4954087385762298E-9</v>
      </c>
      <c r="K163" s="25">
        <f>VLOOKUP($E163,Atm!$D$2:$G$45, 2, FALSE)</f>
        <v>419.53269305300228</v>
      </c>
      <c r="L163" s="25">
        <f>VLOOKUP($E163,Atm!$D$2:$G$45, 3, FALSE)</f>
        <v>1.87347037645888</v>
      </c>
      <c r="M163" s="25">
        <f>VLOOKUP($E163,Atm!$D$2:$G$45, 4, FALSE)</f>
        <v>0.28512434451129015</v>
      </c>
      <c r="N163" s="21">
        <f>VLOOKUP($C163,Raw!$B$2:$F$353, 3, FALSE)</f>
        <v>726.75594934011156</v>
      </c>
      <c r="O163" s="21">
        <f>VLOOKUP($C163,Raw!$B$2:$F$353, 4, FALSE)</f>
        <v>1095.5978971838381</v>
      </c>
      <c r="P163" s="21">
        <f>VLOOKUP($C163,Raw!$B$2:$F$353, 5, FALSE)</f>
        <v>0.28764784930391551</v>
      </c>
      <c r="Q163" s="14">
        <v>60</v>
      </c>
      <c r="R163" s="25">
        <v>1140</v>
      </c>
      <c r="S163">
        <f>EXP(24.4543-(100/H163*(67.4509))-(4.8489*LN(H163/100))-(0.000544*G163))</f>
        <v>2.1396636657975854E-2</v>
      </c>
      <c r="T163" s="8">
        <f>EXP(-58.0931+90.5069*(100/H163)+22.294*LN(H163/100)+G163*(0.027766-0.025888*(H163/100)+0.0050578*(H163/100)^2)*G163)</f>
        <v>4.0506610758314639E-2</v>
      </c>
      <c r="U163" s="9">
        <f>(EXP(-67.1962+99.1624*(100/H163)+27.9015*LN(H163/100)+G163*(-0.072909+0.041674*(H163/100)-0.0064603*(H163/100)^2)*G163))</f>
        <v>3.5552232706205798E-2</v>
      </c>
      <c r="V163" s="9">
        <f>(EXP(-64.8539+100.252*(100/H163)+25.2049*LN(H163/100)+(-0.062544+0.035337*(H163/100)-0.0054699*(H163/100)^2)*G163))</f>
        <v>2.9864590087595597E-2</v>
      </c>
      <c r="W163" s="9">
        <f>(EXP(-68.8862+101.4956*(100/H163)+28.7314*LN(H163/100)+G163*(-0.076146+0.04397*(H163/100)-0.0068672*(H163/100)^2)))</f>
        <v>3.5468059277972537E-2</v>
      </c>
      <c r="X163">
        <f>N163*(AZ163-S163)</f>
        <v>659.376642071172</v>
      </c>
      <c r="Y163">
        <f>O163*(AZ163-S163)</f>
        <v>994.02235807117938</v>
      </c>
      <c r="Z163">
        <f>((Y163/10^6)*AZ163)/(0.082056*H163)</f>
        <v>3.8534115300939526E-5</v>
      </c>
      <c r="AA163">
        <f>(((L163/10^6)*AZ163)/(0.082056*H163))</f>
        <v>7.2626659665326685E-8</v>
      </c>
      <c r="AB163">
        <f>((Y163/10^6)*U163*1)/(0.082056*H163)</f>
        <v>1.4751772656179415E-6</v>
      </c>
      <c r="AC163">
        <f>(Z163*(Q163/1000))+(AB163*(R163/1000))</f>
        <v>3.9937490008608246E-6</v>
      </c>
      <c r="AD163" s="39">
        <f>((AC163-(AA163*(Q163/1000)))/(R163/1000))*1000000</f>
        <v>3.4994661414744783</v>
      </c>
      <c r="AE163" s="39">
        <f>(AD163/((U163*AZ163*1))*(0.0821*273.15))</f>
        <v>2376.9016723913783</v>
      </c>
      <c r="AF163" s="39">
        <f>L163*U163*AZ163*1/(0.0821*273.15)</f>
        <v>2.7582740277502598E-3</v>
      </c>
      <c r="AG163" s="39">
        <f>AD163-AF163</f>
        <v>3.496707867446728</v>
      </c>
      <c r="AH163" s="42">
        <f>P163*(AZ163-S163)</f>
        <v>0.26097931932339535</v>
      </c>
      <c r="AI163">
        <f>(((X163/10^6)*(Q163/1000))/(0.082056*H163))</f>
        <v>1.6514521198197556E-6</v>
      </c>
      <c r="AJ163">
        <f>(((K163/10^6)*AZ163)*(Q163/1000))/(0.082056*H163)</f>
        <v>9.7581232667567995E-7</v>
      </c>
      <c r="AK163">
        <f>(X163/10^6)*T163*(R163/1000)</f>
        <v>3.0448388801191726E-5</v>
      </c>
      <c r="AL163">
        <f>AI163+AK163</f>
        <v>3.209984092101148E-5</v>
      </c>
      <c r="AM163" s="39">
        <f>((AL163-AJ163)/(R163/1000))*1000000</f>
        <v>27.301779468715615</v>
      </c>
      <c r="AN163" s="39">
        <f>AM163/(T163*AZ163)</f>
        <v>725.76661318460265</v>
      </c>
      <c r="AO163" s="39">
        <f>(K163*AZ163)*T163</f>
        <v>15.781917847378361</v>
      </c>
      <c r="AP163" s="39">
        <f>AM163-AO163</f>
        <v>11.519861621337254</v>
      </c>
      <c r="AQ163">
        <f>(((AH163/10^6)*(Q163/1000))/(0.082056*H163))</f>
        <v>6.5363985107500556E-10</v>
      </c>
      <c r="AR163">
        <f>(((M163/10^6)*AZ163)*(Q163/1000))/(0.082056*H163)</f>
        <v>6.6318514532141555E-10</v>
      </c>
      <c r="AS163">
        <f>(AH163/10^6)*V163*(R163/1000)</f>
        <v>8.8852060479435266E-9</v>
      </c>
      <c r="AT163">
        <f>AQ163+AS163</f>
        <v>9.5388458990185328E-9</v>
      </c>
      <c r="AU163" s="39">
        <f>((AT163-AR163)/(R163/1000))*1000000000</f>
        <v>7.7856673278044894</v>
      </c>
      <c r="AV163" s="39">
        <f>(AU163/1000)/(V163*AZ163)</f>
        <v>0.28071862180081125</v>
      </c>
      <c r="AW163" s="39">
        <f>(M163*AZ163)*V163*1000</f>
        <v>7.907859048262142</v>
      </c>
      <c r="AX163" s="39">
        <f>AU163-AW163</f>
        <v>-0.12219172045765259</v>
      </c>
      <c r="AY163" s="26">
        <f>VLOOKUP($E163,Water!$C$2:$G$90, 5, FALSE)</f>
        <v>705.8</v>
      </c>
      <c r="AZ163">
        <f>AY163/760</f>
        <v>0.92868421052631578</v>
      </c>
      <c r="BA163" s="3">
        <f>Assumptions!$B$3</f>
        <v>406.07</v>
      </c>
      <c r="BB163" s="3">
        <f>BA163*AZ163*T163</f>
        <v>15.275480281760297</v>
      </c>
      <c r="BC163" s="3">
        <f>Assumptions!$B$4</f>
        <v>1.8474300000000001</v>
      </c>
      <c r="BD163" s="45">
        <f>BC163*AZ163*U163*1/(0.0821*273.15)</f>
        <v>2.7199352875374948E-3</v>
      </c>
      <c r="BE163" s="3">
        <f>Assumptions!$B$2</f>
        <v>0.33054499999999998</v>
      </c>
      <c r="BF163" s="44">
        <f>BE163*AZ163*V163*1000</f>
        <v>9.1675906299341108</v>
      </c>
      <c r="BG163">
        <f>1923.6+(-125.06*F163)+(4.3773*(F163^2))+(-0.085681*(F163^3))+(0.00070284*(F163^4))</f>
        <v>638.06142621542392</v>
      </c>
      <c r="BH163">
        <f>1909.4+(-120.78*F163)+(4.1555*(F163^2))+(-0.080578*(F163^3))+(0.00065777*(F163^4))</f>
        <v>654.21005853107204</v>
      </c>
      <c r="BI163">
        <f>2141.2+(-152.56*F163)+(5.8963*(F163^2))+(-0.12411*(F163^3))+(0.0010655*(F163^4))</f>
        <v>665.49211278079997</v>
      </c>
      <c r="BJ163" s="25">
        <f>VLOOKUP(E163,Wind!$C$2:$E$109,3, FALSE)</f>
        <v>1.4722222222222221</v>
      </c>
      <c r="BK163" s="44">
        <v>1.66</v>
      </c>
      <c r="BL163">
        <f>BK163/(1-(((1.3*10^-3)^0.5)/0.41)*LN(10/1.5))</f>
        <v>1.9923982880693825</v>
      </c>
      <c r="BM163">
        <f>BK163*1.22</f>
        <v>2.0251999999999999</v>
      </c>
      <c r="BN163">
        <f>2.07+0.215*(BM163^1.7)*(24/100)</f>
        <v>2.241255750541113</v>
      </c>
      <c r="BO163">
        <f>BN163*((600/BG163)^0.67)</f>
        <v>2.1507745365271789</v>
      </c>
      <c r="BP163">
        <f>BN163*((600/BH163)^0.67)</f>
        <v>2.1150576973584556</v>
      </c>
      <c r="BQ163">
        <f>BN163*((600/BI163)^0.67)</f>
        <v>2.0909661543129809</v>
      </c>
      <c r="BR163" s="39">
        <f>BO163*(AM163-BB163)</f>
        <v>25.865858059961013</v>
      </c>
      <c r="BS163" s="39">
        <f>BP163*(AD163-BD163)</f>
        <v>7.3958199791046662</v>
      </c>
      <c r="BT163" s="39">
        <f>BQ163*(AU163-BF163)</f>
        <v>-2.8895548526094701</v>
      </c>
      <c r="BU163">
        <f>(2.51+1.48*BM163)+(0.39*BM163*LOG10(0.0015))</f>
        <v>3.2768938069574309</v>
      </c>
      <c r="BV163">
        <f>BU163*((600/$BG163)^0.67)</f>
        <v>3.1446030901230553</v>
      </c>
      <c r="BW163">
        <f>BU163*((600/$BH163)^0.67)</f>
        <v>3.0923822362344144</v>
      </c>
      <c r="BX163">
        <f>BU163*((600/$BI163)^0.67)</f>
        <v>3.0571584880357965</v>
      </c>
      <c r="BY163" s="39">
        <f>BV163*($AM163-$BB163)</f>
        <v>37.817937586044081</v>
      </c>
      <c r="BZ163" s="39">
        <f>BW163*($AD163-$BD163)</f>
        <v>10.813275852632577</v>
      </c>
      <c r="CA163" s="39">
        <f>BX163*($AU163-$BF163)</f>
        <v>-4.2247585529200284</v>
      </c>
      <c r="CB163" s="42">
        <f>AVERAGE(0.72,0.69,0.4,0.22)</f>
        <v>0.50750000000000006</v>
      </c>
      <c r="CC163">
        <f>CB163*((600/$BG163)^0.67)</f>
        <v>0.48701183567471718</v>
      </c>
      <c r="CD163">
        <f>CB163*((600/$BH163)^0.67)</f>
        <v>0.4789242732116869</v>
      </c>
      <c r="CE163">
        <f>CB163*((600/$BI163)^0.67)</f>
        <v>0.47346909118142261</v>
      </c>
      <c r="CF163" s="39">
        <f>CC163*($AM163-$BB163)</f>
        <v>5.8569500434124686</v>
      </c>
      <c r="CG163" s="39">
        <f>CD163*($AD163-$BD163)</f>
        <v>1.6746766354038041</v>
      </c>
      <c r="CH163" s="39">
        <f>CE163*($AU163-$BF163)</f>
        <v>-0.65429796994174227</v>
      </c>
      <c r="CI163">
        <v>0.86263901889527161</v>
      </c>
      <c r="CJ163">
        <f>((BG163/BH163)^0.67)*CI163</f>
        <v>0.84831360329485406</v>
      </c>
      <c r="CK163">
        <f>((BH163/BH163)^0.67)*CI163</f>
        <v>0.86263901889527161</v>
      </c>
      <c r="CL163">
        <f>((BI163/BH163)^0.67)*CI163</f>
        <v>0.87257811093344473</v>
      </c>
      <c r="CM163" s="39">
        <f>CJ163*($AM163-$BB163)</f>
        <v>10.202073197588041</v>
      </c>
      <c r="CN163" s="39">
        <f>CK163*($AD163-$BD163)</f>
        <v>3.0164297166308658</v>
      </c>
      <c r="CO163" s="39">
        <f>CL163*($AU163-$BF163)</f>
        <v>-1.2058360244271731</v>
      </c>
      <c r="CP163" s="27">
        <f>VLOOKUP(A163,Water!$A$2:$E$109, 5, FALSE)/1000</f>
        <v>8.9999999999999992E-5</v>
      </c>
      <c r="CQ163">
        <f>0.64*CP163</f>
        <v>5.7599999999999997E-5</v>
      </c>
      <c r="CR163" s="19">
        <f>CQ163*1000*(2.5*10^-5)</f>
        <v>1.44E-6</v>
      </c>
      <c r="CS163" s="18">
        <f>(-0.0000009*F163^3)+(0.0002*F163^2)-(0.0134*F163)+6.579</f>
        <v>6.3917877952</v>
      </c>
      <c r="CT163" s="18">
        <f>CS163-(SQRT(CP163))/(1+1.4*SQRT(CP163))</f>
        <v>6.3824253106772249</v>
      </c>
      <c r="CU163" s="18">
        <f>10^(-CT163)</f>
        <v>4.145478712377032E-7</v>
      </c>
      <c r="CV163" s="18">
        <f>(0.000001*F163^3)+(0.00006*F163^2)-(0.014*F163)+10.625</f>
        <v>10.389651071999999</v>
      </c>
      <c r="CW163" s="18">
        <f>CV163-(2*SQRT(CR163))/(1+1.4*SQRT(CR163))</f>
        <v>10.387255097237601</v>
      </c>
      <c r="CX163" s="18">
        <f>10^(-CW163)</f>
        <v>4.0996322678060146E-11</v>
      </c>
      <c r="CY163">
        <f>EXP(1246.98+-61900/H163-183*LN(H163))</f>
        <v>2.1126774141658252E-2</v>
      </c>
      <c r="CZ163">
        <f>12.225*(F163^2)+15.258*F163+1125.7</f>
        <v>5733.3544000000002</v>
      </c>
      <c r="DA163" s="15">
        <f>10^(-4470.99/H163+6.0875-0.01706*H163)</f>
        <v>6.2029904277689493E-15</v>
      </c>
      <c r="DB163">
        <f>(10^-I163)</f>
        <v>5.4954087385762298E-9</v>
      </c>
      <c r="DC163">
        <f>DB163^2</f>
        <v>3.0199517204019989E-17</v>
      </c>
      <c r="DD163" s="20">
        <f>((14.6836*10^-9)*((H163/217.2056)-1)^1.997)*100*100</f>
        <v>1.7443663740412183E-5</v>
      </c>
      <c r="DE163">
        <f>CY163+CZ163*DA163/DB163</f>
        <v>2.7598347805061679E-2</v>
      </c>
      <c r="DF163">
        <f>1+DC163*(CU163*CX163+CU163*DB163)^-1</f>
        <v>1.0131582294024997</v>
      </c>
      <c r="DG163">
        <f>(DE163*DF163/DD163)^0.5</f>
        <v>40.03698144802388</v>
      </c>
      <c r="DH163">
        <f>DD163/(BO163/60/60)</f>
        <v>2.9197476722446915E-2</v>
      </c>
      <c r="DI163" s="16">
        <f>DF163/((DF163-1)+TANH(DG163*DH163)/(DG163*DH163))</f>
        <v>1.4110848551987283</v>
      </c>
      <c r="DJ163">
        <f>$DI163*BR163</f>
        <v>36.498920575130946</v>
      </c>
      <c r="DK163">
        <f>$DI163*BY163</f>
        <v>53.36431898251756</v>
      </c>
      <c r="DL163">
        <f>$DI163*CF163</f>
        <v>8.2646535039148681</v>
      </c>
      <c r="DM163">
        <f>$DI163*CM163</f>
        <v>14.395990980745347</v>
      </c>
    </row>
    <row r="164" spans="1:117" ht="15.75" x14ac:dyDescent="0.25">
      <c r="A164" s="52" t="s">
        <v>338</v>
      </c>
      <c r="B164" s="55" t="s">
        <v>341</v>
      </c>
      <c r="C164" s="62" t="s">
        <v>357</v>
      </c>
      <c r="D164" s="57">
        <v>43262</v>
      </c>
      <c r="E164" s="42" t="str">
        <f>A164&amp;D164</f>
        <v>4A43262</v>
      </c>
      <c r="F164" s="3">
        <f>VLOOKUP($E164,Water!$C$2:$E$90, 2, FALSE)</f>
        <v>18.8</v>
      </c>
      <c r="G164" s="3">
        <f>VLOOKUP($E164,Water!$C$2:$E$90, 3, FALSE)</f>
        <v>0.13</v>
      </c>
      <c r="H164" s="1">
        <f>F164+273.15</f>
        <v>291.95</v>
      </c>
      <c r="I164" s="3">
        <f>VLOOKUP($E164,Water!$C$2:$F$90, 4, FALSE)</f>
        <v>8.26</v>
      </c>
      <c r="J164">
        <f>10^(I164*-1)</f>
        <v>5.4954087385762298E-9</v>
      </c>
      <c r="K164" s="25">
        <f>VLOOKUP($E164,Atm!$D$2:$G$45, 2, FALSE)</f>
        <v>419.53269305300228</v>
      </c>
      <c r="L164" s="25">
        <f>VLOOKUP($E164,Atm!$D$2:$G$45, 3, FALSE)</f>
        <v>1.87347037645888</v>
      </c>
      <c r="M164" s="25">
        <f>VLOOKUP($E164,Atm!$D$2:$G$45, 4, FALSE)</f>
        <v>0.28512434451129015</v>
      </c>
      <c r="N164" s="21">
        <f>VLOOKUP($C164,Raw!$B$2:$F$353, 3, FALSE)</f>
        <v>734.10950120917551</v>
      </c>
      <c r="O164" s="21">
        <f>VLOOKUP($C164,Raw!$B$2:$F$353, 4, FALSE)</f>
        <v>1177.745537052014</v>
      </c>
      <c r="P164" s="21">
        <f>VLOOKUP($C164,Raw!$B$2:$F$353, 5, FALSE)</f>
        <v>0.28390380475024429</v>
      </c>
      <c r="Q164" s="14">
        <v>60</v>
      </c>
      <c r="R164" s="25">
        <v>1140</v>
      </c>
      <c r="S164">
        <f>EXP(24.4543-(100/H164*(67.4509))-(4.8489*LN(H164/100))-(0.000544*G164))</f>
        <v>2.1396636657975854E-2</v>
      </c>
      <c r="T164" s="8">
        <f>EXP(-58.0931+90.5069*(100/H164)+22.294*LN(H164/100)+G164*(0.027766-0.025888*(H164/100)+0.0050578*(H164/100)^2)*G164)</f>
        <v>4.0506610758314639E-2</v>
      </c>
      <c r="U164" s="9">
        <f>(EXP(-67.1962+99.1624*(100/H164)+27.9015*LN(H164/100)+G164*(-0.072909+0.041674*(H164/100)-0.0064603*(H164/100)^2)*G164))</f>
        <v>3.5552232706205798E-2</v>
      </c>
      <c r="V164" s="9">
        <f>(EXP(-64.8539+100.252*(100/H164)+25.2049*LN(H164/100)+(-0.062544+0.035337*(H164/100)-0.0054699*(H164/100)^2)*G164))</f>
        <v>2.9864590087595597E-2</v>
      </c>
      <c r="W164" s="9">
        <f>(EXP(-68.8862+101.4956*(100/H164)+28.7314*LN(H164/100)+G164*(-0.076146+0.04397*(H164/100)-0.0068672*(H164/100)^2)))</f>
        <v>3.5468059277972537E-2</v>
      </c>
      <c r="X164">
        <f>N164*(AZ164-S164)</f>
        <v>666.04842830577002</v>
      </c>
      <c r="Y164">
        <f>O164*(AZ164-S164)</f>
        <v>1068.5538909461868</v>
      </c>
      <c r="Z164">
        <f>((Y164/10^6)*AZ164)/(0.082056*H164)</f>
        <v>4.1423393050118324E-5</v>
      </c>
      <c r="AA164">
        <f>(((L164/10^6)*AZ164)/(0.082056*H164))</f>
        <v>7.2626659665326685E-8</v>
      </c>
      <c r="AB164">
        <f>((Y164/10^6)*U164*1)/(0.082056*H164)</f>
        <v>1.5857856658980026E-6</v>
      </c>
      <c r="AC164">
        <f>(Z164*(Q164/1000))+(AB164*(R164/1000))</f>
        <v>4.2931992421308219E-6</v>
      </c>
      <c r="AD164" s="39">
        <f>((AC164-(AA164*(Q164/1000)))/(R164/1000))*1000000</f>
        <v>3.762141791711318</v>
      </c>
      <c r="AE164" s="39">
        <f>(AD164/((U164*AZ164*1))*(0.0821*273.15))</f>
        <v>2555.3157981761101</v>
      </c>
      <c r="AF164" s="39">
        <f>L164*U164*AZ164*1/(0.0821*273.15)</f>
        <v>2.7582740277502598E-3</v>
      </c>
      <c r="AG164" s="39">
        <f>AD164-AF164</f>
        <v>3.7593835176835677</v>
      </c>
      <c r="AH164" s="42">
        <f>P164*(AZ164-S164)</f>
        <v>0.25758239422383999</v>
      </c>
      <c r="AI164">
        <f>(((X164/10^6)*(Q164/1000))/(0.082056*H164))</f>
        <v>1.6681620467675799E-6</v>
      </c>
      <c r="AJ164">
        <f>(((K164/10^6)*AZ164)*(Q164/1000))/(0.082056*H164)</f>
        <v>9.7581232667567995E-7</v>
      </c>
      <c r="AK164">
        <f>(X164/10^6)*T164*(R164/1000)</f>
        <v>3.0756475451988728E-5</v>
      </c>
      <c r="AL164">
        <f>AI164+AK164</f>
        <v>3.2424637498756305E-5</v>
      </c>
      <c r="AM164" s="39">
        <f>((AL164-AJ164)/(R164/1000))*1000000</f>
        <v>27.586688747439144</v>
      </c>
      <c r="AN164" s="39">
        <f>AM164/(T164*AZ164)</f>
        <v>733.34039212164907</v>
      </c>
      <c r="AO164" s="39">
        <f>(K164*AZ164)*T164</f>
        <v>15.781917847378361</v>
      </c>
      <c r="AP164" s="39">
        <f>AM164-AO164</f>
        <v>11.804770900060783</v>
      </c>
      <c r="AQ164">
        <f>(((AH164/10^6)*(Q164/1000))/(0.082056*H164))</f>
        <v>6.4513202899185064E-10</v>
      </c>
      <c r="AR164">
        <f>(((M164/10^6)*AZ164)*(Q164/1000))/(0.082056*H164)</f>
        <v>6.6318514532141555E-10</v>
      </c>
      <c r="AS164">
        <f>(AH164/10^6)*V164*(R164/1000)</f>
        <v>8.7695555836951343E-9</v>
      </c>
      <c r="AT164">
        <f>AQ164+AS164</f>
        <v>9.4146876126869852E-9</v>
      </c>
      <c r="AU164" s="39">
        <f>((AT164-AR164)/(R164/1000))*1000000000</f>
        <v>7.6767565503206754</v>
      </c>
      <c r="AV164" s="39">
        <f>(AU164/1000)/(V164*AZ164)</f>
        <v>0.27679175438312353</v>
      </c>
      <c r="AW164" s="39">
        <f>(M164*AZ164)*V164*1000</f>
        <v>7.907859048262142</v>
      </c>
      <c r="AX164" s="39">
        <f>AU164-AW164</f>
        <v>-0.23110249794146664</v>
      </c>
      <c r="AY164" s="26">
        <f>VLOOKUP($E164,Water!$C$2:$G$90, 5, FALSE)</f>
        <v>705.8</v>
      </c>
      <c r="AZ164">
        <f>AY164/760</f>
        <v>0.92868421052631578</v>
      </c>
      <c r="BA164" s="3">
        <f>Assumptions!$B$3</f>
        <v>406.07</v>
      </c>
      <c r="BB164" s="3">
        <f>BA164*AZ164*T164</f>
        <v>15.275480281760297</v>
      </c>
      <c r="BC164" s="3">
        <f>Assumptions!$B$4</f>
        <v>1.8474300000000001</v>
      </c>
      <c r="BD164" s="45">
        <f>BC164*AZ164*U164*1/(0.0821*273.15)</f>
        <v>2.7199352875374948E-3</v>
      </c>
      <c r="BE164" s="3">
        <f>Assumptions!$B$2</f>
        <v>0.33054499999999998</v>
      </c>
      <c r="BF164" s="44">
        <f>BE164*AZ164*V164*1000</f>
        <v>9.1675906299341108</v>
      </c>
      <c r="BG164">
        <f>1923.6+(-125.06*F164)+(4.3773*(F164^2))+(-0.085681*(F164^3))+(0.00070284*(F164^4))</f>
        <v>638.06142621542392</v>
      </c>
      <c r="BH164">
        <f>1909.4+(-120.78*F164)+(4.1555*(F164^2))+(-0.080578*(F164^3))+(0.00065777*(F164^4))</f>
        <v>654.21005853107204</v>
      </c>
      <c r="BI164">
        <f>2141.2+(-152.56*F164)+(5.8963*(F164^2))+(-0.12411*(F164^3))+(0.0010655*(F164^4))</f>
        <v>665.49211278079997</v>
      </c>
      <c r="BJ164" s="25">
        <f>VLOOKUP(E164,Wind!$C$2:$E$109,3, FALSE)</f>
        <v>1.4722222222222221</v>
      </c>
      <c r="BK164" s="44">
        <v>1.66</v>
      </c>
      <c r="BL164">
        <f>BK164/(1-(((1.3*10^-3)^0.5)/0.41)*LN(10/1.5))</f>
        <v>1.9923982880693825</v>
      </c>
      <c r="BM164">
        <f>BK164*1.22</f>
        <v>2.0251999999999999</v>
      </c>
      <c r="BN164">
        <f>2.07+0.215*(BM164^1.7)*(24/100)</f>
        <v>2.241255750541113</v>
      </c>
      <c r="BO164">
        <f>BN164*((600/BG164)^0.67)</f>
        <v>2.1507745365271789</v>
      </c>
      <c r="BP164">
        <f>BN164*((600/BH164)^0.67)</f>
        <v>2.1150576973584556</v>
      </c>
      <c r="BQ164">
        <f>BN164*((600/BI164)^0.67)</f>
        <v>2.0909661543129809</v>
      </c>
      <c r="BR164" s="39">
        <f>BO164*(AM164-BB164)</f>
        <v>26.478633681859904</v>
      </c>
      <c r="BS164" s="39">
        <f>BP164*(AD164-BD164)</f>
        <v>7.9513941350467316</v>
      </c>
      <c r="BT164" s="39">
        <f>BQ164*(AU164-BF164)</f>
        <v>-3.1172836021680377</v>
      </c>
      <c r="BU164">
        <f>(2.51+1.48*BM164)+(0.39*BM164*LOG10(0.0015))</f>
        <v>3.2768938069574309</v>
      </c>
      <c r="BV164">
        <f>BU164*((600/$BG164)^0.67)</f>
        <v>3.1446030901230553</v>
      </c>
      <c r="BW164">
        <f>BU164*((600/$BH164)^0.67)</f>
        <v>3.0923822362344144</v>
      </c>
      <c r="BX164">
        <f>BU164*((600/$BI164)^0.67)</f>
        <v>3.0571584880357965</v>
      </c>
      <c r="BY164" s="39">
        <f>BV164*($AM164-$BB164)</f>
        <v>38.713864184322823</v>
      </c>
      <c r="BZ164" s="39">
        <f>BW164*($AD164-$BD164)</f>
        <v>11.625569367316304</v>
      </c>
      <c r="CA164" s="39">
        <f>BX164*($AU164-$BF164)</f>
        <v>-4.5577160607432488</v>
      </c>
      <c r="CB164" s="42">
        <f>AVERAGE(0.72,0.69,0.4,0.22)</f>
        <v>0.50750000000000006</v>
      </c>
      <c r="CC164">
        <f>CB164*((600/$BG164)^0.67)</f>
        <v>0.48701183567471718</v>
      </c>
      <c r="CD164">
        <f>CB164*((600/$BH164)^0.67)</f>
        <v>0.4789242732116869</v>
      </c>
      <c r="CE164">
        <f>CB164*((600/$BI164)^0.67)</f>
        <v>0.47346909118142261</v>
      </c>
      <c r="CF164" s="39">
        <f>CC164*($AM164-$BB164)</f>
        <v>5.995704234244374</v>
      </c>
      <c r="CG164" s="39">
        <f>CD164*($AD164-$BD164)</f>
        <v>1.8004783802838897</v>
      </c>
      <c r="CH164" s="39">
        <f>CE164*($AU164-$BF164)</f>
        <v>-0.70586385677686592</v>
      </c>
      <c r="CI164">
        <v>0.86263901889527161</v>
      </c>
      <c r="CJ164">
        <f>((BG164/BH164)^0.67)*CI164</f>
        <v>0.84831360329485406</v>
      </c>
      <c r="CK164">
        <f>((BH164/BH164)^0.67)*CI164</f>
        <v>0.86263901889527161</v>
      </c>
      <c r="CL164">
        <f>((BI164/BH164)^0.67)*CI164</f>
        <v>0.87257811093344473</v>
      </c>
      <c r="CM164" s="39">
        <f>CJ164*($AM164-$BB164)</f>
        <v>10.443765614434135</v>
      </c>
      <c r="CN164" s="39">
        <f>CK164*($AD164-$BD164)</f>
        <v>3.2430239818388507</v>
      </c>
      <c r="CO164" s="39">
        <f>CL164*($AU164-$BF164)</f>
        <v>-1.3008691849042922</v>
      </c>
      <c r="CP164" s="27">
        <f>VLOOKUP(A164,Water!$A$2:$E$109, 5, FALSE)/1000</f>
        <v>8.9999999999999992E-5</v>
      </c>
      <c r="CQ164">
        <f>0.64*CP164</f>
        <v>5.7599999999999997E-5</v>
      </c>
      <c r="CR164" s="19">
        <f>CQ164*1000*(2.5*10^-5)</f>
        <v>1.44E-6</v>
      </c>
      <c r="CS164" s="18">
        <f>(-0.0000009*F164^3)+(0.0002*F164^2)-(0.0134*F164)+6.579</f>
        <v>6.3917877952</v>
      </c>
      <c r="CT164" s="18">
        <f>CS164-(SQRT(CP164))/(1+1.4*SQRT(CP164))</f>
        <v>6.3824253106772249</v>
      </c>
      <c r="CU164" s="18">
        <f>10^(-CT164)</f>
        <v>4.145478712377032E-7</v>
      </c>
      <c r="CV164" s="18">
        <f>(0.000001*F164^3)+(0.00006*F164^2)-(0.014*F164)+10.625</f>
        <v>10.389651071999999</v>
      </c>
      <c r="CW164" s="18">
        <f>CV164-(2*SQRT(CR164))/(1+1.4*SQRT(CR164))</f>
        <v>10.387255097237601</v>
      </c>
      <c r="CX164" s="18">
        <f>10^(-CW164)</f>
        <v>4.0996322678060146E-11</v>
      </c>
      <c r="CY164">
        <f>EXP(1246.98+-61900/H164-183*LN(H164))</f>
        <v>2.1126774141658252E-2</v>
      </c>
      <c r="CZ164">
        <f>12.225*(F164^2)+15.258*F164+1125.7</f>
        <v>5733.3544000000002</v>
      </c>
      <c r="DA164" s="15">
        <f>10^(-4470.99/H164+6.0875-0.01706*H164)</f>
        <v>6.2029904277689493E-15</v>
      </c>
      <c r="DB164">
        <f>(10^-I164)</f>
        <v>5.4954087385762298E-9</v>
      </c>
      <c r="DC164">
        <f>DB164^2</f>
        <v>3.0199517204019989E-17</v>
      </c>
      <c r="DD164" s="20">
        <f>((14.6836*10^-9)*((H164/217.2056)-1)^1.997)*100*100</f>
        <v>1.7443663740412183E-5</v>
      </c>
      <c r="DE164">
        <f>CY164+CZ164*DA164/DB164</f>
        <v>2.7598347805061679E-2</v>
      </c>
      <c r="DF164">
        <f>1+DC164*(CU164*CX164+CU164*DB164)^-1</f>
        <v>1.0131582294024997</v>
      </c>
      <c r="DG164">
        <f>(DE164*DF164/DD164)^0.5</f>
        <v>40.03698144802388</v>
      </c>
      <c r="DH164">
        <f>DD164/(BO164/60/60)</f>
        <v>2.9197476722446915E-2</v>
      </c>
      <c r="DI164" s="16">
        <f>DF164/((DF164-1)+TANH(DG164*DH164)/(DG164*DH164))</f>
        <v>1.4110848551987283</v>
      </c>
      <c r="DJ164">
        <f>$DI164*BR164</f>
        <v>37.363598974827454</v>
      </c>
      <c r="DK164">
        <f>$DI164*BY164</f>
        <v>54.628547436718407</v>
      </c>
      <c r="DL164">
        <f>$DI164*CF164</f>
        <v>8.460447441193125</v>
      </c>
      <c r="DM164">
        <f>$DI164*CM164</f>
        <v>14.737039489773249</v>
      </c>
    </row>
    <row r="165" spans="1:117" ht="15.75" x14ac:dyDescent="0.25">
      <c r="A165" s="52" t="s">
        <v>338</v>
      </c>
      <c r="B165" s="55" t="s">
        <v>342</v>
      </c>
      <c r="C165" s="62" t="s">
        <v>358</v>
      </c>
      <c r="D165" s="57">
        <v>43262</v>
      </c>
      <c r="E165" s="42" t="str">
        <f>A165&amp;D165</f>
        <v>4A43262</v>
      </c>
      <c r="F165" s="3">
        <f>VLOOKUP($E165,Water!$C$2:$E$90, 2, FALSE)</f>
        <v>18.8</v>
      </c>
      <c r="G165" s="3">
        <f>VLOOKUP($E165,Water!$C$2:$E$90, 3, FALSE)</f>
        <v>0.13</v>
      </c>
      <c r="H165" s="1">
        <f>F165+273.15</f>
        <v>291.95</v>
      </c>
      <c r="I165" s="3">
        <f>VLOOKUP($E165,Water!$C$2:$F$90, 4, FALSE)</f>
        <v>8.26</v>
      </c>
      <c r="J165">
        <f>10^(I165*-1)</f>
        <v>5.4954087385762298E-9</v>
      </c>
      <c r="K165" s="25">
        <f>VLOOKUP($E165,Atm!$D$2:$G$45, 2, FALSE)</f>
        <v>419.53269305300228</v>
      </c>
      <c r="L165" s="25">
        <f>VLOOKUP($E165,Atm!$D$2:$G$45, 3, FALSE)</f>
        <v>1.87347037645888</v>
      </c>
      <c r="M165" s="25">
        <f>VLOOKUP($E165,Atm!$D$2:$G$45, 4, FALSE)</f>
        <v>0.28512434451129015</v>
      </c>
      <c r="N165" s="21">
        <f>VLOOKUP($C165,Raw!$B$2:$F$353, 3, FALSE)</f>
        <v>759.57994156021607</v>
      </c>
      <c r="O165" s="21">
        <f>VLOOKUP($C165,Raw!$B$2:$F$353, 4, FALSE)</f>
        <v>1138.9122718351889</v>
      </c>
      <c r="P165" s="21">
        <f>VLOOKUP($C165,Raw!$B$2:$F$353, 5, FALSE)</f>
        <v>0.28912602544451371</v>
      </c>
      <c r="Q165" s="14">
        <v>60</v>
      </c>
      <c r="R165" s="25">
        <v>1140</v>
      </c>
      <c r="S165">
        <f>EXP(24.4543-(100/H165*(67.4509))-(4.8489*LN(H165/100))-(0.000544*G165))</f>
        <v>2.1396636657975854E-2</v>
      </c>
      <c r="T165" s="8">
        <f>EXP(-58.0931+90.5069*(100/H165)+22.294*LN(H165/100)+G165*(0.027766-0.025888*(H165/100)+0.0050578*(H165/100)^2)*G165)</f>
        <v>4.0506610758314639E-2</v>
      </c>
      <c r="U165" s="9">
        <f>(EXP(-67.1962+99.1624*(100/H165)+27.9015*LN(H165/100)+G165*(-0.072909+0.041674*(H165/100)-0.0064603*(H165/100)^2)*G165))</f>
        <v>3.5552232706205798E-2</v>
      </c>
      <c r="V165" s="9">
        <f>(EXP(-64.8539+100.252*(100/H165)+25.2049*LN(H165/100)+(-0.062544+0.035337*(H165/100)-0.0054699*(H165/100)^2)*G165))</f>
        <v>2.9864590087595597E-2</v>
      </c>
      <c r="W165" s="9">
        <f>(EXP(-68.8862+101.4956*(100/H165)+28.7314*LN(H165/100)+G165*(-0.076146+0.04397*(H165/100)-0.0068672*(H165/100)^2)))</f>
        <v>3.5468059277972537E-2</v>
      </c>
      <c r="X165">
        <f>N165*(AZ165-S165)</f>
        <v>689.15744233722387</v>
      </c>
      <c r="Y165">
        <f>O165*(AZ165-S165)</f>
        <v>1033.3209519622278</v>
      </c>
      <c r="Z165">
        <f>((Y165/10^6)*AZ165)/(0.082056*H165)</f>
        <v>4.0057558446726409E-5</v>
      </c>
      <c r="AA165">
        <f>(((L165/10^6)*AZ165)/(0.082056*H165))</f>
        <v>7.2626659665326685E-8</v>
      </c>
      <c r="AB165">
        <f>((Y165/10^6)*U165*1)/(0.082056*H165)</f>
        <v>1.5334982800378966E-6</v>
      </c>
      <c r="AC165">
        <f>(Z165*(Q165/1000))+(AB165*(R165/1000))</f>
        <v>4.1516415460467866E-6</v>
      </c>
      <c r="AD165" s="39">
        <f>((AC165-(AA165*(Q165/1000)))/(R165/1000))*1000000</f>
        <v>3.6379683740937434</v>
      </c>
      <c r="AE165" s="39">
        <f>(AD165/((U165*AZ165*1))*(0.0821*273.15))</f>
        <v>2470.9749324355407</v>
      </c>
      <c r="AF165" s="39">
        <f>L165*U165*AZ165*1/(0.0821*273.15)</f>
        <v>2.7582740277502598E-3</v>
      </c>
      <c r="AG165" s="39">
        <f>AD165-AF165</f>
        <v>3.6352101000659931</v>
      </c>
      <c r="AH165" s="42">
        <f>P165*(AZ165-S165)</f>
        <v>0.26232045016774874</v>
      </c>
      <c r="AI165">
        <f>(((X165/10^6)*(Q165/1000))/(0.082056*H165))</f>
        <v>1.7260400906262668E-6</v>
      </c>
      <c r="AJ165">
        <f>(((K165/10^6)*AZ165)*(Q165/1000))/(0.082056*H165)</f>
        <v>9.7581232667567995E-7</v>
      </c>
      <c r="AK165">
        <f>(X165/10^6)*T165*(R165/1000)</f>
        <v>3.1823592785462532E-5</v>
      </c>
      <c r="AL165">
        <f>AI165+AK165</f>
        <v>3.3549632876088795E-5</v>
      </c>
      <c r="AM165" s="39">
        <f>((AL165-AJ165)/(R165/1000))*1000000</f>
        <v>28.573526797730803</v>
      </c>
      <c r="AN165" s="39">
        <f>AM165/(T165*AZ165)</f>
        <v>759.57363125328015</v>
      </c>
      <c r="AO165" s="39">
        <f>(K165*AZ165)*T165</f>
        <v>15.781917847378361</v>
      </c>
      <c r="AP165" s="39">
        <f>AM165-AO165</f>
        <v>12.791608950352442</v>
      </c>
      <c r="AQ165">
        <f>(((AH165/10^6)*(Q165/1000))/(0.082056*H165))</f>
        <v>6.5699880138435555E-10</v>
      </c>
      <c r="AR165">
        <f>(((M165/10^6)*AZ165)*(Q165/1000))/(0.082056*H165)</f>
        <v>6.6318514532141555E-10</v>
      </c>
      <c r="AS165">
        <f>(AH165/10^6)*V165*(R165/1000)</f>
        <v>8.9308656960728336E-9</v>
      </c>
      <c r="AT165">
        <f>AQ165+AS165</f>
        <v>9.5878644974571883E-9</v>
      </c>
      <c r="AU165" s="39">
        <f>((AT165-AR165)/(R165/1000))*1000000000</f>
        <v>7.8286660983647129</v>
      </c>
      <c r="AV165" s="39">
        <f>(AU165/1000)/(V165*AZ165)</f>
        <v>0.2822689777436716</v>
      </c>
      <c r="AW165" s="39">
        <f>(M165*AZ165)*V165*1000</f>
        <v>7.907859048262142</v>
      </c>
      <c r="AX165" s="39">
        <f>AU165-AW165</f>
        <v>-7.9192949897429088E-2</v>
      </c>
      <c r="AY165" s="26">
        <f>VLOOKUP($E165,Water!$C$2:$G$90, 5, FALSE)</f>
        <v>705.8</v>
      </c>
      <c r="AZ165">
        <f>AY165/760</f>
        <v>0.92868421052631578</v>
      </c>
      <c r="BA165" s="3">
        <f>Assumptions!$B$3</f>
        <v>406.07</v>
      </c>
      <c r="BB165" s="3">
        <f>BA165*AZ165*T165</f>
        <v>15.275480281760297</v>
      </c>
      <c r="BC165" s="3">
        <f>Assumptions!$B$4</f>
        <v>1.8474300000000001</v>
      </c>
      <c r="BD165" s="45">
        <f>BC165*AZ165*U165*1/(0.0821*273.15)</f>
        <v>2.7199352875374948E-3</v>
      </c>
      <c r="BE165" s="3">
        <f>Assumptions!$B$2</f>
        <v>0.33054499999999998</v>
      </c>
      <c r="BF165" s="44">
        <f>BE165*AZ165*V165*1000</f>
        <v>9.1675906299341108</v>
      </c>
      <c r="BG165">
        <f>1923.6+(-125.06*F165)+(4.3773*(F165^2))+(-0.085681*(F165^3))+(0.00070284*(F165^4))</f>
        <v>638.06142621542392</v>
      </c>
      <c r="BH165">
        <f>1909.4+(-120.78*F165)+(4.1555*(F165^2))+(-0.080578*(F165^3))+(0.00065777*(F165^4))</f>
        <v>654.21005853107204</v>
      </c>
      <c r="BI165">
        <f>2141.2+(-152.56*F165)+(5.8963*(F165^2))+(-0.12411*(F165^3))+(0.0010655*(F165^4))</f>
        <v>665.49211278079997</v>
      </c>
      <c r="BJ165" s="25">
        <f>VLOOKUP(E165,Wind!$C$2:$E$109,3, FALSE)</f>
        <v>1.4722222222222221</v>
      </c>
      <c r="BK165" s="44">
        <v>1.66</v>
      </c>
      <c r="BL165">
        <f>BK165/(1-(((1.3*10^-3)^0.5)/0.41)*LN(10/1.5))</f>
        <v>1.9923982880693825</v>
      </c>
      <c r="BM165">
        <f>BK165*1.22</f>
        <v>2.0251999999999999</v>
      </c>
      <c r="BN165">
        <f>2.07+0.215*(BM165^1.7)*(24/100)</f>
        <v>2.241255750541113</v>
      </c>
      <c r="BO165">
        <f>BN165*((600/BG165)^0.67)</f>
        <v>2.1507745365271789</v>
      </c>
      <c r="BP165">
        <f>BN165*((600/BH165)^0.67)</f>
        <v>2.1150576973584556</v>
      </c>
      <c r="BQ165">
        <f>BN165*((600/BI165)^0.67)</f>
        <v>2.0909661543129809</v>
      </c>
      <c r="BR165" s="39">
        <f>BO165*(AM165-BB165)</f>
        <v>28.601099832103333</v>
      </c>
      <c r="BS165" s="39">
        <f>BP165*(AD165-BD165)</f>
        <v>7.6887601923073747</v>
      </c>
      <c r="BT165" s="39">
        <f>BQ165*(AU165-BF165)</f>
        <v>-2.7996458786909733</v>
      </c>
      <c r="BU165">
        <f>(2.51+1.48*BM165)+(0.39*BM165*LOG10(0.0015))</f>
        <v>3.2768938069574309</v>
      </c>
      <c r="BV165">
        <f>BU165*((600/$BG165)^0.67)</f>
        <v>3.1446030901230553</v>
      </c>
      <c r="BW165">
        <f>BU165*((600/$BH165)^0.67)</f>
        <v>3.0923822362344144</v>
      </c>
      <c r="BX165">
        <f>BU165*((600/$BI165)^0.67)</f>
        <v>3.0571584880357965</v>
      </c>
      <c r="BY165" s="39">
        <f>BV165*($AM165-$BB165)</f>
        <v>41.817078166720982</v>
      </c>
      <c r="BZ165" s="39">
        <f>BW165*($AD165-$BD165)</f>
        <v>11.241577696463199</v>
      </c>
      <c r="CA165" s="39">
        <f>BX165*($AU165-$BF165)</f>
        <v>-4.0933044965267378</v>
      </c>
      <c r="CB165" s="42">
        <f>AVERAGE(0.72,0.69,0.4,0.22)</f>
        <v>0.50750000000000006</v>
      </c>
      <c r="CC165">
        <f>CB165*((600/$BG165)^0.67)</f>
        <v>0.48701183567471718</v>
      </c>
      <c r="CD165">
        <f>CB165*((600/$BH165)^0.67)</f>
        <v>0.4789242732116869</v>
      </c>
      <c r="CE165">
        <f>CB165*((600/$BI165)^0.67)</f>
        <v>0.47346909118142261</v>
      </c>
      <c r="CF165" s="39">
        <f>CC165*($AM165-$BB165)</f>
        <v>6.476306044630574</v>
      </c>
      <c r="CG165" s="39">
        <f>CD165*($AD165-$BD165)</f>
        <v>1.7410087164991817</v>
      </c>
      <c r="CH165" s="39">
        <f>CE165*($AU165-$BF165)</f>
        <v>-0.63393938112267478</v>
      </c>
      <c r="CI165">
        <v>0.86263901889527161</v>
      </c>
      <c r="CJ165">
        <f>((BG165/BH165)^0.67)*CI165</f>
        <v>0.84831360329485406</v>
      </c>
      <c r="CK165">
        <f>((BH165/BH165)^0.67)*CI165</f>
        <v>0.86263901889527161</v>
      </c>
      <c r="CL165">
        <f>((BI165/BH165)^0.67)*CI165</f>
        <v>0.87257811093344473</v>
      </c>
      <c r="CM165" s="39">
        <f>CJ165*($AM165-$BB165)</f>
        <v>11.280913756745521</v>
      </c>
      <c r="CN165" s="39">
        <f>CK165*($AD165-$BD165)</f>
        <v>3.1359071466923534</v>
      </c>
      <c r="CO165" s="39">
        <f>CL165*($AU165-$BF165)</f>
        <v>-1.1683162384392725</v>
      </c>
      <c r="CP165" s="27">
        <f>VLOOKUP(A165,Water!$A$2:$E$109, 5, FALSE)/1000</f>
        <v>8.9999999999999992E-5</v>
      </c>
      <c r="CQ165">
        <f>0.64*CP165</f>
        <v>5.7599999999999997E-5</v>
      </c>
      <c r="CR165" s="19">
        <f>CQ165*1000*(2.5*10^-5)</f>
        <v>1.44E-6</v>
      </c>
      <c r="CS165" s="18">
        <f>(-0.0000009*F165^3)+(0.0002*F165^2)-(0.0134*F165)+6.579</f>
        <v>6.3917877952</v>
      </c>
      <c r="CT165" s="18">
        <f>CS165-(SQRT(CP165))/(1+1.4*SQRT(CP165))</f>
        <v>6.3824253106772249</v>
      </c>
      <c r="CU165" s="18">
        <f>10^(-CT165)</f>
        <v>4.145478712377032E-7</v>
      </c>
      <c r="CV165" s="18">
        <f>(0.000001*F165^3)+(0.00006*F165^2)-(0.014*F165)+10.625</f>
        <v>10.389651071999999</v>
      </c>
      <c r="CW165" s="18">
        <f>CV165-(2*SQRT(CR165))/(1+1.4*SQRT(CR165))</f>
        <v>10.387255097237601</v>
      </c>
      <c r="CX165" s="18">
        <f>10^(-CW165)</f>
        <v>4.0996322678060146E-11</v>
      </c>
      <c r="CY165">
        <f>EXP(1246.98+-61900/H165-183*LN(H165))</f>
        <v>2.1126774141658252E-2</v>
      </c>
      <c r="CZ165">
        <f>12.225*(F165^2)+15.258*F165+1125.7</f>
        <v>5733.3544000000002</v>
      </c>
      <c r="DA165" s="15">
        <f>10^(-4470.99/H165+6.0875-0.01706*H165)</f>
        <v>6.2029904277689493E-15</v>
      </c>
      <c r="DB165">
        <f>(10^-I165)</f>
        <v>5.4954087385762298E-9</v>
      </c>
      <c r="DC165">
        <f>DB165^2</f>
        <v>3.0199517204019989E-17</v>
      </c>
      <c r="DD165" s="20">
        <f>((14.6836*10^-9)*((H165/217.2056)-1)^1.997)*100*100</f>
        <v>1.7443663740412183E-5</v>
      </c>
      <c r="DE165">
        <f>CY165+CZ165*DA165/DB165</f>
        <v>2.7598347805061679E-2</v>
      </c>
      <c r="DF165">
        <f>1+DC165*(CU165*CX165+CU165*DB165)^-1</f>
        <v>1.0131582294024997</v>
      </c>
      <c r="DG165">
        <f>(DE165*DF165/DD165)^0.5</f>
        <v>40.03698144802388</v>
      </c>
      <c r="DH165">
        <f>DD165/(BO165/60/60)</f>
        <v>2.9197476722446915E-2</v>
      </c>
      <c r="DI165" s="16">
        <f>DF165/((DF165-1)+TANH(DG165*DH165)/(DG165*DH165))</f>
        <v>1.4110848551987283</v>
      </c>
      <c r="DJ165">
        <f>$DI165*BR165</f>
        <v>40.358578815107904</v>
      </c>
      <c r="DK165">
        <f>$DI165*BY165</f>
        <v>59.007445689721379</v>
      </c>
      <c r="DL165">
        <f>$DI165*CF165</f>
        <v>9.1386173772101831</v>
      </c>
      <c r="DM165">
        <f>$DI165*CM165</f>
        <v>15.918326554946596</v>
      </c>
    </row>
    <row r="166" spans="1:117" ht="15.75" x14ac:dyDescent="0.25">
      <c r="A166" s="52" t="s">
        <v>336</v>
      </c>
      <c r="B166" s="55" t="s">
        <v>339</v>
      </c>
      <c r="C166" s="62" t="s">
        <v>359</v>
      </c>
      <c r="D166" s="57">
        <v>43262</v>
      </c>
      <c r="E166" s="42" t="str">
        <f>A166&amp;D166</f>
        <v>4D43262</v>
      </c>
      <c r="F166" s="3">
        <f>VLOOKUP($E166,Water!$C$2:$E$90, 2, FALSE)</f>
        <v>18.3</v>
      </c>
      <c r="G166" s="3">
        <f>VLOOKUP($E166,Water!$C$2:$E$90, 3, FALSE)</f>
        <v>0.11</v>
      </c>
      <c r="H166" s="1">
        <f>F166+273.15</f>
        <v>291.45</v>
      </c>
      <c r="I166" s="3">
        <f>VLOOKUP($E166,Water!$C$2:$F$90, 4, FALSE)</f>
        <v>8.48</v>
      </c>
      <c r="J166">
        <f>10^(I166*-1)</f>
        <v>3.3113112148258966E-9</v>
      </c>
      <c r="K166" s="25">
        <v>439.52751160265137</v>
      </c>
      <c r="L166" s="25">
        <v>2.8430237635924795</v>
      </c>
      <c r="M166" s="25">
        <v>0.32236441181786135</v>
      </c>
      <c r="N166" s="21">
        <f>VLOOKUP($C166,Raw!$B$2:$F$353, 3, FALSE)</f>
        <v>465.99215432954389</v>
      </c>
      <c r="O166" s="21">
        <f>VLOOKUP($C166,Raw!$B$2:$F$353, 4, FALSE)</f>
        <v>397.01762060601078</v>
      </c>
      <c r="P166" s="21">
        <f>VLOOKUP($C166,Raw!$B$2:$F$353, 5, FALSE)</f>
        <v>0.29900243801861109</v>
      </c>
      <c r="Q166" s="14">
        <v>60</v>
      </c>
      <c r="R166" s="25">
        <v>1140</v>
      </c>
      <c r="S166">
        <f>EXP(24.4543-(100/H166*(67.4509))-(4.8489*LN(H166/100))-(0.000544*G166))</f>
        <v>2.0737019748821476E-2</v>
      </c>
      <c r="T166" s="8">
        <f>EXP(-58.0931+90.5069*(100/H166)+22.294*LN(H166/100)+G166*(0.027766-0.025888*(H166/100)+0.0050578*(H166/100)^2)*G166)</f>
        <v>4.1118469330206943E-2</v>
      </c>
      <c r="U166" s="9">
        <f>(EXP(-67.1962+99.1624*(100/H166)+27.9015*LN(H166/100)+G166*(-0.072909+0.041674*(H166/100)-0.0064603*(H166/100)^2)*G166))</f>
        <v>3.592657339372618E-2</v>
      </c>
      <c r="V166" s="9">
        <f>(EXP(-64.8539+100.252*(100/H166)+25.2049*LN(H166/100)+(-0.062544+0.035337*(H166/100)-0.0054699*(H166/100)^2)*G166))</f>
        <v>3.0340951950985774E-2</v>
      </c>
      <c r="W166" s="9">
        <f>(EXP(-68.8862+101.4956*(100/H166)+28.7314*LN(H166/100)+G166*(-0.076146+0.04397*(H166/100)-0.0068672*(H166/100)^2)))</f>
        <v>3.584303691862975E-2</v>
      </c>
      <c r="X166">
        <f>N166*(AZ166-S166)</f>
        <v>422.78969366211879</v>
      </c>
      <c r="Y166">
        <f>O166*(AZ166-S166)</f>
        <v>360.20983751536221</v>
      </c>
      <c r="Z166">
        <f>((Y166/10^6)*AZ166)/(0.082056*H166)</f>
        <v>1.3977884863574103E-5</v>
      </c>
      <c r="AA166">
        <f>(((L166/10^6)*AZ166)/(0.082056*H166))</f>
        <v>1.1032308030789412E-7</v>
      </c>
      <c r="AB166">
        <f>((Y166/10^6)*U166*1)/(0.082056*H166)</f>
        <v>5.4112420940676231E-7</v>
      </c>
      <c r="AC166">
        <f>(Z166*(Q166/1000))+(AB166*(R166/1000))</f>
        <v>1.455554690538155E-6</v>
      </c>
      <c r="AD166" s="39">
        <f>((AC166-(AA166*(Q166/1000)))/(R166/1000))*1000000</f>
        <v>1.270995882210247</v>
      </c>
      <c r="AE166" s="39">
        <f>(AD166/((U166*AZ166*1))*(0.0821*273.15))</f>
        <v>854.89429108477009</v>
      </c>
      <c r="AF166" s="39">
        <f>L166*U166*AZ166*1/(0.0821*273.15)</f>
        <v>4.2268050380437194E-3</v>
      </c>
      <c r="AG166" s="39">
        <f>AD166-AF166</f>
        <v>1.2667690771722033</v>
      </c>
      <c r="AH166" s="42">
        <f>P166*(AZ166-S166)</f>
        <v>0.27128171150434438</v>
      </c>
      <c r="AI166">
        <f>(((X166/10^6)*(Q166/1000))/(0.082056*H166))</f>
        <v>1.0607211786829354E-6</v>
      </c>
      <c r="AJ166">
        <f>(((K166/10^6)*AZ166)*(Q166/1000))/(0.082056*H166)</f>
        <v>1.0233476676704715E-6</v>
      </c>
      <c r="AK166">
        <f>(X166/10^6)*T166*(R166/1000)</f>
        <v>1.9818290159249698E-5</v>
      </c>
      <c r="AL166">
        <f>AI166+AK166</f>
        <v>2.0879011337932632E-5</v>
      </c>
      <c r="AM166" s="39">
        <f>((AL166-AJ166)/(R166/1000))*1000000</f>
        <v>17.417248833563303</v>
      </c>
      <c r="AN166" s="39">
        <f>AM166/(T166*AZ166)</f>
        <v>456.43855900133548</v>
      </c>
      <c r="AO166" s="39">
        <f>(K166*AZ166)*T166</f>
        <v>16.771939810540555</v>
      </c>
      <c r="AP166" s="39">
        <f>AM166-AO166</f>
        <v>0.6453090230227474</v>
      </c>
      <c r="AQ166">
        <f>(((AH166/10^6)*(Q166/1000))/(0.082056*H166))</f>
        <v>6.8060849423632598E-10</v>
      </c>
      <c r="AR166">
        <f>(((M166/10^6)*AZ166)*(Q166/1000))/(0.082056*H166)</f>
        <v>7.5055795204011019E-10</v>
      </c>
      <c r="AS166">
        <f>(AH166/10^6)*V166*(R166/1000)</f>
        <v>9.3832777262853262E-9</v>
      </c>
      <c r="AT166">
        <f>AQ166+AS166</f>
        <v>1.0063886220521653E-8</v>
      </c>
      <c r="AU166" s="39">
        <f>((AT166-AR166)/(R166/1000))*1000000000</f>
        <v>8.1695862004224065</v>
      </c>
      <c r="AV166" s="39">
        <f>(AU166/1000)/(V166*AZ166)</f>
        <v>0.29014197653670698</v>
      </c>
      <c r="AW166" s="39">
        <f>(M166*AZ166)*V166*1000</f>
        <v>9.0768798149457037</v>
      </c>
      <c r="AX166" s="39">
        <f>AU166-AW166</f>
        <v>-0.90729361452329726</v>
      </c>
      <c r="AY166" s="26">
        <f>VLOOKUP($E166,Water!$C$2:$G$90, 5, FALSE)</f>
        <v>705.3</v>
      </c>
      <c r="AZ166">
        <f>AY166/760</f>
        <v>0.92802631578947359</v>
      </c>
      <c r="BA166" s="3">
        <f>Assumptions!$B$3</f>
        <v>406.07</v>
      </c>
      <c r="BB166" s="3">
        <f>BA166*AZ166*T166</f>
        <v>15.495233902498491</v>
      </c>
      <c r="BC166" s="3">
        <f>Assumptions!$B$4</f>
        <v>1.8474300000000001</v>
      </c>
      <c r="BD166" s="45">
        <f>BC166*AZ166*U166*1/(0.0821*273.15)</f>
        <v>2.7466272112920743E-3</v>
      </c>
      <c r="BE166" s="3">
        <f>Assumptions!$B$2</f>
        <v>0.33054499999999998</v>
      </c>
      <c r="BF166" s="44">
        <f>BE166*AZ166*V166*1000</f>
        <v>9.3072222876960495</v>
      </c>
      <c r="BG166">
        <f>1923.6+(-125.06*F166)+(4.3773*(F166^2))+(-0.085681*(F166^3))+(0.00070284*(F166^4))</f>
        <v>654.64553054936403</v>
      </c>
      <c r="BH166">
        <f>1909.4+(-120.78*F166)+(4.1555*(F166^2))+(-0.080578*(F166^3))+(0.00065777*(F166^4))</f>
        <v>670.70993807401749</v>
      </c>
      <c r="BI166">
        <f>2141.2+(-152.56*F166)+(5.8963*(F166^2))+(-0.12411*(F166^3))+(0.0010655*(F166^4))</f>
        <v>682.8546084725499</v>
      </c>
      <c r="BJ166" s="25">
        <f>VLOOKUP(E166,Wind!$C$2:$E$109,3, FALSE)</f>
        <v>4.9722222222222223</v>
      </c>
      <c r="BK166" s="44">
        <v>1.66</v>
      </c>
      <c r="BL166">
        <f>BK166/(1-(((1.3*10^-3)^0.5)/0.41)*LN(10/1.5))</f>
        <v>1.9923982880693825</v>
      </c>
      <c r="BM166">
        <f>BK166*1.22</f>
        <v>2.0251999999999999</v>
      </c>
      <c r="BN166">
        <f>2.07+0.215*(BM166^1.7)*(24/100)</f>
        <v>2.241255750541113</v>
      </c>
      <c r="BO166">
        <f>BN166*((600/BG166)^0.67)</f>
        <v>2.1141149425681793</v>
      </c>
      <c r="BP166">
        <f>BN166*((600/BH166)^0.67)</f>
        <v>2.0800533682441094</v>
      </c>
      <c r="BQ166">
        <f>BN166*((600/BI166)^0.67)</f>
        <v>2.055194034485869</v>
      </c>
      <c r="BR166" s="39">
        <f>BO166*(AM166-BB166)</f>
        <v>4.0633604856032681</v>
      </c>
      <c r="BS166" s="39">
        <f>BP166*(AD166-BD166)</f>
        <v>2.6380261346336584</v>
      </c>
      <c r="BT166" s="39">
        <f>BQ166*(AU166-BF166)</f>
        <v>-2.3380628999806365</v>
      </c>
      <c r="BU166">
        <f>(2.51+1.48*BM166)+(0.39*BM166*LOG10(0.0015))</f>
        <v>3.2768938069574309</v>
      </c>
      <c r="BV166">
        <f>BU166*((600/$BG166)^0.67)</f>
        <v>3.0910038538998723</v>
      </c>
      <c r="BW166">
        <f>BU166*((600/$BH166)^0.67)</f>
        <v>3.0412031286007548</v>
      </c>
      <c r="BX166">
        <f>BU166*((600/$BI166)^0.67)</f>
        <v>3.004856809436689</v>
      </c>
      <c r="BY166" s="39">
        <f>BV166*($AM166-$BB166)</f>
        <v>5.940955559174431</v>
      </c>
      <c r="BZ166" s="39">
        <f>BW166*($AD166-$BD166)</f>
        <v>3.857003602148398</v>
      </c>
      <c r="CA166" s="39">
        <f>BX166*($AU166-$BF166)</f>
        <v>-3.4184335435051176</v>
      </c>
      <c r="CB166" s="42">
        <f>AVERAGE(0.72,0.69,0.4,0.22)</f>
        <v>0.50750000000000006</v>
      </c>
      <c r="CC166">
        <f>CB166*((600/$BG166)^0.67)</f>
        <v>0.47871080000321897</v>
      </c>
      <c r="CD166">
        <f>CB166*((600/$BH166)^0.67)</f>
        <v>0.47099804836151443</v>
      </c>
      <c r="CE166">
        <f>CB166*((600/$BI166)^0.67)</f>
        <v>0.46536901121157698</v>
      </c>
      <c r="CF166" s="39">
        <f>CC166*($AM166-$BB166)</f>
        <v>0.92008930526816779</v>
      </c>
      <c r="CG166" s="39">
        <f>CD166*($AD166-$BD166)</f>
        <v>0.59734292394045241</v>
      </c>
      <c r="CH166" s="39">
        <f>CE166*($AU166-$BF166)</f>
        <v>-0.5294205810531426</v>
      </c>
      <c r="CI166">
        <v>0.86263901889527161</v>
      </c>
      <c r="CJ166">
        <f>((BG166/BH166)^0.67)*CI166</f>
        <v>0.84874060567973897</v>
      </c>
      <c r="CK166">
        <f>((BH166/BH166)^0.67)*CI166</f>
        <v>0.86263901889527161</v>
      </c>
      <c r="CL166">
        <f>((BI166/BH166)^0.67)*CI166</f>
        <v>0.87307337736642343</v>
      </c>
      <c r="CM166" s="39">
        <f>CJ166*($AM166-$BB166)</f>
        <v>1.6312921167174501</v>
      </c>
      <c r="CN166" s="39">
        <f>CK166*($AD166-$BD166)</f>
        <v>1.0940412930469574</v>
      </c>
      <c r="CO166" s="39">
        <f>CL166*($AU166-$BF166)</f>
        <v>-0.99323978092992282</v>
      </c>
      <c r="CP166" s="27">
        <f>VLOOKUP(A166,Water!$A$2:$E$109, 5, FALSE)/1000</f>
        <v>4.0000000000000003E-5</v>
      </c>
      <c r="CQ166">
        <f>0.64*CP166</f>
        <v>2.5600000000000002E-5</v>
      </c>
      <c r="CR166" s="19">
        <f>CQ166*1000*(2.5*10^-5)</f>
        <v>6.4000000000000001E-7</v>
      </c>
      <c r="CS166" s="18">
        <f>(-0.0000009*F166^3)+(0.0002*F166^2)-(0.0134*F166)+6.579</f>
        <v>6.3952423616999994</v>
      </c>
      <c r="CT166" s="18">
        <f>CS166-(SQRT(CP166))/(1+1.4*SQRT(CP166))</f>
        <v>6.3889733148863925</v>
      </c>
      <c r="CU166" s="18">
        <f>10^(-CT166)</f>
        <v>4.0834447618399234E-7</v>
      </c>
      <c r="CV166" s="18">
        <f>(0.000001*F166^3)+(0.00006*F166^2)-(0.014*F166)+10.625</f>
        <v>10.395021887</v>
      </c>
      <c r="CW166" s="18">
        <f>CV166-(2*SQRT(CR166))/(1+1.4*SQRT(CR166))</f>
        <v>10.393423676995205</v>
      </c>
      <c r="CX166" s="18">
        <f>10^(-CW166)</f>
        <v>4.0418139919758317E-11</v>
      </c>
      <c r="CY166">
        <f>EXP(1246.98+-61900/H166-183*LN(H166))</f>
        <v>2.0095223211750741E-2</v>
      </c>
      <c r="CZ166">
        <f>12.225*(F166^2)+15.258*F166+1125.7</f>
        <v>5498.95165</v>
      </c>
      <c r="DA166" s="15">
        <f>10^(-4470.99/H166+6.0875-0.01706*H166)</f>
        <v>5.9546827084041623E-15</v>
      </c>
      <c r="DB166">
        <f>(10^-I166)</f>
        <v>3.3113112148258966E-9</v>
      </c>
      <c r="DC166">
        <f>DB166^2</f>
        <v>1.0964781961431755E-17</v>
      </c>
      <c r="DD166" s="20">
        <f>((14.6836*10^-9)*((H166/217.2056)-1)^1.997)*100*100</f>
        <v>1.7211413354305322E-5</v>
      </c>
      <c r="DE166">
        <f>CY166+CZ166*DA166/DB166</f>
        <v>2.9983907838552631E-2</v>
      </c>
      <c r="DF166">
        <f>1+DC166*(CU166*CX166+CU166*DB166)^-1</f>
        <v>1.0080113253972058</v>
      </c>
      <c r="DG166">
        <f>(DE166*DF166/DD166)^0.5</f>
        <v>41.90526153990352</v>
      </c>
      <c r="DH166">
        <f>DD166/(BO166/60/60)</f>
        <v>2.9308287277999286E-2</v>
      </c>
      <c r="DI166" s="16">
        <f>DF166/((DF166-1)+TANH(DG166*DH166)/(DG166*DH166))</f>
        <v>1.453256296658282</v>
      </c>
      <c r="DJ166">
        <f>$DI166*BR166</f>
        <v>5.905104211295404</v>
      </c>
      <c r="DK166">
        <f>$DI166*BY166</f>
        <v>8.6337310745372662</v>
      </c>
      <c r="DL166">
        <f>$DI166*CF166</f>
        <v>1.3371255763689092</v>
      </c>
      <c r="DM166">
        <f>$DI166*CM166</f>
        <v>2.3706855403086515</v>
      </c>
    </row>
    <row r="167" spans="1:117" ht="15.75" x14ac:dyDescent="0.25">
      <c r="A167" s="52" t="s">
        <v>336</v>
      </c>
      <c r="B167" s="55" t="s">
        <v>340</v>
      </c>
      <c r="C167" s="62" t="s">
        <v>360</v>
      </c>
      <c r="D167" s="57">
        <v>43262</v>
      </c>
      <c r="E167" s="42" t="str">
        <f>A167&amp;D167</f>
        <v>4D43262</v>
      </c>
      <c r="F167" s="3">
        <f>VLOOKUP($E167,Water!$C$2:$E$90, 2, FALSE)</f>
        <v>18.3</v>
      </c>
      <c r="G167" s="3">
        <f>VLOOKUP($E167,Water!$C$2:$E$90, 3, FALSE)</f>
        <v>0.11</v>
      </c>
      <c r="H167" s="1">
        <f>F167+273.15</f>
        <v>291.45</v>
      </c>
      <c r="I167" s="3">
        <f>VLOOKUP($E167,Water!$C$2:$F$90, 4, FALSE)</f>
        <v>8.48</v>
      </c>
      <c r="J167">
        <f>10^(I167*-1)</f>
        <v>3.3113112148258966E-9</v>
      </c>
      <c r="K167" s="25">
        <v>439.52751160265137</v>
      </c>
      <c r="L167" s="25">
        <v>2.8430237635924795</v>
      </c>
      <c r="M167" s="25">
        <v>0.32236441181786135</v>
      </c>
      <c r="N167" s="21">
        <f>VLOOKUP($C167,Raw!$B$2:$F$353, 3, FALSE)</f>
        <v>459.90350579158672</v>
      </c>
      <c r="O167" s="21">
        <f>VLOOKUP($C167,Raw!$B$2:$F$353, 4, FALSE)</f>
        <v>406.90340820283791</v>
      </c>
      <c r="P167" s="21">
        <f>VLOOKUP($C167,Raw!$B$2:$F$353, 5, FALSE)</f>
        <v>0.30214165277530747</v>
      </c>
      <c r="Q167" s="14">
        <v>60</v>
      </c>
      <c r="R167" s="25">
        <v>1140</v>
      </c>
      <c r="S167">
        <f>EXP(24.4543-(100/H167*(67.4509))-(4.8489*LN(H167/100))-(0.000544*G167))</f>
        <v>2.0737019748821476E-2</v>
      </c>
      <c r="T167" s="8">
        <f>EXP(-58.0931+90.5069*(100/H167)+22.294*LN(H167/100)+G167*(0.027766-0.025888*(H167/100)+0.0050578*(H167/100)^2)*G167)</f>
        <v>4.1118469330206943E-2</v>
      </c>
      <c r="U167" s="9">
        <f>(EXP(-67.1962+99.1624*(100/H167)+27.9015*LN(H167/100)+G167*(-0.072909+0.041674*(H167/100)-0.0064603*(H167/100)^2)*G167))</f>
        <v>3.592657339372618E-2</v>
      </c>
      <c r="V167" s="9">
        <f>(EXP(-64.8539+100.252*(100/H167)+25.2049*LN(H167/100)+(-0.062544+0.035337*(H167/100)-0.0054699*(H167/100)^2)*G167))</f>
        <v>3.0340951950985774E-2</v>
      </c>
      <c r="W167" s="9">
        <f>(EXP(-68.8862+101.4956*(100/H167)+28.7314*LN(H167/100)+G167*(-0.076146+0.04397*(H167/100)-0.0068672*(H167/100)^2)))</f>
        <v>3.584303691862975E-2</v>
      </c>
      <c r="X167">
        <f>N167*(AZ167-S167)</f>
        <v>417.26552801627668</v>
      </c>
      <c r="Y167">
        <f>O167*(AZ167-S167)</f>
        <v>369.17910678489494</v>
      </c>
      <c r="Z167">
        <f>((Y167/10^6)*AZ167)/(0.082056*H167)</f>
        <v>1.4325935916329081E-5</v>
      </c>
      <c r="AA167">
        <f>(((L167/10^6)*AZ167)/(0.082056*H167))</f>
        <v>1.1032308030789412E-7</v>
      </c>
      <c r="AB167">
        <f>((Y167/10^6)*U167*1)/(0.082056*H167)</f>
        <v>5.5459826879367529E-7</v>
      </c>
      <c r="AC167">
        <f>(Z167*(Q167/1000))+(AB167*(R167/1000))</f>
        <v>1.4917981814045346E-6</v>
      </c>
      <c r="AD167" s="39">
        <f>((AC167-(AA167*(Q167/1000)))/(R167/1000))*1000000</f>
        <v>1.3027884180579483</v>
      </c>
      <c r="AE167" s="39">
        <f>(AD167/((U167*AZ167*1))*(0.0821*273.15))</f>
        <v>876.27851252539608</v>
      </c>
      <c r="AF167" s="39">
        <f>L167*U167*AZ167*1/(0.0821*273.15)</f>
        <v>4.2268050380437194E-3</v>
      </c>
      <c r="AG167" s="39">
        <f>AD167-AF167</f>
        <v>1.2985616130199047</v>
      </c>
      <c r="AH167" s="42">
        <f>P167*(AZ167-S167)</f>
        <v>0.27412988745106787</v>
      </c>
      <c r="AI167">
        <f>(((X167/10^6)*(Q167/1000))/(0.082056*H167))</f>
        <v>1.046861807030938E-6</v>
      </c>
      <c r="AJ167">
        <f>(((K167/10^6)*AZ167)*(Q167/1000))/(0.082056*H167)</f>
        <v>1.0233476676704715E-6</v>
      </c>
      <c r="AK167">
        <f>(X167/10^6)*T167*(R167/1000)</f>
        <v>1.9559344590570457E-5</v>
      </c>
      <c r="AL167">
        <f>AI167+AK167</f>
        <v>2.0606206397601395E-5</v>
      </c>
      <c r="AM167" s="39">
        <f>((AL167-AJ167)/(R167/1000))*1000000</f>
        <v>17.177946254325374</v>
      </c>
      <c r="AN167" s="39">
        <f>AM167/(T167*AZ167)</f>
        <v>450.16736626151646</v>
      </c>
      <c r="AO167" s="39">
        <f>(K167*AZ167)*T167</f>
        <v>16.771939810540555</v>
      </c>
      <c r="AP167" s="39">
        <f>AM167-AO167</f>
        <v>0.40600644378481832</v>
      </c>
      <c r="AQ167">
        <f>(((AH167/10^6)*(Q167/1000))/(0.082056*H167))</f>
        <v>6.8775417586620825E-10</v>
      </c>
      <c r="AR167">
        <f>(((M167/10^6)*AZ167)*(Q167/1000))/(0.082056*H167)</f>
        <v>7.5055795204011019E-10</v>
      </c>
      <c r="AS167">
        <f>(AH167/10^6)*V167*(R167/1000)</f>
        <v>9.4817923875694657E-9</v>
      </c>
      <c r="AT167">
        <f>AQ167+AS167</f>
        <v>1.0169546563435674E-8</v>
      </c>
      <c r="AU167" s="39">
        <f>((AT167-AR167)/(R167/1000))*1000000000</f>
        <v>8.2622707117504959</v>
      </c>
      <c r="AV167" s="39">
        <f>(AU167/1000)/(V167*AZ167)</f>
        <v>0.29343365700268709</v>
      </c>
      <c r="AW167" s="39">
        <f>(M167*AZ167)*V167*1000</f>
        <v>9.0768798149457037</v>
      </c>
      <c r="AX167" s="39">
        <f>AU167-AW167</f>
        <v>-0.81460910319520785</v>
      </c>
      <c r="AY167" s="26">
        <f>VLOOKUP($E167,Water!$C$2:$G$90, 5, FALSE)</f>
        <v>705.3</v>
      </c>
      <c r="AZ167">
        <f>AY167/760</f>
        <v>0.92802631578947359</v>
      </c>
      <c r="BA167" s="3">
        <f>Assumptions!$B$3</f>
        <v>406.07</v>
      </c>
      <c r="BB167" s="3">
        <f>BA167*AZ167*T167</f>
        <v>15.495233902498491</v>
      </c>
      <c r="BC167" s="3">
        <f>Assumptions!$B$4</f>
        <v>1.8474300000000001</v>
      </c>
      <c r="BD167" s="45">
        <f>BC167*AZ167*U167*1/(0.0821*273.15)</f>
        <v>2.7466272112920743E-3</v>
      </c>
      <c r="BE167" s="3">
        <f>Assumptions!$B$2</f>
        <v>0.33054499999999998</v>
      </c>
      <c r="BF167" s="44">
        <f>BE167*AZ167*V167*1000</f>
        <v>9.3072222876960495</v>
      </c>
      <c r="BG167">
        <f>1923.6+(-125.06*F167)+(4.3773*(F167^2))+(-0.085681*(F167^3))+(0.00070284*(F167^4))</f>
        <v>654.64553054936403</v>
      </c>
      <c r="BH167">
        <f>1909.4+(-120.78*F167)+(4.1555*(F167^2))+(-0.080578*(F167^3))+(0.00065777*(F167^4))</f>
        <v>670.70993807401749</v>
      </c>
      <c r="BI167">
        <f>2141.2+(-152.56*F167)+(5.8963*(F167^2))+(-0.12411*(F167^3))+(0.0010655*(F167^4))</f>
        <v>682.8546084725499</v>
      </c>
      <c r="BJ167" s="25">
        <f>VLOOKUP(E167,Wind!$C$2:$E$109,3, FALSE)</f>
        <v>4.9722222222222223</v>
      </c>
      <c r="BK167" s="44">
        <v>1.66</v>
      </c>
      <c r="BL167">
        <f>BK167/(1-(((1.3*10^-3)^0.5)/0.41)*LN(10/1.5))</f>
        <v>1.9923982880693825</v>
      </c>
      <c r="BM167">
        <f>BK167*1.22</f>
        <v>2.0251999999999999</v>
      </c>
      <c r="BN167">
        <f>2.07+0.215*(BM167^1.7)*(24/100)</f>
        <v>2.241255750541113</v>
      </c>
      <c r="BO167">
        <f>BN167*((600/BG167)^0.67)</f>
        <v>2.1141149425681793</v>
      </c>
      <c r="BP167">
        <f>BN167*((600/BH167)^0.67)</f>
        <v>2.0800533682441094</v>
      </c>
      <c r="BQ167">
        <f>BN167*((600/BI167)^0.67)</f>
        <v>2.055194034485869</v>
      </c>
      <c r="BR167" s="39">
        <f>BO167*(AM167-BB167)</f>
        <v>3.5574473270412561</v>
      </c>
      <c r="BS167" s="39">
        <f>BP167*(AD167-BD167)</f>
        <v>2.704156305908691</v>
      </c>
      <c r="BT167" s="39">
        <f>BQ167*(AU167-BF167)</f>
        <v>-2.1475782452099095</v>
      </c>
      <c r="BU167">
        <f>(2.51+1.48*BM167)+(0.39*BM167*LOG10(0.0015))</f>
        <v>3.2768938069574309</v>
      </c>
      <c r="BV167">
        <f>BU167*((600/$BG167)^0.67)</f>
        <v>3.0910038538998723</v>
      </c>
      <c r="BW167">
        <f>BU167*((600/$BH167)^0.67)</f>
        <v>3.0412031286007548</v>
      </c>
      <c r="BX167">
        <f>BU167*((600/$BI167)^0.67)</f>
        <v>3.004856809436689</v>
      </c>
      <c r="BY167" s="39">
        <f>BV167*($AM167-$BB167)</f>
        <v>5.2012703645018119</v>
      </c>
      <c r="BZ167" s="39">
        <f>BW167*($AD167-$BD167)</f>
        <v>3.9536911616345787</v>
      </c>
      <c r="CA167" s="39">
        <f>BX167*($AU167-$BF167)</f>
        <v>-3.1399298585115964</v>
      </c>
      <c r="CB167" s="42">
        <f>AVERAGE(0.72,0.69,0.4,0.22)</f>
        <v>0.50750000000000006</v>
      </c>
      <c r="CC167">
        <f>CB167*((600/$BG167)^0.67)</f>
        <v>0.47871080000321897</v>
      </c>
      <c r="CD167">
        <f>CB167*((600/$BH167)^0.67)</f>
        <v>0.47099804836151443</v>
      </c>
      <c r="CE167">
        <f>CB167*((600/$BI167)^0.67)</f>
        <v>0.46536901121157698</v>
      </c>
      <c r="CF167" s="39">
        <f>CC167*($AM167-$BB167)</f>
        <v>0.80553257611834506</v>
      </c>
      <c r="CG167" s="39">
        <f>CD167*($AD167-$BD167)</f>
        <v>0.61231714627718314</v>
      </c>
      <c r="CH167" s="39">
        <f>CE167*($AU167-$BF167)</f>
        <v>-0.48628808166176141</v>
      </c>
      <c r="CI167">
        <v>0.86263901889527161</v>
      </c>
      <c r="CJ167">
        <f>((BG167/BH167)^0.67)*CI167</f>
        <v>0.84874060567973897</v>
      </c>
      <c r="CK167">
        <f>((BH167/BH167)^0.67)*CI167</f>
        <v>0.86263901889527161</v>
      </c>
      <c r="CL167">
        <f>((BI167/BH167)^0.67)*CI167</f>
        <v>0.87307337736642343</v>
      </c>
      <c r="CM167" s="39">
        <f>CJ167*($AM167-$BB167)</f>
        <v>1.4281863006743265</v>
      </c>
      <c r="CN167" s="39">
        <f>CK167*($AD167-$BD167)</f>
        <v>1.1214667749788114</v>
      </c>
      <c r="CO167" s="39">
        <f>CL167*($AU167-$BF167)</f>
        <v>-0.91231940159515124</v>
      </c>
      <c r="CP167" s="27">
        <f>VLOOKUP(A167,Water!$A$2:$E$109, 5, FALSE)/1000</f>
        <v>4.0000000000000003E-5</v>
      </c>
      <c r="CQ167">
        <f>0.64*CP167</f>
        <v>2.5600000000000002E-5</v>
      </c>
      <c r="CR167" s="19">
        <f>CQ167*1000*(2.5*10^-5)</f>
        <v>6.4000000000000001E-7</v>
      </c>
      <c r="CS167" s="18">
        <f>(-0.0000009*F167^3)+(0.0002*F167^2)-(0.0134*F167)+6.579</f>
        <v>6.3952423616999994</v>
      </c>
      <c r="CT167" s="18">
        <f>CS167-(SQRT(CP167))/(1+1.4*SQRT(CP167))</f>
        <v>6.3889733148863925</v>
      </c>
      <c r="CU167" s="18">
        <f>10^(-CT167)</f>
        <v>4.0834447618399234E-7</v>
      </c>
      <c r="CV167" s="18">
        <f>(0.000001*F167^3)+(0.00006*F167^2)-(0.014*F167)+10.625</f>
        <v>10.395021887</v>
      </c>
      <c r="CW167" s="18">
        <f>CV167-(2*SQRT(CR167))/(1+1.4*SQRT(CR167))</f>
        <v>10.393423676995205</v>
      </c>
      <c r="CX167" s="18">
        <f>10^(-CW167)</f>
        <v>4.0418139919758317E-11</v>
      </c>
      <c r="CY167">
        <f>EXP(1246.98+-61900/H167-183*LN(H167))</f>
        <v>2.0095223211750741E-2</v>
      </c>
      <c r="CZ167">
        <f>12.225*(F167^2)+15.258*F167+1125.7</f>
        <v>5498.95165</v>
      </c>
      <c r="DA167" s="15">
        <f>10^(-4470.99/H167+6.0875-0.01706*H167)</f>
        <v>5.9546827084041623E-15</v>
      </c>
      <c r="DB167">
        <f>(10^-I167)</f>
        <v>3.3113112148258966E-9</v>
      </c>
      <c r="DC167">
        <f>DB167^2</f>
        <v>1.0964781961431755E-17</v>
      </c>
      <c r="DD167" s="20">
        <f>((14.6836*10^-9)*((H167/217.2056)-1)^1.997)*100*100</f>
        <v>1.7211413354305322E-5</v>
      </c>
      <c r="DE167">
        <f>CY167+CZ167*DA167/DB167</f>
        <v>2.9983907838552631E-2</v>
      </c>
      <c r="DF167">
        <f>1+DC167*(CU167*CX167+CU167*DB167)^-1</f>
        <v>1.0080113253972058</v>
      </c>
      <c r="DG167">
        <f>(DE167*DF167/DD167)^0.5</f>
        <v>41.90526153990352</v>
      </c>
      <c r="DH167">
        <f>DD167/(BO167/60/60)</f>
        <v>2.9308287277999286E-2</v>
      </c>
      <c r="DI167" s="16">
        <f>DF167/((DF167-1)+TANH(DG167*DH167)/(DG167*DH167))</f>
        <v>1.453256296658282</v>
      </c>
      <c r="DJ167">
        <f>$DI167*BR167</f>
        <v>5.1698827280528805</v>
      </c>
      <c r="DK167">
        <f>$DI167*BY167</f>
        <v>7.5587789078343759</v>
      </c>
      <c r="DL167">
        <f>$DI167*CF167</f>
        <v>1.1706452884073517</v>
      </c>
      <c r="DM167">
        <f>$DI167*CM167</f>
        <v>2.0755207342560635</v>
      </c>
    </row>
    <row r="168" spans="1:117" ht="15.75" x14ac:dyDescent="0.25">
      <c r="A168" s="52" t="s">
        <v>336</v>
      </c>
      <c r="B168" s="55" t="s">
        <v>341</v>
      </c>
      <c r="C168" s="62" t="s">
        <v>361</v>
      </c>
      <c r="D168" s="57">
        <v>43262</v>
      </c>
      <c r="E168" s="42" t="str">
        <f>A168&amp;D168</f>
        <v>4D43262</v>
      </c>
      <c r="F168" s="3">
        <f>VLOOKUP($E168,Water!$C$2:$E$90, 2, FALSE)</f>
        <v>18.3</v>
      </c>
      <c r="G168" s="3">
        <f>VLOOKUP($E168,Water!$C$2:$E$90, 3, FALSE)</f>
        <v>0.11</v>
      </c>
      <c r="H168" s="1">
        <f>F168+273.15</f>
        <v>291.45</v>
      </c>
      <c r="I168" s="3">
        <f>VLOOKUP($E168,Water!$C$2:$F$90, 4, FALSE)</f>
        <v>8.48</v>
      </c>
      <c r="J168">
        <f>10^(I168*-1)</f>
        <v>3.3113112148258966E-9</v>
      </c>
      <c r="K168" s="25">
        <v>439.52751160265137</v>
      </c>
      <c r="L168" s="25">
        <v>2.8430237635924795</v>
      </c>
      <c r="M168" s="25">
        <v>0.32236441181786135</v>
      </c>
      <c r="N168" s="21">
        <f>VLOOKUP($C168,Raw!$B$2:$F$353, 3, FALSE)</f>
        <v>430.58063143932549</v>
      </c>
      <c r="O168" s="21">
        <f>VLOOKUP($C168,Raw!$B$2:$F$353, 4, FALSE)</f>
        <v>392.13202867967249</v>
      </c>
      <c r="P168" s="21">
        <f>VLOOKUP($C168,Raw!$B$2:$F$353, 5, FALSE)</f>
        <v>0.28660258631911334</v>
      </c>
      <c r="Q168" s="14">
        <v>60</v>
      </c>
      <c r="R168" s="25">
        <v>1140</v>
      </c>
      <c r="S168">
        <f>EXP(24.4543-(100/H168*(67.4509))-(4.8489*LN(H168/100))-(0.000544*G168))</f>
        <v>2.0737019748821476E-2</v>
      </c>
      <c r="T168" s="8">
        <f>EXP(-58.0931+90.5069*(100/H168)+22.294*LN(H168/100)+G168*(0.027766-0.025888*(H168/100)+0.0050578*(H168/100)^2)*G168)</f>
        <v>4.1118469330206943E-2</v>
      </c>
      <c r="U168" s="9">
        <f>(EXP(-67.1962+99.1624*(100/H168)+27.9015*LN(H168/100)+G168*(-0.072909+0.041674*(H168/100)-0.0064603*(H168/100)^2)*G168))</f>
        <v>3.592657339372618E-2</v>
      </c>
      <c r="V168" s="9">
        <f>(EXP(-64.8539+100.252*(100/H168)+25.2049*LN(H168/100)+(-0.062544+0.035337*(H168/100)-0.0054699*(H168/100)^2)*G168))</f>
        <v>3.0340951950985774E-2</v>
      </c>
      <c r="W168" s="9">
        <f>(EXP(-68.8862+101.4956*(100/H168)+28.7314*LN(H168/100)+G168*(-0.076146+0.04397*(H168/100)-0.0068672*(H168/100)^2)))</f>
        <v>3.584303691862975E-2</v>
      </c>
      <c r="X168">
        <f>N168*(AZ168-S168)</f>
        <v>390.66119798732512</v>
      </c>
      <c r="Y168">
        <f>O168*(AZ168-S168)</f>
        <v>355.77719225577283</v>
      </c>
      <c r="Z168">
        <f>((Y168/10^6)*AZ168)/(0.082056*H168)</f>
        <v>1.3805876776546313E-5</v>
      </c>
      <c r="AA168">
        <f>(((L168/10^6)*AZ168)/(0.082056*H168))</f>
        <v>1.1032308030789412E-7</v>
      </c>
      <c r="AB168">
        <f>((Y168/10^6)*U168*1)/(0.082056*H168)</f>
        <v>5.3446528060509225E-7</v>
      </c>
      <c r="AC168">
        <f>(Z168*(Q168/1000))+(AB168*(R168/1000))</f>
        <v>1.4376430264825839E-6</v>
      </c>
      <c r="AD168" s="39">
        <f>((AC168-(AA168*(Q168/1000)))/(R168/1000))*1000000</f>
        <v>1.255283896196588</v>
      </c>
      <c r="AE168" s="39">
        <f>(AD168/((U168*AZ168*1))*(0.0821*273.15))</f>
        <v>844.32613163383428</v>
      </c>
      <c r="AF168" s="39">
        <f>L168*U168*AZ168*1/(0.0821*273.15)</f>
        <v>4.2268050380437194E-3</v>
      </c>
      <c r="AG168" s="39">
        <f>AD168-AF168</f>
        <v>1.2510570911585444</v>
      </c>
      <c r="AH168" s="42">
        <f>P168*(AZ168-S168)</f>
        <v>0.26003145878489858</v>
      </c>
      <c r="AI168">
        <f>(((X168/10^6)*(Q168/1000))/(0.082056*H168))</f>
        <v>9.8011520291685644E-7</v>
      </c>
      <c r="AJ168">
        <f>(((K168/10^6)*AZ168)*(Q168/1000))/(0.082056*H168)</f>
        <v>1.0233476676704715E-6</v>
      </c>
      <c r="AK168">
        <f>(X168/10^6)*T168*(R168/1000)</f>
        <v>1.8312265156255852E-5</v>
      </c>
      <c r="AL168">
        <f>AI168+AK168</f>
        <v>1.9292380359172711E-5</v>
      </c>
      <c r="AM168" s="39">
        <f>((AL168-AJ168)/(R168/1000))*1000000</f>
        <v>16.025467273247582</v>
      </c>
      <c r="AN168" s="39">
        <f>AM168/(T168*AZ168)</f>
        <v>419.96536074220643</v>
      </c>
      <c r="AO168" s="39">
        <f>(K168*AZ168)*T168</f>
        <v>16.771939810540555</v>
      </c>
      <c r="AP168" s="39">
        <f>AM168-AO168</f>
        <v>-0.74647253729297347</v>
      </c>
      <c r="AQ168">
        <f>(((AH168/10^6)*(Q168/1000))/(0.082056*H168))</f>
        <v>6.5238315784818723E-10</v>
      </c>
      <c r="AR168">
        <f>(((M168/10^6)*AZ168)*(Q168/1000))/(0.082056*H168)</f>
        <v>7.5055795204011019E-10</v>
      </c>
      <c r="AS168">
        <f>(AH168/10^6)*V168*(R168/1000)</f>
        <v>8.9941462762805741E-9</v>
      </c>
      <c r="AT168">
        <f>AQ168+AS168</f>
        <v>9.6465294341287615E-9</v>
      </c>
      <c r="AU168" s="39">
        <f>((AT168-AR168)/(R168/1000))*1000000000</f>
        <v>7.8034837562181147</v>
      </c>
      <c r="AV168" s="39">
        <f>(AU168/1000)/(V168*AZ168)</f>
        <v>0.27713988754830021</v>
      </c>
      <c r="AW168" s="39">
        <f>(M168*AZ168)*V168*1000</f>
        <v>9.0768798149457037</v>
      </c>
      <c r="AX168" s="39">
        <f>AU168-AW168</f>
        <v>-1.273396058727589</v>
      </c>
      <c r="AY168" s="26">
        <f>VLOOKUP($E168,Water!$C$2:$G$90, 5, FALSE)</f>
        <v>705.3</v>
      </c>
      <c r="AZ168">
        <f>AY168/760</f>
        <v>0.92802631578947359</v>
      </c>
      <c r="BA168" s="3">
        <f>Assumptions!$B$3</f>
        <v>406.07</v>
      </c>
      <c r="BB168" s="3">
        <f>BA168*AZ168*T168</f>
        <v>15.495233902498491</v>
      </c>
      <c r="BC168" s="3">
        <f>Assumptions!$B$4</f>
        <v>1.8474300000000001</v>
      </c>
      <c r="BD168" s="45">
        <f>BC168*AZ168*U168*1/(0.0821*273.15)</f>
        <v>2.7466272112920743E-3</v>
      </c>
      <c r="BE168" s="3">
        <f>Assumptions!$B$2</f>
        <v>0.33054499999999998</v>
      </c>
      <c r="BF168" s="44">
        <f>BE168*AZ168*V168*1000</f>
        <v>9.3072222876960495</v>
      </c>
      <c r="BG168">
        <f>1923.6+(-125.06*F168)+(4.3773*(F168^2))+(-0.085681*(F168^3))+(0.00070284*(F168^4))</f>
        <v>654.64553054936403</v>
      </c>
      <c r="BH168">
        <f>1909.4+(-120.78*F168)+(4.1555*(F168^2))+(-0.080578*(F168^3))+(0.00065777*(F168^4))</f>
        <v>670.70993807401749</v>
      </c>
      <c r="BI168">
        <f>2141.2+(-152.56*F168)+(5.8963*(F168^2))+(-0.12411*(F168^3))+(0.0010655*(F168^4))</f>
        <v>682.8546084725499</v>
      </c>
      <c r="BJ168" s="25">
        <f>VLOOKUP(E168,Wind!$C$2:$E$109,3, FALSE)</f>
        <v>4.9722222222222223</v>
      </c>
      <c r="BK168" s="44">
        <v>1.66</v>
      </c>
      <c r="BL168">
        <f>BK168/(1-(((1.3*10^-3)^0.5)/0.41)*LN(10/1.5))</f>
        <v>1.9923982880693825</v>
      </c>
      <c r="BM168">
        <f>BK168*1.22</f>
        <v>2.0251999999999999</v>
      </c>
      <c r="BN168">
        <f>2.07+0.215*(BM168^1.7)*(24/100)</f>
        <v>2.241255750541113</v>
      </c>
      <c r="BO168">
        <f>BN168*((600/BG168)^0.67)</f>
        <v>2.1141149425681793</v>
      </c>
      <c r="BP168">
        <f>BN168*((600/BH168)^0.67)</f>
        <v>2.0800533682441094</v>
      </c>
      <c r="BQ168">
        <f>BN168*((600/BI168)^0.67)</f>
        <v>2.055194034485869</v>
      </c>
      <c r="BR168" s="39">
        <f>BO168*(AM168-BB168)</f>
        <v>1.1209742921489465</v>
      </c>
      <c r="BS168" s="39">
        <f>BP168*(AD168-BD168)</f>
        <v>2.6053443652041426</v>
      </c>
      <c r="BT168" s="39">
        <f>BQ168*(AU168-BF168)</f>
        <v>-3.0904744593199927</v>
      </c>
      <c r="BU168">
        <f>(2.51+1.48*BM168)+(0.39*BM168*LOG10(0.0015))</f>
        <v>3.2768938069574309</v>
      </c>
      <c r="BV168">
        <f>BU168*((600/$BG168)^0.67)</f>
        <v>3.0910038538998723</v>
      </c>
      <c r="BW168">
        <f>BU168*((600/$BH168)^0.67)</f>
        <v>3.0412031286007548</v>
      </c>
      <c r="BX168">
        <f>BU168*((600/$BI168)^0.67)</f>
        <v>3.004856809436689</v>
      </c>
      <c r="BY168" s="39">
        <f>BV168*($AM168-$BB168)</f>
        <v>1.6389533924517599</v>
      </c>
      <c r="BZ168" s="39">
        <f>BW168*($AD168-$BD168)</f>
        <v>3.8092202611271269</v>
      </c>
      <c r="CA168" s="39">
        <f>BX168*($AU168-$BF168)</f>
        <v>-4.518518965923799</v>
      </c>
      <c r="CB168" s="42">
        <f>AVERAGE(0.72,0.69,0.4,0.22)</f>
        <v>0.50750000000000006</v>
      </c>
      <c r="CC168">
        <f>CB168*((600/$BG168)^0.67)</f>
        <v>0.47871080000321897</v>
      </c>
      <c r="CD168">
        <f>CB168*((600/$BH168)^0.67)</f>
        <v>0.47099804836151443</v>
      </c>
      <c r="CE168">
        <f>CB168*((600/$BI168)^0.67)</f>
        <v>0.46536901121157698</v>
      </c>
      <c r="CF168" s="39">
        <f>CC168*($AM168-$BB168)</f>
        <v>0.25382844109970071</v>
      </c>
      <c r="CG168" s="39">
        <f>CD168*($AD168-$BD168)</f>
        <v>0.58994260919213559</v>
      </c>
      <c r="CH168" s="39">
        <f>CE168*($AU168-$BF168)</f>
        <v>-0.69979331351463536</v>
      </c>
      <c r="CI168">
        <v>0.86263901889527161</v>
      </c>
      <c r="CJ168">
        <f>((BG168/BH168)^0.67)*CI168</f>
        <v>0.84874060567973897</v>
      </c>
      <c r="CK168">
        <f>((BH168/BH168)^0.67)*CI168</f>
        <v>0.86263901889527161</v>
      </c>
      <c r="CL168">
        <f>((BI168/BH168)^0.67)*CI168</f>
        <v>0.87307337736642343</v>
      </c>
      <c r="CM168" s="39">
        <f>CJ168*($AM168-$BB168)</f>
        <v>0.45003059224119302</v>
      </c>
      <c r="CN168" s="39">
        <f>CK168*($AD168-$BD168)</f>
        <v>1.0804875208472384</v>
      </c>
      <c r="CO168" s="39">
        <f>CL168*($AU168-$BF168)</f>
        <v>-1.3128740783534663</v>
      </c>
      <c r="CP168" s="27">
        <f>VLOOKUP(A168,Water!$A$2:$E$109, 5, FALSE)/1000</f>
        <v>4.0000000000000003E-5</v>
      </c>
      <c r="CQ168">
        <f>0.64*CP168</f>
        <v>2.5600000000000002E-5</v>
      </c>
      <c r="CR168" s="19">
        <f>CQ168*1000*(2.5*10^-5)</f>
        <v>6.4000000000000001E-7</v>
      </c>
      <c r="CS168" s="18">
        <f>(-0.0000009*F168^3)+(0.0002*F168^2)-(0.0134*F168)+6.579</f>
        <v>6.3952423616999994</v>
      </c>
      <c r="CT168" s="18">
        <f>CS168-(SQRT(CP168))/(1+1.4*SQRT(CP168))</f>
        <v>6.3889733148863925</v>
      </c>
      <c r="CU168" s="18">
        <f>10^(-CT168)</f>
        <v>4.0834447618399234E-7</v>
      </c>
      <c r="CV168" s="18">
        <f>(0.000001*F168^3)+(0.00006*F168^2)-(0.014*F168)+10.625</f>
        <v>10.395021887</v>
      </c>
      <c r="CW168" s="18">
        <f>CV168-(2*SQRT(CR168))/(1+1.4*SQRT(CR168))</f>
        <v>10.393423676995205</v>
      </c>
      <c r="CX168" s="18">
        <f>10^(-CW168)</f>
        <v>4.0418139919758317E-11</v>
      </c>
      <c r="CY168">
        <f>EXP(1246.98+-61900/H168-183*LN(H168))</f>
        <v>2.0095223211750741E-2</v>
      </c>
      <c r="CZ168">
        <f>12.225*(F168^2)+15.258*F168+1125.7</f>
        <v>5498.95165</v>
      </c>
      <c r="DA168" s="15">
        <f>10^(-4470.99/H168+6.0875-0.01706*H168)</f>
        <v>5.9546827084041623E-15</v>
      </c>
      <c r="DB168">
        <f>(10^-I168)</f>
        <v>3.3113112148258966E-9</v>
      </c>
      <c r="DC168">
        <f>DB168^2</f>
        <v>1.0964781961431755E-17</v>
      </c>
      <c r="DD168" s="20">
        <f>((14.6836*10^-9)*((H168/217.2056)-1)^1.997)*100*100</f>
        <v>1.7211413354305322E-5</v>
      </c>
      <c r="DE168">
        <f>CY168+CZ168*DA168/DB168</f>
        <v>2.9983907838552631E-2</v>
      </c>
      <c r="DF168">
        <f>1+DC168*(CU168*CX168+CU168*DB168)^-1</f>
        <v>1.0080113253972058</v>
      </c>
      <c r="DG168">
        <f>(DE168*DF168/DD168)^0.5</f>
        <v>41.90526153990352</v>
      </c>
      <c r="DH168">
        <f>DD168/(BO168/60/60)</f>
        <v>2.9308287277999286E-2</v>
      </c>
      <c r="DI168" s="16">
        <f>DF168/((DF168-1)+TANH(DG168*DH168)/(DG168*DH168))</f>
        <v>1.453256296658282</v>
      </c>
      <c r="DJ168">
        <f>$DI168*BR168</f>
        <v>1.6290629484575172</v>
      </c>
      <c r="DK168">
        <f>$DI168*BY168</f>
        <v>2.3818193375099725</v>
      </c>
      <c r="DL168">
        <f>$DI168*CF168</f>
        <v>0.3688777802990959</v>
      </c>
      <c r="DM168">
        <f>$DI168*CM168</f>
        <v>0.65400979186336961</v>
      </c>
    </row>
    <row r="169" spans="1:117" ht="15.75" x14ac:dyDescent="0.25">
      <c r="A169" s="52" t="s">
        <v>336</v>
      </c>
      <c r="B169" s="55" t="s">
        <v>342</v>
      </c>
      <c r="C169" s="62" t="s">
        <v>362</v>
      </c>
      <c r="D169" s="57">
        <v>43262</v>
      </c>
      <c r="E169" s="42" t="str">
        <f>A169&amp;D169</f>
        <v>4D43262</v>
      </c>
      <c r="F169" s="3">
        <f>VLOOKUP($E169,Water!$C$2:$E$90, 2, FALSE)</f>
        <v>18.3</v>
      </c>
      <c r="G169" s="3">
        <f>VLOOKUP($E169,Water!$C$2:$E$90, 3, FALSE)</f>
        <v>0.11</v>
      </c>
      <c r="H169" s="1">
        <f>F169+273.15</f>
        <v>291.45</v>
      </c>
      <c r="I169" s="3">
        <f>VLOOKUP($E169,Water!$C$2:$F$90, 4, FALSE)</f>
        <v>8.48</v>
      </c>
      <c r="J169">
        <f>10^(I169*-1)</f>
        <v>3.3113112148258966E-9</v>
      </c>
      <c r="K169" s="25">
        <v>439.52751160265137</v>
      </c>
      <c r="L169" s="25">
        <v>2.8430237635924795</v>
      </c>
      <c r="M169" s="25">
        <v>0.32236441181786135</v>
      </c>
      <c r="N169" s="21">
        <f>VLOOKUP($C169,Raw!$B$2:$F$353, 3, FALSE)</f>
        <v>440.43209950340639</v>
      </c>
      <c r="O169" s="21">
        <f>VLOOKUP($C169,Raw!$B$2:$F$353, 4, FALSE)</f>
        <v>386.50943330146288</v>
      </c>
      <c r="P169" s="21">
        <f>VLOOKUP($C169,Raw!$B$2:$F$353, 5, FALSE)</f>
        <v>0.29338991229253669</v>
      </c>
      <c r="Q169" s="14">
        <v>60</v>
      </c>
      <c r="R169" s="25">
        <v>1140</v>
      </c>
      <c r="S169">
        <f>EXP(24.4543-(100/H169*(67.4509))-(4.8489*LN(H169/100))-(0.000544*G169))</f>
        <v>2.0737019748821476E-2</v>
      </c>
      <c r="T169" s="8">
        <f>EXP(-58.0931+90.5069*(100/H169)+22.294*LN(H169/100)+G169*(0.027766-0.025888*(H169/100)+0.0050578*(H169/100)^2)*G169)</f>
        <v>4.1118469330206943E-2</v>
      </c>
      <c r="U169" s="9">
        <f>(EXP(-67.1962+99.1624*(100/H169)+27.9015*LN(H169/100)+G169*(-0.072909+0.041674*(H169/100)-0.0064603*(H169/100)^2)*G169))</f>
        <v>3.592657339372618E-2</v>
      </c>
      <c r="V169" s="9">
        <f>(EXP(-64.8539+100.252*(100/H169)+25.2049*LN(H169/100)+(-0.062544+0.035337*(H169/100)-0.0054699*(H169/100)^2)*G169))</f>
        <v>3.0340951950985774E-2</v>
      </c>
      <c r="W169" s="9">
        <f>(EXP(-68.8862+101.4956*(100/H169)+28.7314*LN(H169/100)+G169*(-0.076146+0.04397*(H169/100)-0.0068672*(H169/100)^2)))</f>
        <v>3.584303691862975E-2</v>
      </c>
      <c r="X169">
        <f>N169*(AZ169-S169)</f>
        <v>399.59932951215205</v>
      </c>
      <c r="Y169">
        <f>O169*(AZ169-S169)</f>
        <v>350.67587165315564</v>
      </c>
      <c r="Z169">
        <f>((Y169/10^6)*AZ169)/(0.082056*H169)</f>
        <v>1.3607920850280084E-5</v>
      </c>
      <c r="AA169">
        <f>(((L169/10^6)*AZ169)/(0.082056*H169))</f>
        <v>1.1032308030789412E-7</v>
      </c>
      <c r="AB169">
        <f>((Y169/10^6)*U169*1)/(0.082056*H169)</f>
        <v>5.2680183616098006E-7</v>
      </c>
      <c r="AC169">
        <f>(Z169*(Q169/1000))+(AB169*(R169/1000))</f>
        <v>1.4170293442403222E-6</v>
      </c>
      <c r="AD169" s="39">
        <f>((AC169-(AA169*(Q169/1000)))/(R169/1000))*1000000</f>
        <v>1.2372017187910953</v>
      </c>
      <c r="AE169" s="39">
        <f>(AD169/((U169*AZ169*1))*(0.0821*273.15))</f>
        <v>832.1637395673423</v>
      </c>
      <c r="AF169" s="39">
        <f>L169*U169*AZ169*1/(0.0821*273.15)</f>
        <v>4.2268050380437194E-3</v>
      </c>
      <c r="AG169" s="39">
        <f>AD169-AF169</f>
        <v>1.2329749137530517</v>
      </c>
      <c r="AH169" s="42">
        <f>P169*(AZ169-S169)</f>
        <v>0.2661895269893243</v>
      </c>
      <c r="AI169">
        <f>(((X169/10^6)*(Q169/1000))/(0.082056*H169))</f>
        <v>1.002539745303678E-6</v>
      </c>
      <c r="AJ169">
        <f>(((K169/10^6)*AZ169)*(Q169/1000))/(0.082056*H169)</f>
        <v>1.0233476676704715E-6</v>
      </c>
      <c r="AK169">
        <f>(X169/10^6)*T169*(R169/1000)</f>
        <v>1.8731240563405016E-5</v>
      </c>
      <c r="AL169">
        <f>AI169+AK169</f>
        <v>1.9733780308708696E-5</v>
      </c>
      <c r="AM169" s="39">
        <f>((AL169-AJ169)/(R169/1000))*1000000</f>
        <v>16.412660211437043</v>
      </c>
      <c r="AN169" s="39">
        <f>AM169/(T169*AZ169)</f>
        <v>430.11218636613216</v>
      </c>
      <c r="AO169" s="39">
        <f>(K169*AZ169)*T169</f>
        <v>16.771939810540555</v>
      </c>
      <c r="AP169" s="39">
        <f>AM169-AO169</f>
        <v>-0.35927959910351248</v>
      </c>
      <c r="AQ169">
        <f>(((AH169/10^6)*(Q169/1000))/(0.082056*H169))</f>
        <v>6.678329038143899E-10</v>
      </c>
      <c r="AR169">
        <f>(((M169/10^6)*AZ169)*(Q169/1000))/(0.082056*H169)</f>
        <v>7.5055795204011019E-10</v>
      </c>
      <c r="AS169">
        <f>(AH169/10^6)*V169*(R169/1000)</f>
        <v>9.2071457589921401E-9</v>
      </c>
      <c r="AT169">
        <f>AQ169+AS169</f>
        <v>9.8749786628065307E-9</v>
      </c>
      <c r="AU169" s="39">
        <f>((AT169-AR169)/(R169/1000))*1000000000</f>
        <v>8.0038778164617739</v>
      </c>
      <c r="AV169" s="39">
        <f>(AU169/1000)/(V169*AZ169)</f>
        <v>0.28425686107656839</v>
      </c>
      <c r="AW169" s="39">
        <f>(M169*AZ169)*V169*1000</f>
        <v>9.0768798149457037</v>
      </c>
      <c r="AX169" s="39">
        <f>AU169-AW169</f>
        <v>-1.0730019984839299</v>
      </c>
      <c r="AY169" s="26">
        <f>VLOOKUP($E169,Water!$C$2:$G$90, 5, FALSE)</f>
        <v>705.3</v>
      </c>
      <c r="AZ169">
        <f>AY169/760</f>
        <v>0.92802631578947359</v>
      </c>
      <c r="BA169" s="3">
        <f>Assumptions!$B$3</f>
        <v>406.07</v>
      </c>
      <c r="BB169" s="3">
        <f>BA169*AZ169*T169</f>
        <v>15.495233902498491</v>
      </c>
      <c r="BC169" s="3">
        <f>Assumptions!$B$4</f>
        <v>1.8474300000000001</v>
      </c>
      <c r="BD169" s="45">
        <f>BC169*AZ169*U169*1/(0.0821*273.15)</f>
        <v>2.7466272112920743E-3</v>
      </c>
      <c r="BE169" s="3">
        <f>Assumptions!$B$2</f>
        <v>0.33054499999999998</v>
      </c>
      <c r="BF169" s="44">
        <f>BE169*AZ169*V169*1000</f>
        <v>9.3072222876960495</v>
      </c>
      <c r="BG169">
        <f>1923.6+(-125.06*F169)+(4.3773*(F169^2))+(-0.085681*(F169^3))+(0.00070284*(F169^4))</f>
        <v>654.64553054936403</v>
      </c>
      <c r="BH169">
        <f>1909.4+(-120.78*F169)+(4.1555*(F169^2))+(-0.080578*(F169^3))+(0.00065777*(F169^4))</f>
        <v>670.70993807401749</v>
      </c>
      <c r="BI169">
        <f>2141.2+(-152.56*F169)+(5.8963*(F169^2))+(-0.12411*(F169^3))+(0.0010655*(F169^4))</f>
        <v>682.8546084725499</v>
      </c>
      <c r="BJ169" s="25">
        <f>VLOOKUP(E169,Wind!$C$2:$E$109,3, FALSE)</f>
        <v>4.9722222222222223</v>
      </c>
      <c r="BK169" s="44">
        <v>1.66</v>
      </c>
      <c r="BL169">
        <f>BK169/(1-(((1.3*10^-3)^0.5)/0.41)*LN(10/1.5))</f>
        <v>1.9923982880693825</v>
      </c>
      <c r="BM169">
        <f>BK169*1.22</f>
        <v>2.0251999999999999</v>
      </c>
      <c r="BN169">
        <f>2.07+0.215*(BM169^1.7)*(24/100)</f>
        <v>2.241255750541113</v>
      </c>
      <c r="BO169">
        <f>BN169*((600/BG169)^0.67)</f>
        <v>2.1141149425681793</v>
      </c>
      <c r="BP169">
        <f>BN169*((600/BH169)^0.67)</f>
        <v>2.0800533682441094</v>
      </c>
      <c r="BQ169">
        <f>BN169*((600/BI169)^0.67)</f>
        <v>2.055194034485869</v>
      </c>
      <c r="BR169" s="39">
        <f>BO169*(AM169-BB169)</f>
        <v>1.9395446684321636</v>
      </c>
      <c r="BS169" s="39">
        <f>BP169*(AD169-BD169)</f>
        <v>2.5677324711866598</v>
      </c>
      <c r="BT169" s="39">
        <f>BQ169*(AU169-BF169)</f>
        <v>-2.6786257821608226</v>
      </c>
      <c r="BU169">
        <f>(2.51+1.48*BM169)+(0.39*BM169*LOG10(0.0015))</f>
        <v>3.2768938069574309</v>
      </c>
      <c r="BV169">
        <f>BU169*((600/$BG169)^0.67)</f>
        <v>3.0910038538998723</v>
      </c>
      <c r="BW169">
        <f>BU169*((600/$BH169)^0.67)</f>
        <v>3.0412031286007548</v>
      </c>
      <c r="BX169">
        <f>BU169*((600/$BI169)^0.67)</f>
        <v>3.004856809436689</v>
      </c>
      <c r="BY169" s="39">
        <f>BV169*($AM169-$BB169)</f>
        <v>2.835768256598199</v>
      </c>
      <c r="BZ169" s="39">
        <f>BW169*($AD169-$BD169)</f>
        <v>3.7542286866296286</v>
      </c>
      <c r="CA169" s="39">
        <f>BX169*($AU169-$BF169)</f>
        <v>-3.9163635094299738</v>
      </c>
      <c r="CB169" s="42">
        <f>AVERAGE(0.72,0.69,0.4,0.22)</f>
        <v>0.50750000000000006</v>
      </c>
      <c r="CC169">
        <f>CB169*((600/$BG169)^0.67)</f>
        <v>0.47871080000321897</v>
      </c>
      <c r="CD169">
        <f>CB169*((600/$BH169)^0.67)</f>
        <v>0.47099804836151443</v>
      </c>
      <c r="CE169">
        <f>CB169*((600/$BI169)^0.67)</f>
        <v>0.46536901121157698</v>
      </c>
      <c r="CF169" s="39">
        <f>CC169*($AM169-$BB169)</f>
        <v>0.43918188229597449</v>
      </c>
      <c r="CG169" s="39">
        <f>CD169*($AD169-$BD169)</f>
        <v>0.58142593892402183</v>
      </c>
      <c r="CH169" s="39">
        <f>CE169*($AU169-$BF169)</f>
        <v>-0.60653612784637045</v>
      </c>
      <c r="CI169">
        <v>0.86263901889527161</v>
      </c>
      <c r="CJ169">
        <f>((BG169/BH169)^0.67)*CI169</f>
        <v>0.84874060567973897</v>
      </c>
      <c r="CK169">
        <f>((BH169/BH169)^0.67)*CI169</f>
        <v>0.86263901889527161</v>
      </c>
      <c r="CL169">
        <f>((BI169/BH169)^0.67)*CI169</f>
        <v>0.87307337736642343</v>
      </c>
      <c r="CM169" s="39">
        <f>CJ169*($AM169-$BB169)</f>
        <v>0.77865696111503391</v>
      </c>
      <c r="CN169" s="39">
        <f>CK169*($AD169-$BD169)</f>
        <v>1.0648891290706741</v>
      </c>
      <c r="CO169" s="39">
        <f>CL169*($AU169-$BF169)</f>
        <v>-1.1379153593723643</v>
      </c>
      <c r="CP169" s="27">
        <f>VLOOKUP(A169,Water!$A$2:$E$109, 5, FALSE)/1000</f>
        <v>4.0000000000000003E-5</v>
      </c>
      <c r="CQ169">
        <f>0.64*CP169</f>
        <v>2.5600000000000002E-5</v>
      </c>
      <c r="CR169" s="19">
        <f>CQ169*1000*(2.5*10^-5)</f>
        <v>6.4000000000000001E-7</v>
      </c>
      <c r="CS169" s="18">
        <f>(-0.0000009*F169^3)+(0.0002*F169^2)-(0.0134*F169)+6.579</f>
        <v>6.3952423616999994</v>
      </c>
      <c r="CT169" s="18">
        <f>CS169-(SQRT(CP169))/(1+1.4*SQRT(CP169))</f>
        <v>6.3889733148863925</v>
      </c>
      <c r="CU169" s="18">
        <f>10^(-CT169)</f>
        <v>4.0834447618399234E-7</v>
      </c>
      <c r="CV169" s="18">
        <f>(0.000001*F169^3)+(0.00006*F169^2)-(0.014*F169)+10.625</f>
        <v>10.395021887</v>
      </c>
      <c r="CW169" s="18">
        <f>CV169-(2*SQRT(CR169))/(1+1.4*SQRT(CR169))</f>
        <v>10.393423676995205</v>
      </c>
      <c r="CX169" s="18">
        <f>10^(-CW169)</f>
        <v>4.0418139919758317E-11</v>
      </c>
      <c r="CY169">
        <f>EXP(1246.98+-61900/H169-183*LN(H169))</f>
        <v>2.0095223211750741E-2</v>
      </c>
      <c r="CZ169">
        <f>12.225*(F169^2)+15.258*F169+1125.7</f>
        <v>5498.95165</v>
      </c>
      <c r="DA169" s="15">
        <f>10^(-4470.99/H169+6.0875-0.01706*H169)</f>
        <v>5.9546827084041623E-15</v>
      </c>
      <c r="DB169">
        <f>(10^-I169)</f>
        <v>3.3113112148258966E-9</v>
      </c>
      <c r="DC169">
        <f>DB169^2</f>
        <v>1.0964781961431755E-17</v>
      </c>
      <c r="DD169" s="20">
        <f>((14.6836*10^-9)*((H169/217.2056)-1)^1.997)*100*100</f>
        <v>1.7211413354305322E-5</v>
      </c>
      <c r="DE169">
        <f>CY169+CZ169*DA169/DB169</f>
        <v>2.9983907838552631E-2</v>
      </c>
      <c r="DF169">
        <f>1+DC169*(CU169*CX169+CU169*DB169)^-1</f>
        <v>1.0080113253972058</v>
      </c>
      <c r="DG169">
        <f>(DE169*DF169/DD169)^0.5</f>
        <v>41.90526153990352</v>
      </c>
      <c r="DH169">
        <f>DD169/(BO169/60/60)</f>
        <v>2.9308287277999286E-2</v>
      </c>
      <c r="DI169" s="16">
        <f>DF169/((DF169-1)+TANH(DG169*DH169)/(DG169*DH169))</f>
        <v>1.453256296658282</v>
      </c>
      <c r="DJ169">
        <f>$DI169*BR169</f>
        <v>2.8186555020490416</v>
      </c>
      <c r="DK169">
        <f>$DI169*BY169</f>
        <v>4.1210980747650119</v>
      </c>
      <c r="DL169">
        <f>$DI169*CF169</f>
        <v>0.63824383582486144</v>
      </c>
      <c r="DM169">
        <f>$DI169*CM169</f>
        <v>1.1315881316772261</v>
      </c>
    </row>
    <row r="170" spans="1:117" ht="15.75" x14ac:dyDescent="0.25">
      <c r="A170" s="52" t="s">
        <v>323</v>
      </c>
      <c r="B170" s="55" t="s">
        <v>339</v>
      </c>
      <c r="C170" s="62" t="s">
        <v>364</v>
      </c>
      <c r="D170" s="57">
        <v>43263</v>
      </c>
      <c r="E170" s="42" t="str">
        <f>A170&amp;D170</f>
        <v>66A43263</v>
      </c>
      <c r="F170" s="3">
        <f>VLOOKUP($E170,Water!$C$2:$E$90, 2, FALSE)</f>
        <v>17.8</v>
      </c>
      <c r="G170" s="3">
        <f>VLOOKUP($E170,Water!$C$2:$E$90, 3, FALSE)</f>
        <v>0.76</v>
      </c>
      <c r="H170" s="1">
        <f>F170+273.15</f>
        <v>290.95</v>
      </c>
      <c r="I170" s="3">
        <f>VLOOKUP($E170,Water!$C$2:$F$90, 4, FALSE)</f>
        <v>7.75</v>
      </c>
      <c r="J170">
        <f>10^(I170*-1)</f>
        <v>1.7782794100389218E-8</v>
      </c>
      <c r="K170" s="25">
        <f>VLOOKUP($E170,Atm!$D$2:$G$45, 2, FALSE)</f>
        <v>420.27894674021002</v>
      </c>
      <c r="L170" s="25">
        <f>VLOOKUP($E170,Atm!$D$2:$G$45, 3, FALSE)</f>
        <v>1.8324193378979521</v>
      </c>
      <c r="M170" s="25">
        <f>VLOOKUP($E170,Atm!$D$2:$G$45, 4, FALSE)</f>
        <v>0.28925435602840566</v>
      </c>
      <c r="N170" s="21">
        <f>VLOOKUP($C170,Raw!$B$2:$F$353, 3, FALSE)</f>
        <v>4376.3018592416793</v>
      </c>
      <c r="O170" s="21">
        <f>VLOOKUP($C170,Raw!$B$2:$F$353, 4, FALSE)</f>
        <v>40.44475441220122</v>
      </c>
      <c r="P170" s="21">
        <f>VLOOKUP($C170,Raw!$B$2:$F$353, 5, FALSE)</f>
        <v>0.23681870796566531</v>
      </c>
      <c r="Q170" s="14">
        <v>60</v>
      </c>
      <c r="R170" s="25">
        <v>1140</v>
      </c>
      <c r="S170">
        <f>EXP(24.4543-(100/H170*(67.4509))-(4.8489*LN(H170/100))-(0.000544*G170))</f>
        <v>2.0087963644868995E-2</v>
      </c>
      <c r="T170" s="8">
        <f>EXP(-58.0931+90.5069*(100/H170)+22.294*LN(H170/100)+G170*(0.027766-0.025888*(H170/100)+0.0050578*(H170/100)^2)*G170)</f>
        <v>4.1631779002441464E-2</v>
      </c>
      <c r="U170" s="9">
        <f>(EXP(-67.1962+99.1624*(100/H170)+27.9015*LN(H170/100)+G170*(-0.072909+0.041674*(H170/100)-0.0064603*(H170/100)^2)*G170))</f>
        <v>3.6177979165149803E-2</v>
      </c>
      <c r="V170" s="9">
        <f>(EXP(-64.8539+100.252*(100/H170)+25.2049*LN(H170/100)+(-0.062544+0.035337*(H170/100)-0.0054699*(H170/100)^2)*G170))</f>
        <v>3.0704489292810874E-2</v>
      </c>
      <c r="W170" s="9">
        <f>(EXP(-68.8862+101.4956*(100/H170)+28.7314*LN(H170/100)+G170*(-0.076146+0.04397*(H170/100)-0.0068672*(H170/100)^2)))</f>
        <v>3.6072632641466144E-2</v>
      </c>
      <c r="X170">
        <f>N170*(AZ170-S170)</f>
        <v>3968.805665031216</v>
      </c>
      <c r="Y170">
        <f>O170*(AZ170-S170)</f>
        <v>36.678770248210149</v>
      </c>
      <c r="Z170">
        <f>((Y170/10^6)*AZ170)/(0.082056*H170)</f>
        <v>1.4241425670164551E-6</v>
      </c>
      <c r="AA170">
        <f>(((L170/10^6)*AZ170)/(0.082056*H170))</f>
        <v>7.114814270121086E-8</v>
      </c>
      <c r="AB170">
        <f>((Y170/10^6)*U170*1)/(0.082056*H170)</f>
        <v>5.558151325687785E-8</v>
      </c>
      <c r="AC170">
        <f>(Z170*(Q170/1000))+(AB170*(R170/1000))</f>
        <v>1.4881147913382804E-7</v>
      </c>
      <c r="AD170" s="39">
        <f>((AC170-(AA170*(Q170/1000)))/(R170/1000))*1000000</f>
        <v>0.12679174611557492</v>
      </c>
      <c r="AE170" s="39">
        <f>(AD170/((U170*AZ170*1))*(0.0821*273.15))</f>
        <v>84.785900139845751</v>
      </c>
      <c r="AF170" s="39">
        <f>L170*U170*AZ170*1/(0.0821*273.15)</f>
        <v>2.7402627923370864E-3</v>
      </c>
      <c r="AG170" s="39">
        <f>AD170-AF170</f>
        <v>0.12405148332323783</v>
      </c>
      <c r="AH170" s="42">
        <f>P170*(AZ170-S170)</f>
        <v>0.21476750461687036</v>
      </c>
      <c r="AI170">
        <f>(((X170/10^6)*(Q170/1000))/(0.082056*H170))</f>
        <v>9.9742989389008091E-6</v>
      </c>
      <c r="AJ170">
        <f>(((K170/10^6)*AZ170)*(Q170/1000))/(0.082056*H170)</f>
        <v>9.7910120872078397E-7</v>
      </c>
      <c r="AK170">
        <f>(X170/10^6)*T170*(R170/1000)</f>
        <v>1.8836042199924769E-4</v>
      </c>
      <c r="AL170">
        <f>AI170+AK170</f>
        <v>1.983347209381485E-4</v>
      </c>
      <c r="AM170" s="39">
        <f>((AL170-AJ170)/(R170/1000))*1000000</f>
        <v>173.11896467493659</v>
      </c>
      <c r="AN170" s="39">
        <f>AM170/(T170*AZ170)</f>
        <v>4485.9277182749738</v>
      </c>
      <c r="AO170" s="39">
        <f>(K170*AZ170)*T170</f>
        <v>16.219221686950533</v>
      </c>
      <c r="AP170" s="39">
        <f>AM170-AO170</f>
        <v>156.89974298798606</v>
      </c>
      <c r="AQ170">
        <f>(((AH170/10^6)*(Q170/1000))/(0.082056*H170))</f>
        <v>5.3974809406385387E-10</v>
      </c>
      <c r="AR170">
        <f>(((M170/10^6)*AZ170)*(Q170/1000))/(0.082056*H170)</f>
        <v>6.7386028210979146E-10</v>
      </c>
      <c r="AS170">
        <f>(AH170/10^6)*V170*(R170/1000)</f>
        <v>7.5175322623857414E-9</v>
      </c>
      <c r="AT170">
        <f>AQ170+AS170</f>
        <v>8.0572803564495949E-9</v>
      </c>
      <c r="AU170" s="39">
        <f>((AT170-AR170)/(R170/1000))*1000000000</f>
        <v>6.4766842757366705</v>
      </c>
      <c r="AV170" s="39">
        <f>(AU170/1000)/(V170*AZ170)</f>
        <v>0.22755345994401255</v>
      </c>
      <c r="AW170" s="39">
        <f>(M170*AZ170)*V170*1000</f>
        <v>8.2328308250661042</v>
      </c>
      <c r="AX170" s="39">
        <f>AU170-AW170</f>
        <v>-1.7561465493294337</v>
      </c>
      <c r="AY170" s="26">
        <f>VLOOKUP($E170,Water!$C$2:$G$90, 5, FALSE)</f>
        <v>704.5</v>
      </c>
      <c r="AZ170">
        <f>AY170/760</f>
        <v>0.92697368421052628</v>
      </c>
      <c r="BA170" s="3">
        <f>Assumptions!$B$3</f>
        <v>406.07</v>
      </c>
      <c r="BB170" s="3">
        <f>BA170*AZ170*T170</f>
        <v>15.670876215674776</v>
      </c>
      <c r="BC170" s="3">
        <f>Assumptions!$B$4</f>
        <v>1.8474300000000001</v>
      </c>
      <c r="BD170" s="45">
        <f>BC170*AZ170*U170*1/(0.0821*273.15)</f>
        <v>2.7627102518218631E-3</v>
      </c>
      <c r="BE170" s="3">
        <f>Assumptions!$B$2</f>
        <v>0.33054499999999998</v>
      </c>
      <c r="BF170" s="44">
        <f>BE170*AZ170*V170*1000</f>
        <v>9.4080556035057015</v>
      </c>
      <c r="BG170">
        <f>1923.6+(-125.06*F170)+(4.3773*(F170^2))+(-0.085681*(F170^3))+(0.00070284*(F170^4))</f>
        <v>671.7725515511039</v>
      </c>
      <c r="BH170">
        <f>1909.4+(-120.78*F170)+(4.1555*(F170^2))+(-0.080578*(F170^3))+(0.00065777*(F170^4))</f>
        <v>687.73662552411213</v>
      </c>
      <c r="BI170">
        <f>2141.2+(-152.56*F170)+(5.8963*(F170^2))+(-0.12411*(F170^3))+(0.0010655*(F170^4))</f>
        <v>700.82904373679992</v>
      </c>
      <c r="BJ170" s="25">
        <f>VLOOKUP(E170,Wind!$C$2:$E$109,3, FALSE)</f>
        <v>4.2222222222222223</v>
      </c>
      <c r="BK170" s="44">
        <v>1.66</v>
      </c>
      <c r="BL170">
        <f>BK170/(1-(((1.3*10^-3)^0.5)/0.41)*LN(10/1.5))</f>
        <v>1.9923982880693825</v>
      </c>
      <c r="BM170">
        <f>BK170*1.22</f>
        <v>2.0251999999999999</v>
      </c>
      <c r="BN170">
        <f>2.07+0.215*(BM170^1.7)*(24/100)</f>
        <v>2.241255750541113</v>
      </c>
      <c r="BO170">
        <f>BN170*((600/BG170)^0.67)</f>
        <v>2.0778483318580592</v>
      </c>
      <c r="BP170">
        <f>BN170*((600/BH170)^0.67)</f>
        <v>2.0454078193077754</v>
      </c>
      <c r="BQ170">
        <f>BN170*((600/BI170)^0.67)</f>
        <v>2.0197269165756366</v>
      </c>
      <c r="BR170" s="39">
        <f>BO170*(AM170-BB170)</f>
        <v>327.1532479593173</v>
      </c>
      <c r="BS170" s="39">
        <f>BP170*(AD170-BD170)</f>
        <v>0.25368995977692504</v>
      </c>
      <c r="BT170" s="39">
        <f>BQ170*(AU170-BF170)</f>
        <v>-5.9205695731731751</v>
      </c>
      <c r="BU170">
        <f>(2.51+1.48*BM170)+(0.39*BM170*LOG10(0.0015))</f>
        <v>3.2768938069574309</v>
      </c>
      <c r="BV170">
        <f>BU170*((600/$BG170)^0.67)</f>
        <v>3.0379791903795952</v>
      </c>
      <c r="BW170">
        <f>BU170*((600/$BH170)^0.67)</f>
        <v>2.9905485860655254</v>
      </c>
      <c r="BX170">
        <f>BU170*((600/$BI170)^0.67)</f>
        <v>2.9530010678495855</v>
      </c>
      <c r="BY170" s="39">
        <f>BV170*($AM170-$BB170)</f>
        <v>478.32401630428308</v>
      </c>
      <c r="BZ170" s="39">
        <f>BW170*($AD170-$BD170)</f>
        <v>0.3709148578334171</v>
      </c>
      <c r="CA170" s="39">
        <f>BX170*($AU170-$BF170)</f>
        <v>-8.6563426611656062</v>
      </c>
      <c r="CB170" s="42">
        <f>AVERAGE(0.72,0.69,0.4,0.22)</f>
        <v>0.50750000000000006</v>
      </c>
      <c r="CC170">
        <f>CB170*((600/$BG170)^0.67)</f>
        <v>0.47049874971358002</v>
      </c>
      <c r="CD170">
        <f>CB170*((600/$BH170)^0.67)</f>
        <v>0.46315306410171087</v>
      </c>
      <c r="CE170">
        <f>CB170*((600/$BI170)^0.67)</f>
        <v>0.45733799452144813</v>
      </c>
      <c r="CF170" s="39">
        <f>CC170*($AM170-$BB170)</f>
        <v>74.079128764875833</v>
      </c>
      <c r="CG170" s="39">
        <f>CD170*($AD170-$BD170)</f>
        <v>5.7444427997878217E-2</v>
      </c>
      <c r="CH170" s="39">
        <f>CE170*($AU170-$BF170)</f>
        <v>-1.3406274842395631</v>
      </c>
      <c r="CI170">
        <v>0.86263901889527161</v>
      </c>
      <c r="CJ170">
        <f>((BG170/BH170)^0.67)*CI170</f>
        <v>0.84917102342622219</v>
      </c>
      <c r="CK170">
        <f>((BH170/BH170)^0.67)*CI170</f>
        <v>0.86263901889527161</v>
      </c>
      <c r="CL170">
        <f>((BI170/BH170)^0.67)*CI170</f>
        <v>0.87360750604835546</v>
      </c>
      <c r="CM170" s="39">
        <f>CJ170*($AM170-$BB170)</f>
        <v>133.70035441345371</v>
      </c>
      <c r="CN170" s="39">
        <f>CK170*($AD170-$BD170)</f>
        <v>0.1069922858120344</v>
      </c>
      <c r="CO170" s="39">
        <f>CL170*($AU170-$BF170)</f>
        <v>-2.5608679949539597</v>
      </c>
      <c r="CP170" s="27">
        <f>VLOOKUP(A170,Water!$A$2:$E$109, 5, FALSE)/1000</f>
        <v>1.3000000000000002E-4</v>
      </c>
      <c r="CQ170">
        <f>0.64*CP170</f>
        <v>8.3200000000000017E-5</v>
      </c>
      <c r="CR170" s="19">
        <f>CQ170*1000*(2.5*10^-5)</f>
        <v>2.0800000000000004E-6</v>
      </c>
      <c r="CS170" s="18">
        <f>(-0.0000009*F170^3)+(0.0002*F170^2)-(0.0134*F170)+6.579</f>
        <v>6.3987722231999999</v>
      </c>
      <c r="CT170" s="18">
        <f>CS170-(SQRT(CP170))/(1+1.4*SQRT(CP170))</f>
        <v>6.387549609427019</v>
      </c>
      <c r="CU170" s="18">
        <f>10^(-CT170)</f>
        <v>4.0968530881758382E-7</v>
      </c>
      <c r="CV170" s="18">
        <f>(0.000001*F170^3)+(0.00006*F170^2)-(0.014*F170)+10.625</f>
        <v>10.400450151999999</v>
      </c>
      <c r="CW170" s="18">
        <f>CV170-(2*SQRT(CR170))/(1+1.4*SQRT(CR170))</f>
        <v>10.397571523244034</v>
      </c>
      <c r="CX170" s="18">
        <f>10^(-CW170)</f>
        <v>4.0033953164207789E-11</v>
      </c>
      <c r="CY170">
        <f>EXP(1246.98+-61900/H170-183*LN(H170))</f>
        <v>1.9100443281379092E-2</v>
      </c>
      <c r="CZ170">
        <f>12.225*(F170^2)+15.258*F170+1125.7</f>
        <v>5270.6614</v>
      </c>
      <c r="DA170" s="15">
        <f>10^(-4470.99/H170+6.0875-0.01706*H170)</f>
        <v>5.7151264088949361E-15</v>
      </c>
      <c r="DB170">
        <f>(10^-I170)</f>
        <v>1.7782794100389218E-8</v>
      </c>
      <c r="DC170">
        <f>DB170^2</f>
        <v>3.1622776601683759E-16</v>
      </c>
      <c r="DD170" s="20">
        <f>((14.6836*10^-9)*((H170/217.2056)-1)^1.997)*100*100</f>
        <v>1.6980717151963062E-5</v>
      </c>
      <c r="DE170">
        <f>CY170+CZ170*DA170/DB170</f>
        <v>2.079435572221559E-2</v>
      </c>
      <c r="DF170">
        <f>1+DC170*(CU170*CX170+CU170*DB170)^-1</f>
        <v>1.0433084850501739</v>
      </c>
      <c r="DG170">
        <f>(DE170*DF170/DD170)^0.5</f>
        <v>35.743830356653874</v>
      </c>
      <c r="DH170">
        <f>DD170/(BO170/60/60)</f>
        <v>2.9420136595052954E-2</v>
      </c>
      <c r="DI170" s="16">
        <f>DF170/((DF170-1)+TANH(DG170*DH170)/(DG170*DH170))</f>
        <v>1.3250922320987599</v>
      </c>
      <c r="DJ170">
        <f>$DI170*BR170</f>
        <v>433.50822757677082</v>
      </c>
      <c r="DK170">
        <f>$DI170*BY170</f>
        <v>633.82343843108606</v>
      </c>
      <c r="DL170">
        <f>$DI170*CF170</f>
        <v>98.161678086980771</v>
      </c>
      <c r="DM170">
        <f>$DI170*CM170</f>
        <v>177.16530106211866</v>
      </c>
    </row>
    <row r="171" spans="1:117" ht="15.75" x14ac:dyDescent="0.25">
      <c r="A171" s="52" t="s">
        <v>323</v>
      </c>
      <c r="B171" s="55" t="s">
        <v>340</v>
      </c>
      <c r="C171" s="62" t="s">
        <v>365</v>
      </c>
      <c r="D171" s="57">
        <v>43263</v>
      </c>
      <c r="E171" s="42" t="str">
        <f>A171&amp;D171</f>
        <v>66A43263</v>
      </c>
      <c r="F171" s="3">
        <f>VLOOKUP($E171,Water!$C$2:$E$90, 2, FALSE)</f>
        <v>17.8</v>
      </c>
      <c r="G171" s="3">
        <f>VLOOKUP($E171,Water!$C$2:$E$90, 3, FALSE)</f>
        <v>0.76</v>
      </c>
      <c r="H171" s="1">
        <f>F171+273.15</f>
        <v>290.95</v>
      </c>
      <c r="I171" s="3">
        <f>VLOOKUP($E171,Water!$C$2:$F$90, 4, FALSE)</f>
        <v>7.75</v>
      </c>
      <c r="J171">
        <f>10^(I171*-1)</f>
        <v>1.7782794100389218E-8</v>
      </c>
      <c r="K171" s="25">
        <f>VLOOKUP($E171,Atm!$D$2:$G$45, 2, FALSE)</f>
        <v>420.27894674021002</v>
      </c>
      <c r="L171" s="25">
        <f>VLOOKUP($E171,Atm!$D$2:$G$45, 3, FALSE)</f>
        <v>1.8324193378979521</v>
      </c>
      <c r="M171" s="25">
        <f>VLOOKUP($E171,Atm!$D$2:$G$45, 4, FALSE)</f>
        <v>0.28925435602840566</v>
      </c>
      <c r="N171" s="21">
        <f>VLOOKUP($C171,Raw!$B$2:$F$353, 3, FALSE)</f>
        <v>4489.0631498524026</v>
      </c>
      <c r="O171" s="21">
        <f>VLOOKUP($C171,Raw!$B$2:$F$353, 4, FALSE)</f>
        <v>40.326867208292171</v>
      </c>
      <c r="P171" s="21">
        <f>VLOOKUP($C171,Raw!$B$2:$F$353, 5, FALSE)</f>
        <v>0.24101359367245731</v>
      </c>
      <c r="Q171" s="14">
        <v>60</v>
      </c>
      <c r="R171" s="25">
        <v>1140</v>
      </c>
      <c r="S171">
        <f>EXP(24.4543-(100/H171*(67.4509))-(4.8489*LN(H171/100))-(0.000544*G171))</f>
        <v>2.0087963644868995E-2</v>
      </c>
      <c r="T171" s="8">
        <f>EXP(-58.0931+90.5069*(100/H171)+22.294*LN(H171/100)+G171*(0.027766-0.025888*(H171/100)+0.0050578*(H171/100)^2)*G171)</f>
        <v>4.1631779002441464E-2</v>
      </c>
      <c r="U171" s="9">
        <f>(EXP(-67.1962+99.1624*(100/H171)+27.9015*LN(H171/100)+G171*(-0.072909+0.041674*(H171/100)-0.0064603*(H171/100)^2)*G171))</f>
        <v>3.6177979165149803E-2</v>
      </c>
      <c r="V171" s="9">
        <f>(EXP(-64.8539+100.252*(100/H171)+25.2049*LN(H171/100)+(-0.062544+0.035337*(H171/100)-0.0054699*(H171/100)^2)*G171))</f>
        <v>3.0704489292810874E-2</v>
      </c>
      <c r="W171" s="9">
        <f>(EXP(-68.8862+101.4956*(100/H171)+28.7314*LN(H171/100)+G171*(-0.076146+0.04397*(H171/100)-0.0068672*(H171/100)^2)))</f>
        <v>3.6072632641466144E-2</v>
      </c>
      <c r="X171">
        <f>N171*(AZ171-S171)</f>
        <v>4071.0672693186352</v>
      </c>
      <c r="Y171">
        <f>O171*(AZ171-S171)</f>
        <v>36.571860026347622</v>
      </c>
      <c r="Z171">
        <f>((Y171/10^6)*AZ171)/(0.082056*H171)</f>
        <v>1.4199915173282225E-6</v>
      </c>
      <c r="AA171">
        <f>(((L171/10^6)*AZ171)/(0.082056*H171))</f>
        <v>7.114814270121086E-8</v>
      </c>
      <c r="AB171">
        <f>((Y171/10^6)*U171*1)/(0.082056*H171)</f>
        <v>5.5419505864766946E-8</v>
      </c>
      <c r="AC171">
        <f>(Z171*(Q171/1000))+(AB171*(R171/1000))</f>
        <v>1.4837772772552766E-7</v>
      </c>
      <c r="AD171" s="39">
        <f>((AC171-(AA171*(Q171/1000)))/(R171/1000))*1000000</f>
        <v>0.12641126242408335</v>
      </c>
      <c r="AE171" s="39">
        <f>(AD171/((U171*AZ171*1))*(0.0821*273.15))</f>
        <v>84.531469916586275</v>
      </c>
      <c r="AF171" s="39">
        <f>L171*U171*AZ171*1/(0.0821*273.15)</f>
        <v>2.7402627923370864E-3</v>
      </c>
      <c r="AG171" s="39">
        <f>AD171-AF171</f>
        <v>0.12367099963174626</v>
      </c>
      <c r="AH171" s="42">
        <f>P171*(AZ171-S171)</f>
        <v>0.218571786563765</v>
      </c>
      <c r="AI171">
        <f>(((X171/10^6)*(Q171/1000))/(0.082056*H171))</f>
        <v>1.0231300137049998E-5</v>
      </c>
      <c r="AJ171">
        <f>(((K171/10^6)*AZ171)*(Q171/1000))/(0.082056*H171)</f>
        <v>9.7910120872078397E-7</v>
      </c>
      <c r="AK171">
        <f>(X171/10^6)*T171*(R171/1000)</f>
        <v>1.9321378106079476E-4</v>
      </c>
      <c r="AL171">
        <f>AI171+AK171</f>
        <v>2.0344508119784477E-4</v>
      </c>
      <c r="AM171" s="39">
        <f>((AL171-AJ171)/(R171/1000))*1000000</f>
        <v>177.60173683256491</v>
      </c>
      <c r="AN171" s="39">
        <f>AM171/(T171*AZ171)</f>
        <v>4602.0870998561613</v>
      </c>
      <c r="AO171" s="39">
        <f>(K171*AZ171)*T171</f>
        <v>16.219221686950533</v>
      </c>
      <c r="AP171" s="39">
        <f>AM171-AO171</f>
        <v>161.38251514561438</v>
      </c>
      <c r="AQ171">
        <f>(((AH171/10^6)*(Q171/1000))/(0.082056*H171))</f>
        <v>5.4930891628312274E-10</v>
      </c>
      <c r="AR171">
        <f>(((M171/10^6)*AZ171)*(Q171/1000))/(0.082056*H171)</f>
        <v>6.7386028210979146E-10</v>
      </c>
      <c r="AS171">
        <f>(AH171/10^6)*V171*(R171/1000)</f>
        <v>7.650693991493738E-9</v>
      </c>
      <c r="AT171">
        <f>AQ171+AS171</f>
        <v>8.2000029077768609E-9</v>
      </c>
      <c r="AU171" s="39">
        <f>((AT171-AR171)/(R171/1000))*1000000000</f>
        <v>6.6018794961991851</v>
      </c>
      <c r="AV171" s="39">
        <f>(AU171/1000)/(V171*AZ171)</f>
        <v>0.23195210041679648</v>
      </c>
      <c r="AW171" s="39">
        <f>(M171*AZ171)*V171*1000</f>
        <v>8.2328308250661042</v>
      </c>
      <c r="AX171" s="39">
        <f>AU171-AW171</f>
        <v>-1.6309513288669191</v>
      </c>
      <c r="AY171" s="26">
        <f>VLOOKUP($E171,Water!$C$2:$G$90, 5, FALSE)</f>
        <v>704.5</v>
      </c>
      <c r="AZ171">
        <f>AY171/760</f>
        <v>0.92697368421052628</v>
      </c>
      <c r="BA171" s="3">
        <f>Assumptions!$B$3</f>
        <v>406.07</v>
      </c>
      <c r="BB171" s="3">
        <f>BA171*AZ171*T171</f>
        <v>15.670876215674776</v>
      </c>
      <c r="BC171" s="3">
        <f>Assumptions!$B$4</f>
        <v>1.8474300000000001</v>
      </c>
      <c r="BD171" s="45">
        <f>BC171*AZ171*U171*1/(0.0821*273.15)</f>
        <v>2.7627102518218631E-3</v>
      </c>
      <c r="BE171" s="3">
        <f>Assumptions!$B$2</f>
        <v>0.33054499999999998</v>
      </c>
      <c r="BF171" s="44">
        <f>BE171*AZ171*V171*1000</f>
        <v>9.4080556035057015</v>
      </c>
      <c r="BG171">
        <f>1923.6+(-125.06*F171)+(4.3773*(F171^2))+(-0.085681*(F171^3))+(0.00070284*(F171^4))</f>
        <v>671.7725515511039</v>
      </c>
      <c r="BH171">
        <f>1909.4+(-120.78*F171)+(4.1555*(F171^2))+(-0.080578*(F171^3))+(0.00065777*(F171^4))</f>
        <v>687.73662552411213</v>
      </c>
      <c r="BI171">
        <f>2141.2+(-152.56*F171)+(5.8963*(F171^2))+(-0.12411*(F171^3))+(0.0010655*(F171^4))</f>
        <v>700.82904373679992</v>
      </c>
      <c r="BJ171" s="25">
        <f>VLOOKUP(E171,Wind!$C$2:$E$109,3, FALSE)</f>
        <v>4.2222222222222223</v>
      </c>
      <c r="BK171" s="44">
        <v>1.66</v>
      </c>
      <c r="BL171">
        <f>BK171/(1-(((1.3*10^-3)^0.5)/0.41)*LN(10/1.5))</f>
        <v>1.9923982880693825</v>
      </c>
      <c r="BM171">
        <f>BK171*1.22</f>
        <v>2.0251999999999999</v>
      </c>
      <c r="BN171">
        <f>2.07+0.215*(BM171^1.7)*(24/100)</f>
        <v>2.241255750541113</v>
      </c>
      <c r="BO171">
        <f>BN171*((600/BG171)^0.67)</f>
        <v>2.0778483318580592</v>
      </c>
      <c r="BP171">
        <f>BN171*((600/BH171)^0.67)</f>
        <v>2.0454078193077754</v>
      </c>
      <c r="BQ171">
        <f>BN171*((600/BI171)^0.67)</f>
        <v>2.0197269165756366</v>
      </c>
      <c r="BR171" s="39">
        <f>BO171*(AM171-BB171)</f>
        <v>336.46776860914503</v>
      </c>
      <c r="BS171" s="39">
        <f>BP171*(AD171-BD171)</f>
        <v>0.25291171545922908</v>
      </c>
      <c r="BT171" s="39">
        <f>BQ171*(AU171-BF171)</f>
        <v>-5.667709416578413</v>
      </c>
      <c r="BU171">
        <f>(2.51+1.48*BM171)+(0.39*BM171*LOG10(0.0015))</f>
        <v>3.2768938069574309</v>
      </c>
      <c r="BV171">
        <f>BU171*((600/$BG171)^0.67)</f>
        <v>3.0379791903795952</v>
      </c>
      <c r="BW171">
        <f>BU171*((600/$BH171)^0.67)</f>
        <v>2.9905485860655254</v>
      </c>
      <c r="BX171">
        <f>BU171*((600/$BI171)^0.67)</f>
        <v>2.9530010678495855</v>
      </c>
      <c r="BY171" s="39">
        <f>BV171*($AM171-$BB171)</f>
        <v>491.94258483437096</v>
      </c>
      <c r="BZ171" s="39">
        <f>BW171*($AD171-$BD171)</f>
        <v>0.36977700286780596</v>
      </c>
      <c r="CA171" s="39">
        <f>BX171*($AU171-$BF171)</f>
        <v>-8.2866410414501352</v>
      </c>
      <c r="CB171" s="42">
        <f>AVERAGE(0.72,0.69,0.4,0.22)</f>
        <v>0.50750000000000006</v>
      </c>
      <c r="CC171">
        <f>CB171*((600/$BG171)^0.67)</f>
        <v>0.47049874971358002</v>
      </c>
      <c r="CD171">
        <f>CB171*((600/$BH171)^0.67)</f>
        <v>0.46315306410171087</v>
      </c>
      <c r="CE171">
        <f>CB171*((600/$BI171)^0.67)</f>
        <v>0.45733799452144813</v>
      </c>
      <c r="CF171" s="39">
        <f>CC171*($AM171-$BB171)</f>
        <v>76.188267460290803</v>
      </c>
      <c r="CG171" s="39">
        <f>CD171*($AD171-$BD171)</f>
        <v>5.7268205810323165E-2</v>
      </c>
      <c r="CH171" s="39">
        <f>CE171*($AU171-$BF171)</f>
        <v>-1.2833709531895663</v>
      </c>
      <c r="CI171">
        <v>0.86263901889527161</v>
      </c>
      <c r="CJ171">
        <f>((BG171/BH171)^0.67)*CI171</f>
        <v>0.84917102342622219</v>
      </c>
      <c r="CK171">
        <f>((BH171/BH171)^0.67)*CI171</f>
        <v>0.86263901889527161</v>
      </c>
      <c r="CL171">
        <f>((BI171/BH171)^0.67)*CI171</f>
        <v>0.87360750604835546</v>
      </c>
      <c r="CM171" s="39">
        <f>CJ171*($AM171-$BB171)</f>
        <v>137.50699463433352</v>
      </c>
      <c r="CN171" s="39">
        <f>CK171*($AD171-$BD171)</f>
        <v>0.10666406573370046</v>
      </c>
      <c r="CO171" s="39">
        <f>CL171*($AU171-$BF171)</f>
        <v>-2.4514965106365278</v>
      </c>
      <c r="CP171" s="27">
        <f>VLOOKUP(A171,Water!$A$2:$E$109, 5, FALSE)/1000</f>
        <v>1.3000000000000002E-4</v>
      </c>
      <c r="CQ171">
        <f>0.64*CP171</f>
        <v>8.3200000000000017E-5</v>
      </c>
      <c r="CR171" s="19">
        <f>CQ171*1000*(2.5*10^-5)</f>
        <v>2.0800000000000004E-6</v>
      </c>
      <c r="CS171" s="18">
        <f>(-0.0000009*F171^3)+(0.0002*F171^2)-(0.0134*F171)+6.579</f>
        <v>6.3987722231999999</v>
      </c>
      <c r="CT171" s="18">
        <f>CS171-(SQRT(CP171))/(1+1.4*SQRT(CP171))</f>
        <v>6.387549609427019</v>
      </c>
      <c r="CU171" s="18">
        <f>10^(-CT171)</f>
        <v>4.0968530881758382E-7</v>
      </c>
      <c r="CV171" s="18">
        <f>(0.000001*F171^3)+(0.00006*F171^2)-(0.014*F171)+10.625</f>
        <v>10.400450151999999</v>
      </c>
      <c r="CW171" s="18">
        <f>CV171-(2*SQRT(CR171))/(1+1.4*SQRT(CR171))</f>
        <v>10.397571523244034</v>
      </c>
      <c r="CX171" s="18">
        <f>10^(-CW171)</f>
        <v>4.0033953164207789E-11</v>
      </c>
      <c r="CY171">
        <f>EXP(1246.98+-61900/H171-183*LN(H171))</f>
        <v>1.9100443281379092E-2</v>
      </c>
      <c r="CZ171">
        <f>12.225*(F171^2)+15.258*F171+1125.7</f>
        <v>5270.6614</v>
      </c>
      <c r="DA171" s="15">
        <f>10^(-4470.99/H171+6.0875-0.01706*H171)</f>
        <v>5.7151264088949361E-15</v>
      </c>
      <c r="DB171">
        <f>(10^-I171)</f>
        <v>1.7782794100389218E-8</v>
      </c>
      <c r="DC171">
        <f>DB171^2</f>
        <v>3.1622776601683759E-16</v>
      </c>
      <c r="DD171" s="20">
        <f>((14.6836*10^-9)*((H171/217.2056)-1)^1.997)*100*100</f>
        <v>1.6980717151963062E-5</v>
      </c>
      <c r="DE171">
        <f>CY171+CZ171*DA171/DB171</f>
        <v>2.079435572221559E-2</v>
      </c>
      <c r="DF171">
        <f>1+DC171*(CU171*CX171+CU171*DB171)^-1</f>
        <v>1.0433084850501739</v>
      </c>
      <c r="DG171">
        <f>(DE171*DF171/DD171)^0.5</f>
        <v>35.743830356653874</v>
      </c>
      <c r="DH171">
        <f>DD171/(BO171/60/60)</f>
        <v>2.9420136595052954E-2</v>
      </c>
      <c r="DI171" s="16">
        <f>DF171/((DF171-1)+TANH(DG171*DH171)/(DG171*DH171))</f>
        <v>1.3250922320987599</v>
      </c>
      <c r="DJ171">
        <f>$DI171*BR171</f>
        <v>445.85082653558106</v>
      </c>
      <c r="DK171">
        <f>$DI171*BY171</f>
        <v>651.86929780261016</v>
      </c>
      <c r="DL171">
        <f>$DI171*CF171</f>
        <v>100.95648138869406</v>
      </c>
      <c r="DM171">
        <f>$DI171*CM171</f>
        <v>182.2094504492012</v>
      </c>
    </row>
    <row r="172" spans="1:117" ht="15.75" x14ac:dyDescent="0.25">
      <c r="A172" s="52" t="s">
        <v>323</v>
      </c>
      <c r="B172" s="55" t="s">
        <v>341</v>
      </c>
      <c r="C172" s="62" t="s">
        <v>366</v>
      </c>
      <c r="D172" s="57">
        <v>43263</v>
      </c>
      <c r="E172" s="42" t="str">
        <f>A172&amp;D172</f>
        <v>66A43263</v>
      </c>
      <c r="F172" s="3">
        <f>VLOOKUP($E172,Water!$C$2:$E$90, 2, FALSE)</f>
        <v>17.8</v>
      </c>
      <c r="G172" s="3">
        <f>VLOOKUP($E172,Water!$C$2:$E$90, 3, FALSE)</f>
        <v>0.76</v>
      </c>
      <c r="H172" s="1">
        <f>F172+273.15</f>
        <v>290.95</v>
      </c>
      <c r="I172" s="3">
        <f>VLOOKUP($E172,Water!$C$2:$F$90, 4, FALSE)</f>
        <v>7.75</v>
      </c>
      <c r="J172">
        <f>10^(I172*-1)</f>
        <v>1.7782794100389218E-8</v>
      </c>
      <c r="K172" s="25">
        <f>VLOOKUP($E172,Atm!$D$2:$G$45, 2, FALSE)</f>
        <v>420.27894674021002</v>
      </c>
      <c r="L172" s="25">
        <f>VLOOKUP($E172,Atm!$D$2:$G$45, 3, FALSE)</f>
        <v>1.8324193378979521</v>
      </c>
      <c r="M172" s="25">
        <f>VLOOKUP($E172,Atm!$D$2:$G$45, 4, FALSE)</f>
        <v>0.28925435602840566</v>
      </c>
      <c r="N172" s="21">
        <f>VLOOKUP($C172,Raw!$B$2:$F$353, 3, FALSE)</f>
        <v>4384.1405864514199</v>
      </c>
      <c r="O172" s="21">
        <f>VLOOKUP($C172,Raw!$B$2:$F$353, 4, FALSE)</f>
        <v>40.088748698627079</v>
      </c>
      <c r="P172" s="21">
        <f>VLOOKUP($C172,Raw!$B$2:$F$353, 5, FALSE)</f>
        <v>0.24272762833373343</v>
      </c>
      <c r="Q172" s="14">
        <v>60</v>
      </c>
      <c r="R172" s="25">
        <v>1140</v>
      </c>
      <c r="S172">
        <f>EXP(24.4543-(100/H172*(67.4509))-(4.8489*LN(H172/100))-(0.000544*G172))</f>
        <v>2.0087963644868995E-2</v>
      </c>
      <c r="T172" s="8">
        <f>EXP(-58.0931+90.5069*(100/H172)+22.294*LN(H172/100)+G172*(0.027766-0.025888*(H172/100)+0.0050578*(H172/100)^2)*G172)</f>
        <v>4.1631779002441464E-2</v>
      </c>
      <c r="U172" s="9">
        <f>(EXP(-67.1962+99.1624*(100/H172)+27.9015*LN(H172/100)+G172*(-0.072909+0.041674*(H172/100)-0.0064603*(H172/100)^2)*G172))</f>
        <v>3.6177979165149803E-2</v>
      </c>
      <c r="V172" s="9">
        <f>(EXP(-64.8539+100.252*(100/H172)+25.2049*LN(H172/100)+(-0.062544+0.035337*(H172/100)-0.0054699*(H172/100)^2)*G172))</f>
        <v>3.0704489292810874E-2</v>
      </c>
      <c r="W172" s="9">
        <f>(EXP(-68.8862+101.4956*(100/H172)+28.7314*LN(H172/100)+G172*(-0.076146+0.04397*(H172/100)-0.0068672*(H172/100)^2)))</f>
        <v>3.6072632641466144E-2</v>
      </c>
      <c r="X172">
        <f>N172*(AZ172-S172)</f>
        <v>3975.9144948051394</v>
      </c>
      <c r="Y172">
        <f>O172*(AZ172-S172)</f>
        <v>36.355913750129972</v>
      </c>
      <c r="Z172">
        <f>((Y172/10^6)*AZ172)/(0.082056*H172)</f>
        <v>1.4116068773288684E-6</v>
      </c>
      <c r="AA172">
        <f>(((L172/10^6)*AZ172)/(0.082056*H172))</f>
        <v>7.114814270121086E-8</v>
      </c>
      <c r="AB172">
        <f>((Y172/10^6)*U172*1)/(0.082056*H172)</f>
        <v>5.50922696806435E-8</v>
      </c>
      <c r="AC172">
        <f>(Z172*(Q172/1000))+(AB172*(R172/1000))</f>
        <v>1.4750160007566569E-7</v>
      </c>
      <c r="AD172" s="39">
        <f>((AC172-(AA172*(Q172/1000)))/(R172/1000))*1000000</f>
        <v>0.12564272939788865</v>
      </c>
      <c r="AE172" s="39">
        <f>(AD172/((U172*AZ172*1))*(0.0821*273.15))</f>
        <v>84.01755030896669</v>
      </c>
      <c r="AF172" s="39">
        <f>L172*U172*AZ172*1/(0.0821*273.15)</f>
        <v>2.7402627923370864E-3</v>
      </c>
      <c r="AG172" s="39">
        <f>AD172-AF172</f>
        <v>0.12290246660555156</v>
      </c>
      <c r="AH172" s="42">
        <f>P172*(AZ172-S172)</f>
        <v>0.22012622012263089</v>
      </c>
      <c r="AI172">
        <f>(((X172/10^6)*(Q172/1000))/(0.082056*H172))</f>
        <v>9.9921646645763233E-6</v>
      </c>
      <c r="AJ172">
        <f>(((K172/10^6)*AZ172)*(Q172/1000))/(0.082056*H172)</f>
        <v>9.7910120872078397E-7</v>
      </c>
      <c r="AK172">
        <f>(X172/10^6)*T172*(R172/1000)</f>
        <v>1.8869780868157761E-4</v>
      </c>
      <c r="AL172">
        <f>AI172+AK172</f>
        <v>1.9868997334615394E-4</v>
      </c>
      <c r="AM172" s="39">
        <f>((AL172-AJ172)/(R172/1000))*1000000</f>
        <v>173.43058959423965</v>
      </c>
      <c r="AN172" s="39">
        <f>AM172/(T172*AZ172)</f>
        <v>4494.0026675783711</v>
      </c>
      <c r="AO172" s="39">
        <f>(K172*AZ172)*T172</f>
        <v>16.219221686950533</v>
      </c>
      <c r="AP172" s="39">
        <f>AM172-AO172</f>
        <v>157.21136790728912</v>
      </c>
      <c r="AQ172">
        <f>(((AH172/10^6)*(Q172/1000))/(0.082056*H172))</f>
        <v>5.5321547818243553E-10</v>
      </c>
      <c r="AR172">
        <f>(((M172/10^6)*AZ172)*(Q172/1000))/(0.082056*H172)</f>
        <v>6.7386028210979146E-10</v>
      </c>
      <c r="AS172">
        <f>(AH172/10^6)*V172*(R172/1000)</f>
        <v>7.7051040124573634E-9</v>
      </c>
      <c r="AT172">
        <f>AQ172+AS172</f>
        <v>8.2583194906397991E-9</v>
      </c>
      <c r="AU172" s="39">
        <f>((AT172-AR172)/(R172/1000))*1000000000</f>
        <v>6.6530343934473768</v>
      </c>
      <c r="AV172" s="39">
        <f>(AU172/1000)/(V172*AZ172)</f>
        <v>0.23374938948730356</v>
      </c>
      <c r="AW172" s="39">
        <f>(M172*AZ172)*V172*1000</f>
        <v>8.2328308250661042</v>
      </c>
      <c r="AX172" s="39">
        <f>AU172-AW172</f>
        <v>-1.5797964316187274</v>
      </c>
      <c r="AY172" s="26">
        <f>VLOOKUP($E172,Water!$C$2:$G$90, 5, FALSE)</f>
        <v>704.5</v>
      </c>
      <c r="AZ172">
        <f>AY172/760</f>
        <v>0.92697368421052628</v>
      </c>
      <c r="BA172" s="3">
        <f>Assumptions!$B$3</f>
        <v>406.07</v>
      </c>
      <c r="BB172" s="3">
        <f>BA172*AZ172*T172</f>
        <v>15.670876215674776</v>
      </c>
      <c r="BC172" s="3">
        <f>Assumptions!$B$4</f>
        <v>1.8474300000000001</v>
      </c>
      <c r="BD172" s="45">
        <f>BC172*AZ172*U172*1/(0.0821*273.15)</f>
        <v>2.7627102518218631E-3</v>
      </c>
      <c r="BE172" s="3">
        <f>Assumptions!$B$2</f>
        <v>0.33054499999999998</v>
      </c>
      <c r="BF172" s="44">
        <f>BE172*AZ172*V172*1000</f>
        <v>9.4080556035057015</v>
      </c>
      <c r="BG172">
        <f>1923.6+(-125.06*F172)+(4.3773*(F172^2))+(-0.085681*(F172^3))+(0.00070284*(F172^4))</f>
        <v>671.7725515511039</v>
      </c>
      <c r="BH172">
        <f>1909.4+(-120.78*F172)+(4.1555*(F172^2))+(-0.080578*(F172^3))+(0.00065777*(F172^4))</f>
        <v>687.73662552411213</v>
      </c>
      <c r="BI172">
        <f>2141.2+(-152.56*F172)+(5.8963*(F172^2))+(-0.12411*(F172^3))+(0.0010655*(F172^4))</f>
        <v>700.82904373679992</v>
      </c>
      <c r="BJ172" s="25">
        <f>VLOOKUP(E172,Wind!$C$2:$E$109,3, FALSE)</f>
        <v>4.2222222222222223</v>
      </c>
      <c r="BK172" s="44">
        <v>1.66</v>
      </c>
      <c r="BL172">
        <f>BK172/(1-(((1.3*10^-3)^0.5)/0.41)*LN(10/1.5))</f>
        <v>1.9923982880693825</v>
      </c>
      <c r="BM172">
        <f>BK172*1.22</f>
        <v>2.0251999999999999</v>
      </c>
      <c r="BN172">
        <f>2.07+0.215*(BM172^1.7)*(24/100)</f>
        <v>2.241255750541113</v>
      </c>
      <c r="BO172">
        <f>BN172*((600/BG172)^0.67)</f>
        <v>2.0778483318580592</v>
      </c>
      <c r="BP172">
        <f>BN172*((600/BH172)^0.67)</f>
        <v>2.0454078193077754</v>
      </c>
      <c r="BQ172">
        <f>BN172*((600/BI172)^0.67)</f>
        <v>2.0197269165756366</v>
      </c>
      <c r="BR172" s="39">
        <f>BO172*(AM172-BB172)</f>
        <v>327.80075727805655</v>
      </c>
      <c r="BS172" s="39">
        <f>BP172*(AD172-BD172)</f>
        <v>0.25133975199805414</v>
      </c>
      <c r="BT172" s="39">
        <f>BQ172*(AU172-BF172)</f>
        <v>-5.5643904936915796</v>
      </c>
      <c r="BU172">
        <f>(2.51+1.48*BM172)+(0.39*BM172*LOG10(0.0015))</f>
        <v>3.2768938069574309</v>
      </c>
      <c r="BV172">
        <f>BU172*((600/$BG172)^0.67)</f>
        <v>3.0379791903795952</v>
      </c>
      <c r="BW172">
        <f>BU172*((600/$BH172)^0.67)</f>
        <v>2.9905485860655254</v>
      </c>
      <c r="BX172">
        <f>BU172*((600/$BI172)^0.67)</f>
        <v>2.9530010678495855</v>
      </c>
      <c r="BY172" s="39">
        <f>BV172*($AM172-$BB172)</f>
        <v>479.27072632432947</v>
      </c>
      <c r="BZ172" s="39">
        <f>BW172*($AD172-$BD172)</f>
        <v>0.36747866751297475</v>
      </c>
      <c r="CA172" s="39">
        <f>BX172*($AU172-$BF172)</f>
        <v>-8.1355805752504899</v>
      </c>
      <c r="CB172" s="42">
        <f>AVERAGE(0.72,0.69,0.4,0.22)</f>
        <v>0.50750000000000006</v>
      </c>
      <c r="CC172">
        <f>CB172*((600/$BG172)^0.67)</f>
        <v>0.47049874971358002</v>
      </c>
      <c r="CD172">
        <f>CB172*((600/$BH172)^0.67)</f>
        <v>0.46315306410171087</v>
      </c>
      <c r="CE172">
        <f>CB172*((600/$BI172)^0.67)</f>
        <v>0.45733799452144813</v>
      </c>
      <c r="CF172" s="39">
        <f>CC172*($AM172-$BB172)</f>
        <v>74.225747899787507</v>
      </c>
      <c r="CG172" s="39">
        <f>CD172*($AD172-$BD172)</f>
        <v>5.6912257384377732E-2</v>
      </c>
      <c r="CH172" s="39">
        <f>CE172*($AU172-$BF172)</f>
        <v>-1.2599758750721275</v>
      </c>
      <c r="CI172">
        <v>0.86263901889527161</v>
      </c>
      <c r="CJ172">
        <f>((BG172/BH172)^0.67)*CI172</f>
        <v>0.84917102342622219</v>
      </c>
      <c r="CK172">
        <f>((BH172/BH172)^0.67)*CI172</f>
        <v>0.86263901889527161</v>
      </c>
      <c r="CL172">
        <f>((BI172/BH172)^0.67)*CI172</f>
        <v>0.87360750604835546</v>
      </c>
      <c r="CM172" s="39">
        <f>CJ172*($AM172-$BB172)</f>
        <v>133.96497726510341</v>
      </c>
      <c r="CN172" s="39">
        <f>CK172*($AD172-$BD172)</f>
        <v>0.10600109915799524</v>
      </c>
      <c r="CO172" s="39">
        <f>CL172*($AU172-$BF172)</f>
        <v>-2.4068072084293757</v>
      </c>
      <c r="CP172" s="27">
        <f>VLOOKUP(A172,Water!$A$2:$E$109, 5, FALSE)/1000</f>
        <v>1.3000000000000002E-4</v>
      </c>
      <c r="CQ172">
        <f>0.64*CP172</f>
        <v>8.3200000000000017E-5</v>
      </c>
      <c r="CR172" s="19">
        <f>CQ172*1000*(2.5*10^-5)</f>
        <v>2.0800000000000004E-6</v>
      </c>
      <c r="CS172" s="18">
        <f>(-0.0000009*F172^3)+(0.0002*F172^2)-(0.0134*F172)+6.579</f>
        <v>6.3987722231999999</v>
      </c>
      <c r="CT172" s="18">
        <f>CS172-(SQRT(CP172))/(1+1.4*SQRT(CP172))</f>
        <v>6.387549609427019</v>
      </c>
      <c r="CU172" s="18">
        <f>10^(-CT172)</f>
        <v>4.0968530881758382E-7</v>
      </c>
      <c r="CV172" s="18">
        <f>(0.000001*F172^3)+(0.00006*F172^2)-(0.014*F172)+10.625</f>
        <v>10.400450151999999</v>
      </c>
      <c r="CW172" s="18">
        <f>CV172-(2*SQRT(CR172))/(1+1.4*SQRT(CR172))</f>
        <v>10.397571523244034</v>
      </c>
      <c r="CX172" s="18">
        <f>10^(-CW172)</f>
        <v>4.0033953164207789E-11</v>
      </c>
      <c r="CY172">
        <f>EXP(1246.98+-61900/H172-183*LN(H172))</f>
        <v>1.9100443281379092E-2</v>
      </c>
      <c r="CZ172">
        <f>12.225*(F172^2)+15.258*F172+1125.7</f>
        <v>5270.6614</v>
      </c>
      <c r="DA172" s="15">
        <f>10^(-4470.99/H172+6.0875-0.01706*H172)</f>
        <v>5.7151264088949361E-15</v>
      </c>
      <c r="DB172">
        <f>(10^-I172)</f>
        <v>1.7782794100389218E-8</v>
      </c>
      <c r="DC172">
        <f>DB172^2</f>
        <v>3.1622776601683759E-16</v>
      </c>
      <c r="DD172" s="20">
        <f>((14.6836*10^-9)*((H172/217.2056)-1)^1.997)*100*100</f>
        <v>1.6980717151963062E-5</v>
      </c>
      <c r="DE172">
        <f>CY172+CZ172*DA172/DB172</f>
        <v>2.079435572221559E-2</v>
      </c>
      <c r="DF172">
        <f>1+DC172*(CU172*CX172+CU172*DB172)^-1</f>
        <v>1.0433084850501739</v>
      </c>
      <c r="DG172">
        <f>(DE172*DF172/DD172)^0.5</f>
        <v>35.743830356653874</v>
      </c>
      <c r="DH172">
        <f>DD172/(BO172/60/60)</f>
        <v>2.9420136595052954E-2</v>
      </c>
      <c r="DI172" s="16">
        <f>DF172/((DF172-1)+TANH(DG172*DH172)/(DG172*DH172))</f>
        <v>1.3250922320987599</v>
      </c>
      <c r="DJ172">
        <f>$DI172*BR172</f>
        <v>434.36623714524376</v>
      </c>
      <c r="DK172">
        <f>$DI172*BY172</f>
        <v>635.07791652469962</v>
      </c>
      <c r="DL172">
        <f>$DI172*CF172</f>
        <v>98.355961963729271</v>
      </c>
      <c r="DM172">
        <f>$DI172*CM172</f>
        <v>177.5159507472755</v>
      </c>
    </row>
    <row r="173" spans="1:117" ht="15.75" x14ac:dyDescent="0.25">
      <c r="A173" s="52" t="s">
        <v>323</v>
      </c>
      <c r="B173" s="55" t="s">
        <v>342</v>
      </c>
      <c r="C173" s="62" t="s">
        <v>367</v>
      </c>
      <c r="D173" s="57">
        <v>43263</v>
      </c>
      <c r="E173" s="42" t="str">
        <f>A173&amp;D173</f>
        <v>66A43263</v>
      </c>
      <c r="F173" s="3">
        <f>VLOOKUP($E173,Water!$C$2:$E$90, 2, FALSE)</f>
        <v>17.8</v>
      </c>
      <c r="G173" s="3">
        <f>VLOOKUP($E173,Water!$C$2:$E$90, 3, FALSE)</f>
        <v>0.76</v>
      </c>
      <c r="H173" s="1">
        <f>F173+273.15</f>
        <v>290.95</v>
      </c>
      <c r="I173" s="3">
        <f>VLOOKUP($E173,Water!$C$2:$F$90, 4, FALSE)</f>
        <v>7.75</v>
      </c>
      <c r="J173">
        <f>10^(I173*-1)</f>
        <v>1.7782794100389218E-8</v>
      </c>
      <c r="K173" s="25">
        <f>VLOOKUP($E173,Atm!$D$2:$G$45, 2, FALSE)</f>
        <v>420.27894674021002</v>
      </c>
      <c r="L173" s="25">
        <f>VLOOKUP($E173,Atm!$D$2:$G$45, 3, FALSE)</f>
        <v>1.8324193378979521</v>
      </c>
      <c r="M173" s="25">
        <f>VLOOKUP($E173,Atm!$D$2:$G$45, 4, FALSE)</f>
        <v>0.28925435602840566</v>
      </c>
      <c r="N173" s="21">
        <f>VLOOKUP($C173,Raw!$B$2:$F$353, 3, FALSE)</f>
        <v>4556.9481909015321</v>
      </c>
      <c r="O173" s="21">
        <f>VLOOKUP($C173,Raw!$B$2:$F$353, 4, FALSE)</f>
        <v>41.33010657801065</v>
      </c>
      <c r="P173" s="21">
        <f>VLOOKUP($C173,Raw!$B$2:$F$353, 5, FALSE)</f>
        <v>0.24321479610587168</v>
      </c>
      <c r="Q173" s="14">
        <v>60</v>
      </c>
      <c r="R173" s="25">
        <v>1140</v>
      </c>
      <c r="S173">
        <f>EXP(24.4543-(100/H173*(67.4509))-(4.8489*LN(H173/100))-(0.000544*G173))</f>
        <v>2.0087963644868995E-2</v>
      </c>
      <c r="T173" s="8">
        <f>EXP(-58.0931+90.5069*(100/H173)+22.294*LN(H173/100)+G173*(0.027766-0.025888*(H173/100)+0.0050578*(H173/100)^2)*G173)</f>
        <v>4.1631779002441464E-2</v>
      </c>
      <c r="U173" s="9">
        <f>(EXP(-67.1962+99.1624*(100/H173)+27.9015*LN(H173/100)+G173*(-0.072909+0.041674*(H173/100)-0.0064603*(H173/100)^2)*G173))</f>
        <v>3.6177979165149803E-2</v>
      </c>
      <c r="V173" s="9">
        <f>(EXP(-64.8539+100.252*(100/H173)+25.2049*LN(H173/100)+(-0.062544+0.035337*(H173/100)-0.0054699*(H173/100)^2)*G173))</f>
        <v>3.0704489292810874E-2</v>
      </c>
      <c r="W173" s="9">
        <f>(EXP(-68.8862+101.4956*(100/H173)+28.7314*LN(H173/100)+G173*(-0.076146+0.04397*(H173/100)-0.0068672*(H173/100)^2)))</f>
        <v>3.6072632641466144E-2</v>
      </c>
      <c r="X173">
        <f>N173*(AZ173-S173)</f>
        <v>4132.6312436861044</v>
      </c>
      <c r="Y173">
        <f>O173*(AZ173-S173)</f>
        <v>37.481683485054603</v>
      </c>
      <c r="Z173">
        <f>((Y173/10^6)*AZ173)/(0.082056*H173)</f>
        <v>1.4553176285158781E-6</v>
      </c>
      <c r="AA173">
        <f>(((L173/10^6)*AZ173)/(0.082056*H173))</f>
        <v>7.114814270121086E-8</v>
      </c>
      <c r="AB173">
        <f>((Y173/10^6)*U173*1)/(0.082056*H173)</f>
        <v>5.6798215245952046E-8</v>
      </c>
      <c r="AC173">
        <f>(Z173*(Q173/1000))+(AB173*(R173/1000))</f>
        <v>1.5206902309133801E-7</v>
      </c>
      <c r="AD173" s="39">
        <f>((AC173-(AA173*(Q173/1000)))/(R173/1000))*1000000</f>
        <v>0.12964924081514506</v>
      </c>
      <c r="AE173" s="39">
        <f>(AD173/((U173*AZ173*1))*(0.0821*273.15))</f>
        <v>86.696712694056103</v>
      </c>
      <c r="AF173" s="39">
        <f>L173*U173*AZ173*1/(0.0821*273.15)</f>
        <v>2.7402627923370864E-3</v>
      </c>
      <c r="AG173" s="39">
        <f>AD173-AF173</f>
        <v>0.12690897802280798</v>
      </c>
      <c r="AH173" s="42">
        <f>P173*(AZ173-S173)</f>
        <v>0.22056802561870287</v>
      </c>
      <c r="AI173">
        <f>(((X173/10^6)*(Q173/1000))/(0.082056*H173))</f>
        <v>1.0386021112586384E-5</v>
      </c>
      <c r="AJ173">
        <f>(((K173/10^6)*AZ173)*(Q173/1000))/(0.082056*H173)</f>
        <v>9.7910120872078397E-7</v>
      </c>
      <c r="AK173">
        <f>(X173/10^6)*T173*(R173/1000)</f>
        <v>1.9613562132472618E-4</v>
      </c>
      <c r="AL173">
        <f>AI173+AK173</f>
        <v>2.0652164243731256E-4</v>
      </c>
      <c r="AM173" s="39">
        <f>((AL173-AJ173)/(R173/1000))*1000000</f>
        <v>180.30047476192263</v>
      </c>
      <c r="AN173" s="39">
        <f>AM173/(T173*AZ173)</f>
        <v>4672.0178743637252</v>
      </c>
      <c r="AO173" s="39">
        <f>(K173*AZ173)*T173</f>
        <v>16.219221686950533</v>
      </c>
      <c r="AP173" s="39">
        <f>AM173-AO173</f>
        <v>164.0812530749721</v>
      </c>
      <c r="AQ173">
        <f>(((AH173/10^6)*(Q173/1000))/(0.082056*H173))</f>
        <v>5.5432581223821925E-10</v>
      </c>
      <c r="AR173">
        <f>(((M173/10^6)*AZ173)*(Q173/1000))/(0.082056*H173)</f>
        <v>6.7386028210979146E-10</v>
      </c>
      <c r="AS173">
        <f>(AH173/10^6)*V173*(R173/1000)</f>
        <v>7.720568582278322E-9</v>
      </c>
      <c r="AT173">
        <f>AQ173+AS173</f>
        <v>8.274894394516541E-9</v>
      </c>
      <c r="AU173" s="39">
        <f>((AT173-AR173)/(R173/1000))*1000000000</f>
        <v>6.6675737828129389</v>
      </c>
      <c r="AV173" s="39">
        <f>(AU173/1000)/(V173*AZ173)</f>
        <v>0.23426022006275732</v>
      </c>
      <c r="AW173" s="39">
        <f>(M173*AZ173)*V173*1000</f>
        <v>8.2328308250661042</v>
      </c>
      <c r="AX173" s="39">
        <f>AU173-AW173</f>
        <v>-1.5652570422531653</v>
      </c>
      <c r="AY173" s="26">
        <f>VLOOKUP($E173,Water!$C$2:$G$90, 5, FALSE)</f>
        <v>704.5</v>
      </c>
      <c r="AZ173">
        <f>AY173/760</f>
        <v>0.92697368421052628</v>
      </c>
      <c r="BA173" s="3">
        <f>Assumptions!$B$3</f>
        <v>406.07</v>
      </c>
      <c r="BB173" s="3">
        <f>BA173*AZ173*T173</f>
        <v>15.670876215674776</v>
      </c>
      <c r="BC173" s="3">
        <f>Assumptions!$B$4</f>
        <v>1.8474300000000001</v>
      </c>
      <c r="BD173" s="45">
        <f>BC173*AZ173*U173*1/(0.0821*273.15)</f>
        <v>2.7627102518218631E-3</v>
      </c>
      <c r="BE173" s="3">
        <f>Assumptions!$B$2</f>
        <v>0.33054499999999998</v>
      </c>
      <c r="BF173" s="44">
        <f>BE173*AZ173*V173*1000</f>
        <v>9.4080556035057015</v>
      </c>
      <c r="BG173">
        <f>1923.6+(-125.06*F173)+(4.3773*(F173^2))+(-0.085681*(F173^3))+(0.00070284*(F173^4))</f>
        <v>671.7725515511039</v>
      </c>
      <c r="BH173">
        <f>1909.4+(-120.78*F173)+(4.1555*(F173^2))+(-0.080578*(F173^3))+(0.00065777*(F173^4))</f>
        <v>687.73662552411213</v>
      </c>
      <c r="BI173">
        <f>2141.2+(-152.56*F173)+(5.8963*(F173^2))+(-0.12411*(F173^3))+(0.0010655*(F173^4))</f>
        <v>700.82904373679992</v>
      </c>
      <c r="BJ173" s="25">
        <f>VLOOKUP(E173,Wind!$C$2:$E$109,3, FALSE)</f>
        <v>4.2222222222222223</v>
      </c>
      <c r="BK173" s="44">
        <v>1.66</v>
      </c>
      <c r="BL173">
        <f>BK173/(1-(((1.3*10^-3)^0.5)/0.41)*LN(10/1.5))</f>
        <v>1.9923982880693825</v>
      </c>
      <c r="BM173">
        <f>BK173*1.22</f>
        <v>2.0251999999999999</v>
      </c>
      <c r="BN173">
        <f>2.07+0.215*(BM173^1.7)*(24/100)</f>
        <v>2.241255750541113</v>
      </c>
      <c r="BO173">
        <f>BN173*((600/BG173)^0.67)</f>
        <v>2.0778483318580592</v>
      </c>
      <c r="BP173">
        <f>BN173*((600/BH173)^0.67)</f>
        <v>2.0454078193077754</v>
      </c>
      <c r="BQ173">
        <f>BN173*((600/BI173)^0.67)</f>
        <v>2.0197269165756366</v>
      </c>
      <c r="BR173" s="39">
        <f>BO173*(AM173-BB173)</f>
        <v>342.07533671378303</v>
      </c>
      <c r="BS173" s="39">
        <f>BP173*(AD173-BD173)</f>
        <v>0.2595347017790563</v>
      </c>
      <c r="BT173" s="39">
        <f>BQ173*(AU173-BF173)</f>
        <v>-5.5350248976393797</v>
      </c>
      <c r="BU173">
        <f>(2.51+1.48*BM173)+(0.39*BM173*LOG10(0.0015))</f>
        <v>3.2768938069574309</v>
      </c>
      <c r="BV173">
        <f>BU173*((600/$BG173)^0.67)</f>
        <v>3.0379791903795952</v>
      </c>
      <c r="BW173">
        <f>BU173*((600/$BH173)^0.67)</f>
        <v>2.9905485860655254</v>
      </c>
      <c r="BX173">
        <f>BU173*((600/$BI173)^0.67)</f>
        <v>2.9530010678495855</v>
      </c>
      <c r="BY173" s="39">
        <f>BV173*($AM173-$BB173)</f>
        <v>500.14129450404783</v>
      </c>
      <c r="BZ173" s="39">
        <f>BW173*($AD173-$BD173)</f>
        <v>0.37946033456690625</v>
      </c>
      <c r="CA173" s="39">
        <f>BX173*($AU173-$BF173)</f>
        <v>-8.092645742928104</v>
      </c>
      <c r="CB173" s="42">
        <f>AVERAGE(0.72,0.69,0.4,0.22)</f>
        <v>0.50750000000000006</v>
      </c>
      <c r="CC173">
        <f>CB173*((600/$BG173)^0.67)</f>
        <v>0.47049874971358002</v>
      </c>
      <c r="CD173">
        <f>CB173*((600/$BH173)^0.67)</f>
        <v>0.46315306410171087</v>
      </c>
      <c r="CE173">
        <f>CB173*((600/$BI173)^0.67)</f>
        <v>0.45733799452144813</v>
      </c>
      <c r="CF173" s="39">
        <f>CC173*($AM173-$BB173)</f>
        <v>77.458020281858225</v>
      </c>
      <c r="CG173" s="39">
        <f>CD173*($AD173-$BD173)</f>
        <v>5.8767885423638519E-2</v>
      </c>
      <c r="CH173" s="39">
        <f>CE173*($AU173-$BF173)</f>
        <v>-1.2533264598981149</v>
      </c>
      <c r="CI173">
        <v>0.86263901889527161</v>
      </c>
      <c r="CJ173">
        <f>((BG173/BH173)^0.67)*CI173</f>
        <v>0.84917102342622219</v>
      </c>
      <c r="CK173">
        <f>((BH173/BH173)^0.67)*CI173</f>
        <v>0.86263901889527161</v>
      </c>
      <c r="CL173">
        <f>((BI173/BH173)^0.67)*CI173</f>
        <v>0.87360750604835546</v>
      </c>
      <c r="CM173" s="39">
        <f>CJ173*($AM173-$BB173)</f>
        <v>139.79868468376537</v>
      </c>
      <c r="CN173" s="39">
        <f>CK173*($AD173-$BD173)</f>
        <v>0.10945727223617001</v>
      </c>
      <c r="CO173" s="39">
        <f>CL173*($AU173-$BF173)</f>
        <v>-2.3941054887462609</v>
      </c>
      <c r="CP173" s="27">
        <f>VLOOKUP(A173,Water!$A$2:$E$109, 5, FALSE)/1000</f>
        <v>1.3000000000000002E-4</v>
      </c>
      <c r="CQ173">
        <f>0.64*CP173</f>
        <v>8.3200000000000017E-5</v>
      </c>
      <c r="CR173" s="19">
        <f>CQ173*1000*(2.5*10^-5)</f>
        <v>2.0800000000000004E-6</v>
      </c>
      <c r="CS173" s="18">
        <f>(-0.0000009*F173^3)+(0.0002*F173^2)-(0.0134*F173)+6.579</f>
        <v>6.3987722231999999</v>
      </c>
      <c r="CT173" s="18">
        <f>CS173-(SQRT(CP173))/(1+1.4*SQRT(CP173))</f>
        <v>6.387549609427019</v>
      </c>
      <c r="CU173" s="18">
        <f>10^(-CT173)</f>
        <v>4.0968530881758382E-7</v>
      </c>
      <c r="CV173" s="18">
        <f>(0.000001*F173^3)+(0.00006*F173^2)-(0.014*F173)+10.625</f>
        <v>10.400450151999999</v>
      </c>
      <c r="CW173" s="18">
        <f>CV173-(2*SQRT(CR173))/(1+1.4*SQRT(CR173))</f>
        <v>10.397571523244034</v>
      </c>
      <c r="CX173" s="18">
        <f>10^(-CW173)</f>
        <v>4.0033953164207789E-11</v>
      </c>
      <c r="CY173">
        <f>EXP(1246.98+-61900/H173-183*LN(H173))</f>
        <v>1.9100443281379092E-2</v>
      </c>
      <c r="CZ173">
        <f>12.225*(F173^2)+15.258*F173+1125.7</f>
        <v>5270.6614</v>
      </c>
      <c r="DA173" s="15">
        <f>10^(-4470.99/H173+6.0875-0.01706*H173)</f>
        <v>5.7151264088949361E-15</v>
      </c>
      <c r="DB173">
        <f>(10^-I173)</f>
        <v>1.7782794100389218E-8</v>
      </c>
      <c r="DC173">
        <f>DB173^2</f>
        <v>3.1622776601683759E-16</v>
      </c>
      <c r="DD173" s="20">
        <f>((14.6836*10^-9)*((H173/217.2056)-1)^1.997)*100*100</f>
        <v>1.6980717151963062E-5</v>
      </c>
      <c r="DE173">
        <f>CY173+CZ173*DA173/DB173</f>
        <v>2.079435572221559E-2</v>
      </c>
      <c r="DF173">
        <f>1+DC173*(CU173*CX173+CU173*DB173)^-1</f>
        <v>1.0433084850501739</v>
      </c>
      <c r="DG173">
        <f>(DE173*DF173/DD173)^0.5</f>
        <v>35.743830356653874</v>
      </c>
      <c r="DH173">
        <f>DD173/(BO173/60/60)</f>
        <v>2.9420136595052954E-2</v>
      </c>
      <c r="DI173" s="16">
        <f>DF173/((DF173-1)+TANH(DG173*DH173)/(DG173*DH173))</f>
        <v>1.3250922320987599</v>
      </c>
      <c r="DJ173">
        <f>$DI173*BR173</f>
        <v>453.28137147200164</v>
      </c>
      <c r="DK173">
        <f>$DI173*BY173</f>
        <v>662.733344299132</v>
      </c>
      <c r="DL173">
        <f>$DI173*CF173</f>
        <v>102.63902098923853</v>
      </c>
      <c r="DM173">
        <f>$DI173*CM173</f>
        <v>185.24615113208139</v>
      </c>
    </row>
    <row r="174" spans="1:117" ht="15.75" x14ac:dyDescent="0.25">
      <c r="A174" s="52" t="s">
        <v>327</v>
      </c>
      <c r="B174" s="55" t="s">
        <v>339</v>
      </c>
      <c r="C174" s="62" t="s">
        <v>369</v>
      </c>
      <c r="D174" s="57">
        <v>43263</v>
      </c>
      <c r="E174" s="42" t="str">
        <f>A174&amp;D174</f>
        <v>66C43263</v>
      </c>
      <c r="F174" s="3">
        <f>VLOOKUP($E174,Water!$C$2:$E$90, 2, FALSE)</f>
        <v>17.2</v>
      </c>
      <c r="G174" s="3">
        <f>VLOOKUP($E174,Water!$C$2:$E$90, 3, FALSE)</f>
        <v>0.17</v>
      </c>
      <c r="H174" s="1">
        <f>F174+273.15</f>
        <v>290.34999999999997</v>
      </c>
      <c r="I174" s="3">
        <f>VLOOKUP($E174,Water!$C$2:$F$90, 4, FALSE)</f>
        <v>8.1300000000000008</v>
      </c>
      <c r="J174">
        <f>10^(I174*-1)</f>
        <v>7.4131024130091451E-9</v>
      </c>
      <c r="K174" s="25">
        <f>VLOOKUP($E174,Atm!$D$2:$G$45, 2, FALSE)</f>
        <v>421.18991148288109</v>
      </c>
      <c r="L174" s="25">
        <f>VLOOKUP($E174,Atm!$D$2:$G$45, 3, FALSE)</f>
        <v>1.857815368536482</v>
      </c>
      <c r="M174" s="25">
        <f>VLOOKUP($E174,Atm!$D$2:$G$45, 4, FALSE)</f>
        <v>0.29003815377618508</v>
      </c>
      <c r="N174" s="21">
        <f>VLOOKUP($C174,Raw!$B$2:$F$353, 3, FALSE)</f>
        <v>952.17149030401129</v>
      </c>
      <c r="O174" s="21">
        <f>VLOOKUP($C174,Raw!$B$2:$F$353, 4, FALSE)</f>
        <v>207.6923975184915</v>
      </c>
      <c r="P174" s="21">
        <f>VLOOKUP($C174,Raw!$B$2:$F$353, 5, FALSE)</f>
        <v>0.25045815044493031</v>
      </c>
      <c r="Q174" s="14">
        <v>60</v>
      </c>
      <c r="R174" s="25">
        <v>1140</v>
      </c>
      <c r="S174">
        <f>EXP(24.4543-(100/H174*(67.4509))-(4.8489*LN(H174/100))-(0.000544*G174))</f>
        <v>1.9347139234729766E-2</v>
      </c>
      <c r="T174" s="8">
        <f>EXP(-58.0931+90.5069*(100/H174)+22.294*LN(H174/100)+G174*(0.027766-0.025888*(H174/100)+0.0050578*(H174/100)^2)*G174)</f>
        <v>4.2509351399073643E-2</v>
      </c>
      <c r="U174" s="9">
        <f>(EXP(-67.1962+99.1624*(100/H174)+27.9015*LN(H174/100)+G174*(-0.072909+0.041674*(H174/100)-0.0064603*(H174/100)^2)*G174))</f>
        <v>3.6773002646308825E-2</v>
      </c>
      <c r="V174" s="9">
        <f>(EXP(-64.8539+100.252*(100/H174)+25.2049*LN(H174/100)+(-0.062544+0.035337*(H174/100)-0.0054699*(H174/100)^2)*G174))</f>
        <v>3.1410374908302424E-2</v>
      </c>
      <c r="W174" s="9">
        <f>(EXP(-68.8862+101.4956*(100/H174)+28.7314*LN(H174/100)+G174*(-0.076146+0.04397*(H174/100)-0.0068672*(H174/100)^2)))</f>
        <v>3.667338172180179E-2</v>
      </c>
      <c r="X174">
        <f>N174*(AZ174-S174)</f>
        <v>863.71497707945127</v>
      </c>
      <c r="Y174">
        <f>O174*(AZ174-S174)</f>
        <v>188.39782138928052</v>
      </c>
      <c r="Z174">
        <f>((Y174/10^6)*AZ174)/(0.082056*H174)</f>
        <v>7.3259585230255103E-6</v>
      </c>
      <c r="AA174">
        <f>(((L174/10^6)*AZ174)/(0.082056*H174))</f>
        <v>7.2242227818628156E-8</v>
      </c>
      <c r="AB174">
        <f>((Y174/10^6)*U174*1)/(0.082056*H174)</f>
        <v>2.9078553335749748E-7</v>
      </c>
      <c r="AC174">
        <f>(Z174*(Q174/1000))+(AB174*(R174/1000))</f>
        <v>7.7105301940907769E-7</v>
      </c>
      <c r="AD174" s="39">
        <f>((AC174-(AA174*(Q174/1000)))/(R174/1000))*1000000</f>
        <v>0.67256007521049122</v>
      </c>
      <c r="AE174" s="39">
        <f>(AD174/((U174*AZ174*1))*(0.0821*273.15))</f>
        <v>442.71638940696869</v>
      </c>
      <c r="AF174" s="39">
        <f>L174*U174*AZ174*1/(0.0821*273.15)</f>
        <v>2.8223315736375463E-3</v>
      </c>
      <c r="AG174" s="39">
        <f>AD174-AF174</f>
        <v>0.66973774363685368</v>
      </c>
      <c r="AH174" s="42">
        <f>P174*(AZ174-S174)</f>
        <v>0.22719064567017883</v>
      </c>
      <c r="AI174">
        <f>(((X174/10^6)*(Q174/1000))/(0.082056*H174))</f>
        <v>2.1751515845074956E-6</v>
      </c>
      <c r="AJ174">
        <f>(((K174/10^6)*AZ174)*(Q174/1000))/(0.082056*H174)</f>
        <v>9.8269283553910734E-7</v>
      </c>
      <c r="AK174">
        <f>(X174/10^6)*T174*(R174/1000)</f>
        <v>4.1856198355017084E-5</v>
      </c>
      <c r="AL174">
        <f>AI174+AK174</f>
        <v>4.4031349939524582E-5</v>
      </c>
      <c r="AM174" s="39">
        <f>((AL174-AJ174)/(R174/1000))*1000000</f>
        <v>37.761979915776735</v>
      </c>
      <c r="AN174" s="39">
        <f>AM174/(T174*AZ174)</f>
        <v>958.84746910410138</v>
      </c>
      <c r="AO174" s="39">
        <f>(K174*AZ174)*T174</f>
        <v>16.58758612879808</v>
      </c>
      <c r="AP174" s="39">
        <f>AM174-AO174</f>
        <v>21.174393786978655</v>
      </c>
      <c r="AQ174">
        <f>(((AH174/10^6)*(Q174/1000))/(0.082056*H174))</f>
        <v>5.7214950073664464E-10</v>
      </c>
      <c r="AR174">
        <f>(((M174/10^6)*AZ174)*(Q174/1000))/(0.082056*H174)</f>
        <v>6.766981069071292E-10</v>
      </c>
      <c r="AS174">
        <f>(AH174/10^6)*V174*(R174/1000)</f>
        <v>8.1352034260219573E-9</v>
      </c>
      <c r="AT174">
        <f>AQ174+AS174</f>
        <v>8.7073529267586028E-9</v>
      </c>
      <c r="AU174" s="39">
        <f>((AT174-AR174)/(R174/1000))*1000000000</f>
        <v>7.044434052501293</v>
      </c>
      <c r="AV174" s="39">
        <f>(AU174/1000)/(V174*AZ174)</f>
        <v>0.24207627930095993</v>
      </c>
      <c r="AW174" s="39">
        <f>(M174*AZ174)*V174*1000</f>
        <v>8.4401274378702116</v>
      </c>
      <c r="AX174" s="39">
        <f>AU174-AW174</f>
        <v>-1.3956933853689186</v>
      </c>
      <c r="AY174" s="26">
        <f>VLOOKUP($E174,Water!$C$2:$G$90, 5, FALSE)</f>
        <v>704.1</v>
      </c>
      <c r="AZ174">
        <f>AY174/760</f>
        <v>0.92644736842105269</v>
      </c>
      <c r="BA174" s="3">
        <f>Assumptions!$B$3</f>
        <v>406.07</v>
      </c>
      <c r="BB174" s="3">
        <f>BA174*AZ174*T174</f>
        <v>15.992123542576362</v>
      </c>
      <c r="BC174" s="3">
        <f>Assumptions!$B$4</f>
        <v>1.8474300000000001</v>
      </c>
      <c r="BD174" s="45">
        <f>BC174*AZ174*U174*1/(0.0821*273.15)</f>
        <v>2.8065544657393244E-3</v>
      </c>
      <c r="BE174" s="3">
        <f>Assumptions!$B$2</f>
        <v>0.33054499999999998</v>
      </c>
      <c r="BF174" s="44">
        <f>BE174*AZ174*V174*1000</f>
        <v>9.618879059972425</v>
      </c>
      <c r="BG174">
        <f>1923.6+(-125.06*F174)+(4.3773*(F174^2))+(-0.085681*(F174^3))+(0.00070284*(F174^4))</f>
        <v>693.0785933399037</v>
      </c>
      <c r="BH174">
        <f>1909.4+(-120.78*F174)+(4.1555*(F174^2))+(-0.080578*(F174^3))+(0.00065777*(F174^4))</f>
        <v>708.89904624051246</v>
      </c>
      <c r="BI174">
        <f>2141.2+(-152.56*F174)+(5.8963*(F174^2))+(-0.12411*(F174^3))+(0.0010655*(F174^4))</f>
        <v>723.25606183679952</v>
      </c>
      <c r="BJ174" s="25">
        <f>VLOOKUP(E174,Wind!$C$2:$E$109,3, FALSE)</f>
        <v>4.7777777777777777</v>
      </c>
      <c r="BK174" s="44">
        <v>1.66</v>
      </c>
      <c r="BL174">
        <f>BK174/(1-(((1.3*10^-3)^0.5)/0.41)*LN(10/1.5))</f>
        <v>1.9923982880693825</v>
      </c>
      <c r="BM174">
        <f>BK174*1.22</f>
        <v>2.0251999999999999</v>
      </c>
      <c r="BN174">
        <f>2.07+0.215*(BM174^1.7)*(24/100)</f>
        <v>2.241255750541113</v>
      </c>
      <c r="BO174">
        <f>BN174*((600/BG174)^0.67)</f>
        <v>2.0348316753362758</v>
      </c>
      <c r="BP174">
        <f>BN174*((600/BH174)^0.67)</f>
        <v>2.0042930104013106</v>
      </c>
      <c r="BQ174">
        <f>BN174*((600/BI174)^0.67)</f>
        <v>1.9775481174217693</v>
      </c>
      <c r="BR174" s="39">
        <f>BO174*(AM174-BB174)</f>
        <v>44.297993315709419</v>
      </c>
      <c r="BS174" s="39">
        <f>BP174*(AD174-BD174)</f>
        <v>1.3423823003203754</v>
      </c>
      <c r="BT174" s="39">
        <f>BQ174*(AU174-BF174)</f>
        <v>-5.0910888779304102</v>
      </c>
      <c r="BU174">
        <f>(2.51+1.48*BM174)+(0.39*BM174*LOG10(0.0015))</f>
        <v>3.2768938069574309</v>
      </c>
      <c r="BV174">
        <f>BU174*((600/$BG174)^0.67)</f>
        <v>2.9750854240978071</v>
      </c>
      <c r="BW174">
        <f>BU174*((600/$BH174)^0.67)</f>
        <v>2.9304354719564794</v>
      </c>
      <c r="BX174">
        <f>BU174*((600/$BI174)^0.67)</f>
        <v>2.891332315544616</v>
      </c>
      <c r="BY174" s="39">
        <f>BV174*($AM174-$BB174)</f>
        <v>64.767182380611175</v>
      </c>
      <c r="BZ174" s="39">
        <f>BW174*($AD174-$BD174)</f>
        <v>1.9626694746581608</v>
      </c>
      <c r="CA174" s="39">
        <f>BX174*($AU174-$BF174)</f>
        <v>-7.4435760446937849</v>
      </c>
      <c r="CB174" s="42">
        <f>AVERAGE(0.72,0.69,0.4,0.22)</f>
        <v>0.50750000000000006</v>
      </c>
      <c r="CC174">
        <f>CB174*((600/$BG174)^0.67)</f>
        <v>0.46075824902349399</v>
      </c>
      <c r="CD174">
        <f>CB174*((600/$BH174)^0.67)</f>
        <v>0.45384320934060507</v>
      </c>
      <c r="CE174">
        <f>CB174*((600/$BI174)^0.67)</f>
        <v>0.44778721453330106</v>
      </c>
      <c r="CF174" s="39">
        <f>CC174*($AM174-$BB174)</f>
        <v>10.030640904008756</v>
      </c>
      <c r="CG174" s="39">
        <f>CD174*($AD174-$BD174)</f>
        <v>0.30396308732196775</v>
      </c>
      <c r="CH174" s="39">
        <f>CE174*($AU174-$BF174)</f>
        <v>-1.1528035588646617</v>
      </c>
      <c r="CI174">
        <v>0.86263901889527161</v>
      </c>
      <c r="CJ174">
        <f>((BG174/BH174)^0.67)*CI174</f>
        <v>0.84969257016578825</v>
      </c>
      <c r="CK174">
        <f>((BH174/BH174)^0.67)*CI174</f>
        <v>0.86263901889527161</v>
      </c>
      <c r="CL174">
        <f>((BI174/BH174)^0.67)*CI174</f>
        <v>0.87430558115844903</v>
      </c>
      <c r="CM174" s="39">
        <f>CJ174*($AM174-$BB174)</f>
        <v>18.49768521388469</v>
      </c>
      <c r="CN174" s="39">
        <f>CK174*($AD174-$BD174)</f>
        <v>0.57775552003690678</v>
      </c>
      <c r="CO174" s="39">
        <f>CL174*($AU174-$BF174)</f>
        <v>-2.2508516384175157</v>
      </c>
      <c r="CP174" s="27">
        <f>VLOOKUP(A174,Water!$A$2:$E$109, 5, FALSE)/1000</f>
        <v>1.1999999999999999E-4</v>
      </c>
      <c r="CQ174">
        <f>0.64*CP174</f>
        <v>7.6799999999999997E-5</v>
      </c>
      <c r="CR174" s="19">
        <f>CQ174*1000*(2.5*10^-5)</f>
        <v>1.9199999999999998E-6</v>
      </c>
      <c r="CS174" s="18">
        <f>(-0.0000009*F174^3)+(0.0002*F174^2)-(0.0134*F174)+6.579</f>
        <v>6.4031083967999995</v>
      </c>
      <c r="CT174" s="18">
        <f>CS174-(SQRT(CP174))/(1+1.4*SQRT(CP174))</f>
        <v>6.3923194080797492</v>
      </c>
      <c r="CU174" s="18">
        <f>10^(-CT174)</f>
        <v>4.0521040804856994E-7</v>
      </c>
      <c r="CV174" s="18">
        <f>(0.000001*F174^3)+(0.00006*F174^2)-(0.014*F174)+10.625</f>
        <v>10.407038847999999</v>
      </c>
      <c r="CW174" s="18">
        <f>CV174-(2*SQRT(CR174))/(1+1.4*SQRT(CR174))</f>
        <v>10.404272932299195</v>
      </c>
      <c r="CX174" s="18">
        <f>10^(-CW174)</f>
        <v>3.942094833244961E-11</v>
      </c>
      <c r="CY174">
        <f>EXP(1246.98+-61900/H174-183*LN(H174))</f>
        <v>1.7954505181663742E-2</v>
      </c>
      <c r="CZ174">
        <f>12.225*(F174^2)+15.258*F174+1125.7</f>
        <v>5004.7815999999993</v>
      </c>
      <c r="DA174" s="15">
        <f>10^(-4470.99/H174+6.0875-0.01706*H174)</f>
        <v>5.4388445679710496E-15</v>
      </c>
      <c r="DB174">
        <f>(10^-I174)</f>
        <v>7.4131024130091451E-9</v>
      </c>
      <c r="DC174">
        <f>DB174^2</f>
        <v>5.4954087385762009E-17</v>
      </c>
      <c r="DD174" s="20">
        <f>((14.6836*10^-9)*((H174/217.2056)-1)^1.997)*100*100</f>
        <v>1.6705933276098249E-5</v>
      </c>
      <c r="DE174">
        <f>CY174+CZ174*DA174/DB174</f>
        <v>2.1626413068876128E-2</v>
      </c>
      <c r="DF174">
        <f>1+DC174*(CU174*CX174+CU174*DB174)^-1</f>
        <v>1.0181976815987124</v>
      </c>
      <c r="DG174">
        <f>(DE174*DF174/DD174)^0.5</f>
        <v>36.30554224521358</v>
      </c>
      <c r="DH174">
        <f>DD174/(BO174/60/60)</f>
        <v>2.9555938470446085E-2</v>
      </c>
      <c r="DI174" s="16">
        <f>DF174/((DF174-1)+TANH(DG174*DH174)/(DG174*DH174))</f>
        <v>1.348633074910119</v>
      </c>
      <c r="DJ174">
        <f>$DI174*BR174</f>
        <v>59.741738937713087</v>
      </c>
      <c r="DK174">
        <f>$DI174*BY174</f>
        <v>87.347164327228128</v>
      </c>
      <c r="DL174">
        <f>$DI174*CF174</f>
        <v>13.527654085692545</v>
      </c>
      <c r="DM174">
        <f>$DI174*CM174</f>
        <v>24.94659008872075</v>
      </c>
    </row>
    <row r="175" spans="1:117" ht="15.75" x14ac:dyDescent="0.25">
      <c r="A175" s="52" t="s">
        <v>327</v>
      </c>
      <c r="B175" s="55" t="s">
        <v>340</v>
      </c>
      <c r="C175" s="62" t="s">
        <v>370</v>
      </c>
      <c r="D175" s="57">
        <v>43263</v>
      </c>
      <c r="E175" s="42" t="str">
        <f>A175&amp;D175</f>
        <v>66C43263</v>
      </c>
      <c r="F175" s="3">
        <f>VLOOKUP($E175,Water!$C$2:$E$90, 2, FALSE)</f>
        <v>17.2</v>
      </c>
      <c r="G175" s="3">
        <f>VLOOKUP($E175,Water!$C$2:$E$90, 3, FALSE)</f>
        <v>0.17</v>
      </c>
      <c r="H175" s="1">
        <f>F175+273.15</f>
        <v>290.34999999999997</v>
      </c>
      <c r="I175" s="3">
        <f>VLOOKUP($E175,Water!$C$2:$F$90, 4, FALSE)</f>
        <v>8.1300000000000008</v>
      </c>
      <c r="J175">
        <f>10^(I175*-1)</f>
        <v>7.4131024130091451E-9</v>
      </c>
      <c r="K175" s="25">
        <f>VLOOKUP($E175,Atm!$D$2:$G$45, 2, FALSE)</f>
        <v>421.18991148288109</v>
      </c>
      <c r="L175" s="25">
        <f>VLOOKUP($E175,Atm!$D$2:$G$45, 3, FALSE)</f>
        <v>1.857815368536482</v>
      </c>
      <c r="M175" s="25">
        <f>VLOOKUP($E175,Atm!$D$2:$G$45, 4, FALSE)</f>
        <v>0.29003815377618508</v>
      </c>
      <c r="N175" s="21">
        <f>VLOOKUP($C175,Raw!$B$2:$F$353, 3, FALSE)</f>
        <v>952.90585569436303</v>
      </c>
      <c r="O175" s="21">
        <f>VLOOKUP($C175,Raw!$B$2:$F$353, 4, FALSE)</f>
        <v>206.28364457646481</v>
      </c>
      <c r="P175" s="21">
        <f>VLOOKUP($C175,Raw!$B$2:$F$353, 5, FALSE)</f>
        <v>0.25547664646351143</v>
      </c>
      <c r="Q175" s="14">
        <v>60</v>
      </c>
      <c r="R175" s="25">
        <v>1140</v>
      </c>
      <c r="S175">
        <f>EXP(24.4543-(100/H175*(67.4509))-(4.8489*LN(H175/100))-(0.000544*G175))</f>
        <v>1.9347139234729766E-2</v>
      </c>
      <c r="T175" s="8">
        <f>EXP(-58.0931+90.5069*(100/H175)+22.294*LN(H175/100)+G175*(0.027766-0.025888*(H175/100)+0.0050578*(H175/100)^2)*G175)</f>
        <v>4.2509351399073643E-2</v>
      </c>
      <c r="U175" s="9">
        <f>(EXP(-67.1962+99.1624*(100/H175)+27.9015*LN(H175/100)+G175*(-0.072909+0.041674*(H175/100)-0.0064603*(H175/100)^2)*G175))</f>
        <v>3.6773002646308825E-2</v>
      </c>
      <c r="V175" s="9">
        <f>(EXP(-64.8539+100.252*(100/H175)+25.2049*LN(H175/100)+(-0.062544+0.035337*(H175/100)-0.0054699*(H175/100)^2)*G175))</f>
        <v>3.1410374908302424E-2</v>
      </c>
      <c r="W175" s="9">
        <f>(EXP(-68.8862+101.4956*(100/H175)+28.7314*LN(H175/100)+G175*(-0.076146+0.04397*(H175/100)-0.0068672*(H175/100)^2)))</f>
        <v>3.667338172180179E-2</v>
      </c>
      <c r="X175">
        <f>N175*(AZ175-S175)</f>
        <v>864.38112009334588</v>
      </c>
      <c r="Y175">
        <f>O175*(AZ175-S175)</f>
        <v>187.1199412727012</v>
      </c>
      <c r="Z175">
        <f>((Y175/10^6)*AZ175)/(0.082056*H175)</f>
        <v>7.2762674137418454E-6</v>
      </c>
      <c r="AA175">
        <f>(((L175/10^6)*AZ175)/(0.082056*H175))</f>
        <v>7.2242227818628156E-8</v>
      </c>
      <c r="AB175">
        <f>((Y175/10^6)*U175*1)/(0.082056*H175)</f>
        <v>2.8881316951312659E-7</v>
      </c>
      <c r="AC175">
        <f>(Z175*(Q175/1000))+(AB175*(R175/1000))</f>
        <v>7.6582305806947506E-7</v>
      </c>
      <c r="AD175" s="39">
        <f>((AC175-(AA175*(Q175/1000)))/(R175/1000))*1000000</f>
        <v>0.66797238982487483</v>
      </c>
      <c r="AE175" s="39">
        <f>(AD175/((U175*AZ175*1))*(0.0821*273.15))</f>
        <v>439.69652012760429</v>
      </c>
      <c r="AF175" s="39">
        <f>L175*U175*AZ175*1/(0.0821*273.15)</f>
        <v>2.8223315736375463E-3</v>
      </c>
      <c r="AG175" s="39">
        <f>AD175-AF175</f>
        <v>0.6651500582512373</v>
      </c>
      <c r="AH175" s="42">
        <f>P175*(AZ175-S175)</f>
        <v>0.23174292455880441</v>
      </c>
      <c r="AI175">
        <f>(((X175/10^6)*(Q175/1000))/(0.082056*H175))</f>
        <v>2.1768291773137257E-6</v>
      </c>
      <c r="AJ175">
        <f>(((K175/10^6)*AZ175)*(Q175/1000))/(0.082056*H175)</f>
        <v>9.8269283553910734E-7</v>
      </c>
      <c r="AK175">
        <f>(X175/10^6)*T175*(R175/1000)</f>
        <v>4.1888480085521118E-5</v>
      </c>
      <c r="AL175">
        <f>AI175+AK175</f>
        <v>4.4065309262834843E-5</v>
      </c>
      <c r="AM175" s="39">
        <f>((AL175-AJ175)/(R175/1000))*1000000</f>
        <v>37.791768795873459</v>
      </c>
      <c r="AN175" s="39">
        <f>AM175/(T175*AZ175)</f>
        <v>959.60386462022359</v>
      </c>
      <c r="AO175" s="39">
        <f>(K175*AZ175)*T175</f>
        <v>16.58758612879808</v>
      </c>
      <c r="AP175" s="39">
        <f>AM175-AO175</f>
        <v>21.204182667075379</v>
      </c>
      <c r="AQ175">
        <f>(((AH175/10^6)*(Q175/1000))/(0.082056*H175))</f>
        <v>5.836138111868305E-10</v>
      </c>
      <c r="AR175">
        <f>(((M175/10^6)*AZ175)*(Q175/1000))/(0.082056*H175)</f>
        <v>6.766981069071292E-10</v>
      </c>
      <c r="AS175">
        <f>(AH175/10^6)*V175*(R175/1000)</f>
        <v>8.2982106427218804E-9</v>
      </c>
      <c r="AT175">
        <f>AQ175+AS175</f>
        <v>8.8818244539087105E-9</v>
      </c>
      <c r="AU175" s="39">
        <f>((AT175-AR175)/(R175/1000))*1000000000</f>
        <v>7.1974792517557731</v>
      </c>
      <c r="AV175" s="39">
        <f>(AU175/1000)/(V175*AZ175)</f>
        <v>0.24733555380396186</v>
      </c>
      <c r="AW175" s="39">
        <f>(M175*AZ175)*V175*1000</f>
        <v>8.4401274378702116</v>
      </c>
      <c r="AX175" s="39">
        <f>AU175-AW175</f>
        <v>-1.2426481861144385</v>
      </c>
      <c r="AY175" s="26">
        <f>VLOOKUP($E175,Water!$C$2:$G$90, 5, FALSE)</f>
        <v>704.1</v>
      </c>
      <c r="AZ175">
        <f>AY175/760</f>
        <v>0.92644736842105269</v>
      </c>
      <c r="BA175" s="3">
        <f>Assumptions!$B$3</f>
        <v>406.07</v>
      </c>
      <c r="BB175" s="3">
        <f>BA175*AZ175*T175</f>
        <v>15.992123542576362</v>
      </c>
      <c r="BC175" s="3">
        <f>Assumptions!$B$4</f>
        <v>1.8474300000000001</v>
      </c>
      <c r="BD175" s="45">
        <f>BC175*AZ175*U175*1/(0.0821*273.15)</f>
        <v>2.8065544657393244E-3</v>
      </c>
      <c r="BE175" s="3">
        <f>Assumptions!$B$2</f>
        <v>0.33054499999999998</v>
      </c>
      <c r="BF175" s="44">
        <f>BE175*AZ175*V175*1000</f>
        <v>9.618879059972425</v>
      </c>
      <c r="BG175">
        <f>1923.6+(-125.06*F175)+(4.3773*(F175^2))+(-0.085681*(F175^3))+(0.00070284*(F175^4))</f>
        <v>693.0785933399037</v>
      </c>
      <c r="BH175">
        <f>1909.4+(-120.78*F175)+(4.1555*(F175^2))+(-0.080578*(F175^3))+(0.00065777*(F175^4))</f>
        <v>708.89904624051246</v>
      </c>
      <c r="BI175">
        <f>2141.2+(-152.56*F175)+(5.8963*(F175^2))+(-0.12411*(F175^3))+(0.0010655*(F175^4))</f>
        <v>723.25606183679952</v>
      </c>
      <c r="BJ175" s="25">
        <f>VLOOKUP(E175,Wind!$C$2:$E$109,3, FALSE)</f>
        <v>4.7777777777777777</v>
      </c>
      <c r="BK175" s="44">
        <v>1.66</v>
      </c>
      <c r="BL175">
        <f>BK175/(1-(((1.3*10^-3)^0.5)/0.41)*LN(10/1.5))</f>
        <v>1.9923982880693825</v>
      </c>
      <c r="BM175">
        <f>BK175*1.22</f>
        <v>2.0251999999999999</v>
      </c>
      <c r="BN175">
        <f>2.07+0.215*(BM175^1.7)*(24/100)</f>
        <v>2.241255750541113</v>
      </c>
      <c r="BO175">
        <f>BN175*((600/BG175)^0.67)</f>
        <v>2.0348316753362758</v>
      </c>
      <c r="BP175">
        <f>BN175*((600/BH175)^0.67)</f>
        <v>2.0042930104013106</v>
      </c>
      <c r="BQ175">
        <f>BN175*((600/BI175)^0.67)</f>
        <v>1.9775481174217693</v>
      </c>
      <c r="BR175" s="39">
        <f>BO175*(AM175-BB175)</f>
        <v>44.358608672503024</v>
      </c>
      <c r="BS175" s="39">
        <f>BP175*(AD175-BD175)</f>
        <v>1.3331872345680642</v>
      </c>
      <c r="BT175" s="39">
        <f>BQ175*(AU175-BF175)</f>
        <v>-4.7884346322642735</v>
      </c>
      <c r="BU175">
        <f>(2.51+1.48*BM175)+(0.39*BM175*LOG10(0.0015))</f>
        <v>3.2768938069574309</v>
      </c>
      <c r="BV175">
        <f>BU175*((600/$BG175)^0.67)</f>
        <v>2.9750854240978071</v>
      </c>
      <c r="BW175">
        <f>BU175*((600/$BH175)^0.67)</f>
        <v>2.9304354719564794</v>
      </c>
      <c r="BX175">
        <f>BU175*((600/$BI175)^0.67)</f>
        <v>2.891332315544616</v>
      </c>
      <c r="BY175" s="39">
        <f>BV175*($AM175-$BB175)</f>
        <v>64.855806843587146</v>
      </c>
      <c r="BZ175" s="39">
        <f>BW175*($AD175-$BD175)</f>
        <v>1.9492255586699743</v>
      </c>
      <c r="CA175" s="39">
        <f>BX175*($AU175-$BF175)</f>
        <v>-7.0010715143503415</v>
      </c>
      <c r="CB175" s="42">
        <f>AVERAGE(0.72,0.69,0.4,0.22)</f>
        <v>0.50750000000000006</v>
      </c>
      <c r="CC175">
        <f>CB175*((600/$BG175)^0.67)</f>
        <v>0.46075824902349399</v>
      </c>
      <c r="CD175">
        <f>CB175*((600/$BH175)^0.67)</f>
        <v>0.45384320934060507</v>
      </c>
      <c r="CE175">
        <f>CB175*((600/$BI175)^0.67)</f>
        <v>0.44778721453330106</v>
      </c>
      <c r="CF175" s="39">
        <f>CC175*($AM175-$BB175)</f>
        <v>10.044366376242493</v>
      </c>
      <c r="CG175" s="39">
        <f>CD175*($AD175-$BD175)</f>
        <v>0.30188099746311459</v>
      </c>
      <c r="CH175" s="39">
        <f>CE175*($AU175-$BF175)</f>
        <v>-1.084271875392804</v>
      </c>
      <c r="CI175">
        <v>0.86263901889527161</v>
      </c>
      <c r="CJ175">
        <f>((BG175/BH175)^0.67)*CI175</f>
        <v>0.84969257016578825</v>
      </c>
      <c r="CK175">
        <f>((BH175/BH175)^0.67)*CI175</f>
        <v>0.86263901889527161</v>
      </c>
      <c r="CL175">
        <f>((BI175/BH175)^0.67)*CI175</f>
        <v>0.87430558115844903</v>
      </c>
      <c r="CM175" s="39">
        <f>CJ175*($AM175-$BB175)</f>
        <v>18.522996603976438</v>
      </c>
      <c r="CN175" s="39">
        <f>CK175*($AD175-$BD175)</f>
        <v>0.5737980036168584</v>
      </c>
      <c r="CO175" s="39">
        <f>CL175*($AU175-$BF175)</f>
        <v>-2.117043366539817</v>
      </c>
      <c r="CP175" s="27">
        <f>VLOOKUP(A175,Water!$A$2:$E$109, 5, FALSE)/1000</f>
        <v>1.1999999999999999E-4</v>
      </c>
      <c r="CQ175">
        <f>0.64*CP175</f>
        <v>7.6799999999999997E-5</v>
      </c>
      <c r="CR175" s="19">
        <f>CQ175*1000*(2.5*10^-5)</f>
        <v>1.9199999999999998E-6</v>
      </c>
      <c r="CS175" s="18">
        <f>(-0.0000009*F175^3)+(0.0002*F175^2)-(0.0134*F175)+6.579</f>
        <v>6.4031083967999995</v>
      </c>
      <c r="CT175" s="18">
        <f>CS175-(SQRT(CP175))/(1+1.4*SQRT(CP175))</f>
        <v>6.3923194080797492</v>
      </c>
      <c r="CU175" s="18">
        <f>10^(-CT175)</f>
        <v>4.0521040804856994E-7</v>
      </c>
      <c r="CV175" s="18">
        <f>(0.000001*F175^3)+(0.00006*F175^2)-(0.014*F175)+10.625</f>
        <v>10.407038847999999</v>
      </c>
      <c r="CW175" s="18">
        <f>CV175-(2*SQRT(CR175))/(1+1.4*SQRT(CR175))</f>
        <v>10.404272932299195</v>
      </c>
      <c r="CX175" s="18">
        <f>10^(-CW175)</f>
        <v>3.942094833244961E-11</v>
      </c>
      <c r="CY175">
        <f>EXP(1246.98+-61900/H175-183*LN(H175))</f>
        <v>1.7954505181663742E-2</v>
      </c>
      <c r="CZ175">
        <f>12.225*(F175^2)+15.258*F175+1125.7</f>
        <v>5004.7815999999993</v>
      </c>
      <c r="DA175" s="15">
        <f>10^(-4470.99/H175+6.0875-0.01706*H175)</f>
        <v>5.4388445679710496E-15</v>
      </c>
      <c r="DB175">
        <f>(10^-I175)</f>
        <v>7.4131024130091451E-9</v>
      </c>
      <c r="DC175">
        <f>DB175^2</f>
        <v>5.4954087385762009E-17</v>
      </c>
      <c r="DD175" s="20">
        <f>((14.6836*10^-9)*((H175/217.2056)-1)^1.997)*100*100</f>
        <v>1.6705933276098249E-5</v>
      </c>
      <c r="DE175">
        <f>CY175+CZ175*DA175/DB175</f>
        <v>2.1626413068876128E-2</v>
      </c>
      <c r="DF175">
        <f>1+DC175*(CU175*CX175+CU175*DB175)^-1</f>
        <v>1.0181976815987124</v>
      </c>
      <c r="DG175">
        <f>(DE175*DF175/DD175)^0.5</f>
        <v>36.30554224521358</v>
      </c>
      <c r="DH175">
        <f>DD175/(BO175/60/60)</f>
        <v>2.9555938470446085E-2</v>
      </c>
      <c r="DI175" s="16">
        <f>DF175/((DF175-1)+TANH(DG175*DH175)/(DG175*DH175))</f>
        <v>1.348633074910119</v>
      </c>
      <c r="DJ175">
        <f>$DI175*BR175</f>
        <v>59.823486812732426</v>
      </c>
      <c r="DK175">
        <f>$DI175*BY175</f>
        <v>87.466686209243676</v>
      </c>
      <c r="DL175">
        <f>$DI175*CF175</f>
        <v>13.546164711515722</v>
      </c>
      <c r="DM175">
        <f>$DI175*CM175</f>
        <v>24.980725866570435</v>
      </c>
    </row>
    <row r="176" spans="1:117" ht="15.75" x14ac:dyDescent="0.25">
      <c r="A176" s="52" t="s">
        <v>327</v>
      </c>
      <c r="B176" s="55" t="s">
        <v>341</v>
      </c>
      <c r="C176" s="62" t="s">
        <v>371</v>
      </c>
      <c r="D176" s="57">
        <v>43263</v>
      </c>
      <c r="E176" s="42" t="str">
        <f>A176&amp;D176</f>
        <v>66C43263</v>
      </c>
      <c r="F176" s="3">
        <f>VLOOKUP($E176,Water!$C$2:$E$90, 2, FALSE)</f>
        <v>17.2</v>
      </c>
      <c r="G176" s="3">
        <f>VLOOKUP($E176,Water!$C$2:$E$90, 3, FALSE)</f>
        <v>0.17</v>
      </c>
      <c r="H176" s="1">
        <f>F176+273.15</f>
        <v>290.34999999999997</v>
      </c>
      <c r="I176" s="3">
        <f>VLOOKUP($E176,Water!$C$2:$F$90, 4, FALSE)</f>
        <v>8.1300000000000008</v>
      </c>
      <c r="J176">
        <f>10^(I176*-1)</f>
        <v>7.4131024130091451E-9</v>
      </c>
      <c r="K176" s="25">
        <f>VLOOKUP($E176,Atm!$D$2:$G$45, 2, FALSE)</f>
        <v>421.18991148288109</v>
      </c>
      <c r="L176" s="25">
        <f>VLOOKUP($E176,Atm!$D$2:$G$45, 3, FALSE)</f>
        <v>1.857815368536482</v>
      </c>
      <c r="M176" s="25">
        <f>VLOOKUP($E176,Atm!$D$2:$G$45, 4, FALSE)</f>
        <v>0.29003815377618508</v>
      </c>
      <c r="N176" s="21">
        <f>VLOOKUP($C176,Raw!$B$2:$F$353, 3, FALSE)</f>
        <v>945.62065114487564</v>
      </c>
      <c r="O176" s="21">
        <f>VLOOKUP($C176,Raw!$B$2:$F$353, 4, FALSE)</f>
        <v>206.55267201281671</v>
      </c>
      <c r="P176" s="21">
        <f>VLOOKUP($C176,Raw!$B$2:$F$353, 5, FALSE)</f>
        <v>0.24959513826526822</v>
      </c>
      <c r="Q176" s="14">
        <v>60</v>
      </c>
      <c r="R176" s="25">
        <v>1140</v>
      </c>
      <c r="S176">
        <f>EXP(24.4543-(100/H176*(67.4509))-(4.8489*LN(H176/100))-(0.000544*G176))</f>
        <v>1.9347139234729766E-2</v>
      </c>
      <c r="T176" s="8">
        <f>EXP(-58.0931+90.5069*(100/H176)+22.294*LN(H176/100)+G176*(0.027766-0.025888*(H176/100)+0.0050578*(H176/100)^2)*G176)</f>
        <v>4.2509351399073643E-2</v>
      </c>
      <c r="U176" s="9">
        <f>(EXP(-67.1962+99.1624*(100/H176)+27.9015*LN(H176/100)+G176*(-0.072909+0.041674*(H176/100)-0.0064603*(H176/100)^2)*G176))</f>
        <v>3.6773002646308825E-2</v>
      </c>
      <c r="V176" s="9">
        <f>(EXP(-64.8539+100.252*(100/H176)+25.2049*LN(H176/100)+(-0.062544+0.035337*(H176/100)-0.0054699*(H176/100)^2)*G176))</f>
        <v>3.1410374908302424E-2</v>
      </c>
      <c r="W176" s="9">
        <f>(EXP(-68.8862+101.4956*(100/H176)+28.7314*LN(H176/100)+G176*(-0.076146+0.04397*(H176/100)-0.0068672*(H176/100)^2)))</f>
        <v>3.667338172180179E-2</v>
      </c>
      <c r="X176">
        <f>N176*(AZ176-S176)</f>
        <v>857.77270937683659</v>
      </c>
      <c r="Y176">
        <f>O176*(AZ176-S176)</f>
        <v>187.36397612187343</v>
      </c>
      <c r="Z176">
        <f>((Y176/10^6)*AZ176)/(0.082056*H176)</f>
        <v>7.2857568503501089E-6</v>
      </c>
      <c r="AA176">
        <f>(((L176/10^6)*AZ176)/(0.082056*H176))</f>
        <v>7.2242227818628156E-8</v>
      </c>
      <c r="AB176">
        <f>((Y176/10^6)*U176*1)/(0.082056*H176)</f>
        <v>2.8918982887813983E-7</v>
      </c>
      <c r="AC176">
        <f>(Z176*(Q176/1000))+(AB176*(R176/1000))</f>
        <v>7.6682181594208587E-7</v>
      </c>
      <c r="AD176" s="39">
        <f>((AC176-(AA176*(Q176/1000)))/(R176/1000))*1000000</f>
        <v>0.66884849322190199</v>
      </c>
      <c r="AE176" s="39">
        <f>(AD176/((U176*AZ176*1))*(0.0821*273.15))</f>
        <v>440.2732200343861</v>
      </c>
      <c r="AF176" s="39">
        <f>L176*U176*AZ176*1/(0.0821*273.15)</f>
        <v>2.8223315736375463E-3</v>
      </c>
      <c r="AG176" s="39">
        <f>AD176-AF176</f>
        <v>0.66602616164826445</v>
      </c>
      <c r="AH176" s="42">
        <f>P176*(AZ176-S176)</f>
        <v>0.22640780712421676</v>
      </c>
      <c r="AI176">
        <f>(((X176/10^6)*(Q176/1000))/(0.082056*H176))</f>
        <v>2.160186771632981E-6</v>
      </c>
      <c r="AJ176">
        <f>(((K176/10^6)*AZ176)*(Q176/1000))/(0.082056*H176)</f>
        <v>9.8269283553910734E-7</v>
      </c>
      <c r="AK176">
        <f>(X176/10^6)*T176*(R176/1000)</f>
        <v>4.156823213671637E-5</v>
      </c>
      <c r="AL176">
        <f>AI176+AK176</f>
        <v>4.3728418908349353E-5</v>
      </c>
      <c r="AM176" s="39">
        <f>((AL176-AJ176)/(R176/1000))*1000000</f>
        <v>37.496250941061618</v>
      </c>
      <c r="AN176" s="39">
        <f>AM176/(T176*AZ176)</f>
        <v>952.10011222711819</v>
      </c>
      <c r="AO176" s="39">
        <f>(K176*AZ176)*T176</f>
        <v>16.58758612879808</v>
      </c>
      <c r="AP176" s="39">
        <f>AM176-AO176</f>
        <v>20.908664812263538</v>
      </c>
      <c r="AQ176">
        <f>(((AH176/10^6)*(Q176/1000))/(0.082056*H176))</f>
        <v>5.7017802571438583E-10</v>
      </c>
      <c r="AR176">
        <f>(((M176/10^6)*AZ176)*(Q176/1000))/(0.082056*H176)</f>
        <v>6.766981069071292E-10</v>
      </c>
      <c r="AS176">
        <f>(AH176/10^6)*V176*(R176/1000)</f>
        <v>8.1071716784896293E-9</v>
      </c>
      <c r="AT176">
        <f>AQ176+AS176</f>
        <v>8.6773497042040159E-9</v>
      </c>
      <c r="AU176" s="39">
        <f>((AT176-AR176)/(R176/1000))*1000000000</f>
        <v>7.0181154362253393</v>
      </c>
      <c r="AV176" s="39">
        <f>(AU176/1000)/(V176*AZ176)</f>
        <v>0.24117186133679852</v>
      </c>
      <c r="AW176" s="39">
        <f>(M176*AZ176)*V176*1000</f>
        <v>8.4401274378702116</v>
      </c>
      <c r="AX176" s="39">
        <f>AU176-AW176</f>
        <v>-1.4220120016448723</v>
      </c>
      <c r="AY176" s="26">
        <f>VLOOKUP($E176,Water!$C$2:$G$90, 5, FALSE)</f>
        <v>704.1</v>
      </c>
      <c r="AZ176">
        <f>AY176/760</f>
        <v>0.92644736842105269</v>
      </c>
      <c r="BA176" s="3">
        <f>Assumptions!$B$3</f>
        <v>406.07</v>
      </c>
      <c r="BB176" s="3">
        <f>BA176*AZ176*T176</f>
        <v>15.992123542576362</v>
      </c>
      <c r="BC176" s="3">
        <f>Assumptions!$B$4</f>
        <v>1.8474300000000001</v>
      </c>
      <c r="BD176" s="45">
        <f>BC176*AZ176*U176*1/(0.0821*273.15)</f>
        <v>2.8065544657393244E-3</v>
      </c>
      <c r="BE176" s="3">
        <f>Assumptions!$B$2</f>
        <v>0.33054499999999998</v>
      </c>
      <c r="BF176" s="44">
        <f>BE176*AZ176*V176*1000</f>
        <v>9.618879059972425</v>
      </c>
      <c r="BG176">
        <f>1923.6+(-125.06*F176)+(4.3773*(F176^2))+(-0.085681*(F176^3))+(0.00070284*(F176^4))</f>
        <v>693.0785933399037</v>
      </c>
      <c r="BH176">
        <f>1909.4+(-120.78*F176)+(4.1555*(F176^2))+(-0.080578*(F176^3))+(0.00065777*(F176^4))</f>
        <v>708.89904624051246</v>
      </c>
      <c r="BI176">
        <f>2141.2+(-152.56*F176)+(5.8963*(F176^2))+(-0.12411*(F176^3))+(0.0010655*(F176^4))</f>
        <v>723.25606183679952</v>
      </c>
      <c r="BJ176" s="25">
        <f>VLOOKUP(E176,Wind!$C$2:$E$109,3, FALSE)</f>
        <v>4.7777777777777777</v>
      </c>
      <c r="BK176" s="44">
        <v>1.66</v>
      </c>
      <c r="BL176">
        <f>BK176/(1-(((1.3*10^-3)^0.5)/0.41)*LN(10/1.5))</f>
        <v>1.9923982880693825</v>
      </c>
      <c r="BM176">
        <f>BK176*1.22</f>
        <v>2.0251999999999999</v>
      </c>
      <c r="BN176">
        <f>2.07+0.215*(BM176^1.7)*(24/100)</f>
        <v>2.241255750541113</v>
      </c>
      <c r="BO176">
        <f>BN176*((600/BG176)^0.67)</f>
        <v>2.0348316753362758</v>
      </c>
      <c r="BP176">
        <f>BN176*((600/BH176)^0.67)</f>
        <v>2.0042930104013106</v>
      </c>
      <c r="BQ176">
        <f>BN176*((600/BI176)^0.67)</f>
        <v>1.9775481174217693</v>
      </c>
      <c r="BR176" s="39">
        <f>BO176*(AM176-BB176)</f>
        <v>43.757279580904466</v>
      </c>
      <c r="BS176" s="39">
        <f>BP176*(AD176-BD176)</f>
        <v>1.3349432024831147</v>
      </c>
      <c r="BT176" s="39">
        <f>BQ176*(AU176-BF176)</f>
        <v>-5.1431352080000678</v>
      </c>
      <c r="BU176">
        <f>(2.51+1.48*BM176)+(0.39*BM176*LOG10(0.0015))</f>
        <v>3.2768938069574309</v>
      </c>
      <c r="BV176">
        <f>BU176*((600/$BG176)^0.67)</f>
        <v>2.9750854240978071</v>
      </c>
      <c r="BW176">
        <f>BU176*((600/$BH176)^0.67)</f>
        <v>2.9304354719564794</v>
      </c>
      <c r="BX176">
        <f>BU176*((600/$BI176)^0.67)</f>
        <v>2.891332315544616</v>
      </c>
      <c r="BY176" s="39">
        <f>BV176*($AM176-$BB176)</f>
        <v>63.976615981175783</v>
      </c>
      <c r="BZ176" s="39">
        <f>BW176*($AD176-$BD176)</f>
        <v>1.9517929231417241</v>
      </c>
      <c r="CA176" s="39">
        <f>BX176*($AU176-$BF176)</f>
        <v>-7.5196719104328675</v>
      </c>
      <c r="CB176" s="42">
        <f>AVERAGE(0.72,0.69,0.4,0.22)</f>
        <v>0.50750000000000006</v>
      </c>
      <c r="CC176">
        <f>CB176*((600/$BG176)^0.67)</f>
        <v>0.46075824902349399</v>
      </c>
      <c r="CD176">
        <f>CB176*((600/$BH176)^0.67)</f>
        <v>0.45384320934060507</v>
      </c>
      <c r="CE176">
        <f>CB176*((600/$BI176)^0.67)</f>
        <v>0.44778721453330106</v>
      </c>
      <c r="CF176" s="39">
        <f>CC176*($AM176-$BB176)</f>
        <v>9.9082040869042096</v>
      </c>
      <c r="CG176" s="39">
        <f>CD176*($AD176-$BD176)</f>
        <v>0.30227861104053561</v>
      </c>
      <c r="CH176" s="39">
        <f>CE176*($AU176-$BF176)</f>
        <v>-1.1645886987372418</v>
      </c>
      <c r="CI176">
        <v>0.86263901889527161</v>
      </c>
      <c r="CJ176">
        <f>((BG176/BH176)^0.67)*CI176</f>
        <v>0.84969257016578825</v>
      </c>
      <c r="CK176">
        <f>((BH176/BH176)^0.67)*CI176</f>
        <v>0.86263901889527161</v>
      </c>
      <c r="CL176">
        <f>((BI176/BH176)^0.67)*CI176</f>
        <v>0.87430558115844903</v>
      </c>
      <c r="CM176" s="39">
        <f>CJ176*($AM176-$BB176)</f>
        <v>18.271897278391481</v>
      </c>
      <c r="CN176" s="39">
        <f>CK176*($AD176-$BD176)</f>
        <v>0.57455376459172081</v>
      </c>
      <c r="CO176" s="39">
        <f>CL176*($AU176-$BF176)</f>
        <v>-2.2738621515159498</v>
      </c>
      <c r="CP176" s="27">
        <f>VLOOKUP(A176,Water!$A$2:$E$109, 5, FALSE)/1000</f>
        <v>1.1999999999999999E-4</v>
      </c>
      <c r="CQ176">
        <f>0.64*CP176</f>
        <v>7.6799999999999997E-5</v>
      </c>
      <c r="CR176" s="19">
        <f>CQ176*1000*(2.5*10^-5)</f>
        <v>1.9199999999999998E-6</v>
      </c>
      <c r="CS176" s="18">
        <f>(-0.0000009*F176^3)+(0.0002*F176^2)-(0.0134*F176)+6.579</f>
        <v>6.4031083967999995</v>
      </c>
      <c r="CT176" s="18">
        <f>CS176-(SQRT(CP176))/(1+1.4*SQRT(CP176))</f>
        <v>6.3923194080797492</v>
      </c>
      <c r="CU176" s="18">
        <f>10^(-CT176)</f>
        <v>4.0521040804856994E-7</v>
      </c>
      <c r="CV176" s="18">
        <f>(0.000001*F176^3)+(0.00006*F176^2)-(0.014*F176)+10.625</f>
        <v>10.407038847999999</v>
      </c>
      <c r="CW176" s="18">
        <f>CV176-(2*SQRT(CR176))/(1+1.4*SQRT(CR176))</f>
        <v>10.404272932299195</v>
      </c>
      <c r="CX176" s="18">
        <f>10^(-CW176)</f>
        <v>3.942094833244961E-11</v>
      </c>
      <c r="CY176">
        <f>EXP(1246.98+-61900/H176-183*LN(H176))</f>
        <v>1.7954505181663742E-2</v>
      </c>
      <c r="CZ176">
        <f>12.225*(F176^2)+15.258*F176+1125.7</f>
        <v>5004.7815999999993</v>
      </c>
      <c r="DA176" s="15">
        <f>10^(-4470.99/H176+6.0875-0.01706*H176)</f>
        <v>5.4388445679710496E-15</v>
      </c>
      <c r="DB176">
        <f>(10^-I176)</f>
        <v>7.4131024130091451E-9</v>
      </c>
      <c r="DC176">
        <f>DB176^2</f>
        <v>5.4954087385762009E-17</v>
      </c>
      <c r="DD176" s="20">
        <f>((14.6836*10^-9)*((H176/217.2056)-1)^1.997)*100*100</f>
        <v>1.6705933276098249E-5</v>
      </c>
      <c r="DE176">
        <f>CY176+CZ176*DA176/DB176</f>
        <v>2.1626413068876128E-2</v>
      </c>
      <c r="DF176">
        <f>1+DC176*(CU176*CX176+CU176*DB176)^-1</f>
        <v>1.0181976815987124</v>
      </c>
      <c r="DG176">
        <f>(DE176*DF176/DD176)^0.5</f>
        <v>36.30554224521358</v>
      </c>
      <c r="DH176">
        <f>DD176/(BO176/60/60)</f>
        <v>2.9555938470446085E-2</v>
      </c>
      <c r="DI176" s="16">
        <f>DF176/((DF176-1)+TANH(DG176*DH176)/(DG176*DH176))</f>
        <v>1.348633074910119</v>
      </c>
      <c r="DJ176">
        <f>$DI176*BR176</f>
        <v>59.012514510896949</v>
      </c>
      <c r="DK176">
        <f>$DI176*BY176</f>
        <v>86.28098033303695</v>
      </c>
      <c r="DL176">
        <f>$DI176*CF176</f>
        <v>13.362531744558632</v>
      </c>
      <c r="DM176">
        <f>$DI176*CM176</f>
        <v>24.642085010998937</v>
      </c>
    </row>
    <row r="177" spans="1:117" ht="15.75" x14ac:dyDescent="0.25">
      <c r="A177" s="52" t="s">
        <v>327</v>
      </c>
      <c r="B177" s="55" t="s">
        <v>342</v>
      </c>
      <c r="C177" s="62" t="s">
        <v>372</v>
      </c>
      <c r="D177" s="57">
        <v>43263</v>
      </c>
      <c r="E177" s="42" t="str">
        <f>A177&amp;D177</f>
        <v>66C43263</v>
      </c>
      <c r="F177" s="3">
        <f>VLOOKUP($E177,Water!$C$2:$E$90, 2, FALSE)</f>
        <v>17.2</v>
      </c>
      <c r="G177" s="3">
        <f>VLOOKUP($E177,Water!$C$2:$E$90, 3, FALSE)</f>
        <v>0.17</v>
      </c>
      <c r="H177" s="1">
        <f>F177+273.15</f>
        <v>290.34999999999997</v>
      </c>
      <c r="I177" s="3">
        <f>VLOOKUP($E177,Water!$C$2:$F$90, 4, FALSE)</f>
        <v>8.1300000000000008</v>
      </c>
      <c r="J177">
        <f>10^(I177*-1)</f>
        <v>7.4131024130091451E-9</v>
      </c>
      <c r="K177" s="25">
        <f>VLOOKUP($E177,Atm!$D$2:$G$100, 2, FALSE)</f>
        <v>421.18991148288109</v>
      </c>
      <c r="L177" s="25">
        <f>VLOOKUP($E177,Atm!$D$2:$G$100, 3, FALSE)</f>
        <v>1.857815368536482</v>
      </c>
      <c r="M177" s="25">
        <f>VLOOKUP($E177,Atm!$D$2:$G$100, 4, FALSE)</f>
        <v>0.29003815377618508</v>
      </c>
      <c r="N177" s="21">
        <f>VLOOKUP($C177,Raw!$B$2:$F$353, 3, FALSE)</f>
        <v>950.78013090651257</v>
      </c>
      <c r="O177" s="21">
        <f>VLOOKUP($C177,Raw!$B$2:$F$353, 4, FALSE)</f>
        <v>205.8417813041699</v>
      </c>
      <c r="P177" s="21">
        <f>VLOOKUP($C177,Raw!$B$2:$F$353, 5, FALSE)</f>
        <v>0.2531117961898226</v>
      </c>
      <c r="Q177" s="14">
        <v>60</v>
      </c>
      <c r="R177" s="25">
        <v>1140</v>
      </c>
      <c r="S177">
        <f>EXP(24.4543-(100/H177*(67.4509))-(4.8489*LN(H177/100))-(0.000544*G177))</f>
        <v>1.9347139234729766E-2</v>
      </c>
      <c r="T177" s="8">
        <f>EXP(-58.0931+90.5069*(100/H177)+22.294*LN(H177/100)+G177*(0.027766-0.025888*(H177/100)+0.0050578*(H177/100)^2)*G177)</f>
        <v>4.2509351399073643E-2</v>
      </c>
      <c r="U177" s="9">
        <f>(EXP(-67.1962+99.1624*(100/H177)+27.9015*LN(H177/100)+G177*(-0.072909+0.041674*(H177/100)-0.0064603*(H177/100)^2)*G177))</f>
        <v>3.6773002646308825E-2</v>
      </c>
      <c r="V177" s="9">
        <f>(EXP(-64.8539+100.252*(100/H177)+25.2049*LN(H177/100)+(-0.062544+0.035337*(H177/100)-0.0054699*(H177/100)^2)*G177))</f>
        <v>3.1410374908302424E-2</v>
      </c>
      <c r="W177" s="9">
        <f>(EXP(-68.8862+101.4956*(100/H177)+28.7314*LN(H177/100)+G177*(-0.076146+0.04397*(H177/100)-0.0068672*(H177/100)^2)))</f>
        <v>3.667338172180179E-2</v>
      </c>
      <c r="X177">
        <f>N177*(AZ177-S177)</f>
        <v>862.45287465109971</v>
      </c>
      <c r="Y177">
        <f>O177*(AZ177-S177)</f>
        <v>186.71912699713349</v>
      </c>
      <c r="Z177">
        <f>((Y177/10^6)*AZ177)/(0.082056*H177)</f>
        <v>7.2606815182331169E-6</v>
      </c>
      <c r="AA177">
        <f>(((L177/10^6)*AZ177)/(0.082056*H177))</f>
        <v>7.2242227818628156E-8</v>
      </c>
      <c r="AB177">
        <f>((Y177/10^6)*U177*1)/(0.082056*H177)</f>
        <v>2.8819452651588393E-7</v>
      </c>
      <c r="AC177">
        <f>(Z177*(Q177/1000))+(AB177*(R177/1000))</f>
        <v>7.6418265132209464E-7</v>
      </c>
      <c r="AD177" s="39">
        <f>((AC177-(AA177*(Q177/1000)))/(R177/1000))*1000000</f>
        <v>0.66653343653769914</v>
      </c>
      <c r="AE177" s="39">
        <f>(AD177/((U177*AZ177*1))*(0.0821*273.15))</f>
        <v>438.74932116753467</v>
      </c>
      <c r="AF177" s="39">
        <f>L177*U177*AZ177*1/(0.0821*273.15)</f>
        <v>2.8223315736375463E-3</v>
      </c>
      <c r="AG177" s="39">
        <f>AD177-AF177</f>
        <v>0.6637111049640616</v>
      </c>
      <c r="AH177" s="42">
        <f>P177*(AZ177-S177)</f>
        <v>0.22959776833354995</v>
      </c>
      <c r="AI177">
        <f>(((X177/10^6)*(Q177/1000))/(0.082056*H177))</f>
        <v>2.1719731469792704E-6</v>
      </c>
      <c r="AJ177">
        <f>(((K177/10^6)*AZ177)*(Q177/1000))/(0.082056*H177)</f>
        <v>9.8269283553910734E-7</v>
      </c>
      <c r="AK177">
        <f>(X177/10^6)*T177*(R177/1000)</f>
        <v>4.1795036037600681E-5</v>
      </c>
      <c r="AL177">
        <f>AI177+AK177</f>
        <v>4.396700918457995E-5</v>
      </c>
      <c r="AM177" s="39">
        <f>((AL177-AJ177)/(R177/1000))*1000000</f>
        <v>37.705540657053376</v>
      </c>
      <c r="AN177" s="39">
        <f>AM177/(T177*AZ177)</f>
        <v>957.41437050848469</v>
      </c>
      <c r="AO177" s="39">
        <f>(K177*AZ177)*T177</f>
        <v>16.58758612879808</v>
      </c>
      <c r="AP177" s="39">
        <f>AM177-AO177</f>
        <v>21.117954528255297</v>
      </c>
      <c r="AQ177">
        <f>(((AH177/10^6)*(Q177/1000))/(0.082056*H177))</f>
        <v>5.7821151982196836E-10</v>
      </c>
      <c r="AR177">
        <f>(((M177/10^6)*AZ177)*(Q177/1000))/(0.082056*H177)</f>
        <v>6.766981069071292E-10</v>
      </c>
      <c r="AS177">
        <f>(AH177/10^6)*V177*(R177/1000)</f>
        <v>8.2213972588716623E-9</v>
      </c>
      <c r="AT177">
        <f>AQ177+AS177</f>
        <v>8.7996087786936311E-9</v>
      </c>
      <c r="AU177" s="39">
        <f>((AT177-AR177)/(R177/1000))*1000000000</f>
        <v>7.1253602384092121</v>
      </c>
      <c r="AV177" s="39">
        <f>(AU177/1000)/(V177*AZ177)</f>
        <v>0.24485724223376656</v>
      </c>
      <c r="AW177" s="39">
        <f>(M177*AZ177)*V177*1000</f>
        <v>8.4401274378702116</v>
      </c>
      <c r="AX177" s="39">
        <f>AU177-AW177</f>
        <v>-1.3147671994609995</v>
      </c>
      <c r="AY177" s="26">
        <f>VLOOKUP($E177,Water!$C$2:$G$90, 5, FALSE)</f>
        <v>704.1</v>
      </c>
      <c r="AZ177">
        <f>AY177/760</f>
        <v>0.92644736842105269</v>
      </c>
      <c r="BA177" s="3">
        <f>Assumptions!$B$3</f>
        <v>406.07</v>
      </c>
      <c r="BB177" s="3">
        <f>BA177*AZ177*T177</f>
        <v>15.992123542576362</v>
      </c>
      <c r="BC177" s="3">
        <f>Assumptions!$B$4</f>
        <v>1.8474300000000001</v>
      </c>
      <c r="BD177" s="45">
        <f>BC177*AZ177*U177*1/(0.0821*273.15)</f>
        <v>2.8065544657393244E-3</v>
      </c>
      <c r="BE177" s="3">
        <f>Assumptions!$B$2</f>
        <v>0.33054499999999998</v>
      </c>
      <c r="BF177" s="44">
        <f>BE177*AZ177*V177*1000</f>
        <v>9.618879059972425</v>
      </c>
      <c r="BG177">
        <f>1923.6+(-125.06*F177)+(4.3773*(F177^2))+(-0.085681*(F177^3))+(0.00070284*(F177^4))</f>
        <v>693.0785933399037</v>
      </c>
      <c r="BH177">
        <f>1909.4+(-120.78*F177)+(4.1555*(F177^2))+(-0.080578*(F177^3))+(0.00065777*(F177^4))</f>
        <v>708.89904624051246</v>
      </c>
      <c r="BI177">
        <f>2141.2+(-152.56*F177)+(5.8963*(F177^2))+(-0.12411*(F177^3))+(0.0010655*(F177^4))</f>
        <v>723.25606183679952</v>
      </c>
      <c r="BJ177" s="25">
        <f>VLOOKUP(E177,Wind!$C$2:$E$109,3, FALSE)</f>
        <v>4.7777777777777777</v>
      </c>
      <c r="BK177" s="44">
        <v>1.66</v>
      </c>
      <c r="BL177">
        <f>BK177/(1-(((1.3*10^-3)^0.5)/0.41)*LN(10/1.5))</f>
        <v>1.9923982880693825</v>
      </c>
      <c r="BM177">
        <f>BK177*1.22</f>
        <v>2.0251999999999999</v>
      </c>
      <c r="BN177">
        <f>2.07+0.215*(BM177^1.7)*(24/100)</f>
        <v>2.241255750541113</v>
      </c>
      <c r="BO177">
        <f>BN177*((600/BG177)^0.67)</f>
        <v>2.0348316753362758</v>
      </c>
      <c r="BP177">
        <f>BN177*((600/BH177)^0.67)</f>
        <v>2.0042930104013106</v>
      </c>
      <c r="BQ177">
        <f>BN177*((600/BI177)^0.67)</f>
        <v>1.9775481174217693</v>
      </c>
      <c r="BR177" s="39">
        <f>BO177*(AM177-BB177)</f>
        <v>44.18314892432663</v>
      </c>
      <c r="BS177" s="39">
        <f>BP177*(AD177-BD177)</f>
        <v>1.330303150552284</v>
      </c>
      <c r="BT177" s="39">
        <f>BQ177*(AU177-BF177)</f>
        <v>-4.9310534513380802</v>
      </c>
      <c r="BU177">
        <f>(2.51+1.48*BM177)+(0.39*BM177*LOG10(0.0015))</f>
        <v>3.2768938069574309</v>
      </c>
      <c r="BV177">
        <f>BU177*((600/$BG177)^0.67)</f>
        <v>2.9750854240978071</v>
      </c>
      <c r="BW177">
        <f>BU177*((600/$BH177)^0.67)</f>
        <v>2.9304354719564794</v>
      </c>
      <c r="BX177">
        <f>BU177*((600/$BI177)^0.67)</f>
        <v>2.891332315544616</v>
      </c>
      <c r="BY177" s="39">
        <f>BV177*($AM177-$BB177)</f>
        <v>64.599270764636429</v>
      </c>
      <c r="BZ177" s="39">
        <f>BW177*($AD177-$BD177)</f>
        <v>1.9450087989147462</v>
      </c>
      <c r="CA177" s="39">
        <f>BX177*($AU177-$BF177)</f>
        <v>-7.2095915482044468</v>
      </c>
      <c r="CB177" s="42">
        <f>AVERAGE(0.72,0.69,0.4,0.22)</f>
        <v>0.50750000000000006</v>
      </c>
      <c r="CC177">
        <f>CB177*((600/$BG177)^0.67)</f>
        <v>0.46075824902349399</v>
      </c>
      <c r="CD177">
        <f>CB177*((600/$BH177)^0.67)</f>
        <v>0.45384320934060507</v>
      </c>
      <c r="CE177">
        <f>CB177*((600/$BI177)^0.67)</f>
        <v>0.44778721453330106</v>
      </c>
      <c r="CF177" s="39">
        <f>CC177*($AM177-$BB177)</f>
        <v>10.004636049983196</v>
      </c>
      <c r="CG177" s="39">
        <f>CD177*($AD177-$BD177)</f>
        <v>0.30122793828517158</v>
      </c>
      <c r="CH177" s="39">
        <f>CE177*($AU177-$BF177)</f>
        <v>-1.1165658474941504</v>
      </c>
      <c r="CI177">
        <v>0.86263901889527161</v>
      </c>
      <c r="CJ177">
        <f>((BG177/BH177)^0.67)*CI177</f>
        <v>0.84969257016578825</v>
      </c>
      <c r="CK177">
        <f>((BH177/BH177)^0.67)*CI177</f>
        <v>0.86263901889527161</v>
      </c>
      <c r="CL177">
        <f>((BI177/BH177)^0.67)*CI177</f>
        <v>0.87430558115844903</v>
      </c>
      <c r="CM177" s="39">
        <f>CJ177*($AM177-$BB177)</f>
        <v>18.449729195081787</v>
      </c>
      <c r="CN177" s="39">
        <f>CK177*($AD177-$BD177)</f>
        <v>0.57255670636497313</v>
      </c>
      <c r="CO177" s="39">
        <f>CL177*($AU177-$BF177)</f>
        <v>-2.1800974224163556</v>
      </c>
      <c r="CP177" s="27">
        <f>VLOOKUP(A177,Water!$A$2:$E$109, 5, FALSE)/1000</f>
        <v>1.1999999999999999E-4</v>
      </c>
      <c r="CQ177">
        <f>0.64*CP177</f>
        <v>7.6799999999999997E-5</v>
      </c>
      <c r="CR177" s="19">
        <f>CQ177*1000*(2.5*10^-5)</f>
        <v>1.9199999999999998E-6</v>
      </c>
      <c r="CS177" s="18">
        <f>(-0.0000009*F177^3)+(0.0002*F177^2)-(0.0134*F177)+6.579</f>
        <v>6.4031083967999995</v>
      </c>
      <c r="CT177" s="18">
        <f>CS177-(SQRT(CP177))/(1+1.4*SQRT(CP177))</f>
        <v>6.3923194080797492</v>
      </c>
      <c r="CU177" s="18">
        <f>10^(-CT177)</f>
        <v>4.0521040804856994E-7</v>
      </c>
      <c r="CV177" s="18">
        <f>(0.000001*F177^3)+(0.00006*F177^2)-(0.014*F177)+10.625</f>
        <v>10.407038847999999</v>
      </c>
      <c r="CW177" s="18">
        <f>CV177-(2*SQRT(CR177))/(1+1.4*SQRT(CR177))</f>
        <v>10.404272932299195</v>
      </c>
      <c r="CX177" s="18">
        <f>10^(-CW177)</f>
        <v>3.942094833244961E-11</v>
      </c>
      <c r="CY177">
        <f>EXP(1246.98+-61900/H177-183*LN(H177))</f>
        <v>1.7954505181663742E-2</v>
      </c>
      <c r="CZ177">
        <f>12.225*(F177^2)+15.258*F177+1125.7</f>
        <v>5004.7815999999993</v>
      </c>
      <c r="DA177" s="15">
        <f>10^(-4470.99/H177+6.0875-0.01706*H177)</f>
        <v>5.4388445679710496E-15</v>
      </c>
      <c r="DB177">
        <f>(10^-I177)</f>
        <v>7.4131024130091451E-9</v>
      </c>
      <c r="DC177">
        <f>DB177^2</f>
        <v>5.4954087385762009E-17</v>
      </c>
      <c r="DD177" s="20">
        <f>((14.6836*10^-9)*((H177/217.2056)-1)^1.997)*100*100</f>
        <v>1.6705933276098249E-5</v>
      </c>
      <c r="DE177">
        <f>CY177+CZ177*DA177/DB177</f>
        <v>2.1626413068876128E-2</v>
      </c>
      <c r="DF177">
        <f>1+DC177*(CU177*CX177+CU177*DB177)^-1</f>
        <v>1.0181976815987124</v>
      </c>
      <c r="DG177">
        <f>(DE177*DF177/DD177)^0.5</f>
        <v>36.30554224521358</v>
      </c>
      <c r="DH177">
        <f>DD177/(BO177/60/60)</f>
        <v>2.9555938470446085E-2</v>
      </c>
      <c r="DI177" s="16">
        <f>DF177/((DF177-1)+TANH(DG177*DH177)/(DG177*DH177))</f>
        <v>1.348633074910119</v>
      </c>
      <c r="DJ177">
        <f>$DI177*BR177</f>
        <v>59.58685599302634</v>
      </c>
      <c r="DK177">
        <f>$DI177*BY177</f>
        <v>87.120713168262981</v>
      </c>
      <c r="DL177">
        <f>$DI177*CF177</f>
        <v>13.492583079445463</v>
      </c>
      <c r="DM177">
        <f>$DI177*CM177</f>
        <v>24.881915015622145</v>
      </c>
    </row>
    <row r="178" spans="1:117" ht="15.75" x14ac:dyDescent="0.25">
      <c r="A178" s="52" t="s">
        <v>332</v>
      </c>
      <c r="B178" s="55" t="s">
        <v>339</v>
      </c>
      <c r="C178" s="64" t="s">
        <v>480</v>
      </c>
      <c r="D178" s="65">
        <v>43297</v>
      </c>
      <c r="E178" s="42" t="str">
        <f>A178&amp;D178</f>
        <v>62E43297</v>
      </c>
      <c r="F178" s="3">
        <f>VLOOKUP($E178,Water!$C$2:$E$90, 2, FALSE)</f>
        <v>21.3</v>
      </c>
      <c r="G178" s="3">
        <f>VLOOKUP($E178,Water!$C$2:$E$90, 3, FALSE)</f>
        <v>2.12</v>
      </c>
      <c r="H178" s="1">
        <f>F178+273.15</f>
        <v>294.45</v>
      </c>
      <c r="I178" s="3">
        <f>VLOOKUP($E178,Water!$C$2:$F$90, 4, FALSE)</f>
        <v>8.09</v>
      </c>
      <c r="J178">
        <f>10^(I178*-1)</f>
        <v>8.1283051616409861E-9</v>
      </c>
      <c r="K178" s="25">
        <v>439.52751160265137</v>
      </c>
      <c r="L178" s="25">
        <v>2.8430237635924795</v>
      </c>
      <c r="M178" s="25">
        <v>0.32236441181786135</v>
      </c>
      <c r="N178" s="21">
        <f>VLOOKUP($C178,Raw!$B$2:$F$353, 3, FALSE)</f>
        <v>1759.9390000000001</v>
      </c>
      <c r="O178" s="21">
        <f>VLOOKUP($C178,Raw!$B$2:$F$353, 4, FALSE)</f>
        <v>312.71899999999999</v>
      </c>
      <c r="P178" s="21">
        <f>VLOOKUP($C178,Raw!$B$2:$F$353, 5, FALSE)</f>
        <v>0.52400000000000002</v>
      </c>
      <c r="Q178" s="14">
        <v>60</v>
      </c>
      <c r="R178" s="25">
        <v>1140</v>
      </c>
      <c r="S178">
        <f>EXP(24.4543-(100/H178*(67.4509))-(4.8489*LN(H178/100))-(0.000544*G178))</f>
        <v>2.4952276329832258E-2</v>
      </c>
      <c r="T178" s="8">
        <f>EXP(-58.0931+90.5069*(100/H178)+22.294*LN(H178/100)+G178*(0.027766-0.025888*(H178/100)+0.0050578*(H178/100)^2)*G178)</f>
        <v>3.6881519547612415E-2</v>
      </c>
      <c r="U178" s="9">
        <f>(EXP(-67.1962+99.1624*(100/H178)+27.9015*LN(H178/100)+G178*(-0.072909+0.041674*(H178/100)-0.0064603*(H178/100)^2)*G178))</f>
        <v>3.2875214415643735E-2</v>
      </c>
      <c r="V178" s="9">
        <f>(EXP(-64.8539+100.252*(100/H178)+25.2049*LN(H178/100)+(-0.062544+0.035337*(H178/100)-0.0054699*(H178/100)^2)*G178))</f>
        <v>2.7337774700628523E-2</v>
      </c>
      <c r="W178" s="9">
        <f>(EXP(-68.8862+101.4956*(100/H178)+28.7314*LN(H178/100)+G178*(-0.076146+0.04397*(H178/100)-0.0068672*(H178/100)^2)))</f>
        <v>3.331780234944335E-2</v>
      </c>
      <c r="X178">
        <f>N178*(AZ178-S178)</f>
        <v>1587.0395127220356</v>
      </c>
      <c r="Y178">
        <f>O178*(AZ178-S178)</f>
        <v>281.99693817735857</v>
      </c>
      <c r="Z178">
        <f>((Y178/10^6)*AZ178)/(0.082056*H178)</f>
        <v>1.0815997740634099E-5</v>
      </c>
      <c r="AA178">
        <f>(((L178/10^6)*AZ178)/(0.082056*H178))</f>
        <v>1.0904422864423224E-7</v>
      </c>
      <c r="AB178">
        <f>((Y178/10^6)*U178*1)/(0.082056*H178)</f>
        <v>3.8369936970079908E-7</v>
      </c>
      <c r="AC178">
        <f>(Z178*(Q178/1000))+(AB178*(R178/1000))</f>
        <v>1.0863771458969567E-6</v>
      </c>
      <c r="AD178" s="39">
        <f>((AC178-(AA178*(Q178/1000)))/(R178/1000))*1000000</f>
        <v>0.94722323875289727</v>
      </c>
      <c r="AE178" s="39">
        <f>(AD178/((U178*AZ178*1))*(0.0821*273.15))</f>
        <v>697.2427644644232</v>
      </c>
      <c r="AF178" s="39">
        <f>L178*U178*AZ178*1/(0.0821*273.15)</f>
        <v>3.862325024297801E-3</v>
      </c>
      <c r="AG178" s="39">
        <f>AD178-AF178</f>
        <v>0.94336091372859943</v>
      </c>
      <c r="AH178" s="42">
        <f>P178*(AZ178-S178)</f>
        <v>0.4725213229926416</v>
      </c>
      <c r="AI178">
        <f>(((X178/10^6)*(Q178/1000))/(0.082056*H178))</f>
        <v>3.9410966801247562E-6</v>
      </c>
      <c r="AJ178">
        <f>(((K178/10^6)*AZ178)*(Q178/1000))/(0.082056*H178)</f>
        <v>1.0114851465764947E-6</v>
      </c>
      <c r="AK178">
        <f>(X178/10^6)*T178*(R178/1000)</f>
        <v>6.6726968844871772E-5</v>
      </c>
      <c r="AL178">
        <f>AI178+AK178</f>
        <v>7.0668065524996529E-5</v>
      </c>
      <c r="AM178" s="39">
        <f>((AL178-AJ178)/(R178/1000))*1000000</f>
        <v>61.102263489842137</v>
      </c>
      <c r="AN178" s="39">
        <f>AM178/(T178*AZ178)</f>
        <v>1787.7401609851654</v>
      </c>
      <c r="AO178" s="39">
        <f>(K178*AZ178)*T178</f>
        <v>15.022387711075595</v>
      </c>
      <c r="AP178" s="39">
        <f>AM178-AO178</f>
        <v>46.079875778766542</v>
      </c>
      <c r="AQ178">
        <f>(((AH178/10^6)*(Q178/1000))/(0.082056*H178))</f>
        <v>1.1734126355432617E-9</v>
      </c>
      <c r="AR178">
        <f>(((M178/10^6)*AZ178)*(Q178/1000))/(0.082056*H178)</f>
        <v>7.4185757599039918E-10</v>
      </c>
      <c r="AS178">
        <f>(AH178/10^6)*V178*(R178/1000)</f>
        <v>1.4726156874905962E-8</v>
      </c>
      <c r="AT178">
        <f>AQ178+AS178</f>
        <v>1.5899569510449224E-8</v>
      </c>
      <c r="AU178" s="39">
        <f>((AT178-AR178)/(R178/1000))*1000000000</f>
        <v>13.296238538998969</v>
      </c>
      <c r="AV178" s="39">
        <f>(AU178/1000)/(V178*AZ178)</f>
        <v>0.52483349225577436</v>
      </c>
      <c r="AW178" s="39">
        <f>(M178*AZ178)*V178*1000</f>
        <v>8.1668456363023285</v>
      </c>
      <c r="AX178" s="39">
        <f>AU178-AW178</f>
        <v>5.1293929026966403</v>
      </c>
      <c r="AY178" s="26">
        <f>VLOOKUP($E178,Water!$C$2:$G$90, 5, FALSE)</f>
        <v>704.3</v>
      </c>
      <c r="AZ178">
        <f>AY178/760</f>
        <v>0.92671052631578943</v>
      </c>
      <c r="BA178" s="3">
        <f>Assumptions!$B$3</f>
        <v>406.07</v>
      </c>
      <c r="BB178" s="3">
        <f>BA178*AZ178*T178</f>
        <v>13.878860405332746</v>
      </c>
      <c r="BC178" s="3">
        <f>Assumptions!$B$4</f>
        <v>1.8474300000000001</v>
      </c>
      <c r="BD178" s="45">
        <f>BC178*AZ178*U178*1/(0.0821*273.15)</f>
        <v>2.5097838473999035E-3</v>
      </c>
      <c r="BE178" s="3">
        <f>Assumptions!$B$2</f>
        <v>0.33054499999999998</v>
      </c>
      <c r="BF178" s="44">
        <f>BE178*AZ178*V178*1000</f>
        <v>8.3740943227219464</v>
      </c>
      <c r="BG178">
        <f>1923.6+(-125.06*F178)+(4.3773*(F178^2))+(-0.085681*(F178^3))+(0.00070284*(F178^4))</f>
        <v>562.44138402272392</v>
      </c>
      <c r="BH178">
        <f>1909.4+(-120.78*F178)+(4.1555*(F178^2))+(-0.080578*(F178^3))+(0.00065777*(F178^4))</f>
        <v>578.8133113660972</v>
      </c>
      <c r="BI178">
        <f>2141.2+(-152.56*F178)+(5.8963*(F178^2))+(-0.12411*(F178^3))+(0.0010655*(F178^4))</f>
        <v>586.73210678454973</v>
      </c>
      <c r="BJ178" s="25">
        <f>VLOOKUP(E178,Wind!$C$2:$E$109,3, FALSE)</f>
        <v>3.8888888888888888</v>
      </c>
      <c r="BK178" s="44">
        <v>1.66</v>
      </c>
      <c r="BL178">
        <f>BK178/(1-(((1.3*10^-3)^0.5)/0.41)*LN(10/1.5))</f>
        <v>1.9923982880693825</v>
      </c>
      <c r="BM178">
        <f>BK178*1.22</f>
        <v>2.0251999999999999</v>
      </c>
      <c r="BN178">
        <f>2.07+0.215*(BM178^1.7)*(24/100)</f>
        <v>2.241255750541113</v>
      </c>
      <c r="BO178">
        <f>BN178*((600/BG178)^0.67)</f>
        <v>2.3404587160317742</v>
      </c>
      <c r="BP178">
        <f>BN178*((600/BH178)^0.67)</f>
        <v>2.2958946323930371</v>
      </c>
      <c r="BQ178">
        <f>BN178*((600/BI178)^0.67)</f>
        <v>2.2750872281403383</v>
      </c>
      <c r="BR178" s="39">
        <f>BO178*(AM178-BB178)</f>
        <v>110.52442534982178</v>
      </c>
      <c r="BS178" s="39">
        <f>BP178*(AD178-BD178)</f>
        <v>2.1689625502670129</v>
      </c>
      <c r="BT178" s="39">
        <f>BQ178*(AU178-BF178)</f>
        <v>11.198307441516688</v>
      </c>
      <c r="BU178">
        <f>(2.51+1.48*BM178)+(0.39*BM178*LOG10(0.0015))</f>
        <v>3.2768938069574309</v>
      </c>
      <c r="BV178">
        <f>BU178*((600/$BG178)^0.67)</f>
        <v>3.4219364167397708</v>
      </c>
      <c r="BW178">
        <f>BU178*((600/$BH178)^0.67)</f>
        <v>3.356780189185975</v>
      </c>
      <c r="BX178">
        <f>BU178*((600/$BI178)^0.67)</f>
        <v>3.3263581125808988</v>
      </c>
      <c r="BY178" s="39">
        <f>BV178*($AM178-$BB178)</f>
        <v>161.59548273726392</v>
      </c>
      <c r="BZ178" s="39">
        <f>BW178*($AD178-$BD178)</f>
        <v>3.1711954098842114</v>
      </c>
      <c r="CA178" s="39">
        <f>BX178*($AU178-$BF178)</f>
        <v>16.372814345106224</v>
      </c>
      <c r="CB178" s="42">
        <f>AVERAGE(0.72,0.69,0.4,0.22)</f>
        <v>0.50750000000000006</v>
      </c>
      <c r="CC178">
        <f>CB178*((600/$BG178)^0.67)</f>
        <v>0.52996307900129458</v>
      </c>
      <c r="CD178">
        <f>CB178*((600/$BH178)^0.67)</f>
        <v>0.51987218578609651</v>
      </c>
      <c r="CE178">
        <f>CB178*((600/$BI178)^0.67)</f>
        <v>0.51516064956106045</v>
      </c>
      <c r="CF178" s="39">
        <f>CC178*($AM178-$BB178)</f>
        <v>25.026660099585829</v>
      </c>
      <c r="CG178" s="39">
        <f>CD178*($AD178-$BD178)</f>
        <v>0.49113024874325584</v>
      </c>
      <c r="CH178" s="39">
        <f>CE178*($AU178-$BF178)</f>
        <v>2.5356950116904877</v>
      </c>
      <c r="CI178">
        <v>1.8626390188952699</v>
      </c>
      <c r="CJ178">
        <f>((BG178/BH178)^0.67)*CI178</f>
        <v>1.8271729794995564</v>
      </c>
      <c r="CK178">
        <f>((BH178/BH178)^0.67)*CI178</f>
        <v>1.8626390188952699</v>
      </c>
      <c r="CL178">
        <f>((BI178/BH178)^0.67)*CI178</f>
        <v>1.8796742703632694</v>
      </c>
      <c r="CM178" s="39">
        <f>CJ178*($AM178-$BB178)</f>
        <v>86.28532611603157</v>
      </c>
      <c r="CN178" s="39">
        <f>CK178*($AD178-$BD178)</f>
        <v>1.7596601427823366</v>
      </c>
      <c r="CO178" s="39">
        <f>CL178*($AU178-$BF178)</f>
        <v>9.2520278383532979</v>
      </c>
      <c r="CP178" s="27">
        <f>VLOOKUP(A178,Water!$A$2:$E$109, 5, FALSE)/1000</f>
        <v>1.1899999999999999E-3</v>
      </c>
      <c r="CQ178">
        <f>0.64*CP178</f>
        <v>7.6159999999999997E-4</v>
      </c>
      <c r="CR178" s="19">
        <f>CQ178*1000*(2.5*10^-5)</f>
        <v>1.9040000000000001E-5</v>
      </c>
      <c r="CS178" s="18">
        <f>(-0.0000009*F178^3)+(0.0002*F178^2)-(0.0134*F178)+6.579</f>
        <v>6.3756207626999997</v>
      </c>
      <c r="CT178" s="18">
        <f>CS178-(SQRT(CP178))/(1+1.4*SQRT(CP178))</f>
        <v>6.3427136334905105</v>
      </c>
      <c r="CU178" s="18">
        <f>10^(-CT178)</f>
        <v>4.5424103685685733E-7</v>
      </c>
      <c r="CV178" s="18">
        <f>(0.000001*F178^3)+(0.00006*F178^2)-(0.014*F178)+10.625</f>
        <v>10.363684997</v>
      </c>
      <c r="CW178" s="18">
        <f>CV178-(2*SQRT(CR178))/(1+1.4*SQRT(CR178))</f>
        <v>10.355011015609184</v>
      </c>
      <c r="CX178" s="18">
        <f>10^(-CW178)</f>
        <v>4.4155924733583425E-11</v>
      </c>
      <c r="CY178">
        <f>EXP(1246.98+-61900/H178-183*LN(H178))</f>
        <v>2.6851490391062646E-2</v>
      </c>
      <c r="CZ178">
        <f>12.225*(F178^2)+15.258*F178+1125.7</f>
        <v>6997.0556500000002</v>
      </c>
      <c r="DA178" s="15">
        <f>10^(-4470.99/H178+6.0875-0.01706*H178)</f>
        <v>7.5853417953614095E-15</v>
      </c>
      <c r="DB178">
        <f>(10^-I178)</f>
        <v>8.1283051616409861E-9</v>
      </c>
      <c r="DC178">
        <f>DB178^2</f>
        <v>6.6069344800759498E-17</v>
      </c>
      <c r="DD178" s="20">
        <f>((14.6836*10^-9)*((H178/217.2056)-1)^1.997)*100*100</f>
        <v>1.8628227339368273E-5</v>
      </c>
      <c r="DE178">
        <f>CY178+CZ178*DA178/DB178</f>
        <v>3.3381149109695155E-2</v>
      </c>
      <c r="DF178">
        <f>1+DC178*(CU178*CX178+CU178*DB178)^-1</f>
        <v>1.0177975725573889</v>
      </c>
      <c r="DG178">
        <f>(DE178*DF178/DD178)^0.5</f>
        <v>42.706657496111667</v>
      </c>
      <c r="DH178">
        <f>DD178/(BO178/60/60)</f>
        <v>2.8653194334240649E-2</v>
      </c>
      <c r="DI178" s="16">
        <f>DF178/((DF178-1)+TANH(DG178*DH178)/(DG178*DH178))</f>
        <v>1.4439863874062242</v>
      </c>
      <c r="DJ178">
        <f>$DI178*BR178</f>
        <v>159.59576568103807</v>
      </c>
      <c r="DK178">
        <f>$DI178*BY178</f>
        <v>233.3416773389466</v>
      </c>
      <c r="DL178">
        <f>$DI178*CF178</f>
        <v>36.138156506044439</v>
      </c>
      <c r="DM178">
        <f>$DI178*CM178</f>
        <v>124.59483634445635</v>
      </c>
    </row>
    <row r="179" spans="1:117" ht="15.75" x14ac:dyDescent="0.25">
      <c r="A179" s="52" t="s">
        <v>332</v>
      </c>
      <c r="B179" s="55" t="s">
        <v>340</v>
      </c>
      <c r="C179" s="64" t="s">
        <v>481</v>
      </c>
      <c r="D179" s="65">
        <v>43297</v>
      </c>
      <c r="E179" s="42" t="str">
        <f>A179&amp;D179</f>
        <v>62E43297</v>
      </c>
      <c r="F179" s="3">
        <f>VLOOKUP($E179,Water!$C$2:$E$90, 2, FALSE)</f>
        <v>21.3</v>
      </c>
      <c r="G179" s="3">
        <f>VLOOKUP($E179,Water!$C$2:$E$90, 3, FALSE)</f>
        <v>2.12</v>
      </c>
      <c r="H179" s="1">
        <f>F179+273.15</f>
        <v>294.45</v>
      </c>
      <c r="I179" s="3">
        <f>VLOOKUP($E179,Water!$C$2:$F$90, 4, FALSE)</f>
        <v>8.09</v>
      </c>
      <c r="J179">
        <f>10^(I179*-1)</f>
        <v>8.1283051616409861E-9</v>
      </c>
      <c r="K179" s="25">
        <v>439.52751160265137</v>
      </c>
      <c r="L179" s="25">
        <v>2.8430237635924795</v>
      </c>
      <c r="M179" s="25">
        <v>0.32236441181786135</v>
      </c>
      <c r="N179" s="21">
        <f>VLOOKUP($C179,Raw!$B$2:$F$353, 3, FALSE)</f>
        <v>1811.941</v>
      </c>
      <c r="O179" s="21">
        <f>VLOOKUP($C179,Raw!$B$2:$F$353, 4, FALSE)</f>
        <v>314.12700000000001</v>
      </c>
      <c r="P179" s="21">
        <f>VLOOKUP($C179,Raw!$B$2:$F$353, 5, FALSE)</f>
        <v>0.52400000000000002</v>
      </c>
      <c r="Q179" s="14">
        <v>60</v>
      </c>
      <c r="R179" s="25">
        <v>1140</v>
      </c>
      <c r="S179">
        <f>EXP(24.4543-(100/H179*(67.4509))-(4.8489*LN(H179/100))-(0.000544*G179))</f>
        <v>2.4952276329832258E-2</v>
      </c>
      <c r="T179" s="8">
        <f>EXP(-58.0931+90.5069*(100/H179)+22.294*LN(H179/100)+G179*(0.027766-0.025888*(H179/100)+0.0050578*(H179/100)^2)*G179)</f>
        <v>3.6881519547612415E-2</v>
      </c>
      <c r="U179" s="9">
        <f>(EXP(-67.1962+99.1624*(100/H179)+27.9015*LN(H179/100)+G179*(-0.072909+0.041674*(H179/100)-0.0064603*(H179/100)^2)*G179))</f>
        <v>3.2875214415643735E-2</v>
      </c>
      <c r="V179" s="9">
        <f>(EXP(-64.8539+100.252*(100/H179)+25.2049*LN(H179/100)+(-0.062544+0.035337*(H179/100)-0.0054699*(H179/100)^2)*G179))</f>
        <v>2.7337774700628523E-2</v>
      </c>
      <c r="W179" s="9">
        <f>(EXP(-68.8862+101.4956*(100/H179)+28.7314*LN(H179/100)+G179*(-0.076146+0.04397*(H179/100)-0.0068672*(H179/100)^2)))</f>
        <v>3.331780234944335E-2</v>
      </c>
      <c r="X179">
        <f>N179*(AZ179-S179)</f>
        <v>1633.9327452378054</v>
      </c>
      <c r="Y179">
        <f>O179*(AZ179-S179)</f>
        <v>283.26661379333876</v>
      </c>
      <c r="Z179">
        <f>((Y179/10^6)*AZ179)/(0.082056*H179)</f>
        <v>1.0864696172193462E-5</v>
      </c>
      <c r="AA179">
        <f>(((L179/10^6)*AZ179)/(0.082056*H179))</f>
        <v>1.0904422864423224E-7</v>
      </c>
      <c r="AB179">
        <f>((Y179/10^6)*U179*1)/(0.082056*H179)</f>
        <v>3.8542695488922286E-7</v>
      </c>
      <c r="AC179">
        <f>(Z179*(Q179/1000))+(AB179*(R179/1000))</f>
        <v>1.0912684989053216E-6</v>
      </c>
      <c r="AD179" s="39">
        <f>((AC179-(AA179*(Q179/1000)))/(R179/1000))*1000000</f>
        <v>0.95151389928655061</v>
      </c>
      <c r="AE179" s="39">
        <f>(AD179/((U179*AZ179*1))*(0.0821*273.15))</f>
        <v>700.40108226055509</v>
      </c>
      <c r="AF179" s="39">
        <f>L179*U179*AZ179*1/(0.0821*273.15)</f>
        <v>3.862325024297801E-3</v>
      </c>
      <c r="AG179" s="39">
        <f>AD179-AF179</f>
        <v>0.94765157426225277</v>
      </c>
      <c r="AH179" s="42">
        <f>P179*(AZ179-S179)</f>
        <v>0.4725213229926416</v>
      </c>
      <c r="AI179">
        <f>(((X179/10^6)*(Q179/1000))/(0.082056*H179))</f>
        <v>4.0575466875169715E-6</v>
      </c>
      <c r="AJ179">
        <f>(((K179/10^6)*AZ179)*(Q179/1000))/(0.082056*H179)</f>
        <v>1.0114851465764947E-6</v>
      </c>
      <c r="AK179">
        <f>(X179/10^6)*T179*(R179/1000)</f>
        <v>6.8698591630588228E-5</v>
      </c>
      <c r="AL179">
        <f>AI179+AK179</f>
        <v>7.2756138318105199E-5</v>
      </c>
      <c r="AM179" s="39">
        <f>((AL179-AJ179)/(R179/1000))*1000000</f>
        <v>62.933906290814654</v>
      </c>
      <c r="AN179" s="39">
        <f>AM179/(T179*AZ179)</f>
        <v>1841.3306698936003</v>
      </c>
      <c r="AO179" s="39">
        <f>(K179*AZ179)*T179</f>
        <v>15.022387711075595</v>
      </c>
      <c r="AP179" s="39">
        <f>AM179-AO179</f>
        <v>47.911518579739059</v>
      </c>
      <c r="AQ179">
        <f>(((AH179/10^6)*(Q179/1000))/(0.082056*H179))</f>
        <v>1.1734126355432617E-9</v>
      </c>
      <c r="AR179">
        <f>(((M179/10^6)*AZ179)*(Q179/1000))/(0.082056*H179)</f>
        <v>7.4185757599039918E-10</v>
      </c>
      <c r="AS179">
        <f>(AH179/10^6)*V179*(R179/1000)</f>
        <v>1.4726156874905962E-8</v>
      </c>
      <c r="AT179">
        <f>AQ179+AS179</f>
        <v>1.5899569510449224E-8</v>
      </c>
      <c r="AU179" s="39">
        <f>((AT179-AR179)/(R179/1000))*1000000000</f>
        <v>13.296238538998969</v>
      </c>
      <c r="AV179" s="39">
        <f>(AU179/1000)/(V179*AZ179)</f>
        <v>0.52483349225577436</v>
      </c>
      <c r="AW179" s="39">
        <f>(M179*AZ179)*V179*1000</f>
        <v>8.1668456363023285</v>
      </c>
      <c r="AX179" s="39">
        <f>AU179-AW179</f>
        <v>5.1293929026966403</v>
      </c>
      <c r="AY179" s="26">
        <f>VLOOKUP($E179,Water!$C$2:$G$90, 5, FALSE)</f>
        <v>704.3</v>
      </c>
      <c r="AZ179">
        <f>AY179/760</f>
        <v>0.92671052631578943</v>
      </c>
      <c r="BA179" s="3">
        <f>Assumptions!$B$3</f>
        <v>406.07</v>
      </c>
      <c r="BB179" s="3">
        <f>BA179*AZ179*T179</f>
        <v>13.878860405332746</v>
      </c>
      <c r="BC179" s="3">
        <f>Assumptions!$B$4</f>
        <v>1.8474300000000001</v>
      </c>
      <c r="BD179" s="45">
        <f>BC179*AZ179*U179*1/(0.0821*273.15)</f>
        <v>2.5097838473999035E-3</v>
      </c>
      <c r="BE179" s="3">
        <f>Assumptions!$B$2</f>
        <v>0.33054499999999998</v>
      </c>
      <c r="BF179" s="44">
        <f>BE179*AZ179*V179*1000</f>
        <v>8.3740943227219464</v>
      </c>
      <c r="BG179">
        <f>1923.6+(-125.06*F179)+(4.3773*(F179^2))+(-0.085681*(F179^3))+(0.00070284*(F179^4))</f>
        <v>562.44138402272392</v>
      </c>
      <c r="BH179">
        <f>1909.4+(-120.78*F179)+(4.1555*(F179^2))+(-0.080578*(F179^3))+(0.00065777*(F179^4))</f>
        <v>578.8133113660972</v>
      </c>
      <c r="BI179">
        <f>2141.2+(-152.56*F179)+(5.8963*(F179^2))+(-0.12411*(F179^3))+(0.0010655*(F179^4))</f>
        <v>586.73210678454973</v>
      </c>
      <c r="BJ179" s="25">
        <f>VLOOKUP(E179,Wind!$C$2:$E$109,3, FALSE)</f>
        <v>3.8888888888888888</v>
      </c>
      <c r="BK179" s="44">
        <v>1.66</v>
      </c>
      <c r="BL179">
        <f>BK179/(1-(((1.3*10^-3)^0.5)/0.41)*LN(10/1.5))</f>
        <v>1.9923982880693825</v>
      </c>
      <c r="BM179">
        <f>BK179*1.22</f>
        <v>2.0251999999999999</v>
      </c>
      <c r="BN179">
        <f>2.07+0.215*(BM179^1.7)*(24/100)</f>
        <v>2.241255750541113</v>
      </c>
      <c r="BO179">
        <f>BN179*((600/BG179)^0.67)</f>
        <v>2.3404587160317742</v>
      </c>
      <c r="BP179">
        <f>BN179*((600/BH179)^0.67)</f>
        <v>2.2958946323930371</v>
      </c>
      <c r="BQ179">
        <f>BN179*((600/BI179)^0.67)</f>
        <v>2.2750872281403383</v>
      </c>
      <c r="BR179" s="39">
        <f>BO179*(AM179-BB179)</f>
        <v>114.81130970801476</v>
      </c>
      <c r="BS179" s="39">
        <f>BP179*(AD179-BD179)</f>
        <v>2.1788134547556486</v>
      </c>
      <c r="BT179" s="39">
        <f>BQ179*(AU179-BF179)</f>
        <v>11.198307441516688</v>
      </c>
      <c r="BU179">
        <f>(2.51+1.48*BM179)+(0.39*BM179*LOG10(0.0015))</f>
        <v>3.2768938069574309</v>
      </c>
      <c r="BV179">
        <f>BU179*((600/$BG179)^0.67)</f>
        <v>3.4219364167397708</v>
      </c>
      <c r="BW179">
        <f>BU179*((600/$BH179)^0.67)</f>
        <v>3.356780189185975</v>
      </c>
      <c r="BX179">
        <f>BU179*((600/$BI179)^0.67)</f>
        <v>3.3263581125808988</v>
      </c>
      <c r="BY179" s="39">
        <f>BV179*($AM179-$BB179)</f>
        <v>167.863247940371</v>
      </c>
      <c r="BZ179" s="39">
        <f>BW179*($AD179-$BD179)</f>
        <v>3.1855982141621011</v>
      </c>
      <c r="CA179" s="39">
        <f>BX179*($AU179-$BF179)</f>
        <v>16.372814345106224</v>
      </c>
      <c r="CB179" s="42">
        <f>AVERAGE(0.72,0.69,0.4,0.22)</f>
        <v>0.50750000000000006</v>
      </c>
      <c r="CC179">
        <f>CB179*((600/$BG179)^0.67)</f>
        <v>0.52996307900129458</v>
      </c>
      <c r="CD179">
        <f>CB179*((600/$BH179)^0.67)</f>
        <v>0.51987218578609651</v>
      </c>
      <c r="CE179">
        <f>CB179*((600/$BI179)^0.67)</f>
        <v>0.51516064956106045</v>
      </c>
      <c r="CF179" s="39">
        <f>CC179*($AM179-$BB179)</f>
        <v>25.99736315801978</v>
      </c>
      <c r="CG179" s="39">
        <f>CD179*($AD179-$BD179)</f>
        <v>0.49336084381335238</v>
      </c>
      <c r="CH179" s="39">
        <f>CE179*($AU179-$BF179)</f>
        <v>2.5356950116904877</v>
      </c>
      <c r="CI179">
        <v>2.8626390188952699</v>
      </c>
      <c r="CJ179">
        <f>((BG179/BH179)^0.67)*CI179</f>
        <v>2.8081322319172641</v>
      </c>
      <c r="CK179">
        <f>((BH179/BH179)^0.67)*CI179</f>
        <v>2.8626390188952699</v>
      </c>
      <c r="CL179">
        <f>((BI179/BH179)^0.67)*CI179</f>
        <v>2.8888200314555625</v>
      </c>
      <c r="CM179" s="39">
        <f>CJ179*($AM179-$BB179)</f>
        <v>137.75305548920213</v>
      </c>
      <c r="CN179" s="39">
        <f>CK179*($AD179-$BD179)</f>
        <v>2.716656209948304</v>
      </c>
      <c r="CO179" s="39">
        <f>CL179*($AU179-$BF179)</f>
        <v>14.219188809694202</v>
      </c>
      <c r="CP179" s="27">
        <f>VLOOKUP(A179,Water!$A$2:$E$109, 5, FALSE)/1000</f>
        <v>1.1899999999999999E-3</v>
      </c>
      <c r="CQ179">
        <f>0.64*CP179</f>
        <v>7.6159999999999997E-4</v>
      </c>
      <c r="CR179" s="19">
        <f>CQ179*1000*(2.5*10^-5)</f>
        <v>1.9040000000000001E-5</v>
      </c>
      <c r="CS179" s="18">
        <f>(-0.0000009*F179^3)+(0.0002*F179^2)-(0.0134*F179)+6.579</f>
        <v>6.3756207626999997</v>
      </c>
      <c r="CT179" s="18">
        <f>CS179-(SQRT(CP179))/(1+1.4*SQRT(CP179))</f>
        <v>6.3427136334905105</v>
      </c>
      <c r="CU179" s="18">
        <f>10^(-CT179)</f>
        <v>4.5424103685685733E-7</v>
      </c>
      <c r="CV179" s="18">
        <f>(0.000001*F179^3)+(0.00006*F179^2)-(0.014*F179)+10.625</f>
        <v>10.363684997</v>
      </c>
      <c r="CW179" s="18">
        <f>CV179-(2*SQRT(CR179))/(1+1.4*SQRT(CR179))</f>
        <v>10.355011015609184</v>
      </c>
      <c r="CX179" s="18">
        <f>10^(-CW179)</f>
        <v>4.4155924733583425E-11</v>
      </c>
      <c r="CY179">
        <f>EXP(1246.98+-61900/H179-183*LN(H179))</f>
        <v>2.6851490391062646E-2</v>
      </c>
      <c r="CZ179">
        <f>12.225*(F179^2)+15.258*F179+1125.7</f>
        <v>6997.0556500000002</v>
      </c>
      <c r="DA179" s="15">
        <f>10^(-4470.99/H179+6.0875-0.01706*H179)</f>
        <v>7.5853417953614095E-15</v>
      </c>
      <c r="DB179">
        <f>(10^-I179)</f>
        <v>8.1283051616409861E-9</v>
      </c>
      <c r="DC179">
        <f>DB179^2</f>
        <v>6.6069344800759498E-17</v>
      </c>
      <c r="DD179" s="20">
        <f>((14.6836*10^-9)*((H179/217.2056)-1)^1.997)*100*100</f>
        <v>1.8628227339368273E-5</v>
      </c>
      <c r="DE179">
        <f>CY179+CZ179*DA179/DB179</f>
        <v>3.3381149109695155E-2</v>
      </c>
      <c r="DF179">
        <f>1+DC179*(CU179*CX179+CU179*DB179)^-1</f>
        <v>1.0177975725573889</v>
      </c>
      <c r="DG179">
        <f>(DE179*DF179/DD179)^0.5</f>
        <v>42.706657496111667</v>
      </c>
      <c r="DH179">
        <f>DD179/(BO179/60/60)</f>
        <v>2.8653194334240649E-2</v>
      </c>
      <c r="DI179" s="16">
        <f>DF179/((DF179-1)+TANH(DG179*DH179)/(DG179*DH179))</f>
        <v>1.4439863874062242</v>
      </c>
      <c r="DJ179">
        <f>$DI179*BR179</f>
        <v>165.78596833865339</v>
      </c>
      <c r="DK179">
        <f>$DI179*BY179</f>
        <v>242.39224497169161</v>
      </c>
      <c r="DL179">
        <f>$DI179*CF179</f>
        <v>37.539838508636649</v>
      </c>
      <c r="DM179">
        <f>$DI179*CM179</f>
        <v>198.91353695002212</v>
      </c>
    </row>
    <row r="180" spans="1:117" ht="15.75" x14ac:dyDescent="0.25">
      <c r="A180" s="52" t="s">
        <v>332</v>
      </c>
      <c r="B180" s="55" t="s">
        <v>341</v>
      </c>
      <c r="C180" s="64" t="s">
        <v>482</v>
      </c>
      <c r="D180" s="65">
        <v>43297</v>
      </c>
      <c r="E180" s="42" t="str">
        <f>A180&amp;D180</f>
        <v>62E43297</v>
      </c>
      <c r="F180" s="3">
        <f>VLOOKUP($E180,Water!$C$2:$E$90, 2, FALSE)</f>
        <v>21.3</v>
      </c>
      <c r="G180" s="3">
        <f>VLOOKUP($E180,Water!$C$2:$E$90, 3, FALSE)</f>
        <v>2.12</v>
      </c>
      <c r="H180" s="1">
        <f>F180+273.15</f>
        <v>294.45</v>
      </c>
      <c r="I180" s="3">
        <f>VLOOKUP($E180,Water!$C$2:$F$90, 4, FALSE)</f>
        <v>8.09</v>
      </c>
      <c r="J180">
        <f>10^(I180*-1)</f>
        <v>8.1283051616409861E-9</v>
      </c>
      <c r="K180" s="25">
        <v>439.52751160265137</v>
      </c>
      <c r="L180" s="25">
        <v>2.8430237635924795</v>
      </c>
      <c r="M180" s="25">
        <v>0.32236441181786135</v>
      </c>
      <c r="N180" s="21">
        <f>VLOOKUP($C180,Raw!$B$2:$F$353, 3, FALSE)</f>
        <v>1738.713</v>
      </c>
      <c r="O180" s="21">
        <f>VLOOKUP($C180,Raw!$B$2:$F$353, 4, FALSE)</f>
        <v>319.69400000000002</v>
      </c>
      <c r="P180" s="21">
        <f>VLOOKUP($C180,Raw!$B$2:$F$353, 5, FALSE)</f>
        <v>0.52600000000000002</v>
      </c>
      <c r="Q180" s="14">
        <v>60</v>
      </c>
      <c r="R180" s="25">
        <v>1140</v>
      </c>
      <c r="S180">
        <f>EXP(24.4543-(100/H180*(67.4509))-(4.8489*LN(H180/100))-(0.000544*G180))</f>
        <v>2.4952276329832258E-2</v>
      </c>
      <c r="T180" s="8">
        <f>EXP(-58.0931+90.5069*(100/H180)+22.294*LN(H180/100)+G180*(0.027766-0.025888*(H180/100)+0.0050578*(H180/100)^2)*G180)</f>
        <v>3.6881519547612415E-2</v>
      </c>
      <c r="U180" s="9">
        <f>(EXP(-67.1962+99.1624*(100/H180)+27.9015*LN(H180/100)+G180*(-0.072909+0.041674*(H180/100)-0.0064603*(H180/100)^2)*G180))</f>
        <v>3.2875214415643735E-2</v>
      </c>
      <c r="V180" s="9">
        <f>(EXP(-64.8539+100.252*(100/H180)+25.2049*LN(H180/100)+(-0.062544+0.035337*(H180/100)-0.0054699*(H180/100)^2)*G180))</f>
        <v>2.7337774700628523E-2</v>
      </c>
      <c r="W180" s="9">
        <f>(EXP(-68.8862+101.4956*(100/H180)+28.7314*LN(H180/100)+G180*(-0.076146+0.04397*(H180/100)-0.0068672*(H180/100)^2)))</f>
        <v>3.331780234944335E-2</v>
      </c>
      <c r="X180">
        <f>N180*(AZ180-S180)</f>
        <v>1567.8987921078335</v>
      </c>
      <c r="Y180">
        <f>O180*(AZ180-S180)</f>
        <v>288.28670197101064</v>
      </c>
      <c r="Z180">
        <f>((Y180/10^6)*AZ180)/(0.082056*H180)</f>
        <v>1.1057241746405808E-5</v>
      </c>
      <c r="AA180">
        <f>(((L180/10^6)*AZ180)/(0.082056*H180))</f>
        <v>1.0904422864423224E-7</v>
      </c>
      <c r="AB180">
        <f>((Y180/10^6)*U180*1)/(0.082056*H180)</f>
        <v>3.9225754206532781E-7</v>
      </c>
      <c r="AC180">
        <f>(Z180*(Q180/1000))+(AB180*(R180/1000))</f>
        <v>1.1106081027388221E-6</v>
      </c>
      <c r="AD180" s="39">
        <f>((AC180-(AA180*(Q180/1000)))/(R180/1000))*1000000</f>
        <v>0.96847846405277915</v>
      </c>
      <c r="AE180" s="39">
        <f>(AD180/((U180*AZ180*1))*(0.0821*273.15))</f>
        <v>712.88855042182411</v>
      </c>
      <c r="AF180" s="39">
        <f>L180*U180*AZ180*1/(0.0821*273.15)</f>
        <v>3.862325024297801E-3</v>
      </c>
      <c r="AG180" s="39">
        <f>AD180-AF180</f>
        <v>0.96461613902848131</v>
      </c>
      <c r="AH180" s="42">
        <f>P180*(AZ180-S180)</f>
        <v>0.4743248394926135</v>
      </c>
      <c r="AI180">
        <f>(((X180/10^6)*(Q180/1000))/(0.082056*H180))</f>
        <v>3.8935645110368908E-6</v>
      </c>
      <c r="AJ180">
        <f>(((K180/10^6)*AZ180)*(Q180/1000))/(0.082056*H180)</f>
        <v>1.0114851465764947E-6</v>
      </c>
      <c r="AK180">
        <f>(X180/10^6)*T180*(R180/1000)</f>
        <v>6.592219854277537E-5</v>
      </c>
      <c r="AL180">
        <f>AI180+AK180</f>
        <v>6.9815763053812256E-5</v>
      </c>
      <c r="AM180" s="39">
        <f>((AL180-AJ180)/(R180/1000))*1000000</f>
        <v>60.354629743189271</v>
      </c>
      <c r="AN180" s="39">
        <f>AM180/(T180*AZ180)</f>
        <v>1765.8657688062024</v>
      </c>
      <c r="AO180" s="39">
        <f>(K180*AZ180)*T180</f>
        <v>15.022387711075595</v>
      </c>
      <c r="AP180" s="39">
        <f>AM180-AO180</f>
        <v>45.332242032113676</v>
      </c>
      <c r="AQ180">
        <f>(((AH180/10^6)*(Q180/1000))/(0.082056*H180))</f>
        <v>1.1778913097247244E-9</v>
      </c>
      <c r="AR180">
        <f>(((M180/10^6)*AZ180)*(Q180/1000))/(0.082056*H180)</f>
        <v>7.4185757599039918E-10</v>
      </c>
      <c r="AS180">
        <f>(AH180/10^6)*V180*(R180/1000)</f>
        <v>1.4782363580535373E-8</v>
      </c>
      <c r="AT180">
        <f>AQ180+AS180</f>
        <v>1.5960254890260096E-8</v>
      </c>
      <c r="AU180" s="39">
        <f>((AT180-AR180)/(R180/1000))*1000000000</f>
        <v>13.349471328306752</v>
      </c>
      <c r="AV180" s="39">
        <f>(AU180/1000)/(V180*AZ180)</f>
        <v>0.52693471438961126</v>
      </c>
      <c r="AW180" s="39">
        <f>(M180*AZ180)*V180*1000</f>
        <v>8.1668456363023285</v>
      </c>
      <c r="AX180" s="39">
        <f>AU180-AW180</f>
        <v>5.1826256920044234</v>
      </c>
      <c r="AY180" s="26">
        <f>VLOOKUP($E180,Water!$C$2:$G$90, 5, FALSE)</f>
        <v>704.3</v>
      </c>
      <c r="AZ180">
        <f>AY180/760</f>
        <v>0.92671052631578943</v>
      </c>
      <c r="BA180" s="3">
        <f>Assumptions!$B$3</f>
        <v>406.07</v>
      </c>
      <c r="BB180" s="3">
        <f>BA180*AZ180*T180</f>
        <v>13.878860405332746</v>
      </c>
      <c r="BC180" s="3">
        <f>Assumptions!$B$4</f>
        <v>1.8474300000000001</v>
      </c>
      <c r="BD180" s="45">
        <f>BC180*AZ180*U180*1/(0.0821*273.15)</f>
        <v>2.5097838473999035E-3</v>
      </c>
      <c r="BE180" s="3">
        <f>Assumptions!$B$2</f>
        <v>0.33054499999999998</v>
      </c>
      <c r="BF180" s="44">
        <f>BE180*AZ180*V180*1000</f>
        <v>8.3740943227219464</v>
      </c>
      <c r="BG180">
        <f>1923.6+(-125.06*F180)+(4.3773*(F180^2))+(-0.085681*(F180^3))+(0.00070284*(F180^4))</f>
        <v>562.44138402272392</v>
      </c>
      <c r="BH180">
        <f>1909.4+(-120.78*F180)+(4.1555*(F180^2))+(-0.080578*(F180^3))+(0.00065777*(F180^4))</f>
        <v>578.8133113660972</v>
      </c>
      <c r="BI180">
        <f>2141.2+(-152.56*F180)+(5.8963*(F180^2))+(-0.12411*(F180^3))+(0.0010655*(F180^4))</f>
        <v>586.73210678454973</v>
      </c>
      <c r="BJ180" s="25">
        <f>VLOOKUP(E180,Wind!$C$2:$E$109,3, FALSE)</f>
        <v>3.8888888888888888</v>
      </c>
      <c r="BK180" s="44">
        <v>1.66</v>
      </c>
      <c r="BL180">
        <f>BK180/(1-(((1.3*10^-3)^0.5)/0.41)*LN(10/1.5))</f>
        <v>1.9923982880693825</v>
      </c>
      <c r="BM180">
        <f>BK180*1.22</f>
        <v>2.0251999999999999</v>
      </c>
      <c r="BN180">
        <f>2.07+0.215*(BM180^1.7)*(24/100)</f>
        <v>2.241255750541113</v>
      </c>
      <c r="BO180">
        <f>BN180*((600/BG180)^0.67)</f>
        <v>2.3404587160317742</v>
      </c>
      <c r="BP180">
        <f>BN180*((600/BH180)^0.67)</f>
        <v>2.2958946323930371</v>
      </c>
      <c r="BQ180">
        <f>BN180*((600/BI180)^0.67)</f>
        <v>2.2750872281403383</v>
      </c>
      <c r="BR180" s="39">
        <f>BO180*(AM180-BB180)</f>
        <v>108.77461943106859</v>
      </c>
      <c r="BS180" s="39">
        <f>BP180*(AD180-BD180)</f>
        <v>2.2177623079433166</v>
      </c>
      <c r="BT180" s="39">
        <f>BQ180*(AU180-BF180)</f>
        <v>11.319416680589111</v>
      </c>
      <c r="BU180">
        <f>(2.51+1.48*BM180)+(0.39*BM180*LOG10(0.0015))</f>
        <v>3.2768938069574309</v>
      </c>
      <c r="BV180">
        <f>BU180*((600/$BG180)^0.67)</f>
        <v>3.4219364167397708</v>
      </c>
      <c r="BW180">
        <f>BU180*((600/$BH180)^0.67)</f>
        <v>3.356780189185975</v>
      </c>
      <c r="BX180">
        <f>BU180*((600/$BI180)^0.67)</f>
        <v>3.3263581125808988</v>
      </c>
      <c r="BY180" s="39">
        <f>BV180*($AM180-$BB180)</f>
        <v>159.03712759320888</v>
      </c>
      <c r="BZ180" s="39">
        <f>BW180*($AD180-$BD180)</f>
        <v>3.2425445290875397</v>
      </c>
      <c r="CA180" s="39">
        <f>BX180*($AU180-$BF180)</f>
        <v>16.549885665675479</v>
      </c>
      <c r="CB180" s="42">
        <f>AVERAGE(0.72,0.69,0.4,0.22)</f>
        <v>0.50750000000000006</v>
      </c>
      <c r="CC180">
        <f>CB180*((600/$BG180)^0.67)</f>
        <v>0.52996307900129458</v>
      </c>
      <c r="CD180">
        <f>CB180*((600/$BH180)^0.67)</f>
        <v>0.51987218578609651</v>
      </c>
      <c r="CE180">
        <f>CB180*((600/$BI180)^0.67)</f>
        <v>0.51516064956106045</v>
      </c>
      <c r="CF180" s="39">
        <f>CC180*($AM180-$BB180)</f>
        <v>24.630441817244403</v>
      </c>
      <c r="CG180" s="39">
        <f>CD180*($AD180-$BD180)</f>
        <v>0.50218024917928139</v>
      </c>
      <c r="CH180" s="39">
        <f>CE180*($AU180-$BF180)</f>
        <v>2.5631184500082322</v>
      </c>
      <c r="CI180">
        <v>3.8626390188952699</v>
      </c>
      <c r="CJ180">
        <f>((BG180/BH180)^0.67)*CI180</f>
        <v>3.7890914843349717</v>
      </c>
      <c r="CK180">
        <f>((BH180/BH180)^0.67)*CI180</f>
        <v>3.8626390188952699</v>
      </c>
      <c r="CL180">
        <f>((BI180/BH180)^0.67)*CI180</f>
        <v>3.8979657925478555</v>
      </c>
      <c r="CM180" s="39">
        <f>CJ180*($AM180-$BB180)</f>
        <v>176.10094182598854</v>
      </c>
      <c r="CN180" s="39">
        <f>CK180*($AD180-$BD180)</f>
        <v>3.7311883151920648</v>
      </c>
      <c r="CO180" s="39">
        <f>CL180*($AU180-$BF180)</f>
        <v>19.393849372798751</v>
      </c>
      <c r="CP180" s="27">
        <f>VLOOKUP(A180,Water!$A$2:$E$109, 5, FALSE)/1000</f>
        <v>1.1899999999999999E-3</v>
      </c>
      <c r="CQ180">
        <f>0.64*CP180</f>
        <v>7.6159999999999997E-4</v>
      </c>
      <c r="CR180" s="19">
        <f>CQ180*1000*(2.5*10^-5)</f>
        <v>1.9040000000000001E-5</v>
      </c>
      <c r="CS180" s="18">
        <f>(-0.0000009*F180^3)+(0.0002*F180^2)-(0.0134*F180)+6.579</f>
        <v>6.3756207626999997</v>
      </c>
      <c r="CT180" s="18">
        <f>CS180-(SQRT(CP180))/(1+1.4*SQRT(CP180))</f>
        <v>6.3427136334905105</v>
      </c>
      <c r="CU180" s="18">
        <f>10^(-CT180)</f>
        <v>4.5424103685685733E-7</v>
      </c>
      <c r="CV180" s="18">
        <f>(0.000001*F180^3)+(0.00006*F180^2)-(0.014*F180)+10.625</f>
        <v>10.363684997</v>
      </c>
      <c r="CW180" s="18">
        <f>CV180-(2*SQRT(CR180))/(1+1.4*SQRT(CR180))</f>
        <v>10.355011015609184</v>
      </c>
      <c r="CX180" s="18">
        <f>10^(-CW180)</f>
        <v>4.4155924733583425E-11</v>
      </c>
      <c r="CY180">
        <f>EXP(1246.98+-61900/H180-183*LN(H180))</f>
        <v>2.6851490391062646E-2</v>
      </c>
      <c r="CZ180">
        <f>12.225*(F180^2)+15.258*F180+1125.7</f>
        <v>6997.0556500000002</v>
      </c>
      <c r="DA180" s="15">
        <f>10^(-4470.99/H180+6.0875-0.01706*H180)</f>
        <v>7.5853417953614095E-15</v>
      </c>
      <c r="DB180">
        <f>(10^-I180)</f>
        <v>8.1283051616409861E-9</v>
      </c>
      <c r="DC180">
        <f>DB180^2</f>
        <v>6.6069344800759498E-17</v>
      </c>
      <c r="DD180" s="20">
        <f>((14.6836*10^-9)*((H180/217.2056)-1)^1.997)*100*100</f>
        <v>1.8628227339368273E-5</v>
      </c>
      <c r="DE180">
        <f>CY180+CZ180*DA180/DB180</f>
        <v>3.3381149109695155E-2</v>
      </c>
      <c r="DF180">
        <f>1+DC180*(CU180*CX180+CU180*DB180)^-1</f>
        <v>1.0177975725573889</v>
      </c>
      <c r="DG180">
        <f>(DE180*DF180/DD180)^0.5</f>
        <v>42.706657496111667</v>
      </c>
      <c r="DH180">
        <f>DD180/(BO180/60/60)</f>
        <v>2.8653194334240649E-2</v>
      </c>
      <c r="DI180" s="16">
        <f>DF180/((DF180-1)+TANH(DG180*DH180)/(DG180*DH180))</f>
        <v>1.4439863874062242</v>
      </c>
      <c r="DJ180">
        <f>$DI180*BR180</f>
        <v>157.0690697537556</v>
      </c>
      <c r="DK180">
        <f>$DI180*BY180</f>
        <v>229.64744733678043</v>
      </c>
      <c r="DL180">
        <f>$DI180*CF180</f>
        <v>35.566022699901943</v>
      </c>
      <c r="DM180">
        <f>$DI180*CM180</f>
        <v>254.28736280614285</v>
      </c>
    </row>
    <row r="181" spans="1:117" ht="15.75" x14ac:dyDescent="0.25">
      <c r="A181" s="52" t="s">
        <v>332</v>
      </c>
      <c r="B181" s="55" t="s">
        <v>342</v>
      </c>
      <c r="C181" s="64" t="s">
        <v>483</v>
      </c>
      <c r="D181" s="65">
        <v>43297</v>
      </c>
      <c r="E181" s="42" t="str">
        <f>A181&amp;D181</f>
        <v>62E43297</v>
      </c>
      <c r="F181" s="3">
        <f>VLOOKUP($E181,Water!$C$2:$E$90, 2, FALSE)</f>
        <v>21.3</v>
      </c>
      <c r="G181" s="3">
        <f>VLOOKUP($E181,Water!$C$2:$E$90, 3, FALSE)</f>
        <v>2.12</v>
      </c>
      <c r="H181" s="1">
        <f>F181+273.15</f>
        <v>294.45</v>
      </c>
      <c r="I181" s="3">
        <f>VLOOKUP($E181,Water!$C$2:$F$90, 4, FALSE)</f>
        <v>8.09</v>
      </c>
      <c r="J181">
        <f>10^(I181*-1)</f>
        <v>8.1283051616409861E-9</v>
      </c>
      <c r="K181" s="25">
        <v>439.52751160265137</v>
      </c>
      <c r="L181" s="25">
        <v>2.8430237635924795</v>
      </c>
      <c r="M181" s="25">
        <v>0.32236441181786135</v>
      </c>
      <c r="N181" s="21">
        <f>VLOOKUP($C181,Raw!$B$2:$F$353, 3, FALSE)</f>
        <v>1764.3679999999999</v>
      </c>
      <c r="O181" s="21">
        <f>VLOOKUP($C181,Raw!$B$2:$F$353, 4, FALSE)</f>
        <v>322.24599999999998</v>
      </c>
      <c r="P181" s="21">
        <f>VLOOKUP($C181,Raw!$B$2:$F$353, 5, FALSE)</f>
        <v>0.52300000000000002</v>
      </c>
      <c r="Q181" s="14">
        <v>60</v>
      </c>
      <c r="R181" s="25">
        <v>1140</v>
      </c>
      <c r="S181">
        <f>EXP(24.4543-(100/H181*(67.4509))-(4.8489*LN(H181/100))-(0.000544*G181))</f>
        <v>2.4952276329832258E-2</v>
      </c>
      <c r="T181" s="8">
        <f>EXP(-58.0931+90.5069*(100/H181)+22.294*LN(H181/100)+G181*(0.027766-0.025888*(H181/100)+0.0050578*(H181/100)^2)*G181)</f>
        <v>3.6881519547612415E-2</v>
      </c>
      <c r="U181" s="9">
        <f>(EXP(-67.1962+99.1624*(100/H181)+27.9015*LN(H181/100)+G181*(-0.072909+0.041674*(H181/100)-0.0064603*(H181/100)^2)*G181))</f>
        <v>3.2875214415643735E-2</v>
      </c>
      <c r="V181" s="9">
        <f>(EXP(-64.8539+100.252*(100/H181)+25.2049*LN(H181/100)+(-0.062544+0.035337*(H181/100)-0.0054699*(H181/100)^2)*G181))</f>
        <v>2.7337774700628523E-2</v>
      </c>
      <c r="W181" s="9">
        <f>(EXP(-68.8862+101.4956*(100/H181)+28.7314*LN(H181/100)+G181*(-0.076146+0.04397*(H181/100)-0.0068672*(H181/100)^2)))</f>
        <v>3.331780234944335E-2</v>
      </c>
      <c r="X181">
        <f>N181*(AZ181-S181)</f>
        <v>1591.0334000112232</v>
      </c>
      <c r="Y181">
        <f>O181*(AZ181-S181)</f>
        <v>290.58798902497477</v>
      </c>
      <c r="Z181">
        <f>((Y181/10^6)*AZ181)/(0.082056*H181)</f>
        <v>1.1145507653607156E-5</v>
      </c>
      <c r="AA181">
        <f>(((L181/10^6)*AZ181)/(0.082056*H181))</f>
        <v>1.0904422864423224E-7</v>
      </c>
      <c r="AB181">
        <f>((Y181/10^6)*U181*1)/(0.082056*H181)</f>
        <v>3.9538879021934612E-7</v>
      </c>
      <c r="AC181">
        <f>(Z181*(Q181/1000))+(AB181*(R181/1000))</f>
        <v>1.1194736800664839E-6</v>
      </c>
      <c r="AD181" s="39">
        <f>((AC181-(AA181*(Q181/1000)))/(R181/1000))*1000000</f>
        <v>0.97625528627002633</v>
      </c>
      <c r="AE181" s="39">
        <f>(AD181/((U181*AZ181*1))*(0.0821*273.15))</f>
        <v>718.61300142731329</v>
      </c>
      <c r="AF181" s="39">
        <f>L181*U181*AZ181*1/(0.0821*273.15)</f>
        <v>3.862325024297801E-3</v>
      </c>
      <c r="AG181" s="39">
        <f>AD181-AF181</f>
        <v>0.97239296124572849</v>
      </c>
      <c r="AH181" s="42">
        <f>P181*(AZ181-S181)</f>
        <v>0.47161956474265565</v>
      </c>
      <c r="AI181">
        <f>(((X181/10^6)*(Q181/1000))/(0.082056*H181))</f>
        <v>3.9510147040996051E-6</v>
      </c>
      <c r="AJ181">
        <f>(((K181/10^6)*AZ181)*(Q181/1000))/(0.082056*H181)</f>
        <v>1.0114851465764947E-6</v>
      </c>
      <c r="AK181">
        <f>(X181/10^6)*T181*(R181/1000)</f>
        <v>6.689489156549671E-5</v>
      </c>
      <c r="AL181">
        <f>AI181+AK181</f>
        <v>7.0845906269596318E-5</v>
      </c>
      <c r="AM181" s="39">
        <f>((AL181-AJ181)/(R181/1000))*1000000</f>
        <v>61.258264142999849</v>
      </c>
      <c r="AN181" s="39">
        <f>AM181/(T181*AZ181)</f>
        <v>1792.3044539730399</v>
      </c>
      <c r="AO181" s="39">
        <f>(K181*AZ181)*T181</f>
        <v>15.022387711075595</v>
      </c>
      <c r="AP181" s="39">
        <f>AM181-AO181</f>
        <v>46.235876431924254</v>
      </c>
      <c r="AQ181">
        <f>(((AH181/10^6)*(Q181/1000))/(0.082056*H181))</f>
        <v>1.1711732984525302E-9</v>
      </c>
      <c r="AR181">
        <f>(((M181/10^6)*AZ181)*(Q181/1000))/(0.082056*H181)</f>
        <v>7.4185757599039918E-10</v>
      </c>
      <c r="AS181">
        <f>(AH181/10^6)*V181*(R181/1000)</f>
        <v>1.4698053522091255E-8</v>
      </c>
      <c r="AT181">
        <f>AQ181+AS181</f>
        <v>1.5869226820543786E-8</v>
      </c>
      <c r="AU181" s="39">
        <f>((AT181-AR181)/(R181/1000))*1000000000</f>
        <v>13.269622144345076</v>
      </c>
      <c r="AV181" s="39">
        <f>(AU181/1000)/(V181*AZ181)</f>
        <v>0.52378288118885585</v>
      </c>
      <c r="AW181" s="39">
        <f>(M181*AZ181)*V181*1000</f>
        <v>8.1668456363023285</v>
      </c>
      <c r="AX181" s="39">
        <f>AU181-AW181</f>
        <v>5.1027765080427478</v>
      </c>
      <c r="AY181" s="26">
        <f>VLOOKUP($E181,Water!$C$2:$G$90, 5, FALSE)</f>
        <v>704.3</v>
      </c>
      <c r="AZ181">
        <f>AY181/760</f>
        <v>0.92671052631578943</v>
      </c>
      <c r="BA181" s="3">
        <f>Assumptions!$B$3</f>
        <v>406.07</v>
      </c>
      <c r="BB181" s="3">
        <f>BA181*AZ181*T181</f>
        <v>13.878860405332746</v>
      </c>
      <c r="BC181" s="3">
        <f>Assumptions!$B$4</f>
        <v>1.8474300000000001</v>
      </c>
      <c r="BD181" s="45">
        <f>BC181*AZ181*U181*1/(0.0821*273.15)</f>
        <v>2.5097838473999035E-3</v>
      </c>
      <c r="BE181" s="3">
        <f>Assumptions!$B$2</f>
        <v>0.33054499999999998</v>
      </c>
      <c r="BF181" s="44">
        <f>BE181*AZ181*V181*1000</f>
        <v>8.3740943227219464</v>
      </c>
      <c r="BG181">
        <f>1923.6+(-125.06*F181)+(4.3773*(F181^2))+(-0.085681*(F181^3))+(0.00070284*(F181^4))</f>
        <v>562.44138402272392</v>
      </c>
      <c r="BH181">
        <f>1909.4+(-120.78*F181)+(4.1555*(F181^2))+(-0.080578*(F181^3))+(0.00065777*(F181^4))</f>
        <v>578.8133113660972</v>
      </c>
      <c r="BI181">
        <f>2141.2+(-152.56*F181)+(5.8963*(F181^2))+(-0.12411*(F181^3))+(0.0010655*(F181^4))</f>
        <v>586.73210678454973</v>
      </c>
      <c r="BJ181" s="25">
        <f>VLOOKUP(E181,Wind!$C$2:$E$109,3, FALSE)</f>
        <v>3.8888888888888888</v>
      </c>
      <c r="BK181" s="44">
        <v>1.66</v>
      </c>
      <c r="BL181">
        <f>BK181/(1-(((1.3*10^-3)^0.5)/0.41)*LN(10/1.5))</f>
        <v>1.9923982880693825</v>
      </c>
      <c r="BM181">
        <f>BK181*1.22</f>
        <v>2.0251999999999999</v>
      </c>
      <c r="BN181">
        <f>2.07+0.215*(BM181^1.7)*(24/100)</f>
        <v>2.241255750541113</v>
      </c>
      <c r="BO181">
        <f>BN181*((600/BG181)^0.67)</f>
        <v>2.3404587160317742</v>
      </c>
      <c r="BP181">
        <f>BN181*((600/BH181)^0.67)</f>
        <v>2.2958946323930371</v>
      </c>
      <c r="BQ181">
        <f>BN181*((600/BI181)^0.67)</f>
        <v>2.2750872281403383</v>
      </c>
      <c r="BR181" s="39">
        <f>BO181*(AM181-BB181)</f>
        <v>110.8895384382114</v>
      </c>
      <c r="BS181" s="39">
        <f>BP181*(AD181-BD181)</f>
        <v>2.2356170723289694</v>
      </c>
      <c r="BT181" s="39">
        <f>BQ181*(AU181-BF181)</f>
        <v>11.137752821980476</v>
      </c>
      <c r="BU181">
        <f>(2.51+1.48*BM181)+(0.39*BM181*LOG10(0.0015))</f>
        <v>3.2768938069574309</v>
      </c>
      <c r="BV181">
        <f>BU181*((600/$BG181)^0.67)</f>
        <v>3.4219364167397708</v>
      </c>
      <c r="BW181">
        <f>BU181*((600/$BH181)^0.67)</f>
        <v>3.356780189185975</v>
      </c>
      <c r="BX181">
        <f>BU181*((600/$BI181)^0.67)</f>
        <v>3.3263581125808988</v>
      </c>
      <c r="BY181" s="39">
        <f>BV181*($AM181-$BB181)</f>
        <v>162.12930705333946</v>
      </c>
      <c r="BZ181" s="39">
        <f>BW181*($AD181-$BD181)</f>
        <v>3.2686496118412163</v>
      </c>
      <c r="CA181" s="39">
        <f>BX181*($AU181-$BF181)</f>
        <v>16.284278684821594</v>
      </c>
      <c r="CB181" s="42">
        <f>AVERAGE(0.72,0.69,0.4,0.22)</f>
        <v>0.50750000000000006</v>
      </c>
      <c r="CC181">
        <f>CB181*((600/$BG181)^0.67)</f>
        <v>0.52996307900129458</v>
      </c>
      <c r="CD181">
        <f>CB181*((600/$BH181)^0.67)</f>
        <v>0.51987218578609651</v>
      </c>
      <c r="CE181">
        <f>CB181*((600/$BI181)^0.67)</f>
        <v>0.51516064956106045</v>
      </c>
      <c r="CF181" s="39">
        <f>CC181*($AM181-$BB181)</f>
        <v>25.109334686059505</v>
      </c>
      <c r="CG181" s="39">
        <f>CD181*($AD181-$BD181)</f>
        <v>0.50622320274383159</v>
      </c>
      <c r="CH181" s="39">
        <f>CE181*($AU181-$BF181)</f>
        <v>2.521983292531615</v>
      </c>
      <c r="CI181">
        <v>4.8626390188952699</v>
      </c>
      <c r="CJ181">
        <f>((BG181/BH181)^0.67)*CI181</f>
        <v>4.7700507367526797</v>
      </c>
      <c r="CK181">
        <f>((BH181/BH181)^0.67)*CI181</f>
        <v>4.8626390188952699</v>
      </c>
      <c r="CL181">
        <f>((BI181/BH181)^0.67)*CI181</f>
        <v>4.9071115536401484</v>
      </c>
      <c r="CM181" s="39">
        <f>CJ181*($AM181-$BB181)</f>
        <v>226.00215970576164</v>
      </c>
      <c r="CN181" s="39">
        <f>CK181*($AD181-$BD181)</f>
        <v>4.7349728745540425</v>
      </c>
      <c r="CO181" s="39">
        <f>CL181*($AU181-$BF181)</f>
        <v>24.022901134653647</v>
      </c>
      <c r="CP181" s="27">
        <f>VLOOKUP(A181,Water!$A$2:$E$109, 5, FALSE)/1000</f>
        <v>1.1899999999999999E-3</v>
      </c>
      <c r="CQ181">
        <f>0.64*CP181</f>
        <v>7.6159999999999997E-4</v>
      </c>
      <c r="CR181" s="19">
        <f>CQ181*1000*(2.5*10^-5)</f>
        <v>1.9040000000000001E-5</v>
      </c>
      <c r="CS181" s="18">
        <f>(-0.0000009*F181^3)+(0.0002*F181^2)-(0.0134*F181)+6.579</f>
        <v>6.3756207626999997</v>
      </c>
      <c r="CT181" s="18">
        <f>CS181-(SQRT(CP181))/(1+1.4*SQRT(CP181))</f>
        <v>6.3427136334905105</v>
      </c>
      <c r="CU181" s="18">
        <f>10^(-CT181)</f>
        <v>4.5424103685685733E-7</v>
      </c>
      <c r="CV181" s="18">
        <f>(0.000001*F181^3)+(0.00006*F181^2)-(0.014*F181)+10.625</f>
        <v>10.363684997</v>
      </c>
      <c r="CW181" s="18">
        <f>CV181-(2*SQRT(CR181))/(1+1.4*SQRT(CR181))</f>
        <v>10.355011015609184</v>
      </c>
      <c r="CX181" s="18">
        <f>10^(-CW181)</f>
        <v>4.4155924733583425E-11</v>
      </c>
      <c r="CY181">
        <f>EXP(1246.98+-61900/H181-183*LN(H181))</f>
        <v>2.6851490391062646E-2</v>
      </c>
      <c r="CZ181">
        <f>12.225*(F181^2)+15.258*F181+1125.7</f>
        <v>6997.0556500000002</v>
      </c>
      <c r="DA181" s="15">
        <f>10^(-4470.99/H181+6.0875-0.01706*H181)</f>
        <v>7.5853417953614095E-15</v>
      </c>
      <c r="DB181">
        <f>(10^-I181)</f>
        <v>8.1283051616409861E-9</v>
      </c>
      <c r="DC181">
        <f>DB181^2</f>
        <v>6.6069344800759498E-17</v>
      </c>
      <c r="DD181" s="20">
        <f>((14.6836*10^-9)*((H181/217.2056)-1)^1.997)*100*100</f>
        <v>1.8628227339368273E-5</v>
      </c>
      <c r="DE181">
        <f>CY181+CZ181*DA181/DB181</f>
        <v>3.3381149109695155E-2</v>
      </c>
      <c r="DF181">
        <f>1+DC181*(CU181*CX181+CU181*DB181)^-1</f>
        <v>1.0177975725573889</v>
      </c>
      <c r="DG181">
        <f>(DE181*DF181/DD181)^0.5</f>
        <v>42.706657496111667</v>
      </c>
      <c r="DH181">
        <f>DD181/(BO181/60/60)</f>
        <v>2.8653194334240649E-2</v>
      </c>
      <c r="DI181" s="16">
        <f>DF181/((DF181-1)+TANH(DG181*DH181)/(DG181*DH181))</f>
        <v>1.4439863874062242</v>
      </c>
      <c r="DJ181">
        <f>$DI181*BR181</f>
        <v>160.12298401053653</v>
      </c>
      <c r="DK181">
        <f>$DI181*BY181</f>
        <v>234.11251238462611</v>
      </c>
      <c r="DL181">
        <f>$DI181*CF181</f>
        <v>36.257537483496861</v>
      </c>
      <c r="DM181">
        <f>$DI181*CM181</f>
        <v>326.34404213952729</v>
      </c>
    </row>
    <row r="182" spans="1:117" ht="15.75" x14ac:dyDescent="0.25">
      <c r="A182" s="52" t="s">
        <v>477</v>
      </c>
      <c r="B182" s="55" t="s">
        <v>339</v>
      </c>
      <c r="C182" s="64" t="s">
        <v>484</v>
      </c>
      <c r="D182" s="57">
        <v>43294</v>
      </c>
      <c r="E182" s="42" t="str">
        <f>A182&amp;D182</f>
        <v>68A43294</v>
      </c>
      <c r="F182" s="3">
        <f>VLOOKUP($E182,Water!$C$2:$E$90, 2, FALSE)</f>
        <v>25.8</v>
      </c>
      <c r="G182" s="3">
        <f>VLOOKUP($E182,Water!$C$2:$E$90, 3, FALSE)</f>
        <v>0.12</v>
      </c>
      <c r="H182" s="1">
        <f>F182+273.15</f>
        <v>298.95</v>
      </c>
      <c r="I182" s="3">
        <f>VLOOKUP($E182,Water!$C$2:$F$90, 4, FALSE)</f>
        <v>9.36</v>
      </c>
      <c r="J182">
        <f>10^(I182*-1)</f>
        <v>4.3651583224016624E-10</v>
      </c>
      <c r="K182" s="25">
        <v>439.52751160265137</v>
      </c>
      <c r="L182" s="25">
        <v>2.8430237635924795</v>
      </c>
      <c r="M182" s="25">
        <v>0.32236441181786135</v>
      </c>
      <c r="N182" s="21">
        <f>VLOOKUP($C182,Raw!$B$2:$F$353, 3, FALSE)</f>
        <v>142.922</v>
      </c>
      <c r="O182" s="21">
        <f>VLOOKUP($C182,Raw!$B$2:$F$353, 4, FALSE)</f>
        <v>1988.943</v>
      </c>
      <c r="P182" s="21">
        <f>VLOOKUP($C182,Raw!$B$2:$F$353, 5, FALSE)</f>
        <v>0.159</v>
      </c>
      <c r="Q182" s="14">
        <v>60</v>
      </c>
      <c r="R182" s="25">
        <v>1140</v>
      </c>
      <c r="S182">
        <f>EXP(24.4543-(100/H182*(67.4509))-(4.8489*LN(H182/100))-(0.000544*G182))</f>
        <v>3.2763901639993681E-2</v>
      </c>
      <c r="T182" s="8">
        <f>EXP(-58.0931+90.5069*(100/H182)+22.294*LN(H182/100)+G182*(0.027766-0.025888*(H182/100)+0.0050578*(H182/100)^2)*G182)</f>
        <v>3.3242094643810755E-2</v>
      </c>
      <c r="U182" s="9">
        <f>(EXP(-67.1962+99.1624*(100/H182)+27.9015*LN(H182/100)+G182*(-0.072909+0.041674*(H182/100)-0.0064603*(H182/100)^2)*G182))</f>
        <v>3.1087361744111749E-2</v>
      </c>
      <c r="V182" s="9">
        <f>(EXP(-64.8539+100.252*(100/H182)+25.2049*LN(H182/100)+(-0.062544+0.035337*(H182/100)-0.0054699*(H182/100)^2)*G182))</f>
        <v>2.4286153327998494E-2</v>
      </c>
      <c r="W182" s="9">
        <f>(EXP(-68.8862+101.4956*(100/H182)+28.7314*LN(H182/100)+G182*(-0.076146+0.04397*(H182/100)-0.0068672*(H182/100)^2)))</f>
        <v>3.1045495366053971E-2</v>
      </c>
      <c r="X182">
        <f>N182*(AZ182-S182)</f>
        <v>128.91177659717724</v>
      </c>
      <c r="Y182">
        <f>O182*(AZ182-S182)</f>
        <v>1793.9727661278143</v>
      </c>
      <c r="Z182">
        <f>((Y182/10^6)*AZ182)/(0.082056*H182)</f>
        <v>6.8359095245873838E-5</v>
      </c>
      <c r="AA182">
        <f>(((L182/10^6)*AZ182)/(0.082056*H182))</f>
        <v>1.083330449108136E-7</v>
      </c>
      <c r="AB182">
        <f>((Y182/10^6)*U182*1)/(0.082056*H182)</f>
        <v>2.2734782953696355E-6</v>
      </c>
      <c r="AC182">
        <f>(Z182*(Q182/1000))+(AB182*(R182/1000))</f>
        <v>6.693310971473815E-6</v>
      </c>
      <c r="AD182" s="39">
        <f>((AC182-(AA182*(Q182/1000)))/(R182/1000))*1000000</f>
        <v>5.8656236743676899</v>
      </c>
      <c r="AE182" s="39">
        <f>(AD182/((U182*AZ182*1))*(0.0821*273.15))</f>
        <v>4526.7377062198357</v>
      </c>
      <c r="AF182" s="39">
        <f>L182*U182*AZ182*1/(0.0821*273.15)</f>
        <v>3.6839129140627353E-3</v>
      </c>
      <c r="AG182" s="39">
        <f>AD182-AF182</f>
        <v>5.8619397614536268</v>
      </c>
      <c r="AH182" s="42">
        <f>P182*(AZ182-S182)</f>
        <v>0.14341369753397784</v>
      </c>
      <c r="AI182">
        <f>(((X182/10^6)*(Q182/1000))/(0.082056*H182))</f>
        <v>3.153079665863212E-7</v>
      </c>
      <c r="AJ182">
        <f>(((K182/10^6)*AZ182)*(Q182/1000))/(0.082056*H182)</f>
        <v>1.0048882657348068E-6</v>
      </c>
      <c r="AK182">
        <f>(X182/10^6)*T182*(R182/1000)</f>
        <v>4.8852391253134748E-6</v>
      </c>
      <c r="AL182">
        <f>AI182+AK182</f>
        <v>5.2005470918997957E-6</v>
      </c>
      <c r="AM182" s="39">
        <f>((AL182-AJ182)/(R182/1000))*1000000</f>
        <v>3.6804024790920957</v>
      </c>
      <c r="AN182" s="39">
        <f>AM182/(T182*AZ182)</f>
        <v>118.44522913599883</v>
      </c>
      <c r="AO182" s="39">
        <f>(K182*AZ182)*T182</f>
        <v>13.657267203850022</v>
      </c>
      <c r="AP182" s="39">
        <f>AM182-AO182</f>
        <v>-9.9768647247579274</v>
      </c>
      <c r="AQ182">
        <f>(((AH182/10^6)*(Q182/1000))/(0.082056*H182))</f>
        <v>3.507785133655075E-10</v>
      </c>
      <c r="AR182">
        <f>(((M182/10^6)*AZ182)*(Q182/1000))/(0.082056*H182)</f>
        <v>7.3701919942414277E-10</v>
      </c>
      <c r="AS182">
        <f>(AH182/10^6)*V182*(R182/1000)</f>
        <v>3.9705824343157388E-9</v>
      </c>
      <c r="AT182">
        <f>AQ182+AS182</f>
        <v>4.321360947681246E-9</v>
      </c>
      <c r="AU182" s="39">
        <f>((AT182-AR182)/(R182/1000))*1000000000</f>
        <v>3.1441594282957048</v>
      </c>
      <c r="AV182" s="39">
        <f>(AU182/1000)/(V182*AZ182)</f>
        <v>0.13850213443173184</v>
      </c>
      <c r="AW182" s="39">
        <f>(M182*AZ182)*V182*1000</f>
        <v>7.3180468223305093</v>
      </c>
      <c r="AX182" s="39">
        <f>AU182-AW182</f>
        <v>-4.1738873940348045</v>
      </c>
      <c r="AY182" s="26">
        <f>VLOOKUP($E182,Water!$C$2:$G$90, 5, FALSE)</f>
        <v>710.4</v>
      </c>
      <c r="AZ182">
        <f>AY182/760</f>
        <v>0.93473684210526309</v>
      </c>
      <c r="BA182" s="3">
        <f>Assumptions!$B$3</f>
        <v>406.07</v>
      </c>
      <c r="BB182" s="3">
        <f>BA182*AZ182*T182</f>
        <v>12.61765497510196</v>
      </c>
      <c r="BC182" s="3">
        <f>Assumptions!$B$4</f>
        <v>1.8474300000000001</v>
      </c>
      <c r="BD182" s="45">
        <f>BC182*AZ182*U182*1/(0.0821*273.15)</f>
        <v>2.3938495773341917E-3</v>
      </c>
      <c r="BE182" s="3">
        <f>Assumptions!$B$2</f>
        <v>0.33054499999999998</v>
      </c>
      <c r="BF182" s="44">
        <f>BE182*AZ182*V182*1000</f>
        <v>7.5037556821066271</v>
      </c>
      <c r="BG182">
        <f>1923.6+(-125.06*F182)+(4.3773*(F182^2))+(-0.085681*(F182^3))+(0.00070284*(F182^4))</f>
        <v>450.72625461926373</v>
      </c>
      <c r="BH182">
        <f>1909.4+(-120.78*F182)+(4.1555*(F182^2))+(-0.080578*(F182^3))+(0.00065777*(F182^4))</f>
        <v>466.97827156059196</v>
      </c>
      <c r="BI182">
        <f>2141.2+(-152.56*F182)+(5.8963*(F182^2))+(-0.12411*(F182^3))+(0.0010655*(F182^4))</f>
        <v>470.6586852087994</v>
      </c>
      <c r="BJ182" s="25">
        <f>VLOOKUP(E182,Wind!$C$2:$E$109,3, FALSE)</f>
        <v>1.0833333333333333</v>
      </c>
      <c r="BK182" s="44">
        <v>1.66</v>
      </c>
      <c r="BL182">
        <f>BK182/(1-(((1.3*10^-3)^0.5)/0.41)*LN(10/1.5))</f>
        <v>1.9923982880693825</v>
      </c>
      <c r="BM182">
        <f>BK182*1.22</f>
        <v>2.0251999999999999</v>
      </c>
      <c r="BN182">
        <f>2.07+0.215*(BM182^1.7)*(24/100)</f>
        <v>2.241255750541113</v>
      </c>
      <c r="BO182">
        <f>BN182*((600/BG182)^0.67)</f>
        <v>2.7147581207241598</v>
      </c>
      <c r="BP182">
        <f>BN182*((600/BH182)^0.67)</f>
        <v>2.6510870206278581</v>
      </c>
      <c r="BQ182">
        <f>BN182*((600/BI182)^0.67)</f>
        <v>2.6371794498603043</v>
      </c>
      <c r="BR182" s="39">
        <f>BO182*(AM182-BB182)</f>
        <v>-24.26247879050505</v>
      </c>
      <c r="BS182" s="39">
        <f>BP182*(AD182-BD182)</f>
        <v>15.543932487459863</v>
      </c>
      <c r="BT182" s="39">
        <f>BQ182*(AU182-BF182)</f>
        <v>-11.497037650238132</v>
      </c>
      <c r="BU182">
        <f>(2.51+1.48*BM182)+(0.39*BM182*LOG10(0.0015))</f>
        <v>3.2768938069574309</v>
      </c>
      <c r="BV182">
        <f>BU182*((600/$BG182)^0.67)</f>
        <v>3.9691918564138033</v>
      </c>
      <c r="BW182">
        <f>BU182*((600/$BH182)^0.67)</f>
        <v>3.8760996541796922</v>
      </c>
      <c r="BX182">
        <f>BU182*((600/$BI182)^0.67)</f>
        <v>3.8557656818041539</v>
      </c>
      <c r="BY182" s="39">
        <f>BV182*($AM182-$BB182)</f>
        <v>-35.473669825876293</v>
      </c>
      <c r="BZ182" s="39">
        <f>BW182*($AD182-$BD182)</f>
        <v>22.726463096245954</v>
      </c>
      <c r="CA182" s="39">
        <f>BX182*($AU182-$BF182)</f>
        <v>-16.809581621966107</v>
      </c>
      <c r="CB182" s="42">
        <f>AVERAGE(0.72,0.69,0.4,0.22)</f>
        <v>0.50750000000000006</v>
      </c>
      <c r="CC182">
        <f>CB182*((600/$BG182)^0.67)</f>
        <v>0.61471777414731876</v>
      </c>
      <c r="CD182">
        <f>CB182*((600/$BH182)^0.67)</f>
        <v>0.60030037296895178</v>
      </c>
      <c r="CE182">
        <f>CB182*((600/$BI182)^0.67)</f>
        <v>0.59715120440002367</v>
      </c>
      <c r="CF182" s="39">
        <f>CC182*($AM182-$BB182)</f>
        <v>-5.4938879613397535</v>
      </c>
      <c r="CG182" s="39">
        <f>CD182*($AD182-$BD182)</f>
        <v>3.5196990506243324</v>
      </c>
      <c r="CH182" s="39">
        <f>CE182*($AU182-$BF182)</f>
        <v>-2.6033381536610234</v>
      </c>
      <c r="CI182">
        <v>5.8626390188952699</v>
      </c>
      <c r="CJ182">
        <f>((BG182/BH182)^0.67)*CI182</f>
        <v>5.725138490597379</v>
      </c>
      <c r="CK182">
        <f>((BH182/BH182)^0.67)*CI182</f>
        <v>5.8626390188952699</v>
      </c>
      <c r="CL182">
        <f>((BI182/BH182)^0.67)*CI182</f>
        <v>5.8935565459692159</v>
      </c>
      <c r="CM182" s="39">
        <f>CJ182*($AM182-$BB182)</f>
        <v>-51.167008265093578</v>
      </c>
      <c r="CN182" s="39">
        <f>CK182*($AD182-$BD182)</f>
        <v>34.373999947566418</v>
      </c>
      <c r="CO182" s="39">
        <f>CL182*($AU182-$BF182)</f>
        <v>-25.693527039430233</v>
      </c>
      <c r="CP182" s="27">
        <f>VLOOKUP(A182,Water!$A$2:$E$109, 5, FALSE)/1000</f>
        <v>2.9E-4</v>
      </c>
      <c r="CQ182">
        <f>0.64*CP182</f>
        <v>1.8560000000000001E-4</v>
      </c>
      <c r="CR182" s="19">
        <f>CQ182*1000*(2.5*10^-5)</f>
        <v>4.6400000000000005E-6</v>
      </c>
      <c r="CS182" s="18">
        <f>(-0.0000009*F182^3)+(0.0002*F182^2)-(0.0134*F182)+6.579</f>
        <v>6.3509518391999995</v>
      </c>
      <c r="CT182" s="18">
        <f>CS182-(SQRT(CP182))/(1+1.4*SQRT(CP182))</f>
        <v>6.3343189987275483</v>
      </c>
      <c r="CU182" s="18">
        <f>10^(-CT182)</f>
        <v>4.6310663289944823E-7</v>
      </c>
      <c r="CV182" s="18">
        <f>(0.000001*F182^3)+(0.00006*F182^2)-(0.014*F182)+10.625</f>
        <v>10.320911912</v>
      </c>
      <c r="CW182" s="18">
        <f>CV182-(2*SQRT(CR182))/(1+1.4*SQRT(CR182))</f>
        <v>10.316616733092218</v>
      </c>
      <c r="CX182" s="18">
        <f>10^(-CW182)</f>
        <v>4.8237330653568582E-11</v>
      </c>
      <c r="CY182">
        <f>EXP(1246.98+-61900/H182-183*LN(H182))</f>
        <v>3.9612687296006227E-2</v>
      </c>
      <c r="CZ182">
        <f>12.225*(F182^2)+15.258*F182+1125.7</f>
        <v>9656.8054000000011</v>
      </c>
      <c r="DA182" s="15">
        <f>10^(-4470.99/H182+6.0875-0.01706*H182)</f>
        <v>1.0758909226211215E-14</v>
      </c>
      <c r="DB182">
        <f>(10^-I182)</f>
        <v>4.3651583224016624E-10</v>
      </c>
      <c r="DC182">
        <f>DB182^2</f>
        <v>1.9054607179632495E-19</v>
      </c>
      <c r="DD182" s="20">
        <f>((14.6836*10^-9)*((H182/217.2056)-1)^1.997)*100*100</f>
        <v>2.0858341285346926E-5</v>
      </c>
      <c r="DE182">
        <f>CY182+CZ182*DA182/DB182</f>
        <v>0.27762625986357226</v>
      </c>
      <c r="DF182">
        <f>1+DC182*(CU182*CX182+CU182*DB182)^-1</f>
        <v>1.000848786272968</v>
      </c>
      <c r="DG182">
        <f>(DE182*DF182/DD182)^0.5</f>
        <v>115.41828585227195</v>
      </c>
      <c r="DH182">
        <f>DD182/(BO182/60/60)</f>
        <v>2.7659933330347206E-2</v>
      </c>
      <c r="DI182" s="16">
        <f>DF182/((DF182-1)+TANH(DG182*DH182)/(DG182*DH182))</f>
        <v>3.1972762370886141</v>
      </c>
      <c r="DJ182">
        <f>$DI182*BR182</f>
        <v>-77.573846889748296</v>
      </c>
      <c r="DK182">
        <f>$DI182*BY182</f>
        <v>-113.41912157660167</v>
      </c>
      <c r="DL182">
        <f>$DI182*CF182</f>
        <v>-17.565477428018806</v>
      </c>
      <c r="DM182">
        <f>$DI182*CM182</f>
        <v>-163.59505964890042</v>
      </c>
    </row>
    <row r="183" spans="1:117" ht="15.75" x14ac:dyDescent="0.25">
      <c r="A183" s="52" t="s">
        <v>477</v>
      </c>
      <c r="B183" s="55" t="s">
        <v>340</v>
      </c>
      <c r="C183" s="64" t="s">
        <v>485</v>
      </c>
      <c r="D183" s="57">
        <v>43294</v>
      </c>
      <c r="E183" s="42" t="str">
        <f>A183&amp;D183</f>
        <v>68A43294</v>
      </c>
      <c r="F183" s="3">
        <f>VLOOKUP($E183,Water!$C$2:$E$90, 2, FALSE)</f>
        <v>25.8</v>
      </c>
      <c r="G183" s="3">
        <f>VLOOKUP($E183,Water!$C$2:$E$90, 3, FALSE)</f>
        <v>0.12</v>
      </c>
      <c r="H183" s="1">
        <f>F183+273.15</f>
        <v>298.95</v>
      </c>
      <c r="I183" s="3">
        <f>VLOOKUP($E183,Water!$C$2:$F$90, 4, FALSE)</f>
        <v>9.36</v>
      </c>
      <c r="J183">
        <f>10^(I183*-1)</f>
        <v>4.3651583224016624E-10</v>
      </c>
      <c r="K183" s="25">
        <v>439.52751160265137</v>
      </c>
      <c r="L183" s="25">
        <v>2.8430237635924795</v>
      </c>
      <c r="M183" s="25">
        <v>0.32236441181786135</v>
      </c>
      <c r="N183" s="21">
        <f>VLOOKUP($C183,Raw!$B$2:$F$353, 3, FALSE)</f>
        <v>185.51300000000001</v>
      </c>
      <c r="O183" s="21">
        <f>VLOOKUP($C183,Raw!$B$2:$F$353, 4, FALSE)</f>
        <v>1983.482</v>
      </c>
      <c r="P183" s="21">
        <f>VLOOKUP($C183,Raw!$B$2:$F$353, 5, FALSE)</f>
        <v>0.16</v>
      </c>
      <c r="Q183" s="14">
        <v>60</v>
      </c>
      <c r="R183" s="25">
        <v>1140</v>
      </c>
      <c r="S183">
        <f>EXP(24.4543-(100/H183*(67.4509))-(4.8489*LN(H183/100))-(0.000544*G183))</f>
        <v>3.2763901639993681E-2</v>
      </c>
      <c r="T183" s="8">
        <f>EXP(-58.0931+90.5069*(100/H183)+22.294*LN(H183/100)+G183*(0.027766-0.025888*(H183/100)+0.0050578*(H183/100)^2)*G183)</f>
        <v>3.3242094643810755E-2</v>
      </c>
      <c r="U183" s="9">
        <f>(EXP(-67.1962+99.1624*(100/H183)+27.9015*LN(H183/100)+G183*(-0.072909+0.041674*(H183/100)-0.0064603*(H183/100)^2)*G183))</f>
        <v>3.1087361744111749E-2</v>
      </c>
      <c r="V183" s="9">
        <f>(EXP(-64.8539+100.252*(100/H183)+25.2049*LN(H183/100)+(-0.062544+0.035337*(H183/100)-0.0054699*(H183/100)^2)*G183))</f>
        <v>2.4286153327998494E-2</v>
      </c>
      <c r="W183" s="9">
        <f>(EXP(-68.8862+101.4956*(100/H183)+28.7314*LN(H183/100)+G183*(-0.076146+0.04397*(H183/100)-0.0068672*(H183/100)^2)))</f>
        <v>3.1045495366053971E-2</v>
      </c>
      <c r="X183">
        <f>N183*(AZ183-S183)</f>
        <v>167.32770610453355</v>
      </c>
      <c r="Y183">
        <f>O183*(AZ183-S183)</f>
        <v>1789.0470918999335</v>
      </c>
      <c r="Z183">
        <f>((Y183/10^6)*AZ183)/(0.082056*H183)</f>
        <v>6.8171403080166868E-5</v>
      </c>
      <c r="AA183">
        <f>(((L183/10^6)*AZ183)/(0.082056*H183))</f>
        <v>1.083330449108136E-7</v>
      </c>
      <c r="AB183">
        <f>((Y183/10^6)*U183*1)/(0.082056*H183)</f>
        <v>2.2672360526452269E-6</v>
      </c>
      <c r="AC183">
        <f>(Z183*(Q183/1000))+(AB183*(R183/1000))</f>
        <v>6.6749332848255703E-6</v>
      </c>
      <c r="AD183" s="39">
        <f>((AC183-(AA183*(Q183/1000)))/(R183/1000))*1000000</f>
        <v>5.8495028966060714</v>
      </c>
      <c r="AE183" s="39">
        <f>(AD183/((U183*AZ183*1))*(0.0821*273.15))</f>
        <v>4514.296653639869</v>
      </c>
      <c r="AF183" s="39">
        <f>L183*U183*AZ183*1/(0.0821*273.15)</f>
        <v>3.6839129140627353E-3</v>
      </c>
      <c r="AG183" s="39">
        <f>AD183-AF183</f>
        <v>5.8458189836920083</v>
      </c>
      <c r="AH183" s="42">
        <f>P183*(AZ183-S183)</f>
        <v>0.1443156704744431</v>
      </c>
      <c r="AI183">
        <f>(((X183/10^6)*(Q183/1000))/(0.082056*H183))</f>
        <v>4.0927027893066291E-7</v>
      </c>
      <c r="AJ183">
        <f>(((K183/10^6)*AZ183)*(Q183/1000))/(0.082056*H183)</f>
        <v>1.0048882657348068E-6</v>
      </c>
      <c r="AK183">
        <f>(X183/10^6)*T183*(R183/1000)</f>
        <v>6.3410487248588661E-6</v>
      </c>
      <c r="AL183">
        <f>AI183+AK183</f>
        <v>6.7503190037895287E-6</v>
      </c>
      <c r="AM183" s="39">
        <f>((AL183-AJ183)/(R183/1000))*1000000</f>
        <v>5.0398515246094062</v>
      </c>
      <c r="AN183" s="39">
        <f>AM183/(T183*AZ183)</f>
        <v>162.19594787117754</v>
      </c>
      <c r="AO183" s="39">
        <f>(K183*AZ183)*T183</f>
        <v>13.657267203850022</v>
      </c>
      <c r="AP183" s="39">
        <f>AM183-AO183</f>
        <v>-8.6174156792406151</v>
      </c>
      <c r="AQ183">
        <f>(((AH183/10^6)*(Q183/1000))/(0.082056*H183))</f>
        <v>3.529846675376176E-10</v>
      </c>
      <c r="AR183">
        <f>(((M183/10^6)*AZ183)*(Q183/1000))/(0.082056*H183)</f>
        <v>7.3701919942414277E-10</v>
      </c>
      <c r="AS183">
        <f>(AH183/10^6)*V183*(R183/1000)</f>
        <v>3.9955546508837624E-9</v>
      </c>
      <c r="AT183">
        <f>AQ183+AS183</f>
        <v>4.3485393184213802E-9</v>
      </c>
      <c r="AU183" s="39">
        <f>((AT183-AR183)/(R183/1000))*1000000000</f>
        <v>3.168000104383542</v>
      </c>
      <c r="AV183" s="39">
        <f>(AU183/1000)/(V183*AZ183)</f>
        <v>0.13955233070827716</v>
      </c>
      <c r="AW183" s="39">
        <f>(M183*AZ183)*V183*1000</f>
        <v>7.3180468223305093</v>
      </c>
      <c r="AX183" s="39">
        <f>AU183-AW183</f>
        <v>-4.1500467179469673</v>
      </c>
      <c r="AY183" s="26">
        <f>VLOOKUP($E183,Water!$C$2:$G$90, 5, FALSE)</f>
        <v>710.4</v>
      </c>
      <c r="AZ183">
        <f>AY183/760</f>
        <v>0.93473684210526309</v>
      </c>
      <c r="BA183" s="3">
        <f>Assumptions!$B$3</f>
        <v>406.07</v>
      </c>
      <c r="BB183" s="3">
        <f>BA183*AZ183*T183</f>
        <v>12.61765497510196</v>
      </c>
      <c r="BC183" s="3">
        <f>Assumptions!$B$4</f>
        <v>1.8474300000000001</v>
      </c>
      <c r="BD183" s="45">
        <f>BC183*AZ183*U183*1/(0.0821*273.15)</f>
        <v>2.3938495773341917E-3</v>
      </c>
      <c r="BE183" s="3">
        <f>Assumptions!$B$2</f>
        <v>0.33054499999999998</v>
      </c>
      <c r="BF183" s="44">
        <f>BE183*AZ183*V183*1000</f>
        <v>7.5037556821066271</v>
      </c>
      <c r="BG183">
        <f>1923.6+(-125.06*F183)+(4.3773*(F183^2))+(-0.085681*(F183^3))+(0.00070284*(F183^4))</f>
        <v>450.72625461926373</v>
      </c>
      <c r="BH183">
        <f>1909.4+(-120.78*F183)+(4.1555*(F183^2))+(-0.080578*(F183^3))+(0.00065777*(F183^4))</f>
        <v>466.97827156059196</v>
      </c>
      <c r="BI183">
        <f>2141.2+(-152.56*F183)+(5.8963*(F183^2))+(-0.12411*(F183^3))+(0.0010655*(F183^4))</f>
        <v>470.6586852087994</v>
      </c>
      <c r="BJ183" s="25">
        <f>VLOOKUP(E183,Wind!$C$2:$E$109,3, FALSE)</f>
        <v>1.0833333333333333</v>
      </c>
      <c r="BK183" s="44">
        <v>1.66</v>
      </c>
      <c r="BL183">
        <f>BK183/(1-(((1.3*10^-3)^0.5)/0.41)*LN(10/1.5))</f>
        <v>1.9923982880693825</v>
      </c>
      <c r="BM183">
        <f>BK183*1.22</f>
        <v>2.0251999999999999</v>
      </c>
      <c r="BN183">
        <f>2.07+0.215*(BM183^1.7)*(24/100)</f>
        <v>2.241255750541113</v>
      </c>
      <c r="BO183">
        <f>BN183*((600/BG183)^0.67)</f>
        <v>2.7147581207241598</v>
      </c>
      <c r="BP183">
        <f>BN183*((600/BH183)^0.67)</f>
        <v>2.6510870206278581</v>
      </c>
      <c r="BQ183">
        <f>BN183*((600/BI183)^0.67)</f>
        <v>2.6371794498603043</v>
      </c>
      <c r="BR183" s="39">
        <f>BO183*(AM183-BB183)</f>
        <v>-20.571903454476217</v>
      </c>
      <c r="BS183" s="39">
        <f>BP183*(AD183-BD183)</f>
        <v>15.501194902773609</v>
      </c>
      <c r="BT183" s="39">
        <f>BQ183*(AU183-BF183)</f>
        <v>-11.434165509188512</v>
      </c>
      <c r="BU183">
        <f>(2.51+1.48*BM183)+(0.39*BM183*LOG10(0.0015))</f>
        <v>3.2768938069574309</v>
      </c>
      <c r="BV183">
        <f>BU183*((600/$BG183)^0.67)</f>
        <v>3.9691918564138033</v>
      </c>
      <c r="BW183">
        <f>BU183*((600/$BH183)^0.67)</f>
        <v>3.8760996541796922</v>
      </c>
      <c r="BX183">
        <f>BU183*((600/$BI183)^0.67)</f>
        <v>3.8557656818041539</v>
      </c>
      <c r="BY183" s="39">
        <f>BV183*($AM183-$BB183)</f>
        <v>-30.077755745199465</v>
      </c>
      <c r="BZ183" s="39">
        <f>BW183*($AD183-$BD183)</f>
        <v>22.663977355139036</v>
      </c>
      <c r="CA183" s="39">
        <f>BX183*($AU183-$BF183)</f>
        <v>-16.717657561275615</v>
      </c>
      <c r="CB183" s="42">
        <f>AVERAGE(0.72,0.69,0.4,0.22)</f>
        <v>0.50750000000000006</v>
      </c>
      <c r="CC183">
        <f>CB183*((600/$BG183)^0.67)</f>
        <v>0.61471777414731876</v>
      </c>
      <c r="CD183">
        <f>CB183*((600/$BH183)^0.67)</f>
        <v>0.60030037296895178</v>
      </c>
      <c r="CE183">
        <f>CB183*((600/$BI183)^0.67)</f>
        <v>0.59715120440002367</v>
      </c>
      <c r="CF183" s="39">
        <f>CC183*($AM183-$BB183)</f>
        <v>-4.6582104700126541</v>
      </c>
      <c r="CG183" s="39">
        <f>CD183*($AD183-$BD183)</f>
        <v>3.510021741721483</v>
      </c>
      <c r="CH183" s="39">
        <f>CE183*($AU183-$BF183)</f>
        <v>-2.5891016652214609</v>
      </c>
      <c r="CI183">
        <v>6.8626390188952699</v>
      </c>
      <c r="CJ183">
        <f>((BG183/BH183)^0.67)*CI183</f>
        <v>6.7016847988632078</v>
      </c>
      <c r="CK183">
        <f>((BH183/BH183)^0.67)*CI183</f>
        <v>6.8626390188952699</v>
      </c>
      <c r="CL183">
        <f>((BI183/BH183)^0.67)*CI183</f>
        <v>6.8988301995191446</v>
      </c>
      <c r="CM183" s="39">
        <f>CJ183*($AM183-$BB183)</f>
        <v>-50.784050192939112</v>
      </c>
      <c r="CN183" s="39">
        <f>CK183*($AD183-$BD183)</f>
        <v>40.126598693874946</v>
      </c>
      <c r="CO183" s="39">
        <f>CL183*($AU183-$BF183)</f>
        <v>-29.911641517329596</v>
      </c>
      <c r="CP183" s="27">
        <f>VLOOKUP(A183,Water!$A$2:$E$109, 5, FALSE)/1000</f>
        <v>2.9E-4</v>
      </c>
      <c r="CQ183">
        <f>0.64*CP183</f>
        <v>1.8560000000000001E-4</v>
      </c>
      <c r="CR183" s="19">
        <f>CQ183*1000*(2.5*10^-5)</f>
        <v>4.6400000000000005E-6</v>
      </c>
      <c r="CS183" s="18">
        <f>(-0.0000009*F183^3)+(0.0002*F183^2)-(0.0134*F183)+6.579</f>
        <v>6.3509518391999995</v>
      </c>
      <c r="CT183" s="18">
        <f>CS183-(SQRT(CP183))/(1+1.4*SQRT(CP183))</f>
        <v>6.3343189987275483</v>
      </c>
      <c r="CU183" s="18">
        <f>10^(-CT183)</f>
        <v>4.6310663289944823E-7</v>
      </c>
      <c r="CV183" s="18">
        <f>(0.000001*F183^3)+(0.00006*F183^2)-(0.014*F183)+10.625</f>
        <v>10.320911912</v>
      </c>
      <c r="CW183" s="18">
        <f>CV183-(2*SQRT(CR183))/(1+1.4*SQRT(CR183))</f>
        <v>10.316616733092218</v>
      </c>
      <c r="CX183" s="18">
        <f>10^(-CW183)</f>
        <v>4.8237330653568582E-11</v>
      </c>
      <c r="CY183">
        <f>EXP(1246.98+-61900/H183-183*LN(H183))</f>
        <v>3.9612687296006227E-2</v>
      </c>
      <c r="CZ183">
        <f>12.225*(F183^2)+15.258*F183+1125.7</f>
        <v>9656.8054000000011</v>
      </c>
      <c r="DA183" s="15">
        <f>10^(-4470.99/H183+6.0875-0.01706*H183)</f>
        <v>1.0758909226211215E-14</v>
      </c>
      <c r="DB183">
        <f>(10^-I183)</f>
        <v>4.3651583224016624E-10</v>
      </c>
      <c r="DC183">
        <f>DB183^2</f>
        <v>1.9054607179632495E-19</v>
      </c>
      <c r="DD183" s="20">
        <f>((14.6836*10^-9)*((H183/217.2056)-1)^1.997)*100*100</f>
        <v>2.0858341285346926E-5</v>
      </c>
      <c r="DE183">
        <f>CY183+CZ183*DA183/DB183</f>
        <v>0.27762625986357226</v>
      </c>
      <c r="DF183">
        <f>1+DC183*(CU183*CX183+CU183*DB183)^-1</f>
        <v>1.000848786272968</v>
      </c>
      <c r="DG183">
        <f>(DE183*DF183/DD183)^0.5</f>
        <v>115.41828585227195</v>
      </c>
      <c r="DH183">
        <f>DD183/(BO183/60/60)</f>
        <v>2.7659933330347206E-2</v>
      </c>
      <c r="DI183" s="16">
        <f>DF183/((DF183-1)+TANH(DG183*DH183)/(DG183*DH183))</f>
        <v>3.1972762370886141</v>
      </c>
      <c r="DJ183">
        <f>$DI183*BR183</f>
        <v>-65.774058066677981</v>
      </c>
      <c r="DK183">
        <f>$DI183*BY183</f>
        <v>-96.166893709081791</v>
      </c>
      <c r="DL183">
        <f>$DI183*CF183</f>
        <v>-14.893585643128842</v>
      </c>
      <c r="DM183">
        <f>$DI183*CM183</f>
        <v>-162.37063690499969</v>
      </c>
    </row>
    <row r="184" spans="1:117" ht="15.75" x14ac:dyDescent="0.25">
      <c r="A184" s="52" t="s">
        <v>477</v>
      </c>
      <c r="B184" s="55" t="s">
        <v>341</v>
      </c>
      <c r="C184" s="64" t="s">
        <v>486</v>
      </c>
      <c r="D184" s="57">
        <v>43294</v>
      </c>
      <c r="E184" s="42" t="str">
        <f>A184&amp;D184</f>
        <v>68A43294</v>
      </c>
      <c r="F184" s="3">
        <f>VLOOKUP($E184,Water!$C$2:$E$90, 2, FALSE)</f>
        <v>25.8</v>
      </c>
      <c r="G184" s="3">
        <f>VLOOKUP($E184,Water!$C$2:$E$90, 3, FALSE)</f>
        <v>0.12</v>
      </c>
      <c r="H184" s="1">
        <f>F184+273.15</f>
        <v>298.95</v>
      </c>
      <c r="I184" s="3">
        <f>VLOOKUP($E184,Water!$C$2:$F$90, 4, FALSE)</f>
        <v>9.36</v>
      </c>
      <c r="J184">
        <f>10^(I184*-1)</f>
        <v>4.3651583224016624E-10</v>
      </c>
      <c r="K184" s="25">
        <v>439.52751160265137</v>
      </c>
      <c r="L184" s="25">
        <v>2.8430237635924795</v>
      </c>
      <c r="M184" s="25">
        <v>0.32236441181786135</v>
      </c>
      <c r="N184" s="21">
        <f>VLOOKUP($C184,Raw!$B$2:$F$353, 3, FALSE)</f>
        <v>328.84199999999998</v>
      </c>
      <c r="O184" s="21">
        <f>VLOOKUP($C184,Raw!$B$2:$F$353, 4, FALSE)</f>
        <v>1458.83</v>
      </c>
      <c r="P184" s="21">
        <f>VLOOKUP($C184,Raw!$B$2:$F$353, 5, FALSE)</f>
        <v>0.221</v>
      </c>
      <c r="Q184" s="14">
        <v>60</v>
      </c>
      <c r="R184" s="25">
        <v>1140</v>
      </c>
      <c r="S184">
        <f>EXP(24.4543-(100/H184*(67.4509))-(4.8489*LN(H184/100))-(0.000544*G184))</f>
        <v>3.2763901639993681E-2</v>
      </c>
      <c r="T184" s="8">
        <f>EXP(-58.0931+90.5069*(100/H184)+22.294*LN(H184/100)+G184*(0.027766-0.025888*(H184/100)+0.0050578*(H184/100)^2)*G184)</f>
        <v>3.3242094643810755E-2</v>
      </c>
      <c r="U184" s="9">
        <f>(EXP(-67.1962+99.1624*(100/H184)+27.9015*LN(H184/100)+G184*(-0.072909+0.041674*(H184/100)-0.0064603*(H184/100)^2)*G184))</f>
        <v>3.1087361744111749E-2</v>
      </c>
      <c r="V184" s="9">
        <f>(EXP(-64.8539+100.252*(100/H184)+25.2049*LN(H184/100)+(-0.062544+0.035337*(H184/100)-0.0054699*(H184/100)^2)*G184))</f>
        <v>2.4286153327998494E-2</v>
      </c>
      <c r="W184" s="9">
        <f>(EXP(-68.8862+101.4956*(100/H184)+28.7314*LN(H184/100)+G184*(-0.076146+0.04397*(H184/100)-0.0068672*(H184/100)^2)))</f>
        <v>3.1045495366053971E-2</v>
      </c>
      <c r="X184">
        <f>N184*(AZ184-S184)</f>
        <v>296.6065856884801</v>
      </c>
      <c r="Y184">
        <f>O184*(AZ184-S184)</f>
        <v>1315.825184738949</v>
      </c>
      <c r="Z184">
        <f>((Y184/10^6)*AZ184)/(0.082056*H184)</f>
        <v>5.013934482664316E-5</v>
      </c>
      <c r="AA184">
        <f>(((L184/10^6)*AZ184)/(0.082056*H184))</f>
        <v>1.083330449108136E-7</v>
      </c>
      <c r="AB184">
        <f>((Y184/10^6)*U184*1)/(0.082056*H184)</f>
        <v>1.6675280999174361E-6</v>
      </c>
      <c r="AC184">
        <f>(Z184*(Q184/1000))+(AB184*(R184/1000))</f>
        <v>4.9093427235044664E-6</v>
      </c>
      <c r="AD184" s="39">
        <f>((AC184-(AA184*(Q184/1000)))/(R184/1000))*1000000</f>
        <v>4.300739246324401</v>
      </c>
      <c r="AE184" s="39">
        <f>(AD184/((U184*AZ184*1))*(0.0821*273.15))</f>
        <v>3319.0534530933433</v>
      </c>
      <c r="AF184" s="39">
        <f>L184*U184*AZ184*1/(0.0821*273.15)</f>
        <v>3.6839129140627353E-3</v>
      </c>
      <c r="AG184" s="39">
        <f>AD184-AF184</f>
        <v>4.2970553334103379</v>
      </c>
      <c r="AH184" s="42">
        <f>P184*(AZ184-S184)</f>
        <v>0.19933601984282454</v>
      </c>
      <c r="AI184">
        <f>(((X184/10^6)*(Q184/1000))/(0.082056*H184))</f>
        <v>7.2547615026503287E-7</v>
      </c>
      <c r="AJ184">
        <f>(((K184/10^6)*AZ184)*(Q184/1000))/(0.082056*H184)</f>
        <v>1.0048882657348068E-6</v>
      </c>
      <c r="AK184">
        <f>(X184/10^6)*T184*(R184/1000)</f>
        <v>1.1240199580514783E-5</v>
      </c>
      <c r="AL184">
        <f>AI184+AK184</f>
        <v>1.1965675730779816E-5</v>
      </c>
      <c r="AM184" s="39">
        <f>((AL184-AJ184)/(R184/1000))*1000000</f>
        <v>9.6147258465307104</v>
      </c>
      <c r="AN184" s="39">
        <f>AM184/(T184*AZ184)</f>
        <v>309.42768146734619</v>
      </c>
      <c r="AO184" s="39">
        <f>(K184*AZ184)*T184</f>
        <v>13.657267203850022</v>
      </c>
      <c r="AP184" s="39">
        <f>AM184-AO184</f>
        <v>-4.0425413573193119</v>
      </c>
      <c r="AQ184">
        <f>(((AH184/10^6)*(Q184/1000))/(0.082056*H184))</f>
        <v>4.8756007203633433E-10</v>
      </c>
      <c r="AR184">
        <f>(((M184/10^6)*AZ184)*(Q184/1000))/(0.082056*H184)</f>
        <v>7.3701919942414277E-10</v>
      </c>
      <c r="AS184">
        <f>(AH184/10^6)*V184*(R184/1000)</f>
        <v>5.5188598615331969E-9</v>
      </c>
      <c r="AT184">
        <f>AQ184+AS184</f>
        <v>6.0064199335695312E-9</v>
      </c>
      <c r="AU184" s="39">
        <f>((AT184-AR184)/(R184/1000))*1000000000</f>
        <v>4.6222813457415688</v>
      </c>
      <c r="AV184" s="39">
        <f>(AU184/1000)/(V184*AZ184)</f>
        <v>0.20361430357753965</v>
      </c>
      <c r="AW184" s="39">
        <f>(M184*AZ184)*V184*1000</f>
        <v>7.3180468223305093</v>
      </c>
      <c r="AX184" s="39">
        <f>AU184-AW184</f>
        <v>-2.6957654765889405</v>
      </c>
      <c r="AY184" s="26">
        <f>VLOOKUP($E184,Water!$C$2:$G$90, 5, FALSE)</f>
        <v>710.4</v>
      </c>
      <c r="AZ184">
        <f>AY184/760</f>
        <v>0.93473684210526309</v>
      </c>
      <c r="BA184" s="3">
        <f>Assumptions!$B$3</f>
        <v>406.07</v>
      </c>
      <c r="BB184" s="3">
        <f>BA184*AZ184*T184</f>
        <v>12.61765497510196</v>
      </c>
      <c r="BC184" s="3">
        <f>Assumptions!$B$4</f>
        <v>1.8474300000000001</v>
      </c>
      <c r="BD184" s="45">
        <f>BC184*AZ184*U184*1/(0.0821*273.15)</f>
        <v>2.3938495773341917E-3</v>
      </c>
      <c r="BE184" s="3">
        <f>Assumptions!$B$2</f>
        <v>0.33054499999999998</v>
      </c>
      <c r="BF184" s="44">
        <f>BE184*AZ184*V184*1000</f>
        <v>7.5037556821066271</v>
      </c>
      <c r="BG184">
        <f>1923.6+(-125.06*F184)+(4.3773*(F184^2))+(-0.085681*(F184^3))+(0.00070284*(F184^4))</f>
        <v>450.72625461926373</v>
      </c>
      <c r="BH184">
        <f>1909.4+(-120.78*F184)+(4.1555*(F184^2))+(-0.080578*(F184^3))+(0.00065777*(F184^4))</f>
        <v>466.97827156059196</v>
      </c>
      <c r="BI184">
        <f>2141.2+(-152.56*F184)+(5.8963*(F184^2))+(-0.12411*(F184^3))+(0.0010655*(F184^4))</f>
        <v>470.6586852087994</v>
      </c>
      <c r="BJ184" s="25">
        <f>VLOOKUP(E184,Wind!$C$2:$E$109,3, FALSE)</f>
        <v>1.0833333333333333</v>
      </c>
      <c r="BK184" s="44">
        <v>1.66</v>
      </c>
      <c r="BL184">
        <f>BK184/(1-(((1.3*10^-3)^0.5)/0.41)*LN(10/1.5))</f>
        <v>1.9923982880693825</v>
      </c>
      <c r="BM184">
        <f>BK184*1.22</f>
        <v>2.0251999999999999</v>
      </c>
      <c r="BN184">
        <f>2.07+0.215*(BM184^1.7)*(24/100)</f>
        <v>2.241255750541113</v>
      </c>
      <c r="BO184">
        <f>BN184*((600/BG184)^0.67)</f>
        <v>2.7147581207241598</v>
      </c>
      <c r="BP184">
        <f>BN184*((600/BH184)^0.67)</f>
        <v>2.6510870206278581</v>
      </c>
      <c r="BQ184">
        <f>BN184*((600/BI184)^0.67)</f>
        <v>2.6371794498603043</v>
      </c>
      <c r="BR184" s="39">
        <f>BO184*(AM184-BB184)</f>
        <v>-8.1522262377479251</v>
      </c>
      <c r="BS184" s="39">
        <f>BP184*(AD184-BD184)</f>
        <v>11.395287691491649</v>
      </c>
      <c r="BT184" s="39">
        <f>BQ184*(AU184-BF184)</f>
        <v>-7.5989649051617896</v>
      </c>
      <c r="BU184">
        <f>(2.51+1.48*BM184)+(0.39*BM184*LOG10(0.0015))</f>
        <v>3.2768938069574309</v>
      </c>
      <c r="BV184">
        <f>BU184*((600/$BG184)^0.67)</f>
        <v>3.9691918564138033</v>
      </c>
      <c r="BW184">
        <f>BU184*((600/$BH184)^0.67)</f>
        <v>3.8760996541796922</v>
      </c>
      <c r="BX184">
        <f>BU184*((600/$BI184)^0.67)</f>
        <v>3.8557656818041539</v>
      </c>
      <c r="BY184" s="39">
        <f>BV184*($AM184-$BB184)</f>
        <v>-11.919201842512804</v>
      </c>
      <c r="BZ184" s="39">
        <f>BW184*($AD184-$BD184)</f>
        <v>16.660815105876175</v>
      </c>
      <c r="CA184" s="39">
        <f>BX184*($AU184-$BF184)</f>
        <v>-11.110289859155792</v>
      </c>
      <c r="CB184" s="42">
        <f>AVERAGE(0.72,0.69,0.4,0.22)</f>
        <v>0.50750000000000006</v>
      </c>
      <c r="CC184">
        <f>CB184*((600/$BG184)^0.67)</f>
        <v>0.61471777414731876</v>
      </c>
      <c r="CD184">
        <f>CB184*((600/$BH184)^0.67)</f>
        <v>0.60030037296895178</v>
      </c>
      <c r="CE184">
        <f>CB184*((600/$BI184)^0.67)</f>
        <v>0.59715120440002367</v>
      </c>
      <c r="CF184" s="39">
        <f>CC184*($AM184-$BB184)</f>
        <v>-1.8459539098374662</v>
      </c>
      <c r="CG184" s="39">
        <f>CD184*($AD184-$BD184)</f>
        <v>2.580298344816641</v>
      </c>
      <c r="CH184" s="39">
        <f>CE184*($AU184-$BF184)</f>
        <v>-1.7206758704081535</v>
      </c>
      <c r="CI184">
        <v>7.8626390188952699</v>
      </c>
      <c r="CJ184">
        <f>((BG184/BH184)^0.67)*CI184</f>
        <v>7.6782311071290374</v>
      </c>
      <c r="CK184">
        <f>((BH184/BH184)^0.67)*CI184</f>
        <v>7.8626390188952699</v>
      </c>
      <c r="CL184">
        <f>((BI184/BH184)^0.67)*CI184</f>
        <v>7.9041038530690733</v>
      </c>
      <c r="CM184" s="39">
        <f>CJ184*($AM184-$BB184)</f>
        <v>-23.057183847499662</v>
      </c>
      <c r="CN184" s="39">
        <f>CK184*($AD184-$BD184)</f>
        <v>33.796338233152355</v>
      </c>
      <c r="CO184" s="39">
        <f>CL184*($AU184-$BF184)</f>
        <v>-22.775472404582707</v>
      </c>
      <c r="CP184" s="27">
        <f>VLOOKUP(A184,Water!$A$2:$E$109, 5, FALSE)/1000</f>
        <v>2.9E-4</v>
      </c>
      <c r="CQ184">
        <f>0.64*CP184</f>
        <v>1.8560000000000001E-4</v>
      </c>
      <c r="CR184" s="19">
        <f>CQ184*1000*(2.5*10^-5)</f>
        <v>4.6400000000000005E-6</v>
      </c>
      <c r="CS184" s="18">
        <f>(-0.0000009*F184^3)+(0.0002*F184^2)-(0.0134*F184)+6.579</f>
        <v>6.3509518391999995</v>
      </c>
      <c r="CT184" s="18">
        <f>CS184-(SQRT(CP184))/(1+1.4*SQRT(CP184))</f>
        <v>6.3343189987275483</v>
      </c>
      <c r="CU184" s="18">
        <f>10^(-CT184)</f>
        <v>4.6310663289944823E-7</v>
      </c>
      <c r="CV184" s="18">
        <f>(0.000001*F184^3)+(0.00006*F184^2)-(0.014*F184)+10.625</f>
        <v>10.320911912</v>
      </c>
      <c r="CW184" s="18">
        <f>CV184-(2*SQRT(CR184))/(1+1.4*SQRT(CR184))</f>
        <v>10.316616733092218</v>
      </c>
      <c r="CX184" s="18">
        <f>10^(-CW184)</f>
        <v>4.8237330653568582E-11</v>
      </c>
      <c r="CY184">
        <f>EXP(1246.98+-61900/H184-183*LN(H184))</f>
        <v>3.9612687296006227E-2</v>
      </c>
      <c r="CZ184">
        <f>12.225*(F184^2)+15.258*F184+1125.7</f>
        <v>9656.8054000000011</v>
      </c>
      <c r="DA184" s="15">
        <f>10^(-4470.99/H184+6.0875-0.01706*H184)</f>
        <v>1.0758909226211215E-14</v>
      </c>
      <c r="DB184">
        <f>(10^-I184)</f>
        <v>4.3651583224016624E-10</v>
      </c>
      <c r="DC184">
        <f>DB184^2</f>
        <v>1.9054607179632495E-19</v>
      </c>
      <c r="DD184" s="20">
        <f>((14.6836*10^-9)*((H184/217.2056)-1)^1.997)*100*100</f>
        <v>2.0858341285346926E-5</v>
      </c>
      <c r="DE184">
        <f>CY184+CZ184*DA184/DB184</f>
        <v>0.27762625986357226</v>
      </c>
      <c r="DF184">
        <f>1+DC184*(CU184*CX184+CU184*DB184)^-1</f>
        <v>1.000848786272968</v>
      </c>
      <c r="DG184">
        <f>(DE184*DF184/DD184)^0.5</f>
        <v>115.41828585227195</v>
      </c>
      <c r="DH184">
        <f>DD184/(BO184/60/60)</f>
        <v>2.7659933330347206E-2</v>
      </c>
      <c r="DI184" s="16">
        <f>DF184/((DF184-1)+TANH(DG184*DH184)/(DG184*DH184))</f>
        <v>3.1972762370886141</v>
      </c>
      <c r="DJ184">
        <f>$DI184*BR184</f>
        <v>-26.064919229321756</v>
      </c>
      <c r="DK184">
        <f>$DI184*BY184</f>
        <v>-38.108980816129012</v>
      </c>
      <c r="DL184">
        <f>$DI184*CF184</f>
        <v>-5.9020245706841488</v>
      </c>
      <c r="DM184">
        <f>$DI184*CM184</f>
        <v>-73.720186009794091</v>
      </c>
    </row>
    <row r="185" spans="1:117" ht="15.75" x14ac:dyDescent="0.25">
      <c r="A185" s="52" t="s">
        <v>477</v>
      </c>
      <c r="B185" s="55" t="s">
        <v>342</v>
      </c>
      <c r="C185" s="64" t="s">
        <v>487</v>
      </c>
      <c r="D185" s="57">
        <v>43294</v>
      </c>
      <c r="E185" s="42" t="str">
        <f>A185&amp;D185</f>
        <v>68A43294</v>
      </c>
      <c r="F185" s="3">
        <f>VLOOKUP($E185,Water!$C$2:$E$90, 2, FALSE)</f>
        <v>25.8</v>
      </c>
      <c r="G185" s="3">
        <f>VLOOKUP($E185,Water!$C$2:$E$90, 3, FALSE)</f>
        <v>0.12</v>
      </c>
      <c r="H185" s="1">
        <f>F185+273.15</f>
        <v>298.95</v>
      </c>
      <c r="I185" s="3">
        <f>VLOOKUP($E185,Water!$C$2:$F$90, 4, FALSE)</f>
        <v>9.36</v>
      </c>
      <c r="J185">
        <f>10^(I185*-1)</f>
        <v>4.3651583224016624E-10</v>
      </c>
      <c r="K185" s="25">
        <v>439.52751160265137</v>
      </c>
      <c r="L185" s="25">
        <v>2.8430237635924795</v>
      </c>
      <c r="M185" s="25">
        <v>0.32236441181786135</v>
      </c>
      <c r="N185" s="21">
        <f>VLOOKUP($C185,Raw!$B$2:$F$353, 3, FALSE)</f>
        <v>230.32599999999999</v>
      </c>
      <c r="O185" s="21">
        <f>VLOOKUP($C185,Raw!$B$2:$F$353, 4, FALSE)</f>
        <v>2646.09</v>
      </c>
      <c r="P185" s="21">
        <f>VLOOKUP($C185,Raw!$B$2:$F$353, 5, FALSE)</f>
        <v>0.151</v>
      </c>
      <c r="Q185" s="14">
        <v>60</v>
      </c>
      <c r="R185" s="25">
        <v>1140</v>
      </c>
      <c r="S185">
        <f>EXP(24.4543-(100/H185*(67.4509))-(4.8489*LN(H185/100))-(0.000544*G185))</f>
        <v>3.2763901639993681E-2</v>
      </c>
      <c r="T185" s="8">
        <f>EXP(-58.0931+90.5069*(100/H185)+22.294*LN(H185/100)+G185*(0.027766-0.025888*(H185/100)+0.0050578*(H185/100)^2)*G185)</f>
        <v>3.3242094643810755E-2</v>
      </c>
      <c r="U185" s="9">
        <f>(EXP(-67.1962+99.1624*(100/H185)+27.9015*LN(H185/100)+G185*(-0.072909+0.041674*(H185/100)-0.0064603*(H185/100)^2)*G185))</f>
        <v>3.1087361744111749E-2</v>
      </c>
      <c r="V185" s="9">
        <f>(EXP(-64.8539+100.252*(100/H185)+25.2049*LN(H185/100)+(-0.062544+0.035337*(H185/100)-0.0054699*(H185/100)^2)*G185))</f>
        <v>2.4286153327998494E-2</v>
      </c>
      <c r="W185" s="9">
        <f>(EXP(-68.8862+101.4956*(100/H185)+28.7314*LN(H185/100)+G185*(-0.076146+0.04397*(H185/100)-0.0068672*(H185/100)^2)))</f>
        <v>3.1045495366053971E-2</v>
      </c>
      <c r="X185">
        <f>N185*(AZ185-S185)</f>
        <v>207.74781948560363</v>
      </c>
      <c r="Y185">
        <f>O185*(AZ185-S185)</f>
        <v>2386.7015780357451</v>
      </c>
      <c r="Z185">
        <f>((Y185/10^6)*AZ185)/(0.082056*H185)</f>
        <v>9.0944948316344087E-5</v>
      </c>
      <c r="AA185">
        <f>(((L185/10^6)*AZ185)/(0.082056*H185))</f>
        <v>1.083330449108136E-7</v>
      </c>
      <c r="AB185">
        <f>((Y185/10^6)*U185*1)/(0.082056*H185)</f>
        <v>3.0246357902637934E-6</v>
      </c>
      <c r="AC185">
        <f>(Z185*(Q185/1000))+(AB185*(R185/1000))</f>
        <v>8.9047816998813688E-6</v>
      </c>
      <c r="AD185" s="39">
        <f>((AC185-(AA185*(Q185/1000)))/(R185/1000))*1000000</f>
        <v>7.8055102782339656</v>
      </c>
      <c r="AE185" s="39">
        <f>(AD185/((U185*AZ185*1))*(0.0821*273.15))</f>
        <v>6023.8262211012207</v>
      </c>
      <c r="AF185" s="39">
        <f>L185*U185*AZ185*1/(0.0821*273.15)</f>
        <v>3.6839129140627353E-3</v>
      </c>
      <c r="AG185" s="39">
        <f>AD185-AF185</f>
        <v>7.8018263653199025</v>
      </c>
      <c r="AH185" s="42">
        <f>P185*(AZ185-S185)</f>
        <v>0.13619791401025569</v>
      </c>
      <c r="AI185">
        <f>(((X185/10^6)*(Q185/1000))/(0.082056*H185))</f>
        <v>5.0813466584543313E-7</v>
      </c>
      <c r="AJ185">
        <f>(((K185/10^6)*AZ185)*(Q185/1000))/(0.082056*H185)</f>
        <v>1.0048882657348068E-6</v>
      </c>
      <c r="AK185">
        <f>(X185/10^6)*T185*(R185/1000)</f>
        <v>7.8728088522197523E-6</v>
      </c>
      <c r="AL185">
        <f>AI185+AK185</f>
        <v>8.3809435180651853E-6</v>
      </c>
      <c r="AM185" s="39">
        <f>((AL185-AJ185)/(R185/1000))*1000000</f>
        <v>6.470223905552964</v>
      </c>
      <c r="AN185" s="39">
        <f>AM185/(T185*AZ185)</f>
        <v>208.22916988239021</v>
      </c>
      <c r="AO185" s="39">
        <f>(K185*AZ185)*T185</f>
        <v>13.657267203850022</v>
      </c>
      <c r="AP185" s="39">
        <f>AM185-AO185</f>
        <v>-7.1870432982970582</v>
      </c>
      <c r="AQ185">
        <f>(((AH185/10^6)*(Q185/1000))/(0.082056*H185))</f>
        <v>3.3312927998862664E-10</v>
      </c>
      <c r="AR185">
        <f>(((M185/10^6)*AZ185)*(Q185/1000))/(0.082056*H185)</f>
        <v>7.3701919942414277E-10</v>
      </c>
      <c r="AS185">
        <f>(AH185/10^6)*V185*(R185/1000)</f>
        <v>3.7708047017715505E-9</v>
      </c>
      <c r="AT185">
        <f>AQ185+AS185</f>
        <v>4.1039339817601773E-9</v>
      </c>
      <c r="AU185" s="39">
        <f>((AT185-AR185)/(R185/1000))*1000000000</f>
        <v>2.9534340195930131</v>
      </c>
      <c r="AV185" s="39">
        <f>(AU185/1000)/(V185*AZ185)</f>
        <v>0.13010056421936955</v>
      </c>
      <c r="AW185" s="39">
        <f>(M185*AZ185)*V185*1000</f>
        <v>7.3180468223305093</v>
      </c>
      <c r="AX185" s="39">
        <f>AU185-AW185</f>
        <v>-4.3646128027374962</v>
      </c>
      <c r="AY185" s="26">
        <f>VLOOKUP($E185,Water!$C$2:$G$90, 5, FALSE)</f>
        <v>710.4</v>
      </c>
      <c r="AZ185">
        <f>AY185/760</f>
        <v>0.93473684210526309</v>
      </c>
      <c r="BA185" s="3">
        <f>Assumptions!$B$3</f>
        <v>406.07</v>
      </c>
      <c r="BB185" s="3">
        <f>BA185*AZ185*T185</f>
        <v>12.61765497510196</v>
      </c>
      <c r="BC185" s="3">
        <f>Assumptions!$B$4</f>
        <v>1.8474300000000001</v>
      </c>
      <c r="BD185" s="45">
        <f>BC185*AZ185*U185*1/(0.0821*273.15)</f>
        <v>2.3938495773341917E-3</v>
      </c>
      <c r="BE185" s="3">
        <f>Assumptions!$B$2</f>
        <v>0.33054499999999998</v>
      </c>
      <c r="BF185" s="44">
        <f>BE185*AZ185*V185*1000</f>
        <v>7.5037556821066271</v>
      </c>
      <c r="BG185">
        <f>1923.6+(-125.06*F185)+(4.3773*(F185^2))+(-0.085681*(F185^3))+(0.00070284*(F185^4))</f>
        <v>450.72625461926373</v>
      </c>
      <c r="BH185">
        <f>1909.4+(-120.78*F185)+(4.1555*(F185^2))+(-0.080578*(F185^3))+(0.00065777*(F185^4))</f>
        <v>466.97827156059196</v>
      </c>
      <c r="BI185">
        <f>2141.2+(-152.56*F185)+(5.8963*(F185^2))+(-0.12411*(F185^3))+(0.0010655*(F185^4))</f>
        <v>470.6586852087994</v>
      </c>
      <c r="BJ185" s="25">
        <f>VLOOKUP(E185,Wind!$C$2:$E$109,3, FALSE)</f>
        <v>1.0833333333333333</v>
      </c>
      <c r="BK185" s="44">
        <v>1.66</v>
      </c>
      <c r="BL185">
        <f>BK185/(1-(((1.3*10^-3)^0.5)/0.41)*LN(10/1.5))</f>
        <v>1.9923982880693825</v>
      </c>
      <c r="BM185">
        <f>BK185*1.22</f>
        <v>2.0251999999999999</v>
      </c>
      <c r="BN185">
        <f>2.07+0.215*(BM185^1.7)*(24/100)</f>
        <v>2.241255750541113</v>
      </c>
      <c r="BO185">
        <f>BN185*((600/BG185)^0.67)</f>
        <v>2.7147581207241598</v>
      </c>
      <c r="BP185">
        <f>BN185*((600/BH185)^0.67)</f>
        <v>2.6510870206278581</v>
      </c>
      <c r="BQ185">
        <f>BN185*((600/BI185)^0.67)</f>
        <v>2.6371794498603043</v>
      </c>
      <c r="BR185" s="39">
        <f>BO185*(AM185-BB185)</f>
        <v>-16.688788417650144</v>
      </c>
      <c r="BS185" s="39">
        <f>BP185*(AD185-BD185)</f>
        <v>20.6867406844596</v>
      </c>
      <c r="BT185" s="39">
        <f>BQ185*(AU185-BF185)</f>
        <v>-12.000014778635078</v>
      </c>
      <c r="BU185">
        <f>(2.51+1.48*BM185)+(0.39*BM185*LOG10(0.0015))</f>
        <v>3.2768938069574309</v>
      </c>
      <c r="BV185">
        <f>BU185*((600/$BG185)^0.67)</f>
        <v>3.9691918564138033</v>
      </c>
      <c r="BW185">
        <f>BU185*((600/$BH185)^0.67)</f>
        <v>3.8760996541796922</v>
      </c>
      <c r="BX185">
        <f>BU185*((600/$BI185)^0.67)</f>
        <v>3.8557656818041539</v>
      </c>
      <c r="BY185" s="39">
        <f>BV185*($AM185-$BB185)</f>
        <v>-24.400333339119072</v>
      </c>
      <c r="BZ185" s="39">
        <f>BW185*($AD185-$BD185)</f>
        <v>30.245656890639843</v>
      </c>
      <c r="CA185" s="39">
        <f>BX185*($AU185-$BF185)</f>
        <v>-17.544974107490017</v>
      </c>
      <c r="CB185" s="42">
        <f>AVERAGE(0.72,0.69,0.4,0.22)</f>
        <v>0.50750000000000006</v>
      </c>
      <c r="CC185">
        <f>CB185*((600/$BG185)^0.67)</f>
        <v>0.61471777414731876</v>
      </c>
      <c r="CD185">
        <f>CB185*((600/$BH185)^0.67)</f>
        <v>0.60030037296895178</v>
      </c>
      <c r="CE185">
        <f>CB185*((600/$BI185)^0.67)</f>
        <v>0.59715120440002367</v>
      </c>
      <c r="CF185" s="39">
        <f>CC185*($AM185-$BB185)</f>
        <v>-3.7789351437972298</v>
      </c>
      <c r="CG185" s="39">
        <f>CD185*($AD185-$BD185)</f>
        <v>4.6842137024427304</v>
      </c>
      <c r="CH185" s="39">
        <f>CE185*($AU185-$BF185)</f>
        <v>-2.7172300611775229</v>
      </c>
      <c r="CI185">
        <v>8.8626390188952708</v>
      </c>
      <c r="CJ185">
        <f>((BG185/BH185)^0.67)*CI185</f>
        <v>8.654777415394868</v>
      </c>
      <c r="CK185">
        <f>((BH185/BH185)^0.67)*CI185</f>
        <v>8.8626390188952708</v>
      </c>
      <c r="CL185">
        <f>((BI185/BH185)^0.67)*CI185</f>
        <v>8.909377506619002</v>
      </c>
      <c r="CM185" s="39">
        <f>CJ185*($AM185-$BB185)</f>
        <v>-53.20464758342937</v>
      </c>
      <c r="CN185" s="39">
        <f>CK185*($AD185-$BD185)</f>
        <v>69.156204129594983</v>
      </c>
      <c r="CO185" s="39">
        <f>CL185*($AU185-$BF185)</f>
        <v>-40.540533467879975</v>
      </c>
      <c r="CP185" s="27">
        <f>VLOOKUP(A185,Water!$A$2:$E$109, 5, FALSE)/1000</f>
        <v>2.9E-4</v>
      </c>
      <c r="CQ185">
        <f>0.64*CP185</f>
        <v>1.8560000000000001E-4</v>
      </c>
      <c r="CR185" s="19">
        <f>CQ185*1000*(2.5*10^-5)</f>
        <v>4.6400000000000005E-6</v>
      </c>
      <c r="CS185" s="18">
        <f>(-0.0000009*F185^3)+(0.0002*F185^2)-(0.0134*F185)+6.579</f>
        <v>6.3509518391999995</v>
      </c>
      <c r="CT185" s="18">
        <f>CS185-(SQRT(CP185))/(1+1.4*SQRT(CP185))</f>
        <v>6.3343189987275483</v>
      </c>
      <c r="CU185" s="18">
        <f>10^(-CT185)</f>
        <v>4.6310663289944823E-7</v>
      </c>
      <c r="CV185" s="18">
        <f>(0.000001*F185^3)+(0.00006*F185^2)-(0.014*F185)+10.625</f>
        <v>10.320911912</v>
      </c>
      <c r="CW185" s="18">
        <f>CV185-(2*SQRT(CR185))/(1+1.4*SQRT(CR185))</f>
        <v>10.316616733092218</v>
      </c>
      <c r="CX185" s="18">
        <f>10^(-CW185)</f>
        <v>4.8237330653568582E-11</v>
      </c>
      <c r="CY185">
        <f>EXP(1246.98+-61900/H185-183*LN(H185))</f>
        <v>3.9612687296006227E-2</v>
      </c>
      <c r="CZ185">
        <f>12.225*(F185^2)+15.258*F185+1125.7</f>
        <v>9656.8054000000011</v>
      </c>
      <c r="DA185" s="15">
        <f>10^(-4470.99/H185+6.0875-0.01706*H185)</f>
        <v>1.0758909226211215E-14</v>
      </c>
      <c r="DB185">
        <f>(10^-I185)</f>
        <v>4.3651583224016624E-10</v>
      </c>
      <c r="DC185">
        <f>DB185^2</f>
        <v>1.9054607179632495E-19</v>
      </c>
      <c r="DD185" s="20">
        <f>((14.6836*10^-9)*((H185/217.2056)-1)^1.997)*100*100</f>
        <v>2.0858341285346926E-5</v>
      </c>
      <c r="DE185">
        <f>CY185+CZ185*DA185/DB185</f>
        <v>0.27762625986357226</v>
      </c>
      <c r="DF185">
        <f>1+DC185*(CU185*CX185+CU185*DB185)^-1</f>
        <v>1.000848786272968</v>
      </c>
      <c r="DG185">
        <f>(DE185*DF185/DD185)^0.5</f>
        <v>115.41828585227195</v>
      </c>
      <c r="DH185">
        <f>DD185/(BO185/60/60)</f>
        <v>2.7659933330347206E-2</v>
      </c>
      <c r="DI185" s="16">
        <f>DF185/((DF185-1)+TANH(DG185*DH185)/(DG185*DH185))</f>
        <v>3.1972762370886141</v>
      </c>
      <c r="DJ185">
        <f>$DI185*BR185</f>
        <v>-53.358666633552502</v>
      </c>
      <c r="DK185">
        <f>$DI185*BY185</f>
        <v>-78.014605962206488</v>
      </c>
      <c r="DL185">
        <f>$DI185*CF185</f>
        <v>-12.082299536761928</v>
      </c>
      <c r="DM185">
        <f>$DI185*CM185</f>
        <v>-170.10995542117288</v>
      </c>
    </row>
    <row r="186" spans="1:117" ht="15.75" x14ac:dyDescent="0.25">
      <c r="A186" s="52" t="s">
        <v>337</v>
      </c>
      <c r="B186" s="55" t="s">
        <v>339</v>
      </c>
      <c r="C186" s="64" t="s">
        <v>488</v>
      </c>
      <c r="D186" s="57">
        <v>43294</v>
      </c>
      <c r="E186" s="42" t="str">
        <f>A186&amp;D186</f>
        <v>14B43294</v>
      </c>
      <c r="F186" s="3">
        <f>VLOOKUP($E186,Water!$C$2:$E$90, 2, FALSE)</f>
        <v>23</v>
      </c>
      <c r="G186" s="3">
        <f>VLOOKUP($E186,Water!$C$2:$E$90, 3, FALSE)</f>
        <v>0.53</v>
      </c>
      <c r="H186" s="1">
        <f>F186+273.15</f>
        <v>296.14999999999998</v>
      </c>
      <c r="I186" s="3">
        <f>VLOOKUP($E186,Water!$C$2:$F$90, 4, FALSE)</f>
        <v>8.69</v>
      </c>
      <c r="J186">
        <f>10^(I186*-1)</f>
        <v>2.0417379446695247E-9</v>
      </c>
      <c r="K186" s="25">
        <v>439.52751160265137</v>
      </c>
      <c r="L186" s="25">
        <v>2.8430237635924795</v>
      </c>
      <c r="M186" s="25">
        <v>0.32236441181786135</v>
      </c>
      <c r="N186" s="21">
        <f>VLOOKUP($C186,Raw!$B$2:$F$353, 3, FALSE)</f>
        <v>434.95600000000002</v>
      </c>
      <c r="O186" s="21">
        <f>VLOOKUP($C186,Raw!$B$2:$F$353, 4, FALSE)</f>
        <v>168.17099999999999</v>
      </c>
      <c r="P186" s="21">
        <f>VLOOKUP($C186,Raw!$B$2:$F$353, 5, FALSE)</f>
        <v>0.47199999999999998</v>
      </c>
      <c r="Q186" s="14">
        <v>60</v>
      </c>
      <c r="R186" s="25">
        <v>1140</v>
      </c>
      <c r="S186">
        <f>EXP(24.4543-(100/H186*(67.4509))-(4.8489*LN(H186/100))-(0.000544*G186))</f>
        <v>2.7699427985865343E-2</v>
      </c>
      <c r="T186" s="8">
        <f>EXP(-58.0931+90.5069*(100/H186)+22.294*LN(H186/100)+G186*(0.027766-0.025888*(H186/100)+0.0050578*(H186/100)^2)*G186)</f>
        <v>3.5839552040389022E-2</v>
      </c>
      <c r="U186" s="9">
        <f>(EXP(-67.1962+99.1624*(100/H186)+27.9015*LN(H186/100)+G186*(-0.072909+0.041674*(H186/100)-0.0064603*(H186/100)^2)*G186))</f>
        <v>3.2662056812096184E-2</v>
      </c>
      <c r="V186" s="9">
        <f>(EXP(-64.8539+100.252*(100/H186)+25.2049*LN(H186/100)+(-0.062544+0.035337*(H186/100)-0.0054699*(H186/100)^2)*G186))</f>
        <v>2.6242139943674619E-2</v>
      </c>
      <c r="W186" s="9">
        <f>(EXP(-68.8862+101.4956*(100/H186)+28.7314*LN(H186/100)+G186*(-0.076146+0.04397*(H186/100)-0.0068672*(H186/100)^2)))</f>
        <v>3.2574883164308108E-2</v>
      </c>
      <c r="X186">
        <f>N186*(AZ186-S186)</f>
        <v>395.72321760097998</v>
      </c>
      <c r="Y186">
        <f>O186*(AZ186-S186)</f>
        <v>153.00207199618904</v>
      </c>
      <c r="Z186">
        <f>((Y186/10^6)*AZ186)/(0.082056*H186)</f>
        <v>5.9026428888500541E-6</v>
      </c>
      <c r="AA186">
        <f>(((L186/10^6)*AZ186)/(0.082056*H186))</f>
        <v>1.0968056694956952E-7</v>
      </c>
      <c r="AB186">
        <f>((Y186/10^6)*U186*1)/(0.082056*H186)</f>
        <v>2.056452878689451E-7</v>
      </c>
      <c r="AC186">
        <f>(Z186*(Q186/1000))+(AB186*(R186/1000))</f>
        <v>5.8859420150160063E-7</v>
      </c>
      <c r="AD186" s="39">
        <f>((AC186-(AA186*(Q186/1000)))/(R186/1000))*1000000</f>
        <v>0.51053804165318117</v>
      </c>
      <c r="AE186" s="39">
        <f>(AD186/((U186*AZ186*1))*(0.0821*273.15))</f>
        <v>373.90189293824972</v>
      </c>
      <c r="AF186" s="39">
        <f>L186*U186*AZ186*1/(0.0821*273.15)</f>
        <v>3.8819589096802812E-3</v>
      </c>
      <c r="AG186" s="39">
        <f>AD186-AF186</f>
        <v>0.50665608274350094</v>
      </c>
      <c r="AH186" s="42">
        <f>P186*(AZ186-S186)</f>
        <v>0.42942586999067156</v>
      </c>
      <c r="AI186">
        <f>(((X186/10^6)*(Q186/1000))/(0.082056*H186))</f>
        <v>9.7705880433136817E-7</v>
      </c>
      <c r="AJ186">
        <f>(((K186/10^6)*AZ186)*(Q186/1000))/(0.082056*H186)</f>
        <v>1.0173877674859083E-6</v>
      </c>
      <c r="AK186">
        <f>(X186/10^6)*T186*(R186/1000)</f>
        <v>1.6168098849912581E-5</v>
      </c>
      <c r="AL186">
        <f>AI186+AK186</f>
        <v>1.7145157654243948E-5</v>
      </c>
      <c r="AM186" s="39">
        <f>((AL186-AJ186)/(R186/1000))*1000000</f>
        <v>14.147166567331615</v>
      </c>
      <c r="AN186" s="39">
        <f>AM186/(T186*AZ186)</f>
        <v>421.05188670181616</v>
      </c>
      <c r="AO186" s="39">
        <f>(K186*AZ186)*T186</f>
        <v>14.767939804936795</v>
      </c>
      <c r="AP186" s="39">
        <f>AM186-AO186</f>
        <v>-0.62077323760517977</v>
      </c>
      <c r="AQ186">
        <f>(((AH186/10^6)*(Q186/1000))/(0.082056*H186))</f>
        <v>1.0602722014282036E-9</v>
      </c>
      <c r="AR186">
        <f>(((M186/10^6)*AZ186)*(Q186/1000))/(0.082056*H186)</f>
        <v>7.4618675873190433E-10</v>
      </c>
      <c r="AS186">
        <f>(AH186/10^6)*V186*(R186/1000)</f>
        <v>1.2846721304331544E-8</v>
      </c>
      <c r="AT186">
        <f>AQ186+AS186</f>
        <v>1.3906993505759748E-8</v>
      </c>
      <c r="AU186" s="39">
        <f>((AT186-AR186)/(R186/1000))*1000000000</f>
        <v>11.544567321954249</v>
      </c>
      <c r="AV186" s="39">
        <f>(AU186/1000)/(V186*AZ186)</f>
        <v>0.46925308568008267</v>
      </c>
      <c r="AW186" s="39">
        <f>(M186*AZ186)*V186*1000</f>
        <v>7.9308112572981315</v>
      </c>
      <c r="AX186" s="39">
        <f>AU186-AW186</f>
        <v>3.6137560646561173</v>
      </c>
      <c r="AY186" s="26">
        <f>VLOOKUP($E186,Water!$C$2:$G$90, 5, FALSE)</f>
        <v>712.5</v>
      </c>
      <c r="AZ186">
        <f>AY186/760</f>
        <v>0.9375</v>
      </c>
      <c r="BA186" s="3">
        <f>Assumptions!$B$3</f>
        <v>406.07</v>
      </c>
      <c r="BB186" s="3">
        <f>BA186*AZ186*T186</f>
        <v>13.643781465975723</v>
      </c>
      <c r="BC186" s="3">
        <f>Assumptions!$B$4</f>
        <v>1.8474300000000001</v>
      </c>
      <c r="BD186" s="45">
        <f>BC186*AZ186*U186*1/(0.0821*273.15)</f>
        <v>2.522542175113043E-3</v>
      </c>
      <c r="BE186" s="3">
        <f>Assumptions!$B$2</f>
        <v>0.33054499999999998</v>
      </c>
      <c r="BF186" s="44">
        <f>BE186*AZ186*V186*1000</f>
        <v>8.1320701384518053</v>
      </c>
      <c r="BG186">
        <f>1923.6+(-125.06*F186)+(4.3773*(F186^2))+(-0.085681*(F186^3))+(0.00070284*(F186^4))</f>
        <v>517.01442143999986</v>
      </c>
      <c r="BH186">
        <f>1909.4+(-120.78*F186)+(4.1555*(F186^2))+(-0.080578*(F186^3))+(0.00065777*(F186^4))</f>
        <v>533.39798857000017</v>
      </c>
      <c r="BI186">
        <f>2141.2+(-152.56*F186)+(5.8963*(F186^2))+(-0.12411*(F186^3))+(0.0010655*(F186^4))</f>
        <v>539.58691549999958</v>
      </c>
      <c r="BJ186" s="25">
        <f>VLOOKUP(E186,Wind!$C$2:$E$109,3, FALSE)</f>
        <v>0.66666666666666663</v>
      </c>
      <c r="BK186" s="44">
        <v>1.66</v>
      </c>
      <c r="BL186">
        <f>BK186/(1-(((1.3*10^-3)^0.5)/0.41)*LN(10/1.5))</f>
        <v>1.9923982880693825</v>
      </c>
      <c r="BM186">
        <f>BK186*1.22</f>
        <v>2.0251999999999999</v>
      </c>
      <c r="BN186">
        <f>2.07+0.215*(BM186^1.7)*(24/100)</f>
        <v>2.241255750541113</v>
      </c>
      <c r="BO186">
        <f>BN186*((600/BG186)^0.67)</f>
        <v>2.4763154895528312</v>
      </c>
      <c r="BP186">
        <f>BN186*((600/BH186)^0.67)</f>
        <v>2.4250926440206859</v>
      </c>
      <c r="BQ186">
        <f>BN186*((600/BI186)^0.67)</f>
        <v>2.4064210063503109</v>
      </c>
      <c r="BR186" s="39">
        <f>BO186*(AM186-BB186)</f>
        <v>1.2465403236977179</v>
      </c>
      <c r="BS186" s="39">
        <f>BP186*(AD186-BD186)</f>
        <v>1.2319846508327577</v>
      </c>
      <c r="BT186" s="39">
        <f>BQ186*(AU186-BF186)</f>
        <v>8.2119049064915526</v>
      </c>
      <c r="BU186">
        <f>(2.51+1.48*BM186)+(0.39*BM186*LOG10(0.0015))</f>
        <v>3.2768938069574309</v>
      </c>
      <c r="BV186">
        <f>BU186*((600/$BG186)^0.67)</f>
        <v>3.6205698032584164</v>
      </c>
      <c r="BW186">
        <f>BU186*((600/$BH186)^0.67)</f>
        <v>3.545677937277258</v>
      </c>
      <c r="BX186">
        <f>BU186*((600/$BI186)^0.67)</f>
        <v>3.518378520942004</v>
      </c>
      <c r="BY186" s="39">
        <f>BV186*($AM186-$BB186)</f>
        <v>1.8225408973793211</v>
      </c>
      <c r="BZ186" s="39">
        <f>BW186*($AD186-$BD186)</f>
        <v>1.8012593482942725</v>
      </c>
      <c r="CA186" s="39">
        <f>BX186*($AU186-$BF186)</f>
        <v>12.006456793210083</v>
      </c>
      <c r="CB186" s="42">
        <f>AVERAGE(0.72,0.69,0.4,0.22)</f>
        <v>0.50750000000000006</v>
      </c>
      <c r="CC186">
        <f>CB186*((600/$BG186)^0.67)</f>
        <v>0.56072588353410624</v>
      </c>
      <c r="CD186">
        <f>CB186*((600/$BH186)^0.67)</f>
        <v>0.54912720984357022</v>
      </c>
      <c r="CE186">
        <f>CB186*((600/$BI186)^0.67)</f>
        <v>0.54489928711970104</v>
      </c>
      <c r="CF186" s="39">
        <f>CC186*($AM186-$BB186)</f>
        <v>0.28226105571568832</v>
      </c>
      <c r="CG186" s="39">
        <f>CD186*($AD186-$BD186)</f>
        <v>0.27896513378567928</v>
      </c>
      <c r="CH186" s="39">
        <f>CE186*($AU186-$BF186)</f>
        <v>1.8594672825884691</v>
      </c>
      <c r="CI186">
        <v>9.8626390188952708</v>
      </c>
      <c r="CJ186">
        <f>((BG186/BH186)^0.67)*CI186</f>
        <v>9.6586292967352687</v>
      </c>
      <c r="CK186">
        <f>((BH186/BH186)^0.67)*CI186</f>
        <v>9.8626390188952708</v>
      </c>
      <c r="CL186">
        <f>((BI186/BH186)^0.67)*CI186</f>
        <v>9.9391641247468865</v>
      </c>
      <c r="CM186" s="39">
        <f>CJ186*($AM186-$BB186)</f>
        <v>4.8620100874960741</v>
      </c>
      <c r="CN186" s="39">
        <f>CK186*($AD186-$BD186)</f>
        <v>5.0103734873559649</v>
      </c>
      <c r="CO186" s="39">
        <f>CL186*($AU186-$BF186)</f>
        <v>33.91736958206728</v>
      </c>
      <c r="CP186" s="27">
        <f>VLOOKUP(A186,Water!$A$2:$E$109, 5, FALSE)/1000</f>
        <v>3.8000000000000002E-4</v>
      </c>
      <c r="CQ186">
        <f>0.64*CP186</f>
        <v>2.4320000000000003E-4</v>
      </c>
      <c r="CR186" s="19">
        <f>CQ186*1000*(2.5*10^-5)</f>
        <v>6.0800000000000011E-6</v>
      </c>
      <c r="CS186" s="18">
        <f>(-0.0000009*F186^3)+(0.0002*F186^2)-(0.0134*F186)+6.579</f>
        <v>6.3656496999999996</v>
      </c>
      <c r="CT186" s="18">
        <f>CS186-(SQRT(CP186))/(1+1.4*SQRT(CP186))</f>
        <v>6.3466739781927801</v>
      </c>
      <c r="CU186" s="18">
        <f>10^(-CT186)</f>
        <v>4.5011762822705812E-7</v>
      </c>
      <c r="CV186" s="18">
        <f>(0.000001*F186^3)+(0.00006*F186^2)-(0.014*F186)+10.625</f>
        <v>10.346907</v>
      </c>
      <c r="CW186" s="18">
        <f>CV186-(2*SQRT(CR186))/(1+1.4*SQRT(CR186))</f>
        <v>10.341992434231727</v>
      </c>
      <c r="CX186" s="18">
        <f>10^(-CW186)</f>
        <v>4.5499598648657173E-11</v>
      </c>
      <c r="CY186">
        <f>EXP(1246.98+-61900/H186-183*LN(H186))</f>
        <v>3.1298201569780658E-2</v>
      </c>
      <c r="CZ186">
        <f>12.225*(F186^2)+15.258*F186+1125.7</f>
        <v>7943.6589999999997</v>
      </c>
      <c r="DA186" s="15">
        <f>10^(-4470.99/H186+6.0875-0.01706*H186)</f>
        <v>8.6723257769723363E-15</v>
      </c>
      <c r="DB186">
        <f>(10^-I186)</f>
        <v>2.0417379446695247E-9</v>
      </c>
      <c r="DC186">
        <f>DB186^2</f>
        <v>4.1686938347033353E-18</v>
      </c>
      <c r="DD186" s="20">
        <f>((14.6836*10^-9)*((H186/217.2056)-1)^1.997)*100*100</f>
        <v>1.9455921927724899E-5</v>
      </c>
      <c r="DE186">
        <f>CY186+CZ186*DA186/DB186</f>
        <v>6.5039063803855851E-2</v>
      </c>
      <c r="DF186">
        <f>1+DC186*(CU186*CX186+CU186*DB186)^-1</f>
        <v>1.004437129462405</v>
      </c>
      <c r="DG186">
        <f>(DE186*DF186/DD186)^0.5</f>
        <v>57.945886617356983</v>
      </c>
      <c r="DH186">
        <f>DD186/(BO186/60/60)</f>
        <v>2.8284489288744701E-2</v>
      </c>
      <c r="DI186" s="16">
        <f>DF186/((DF186-1)+TANH(DG186*DH186)/(DG186*DH186))</f>
        <v>1.7614389415234533</v>
      </c>
      <c r="DJ186">
        <f>$DI186*BR186</f>
        <v>2.1957046683404111</v>
      </c>
      <c r="DK186">
        <f>$DI186*BY186</f>
        <v>3.2102945091630359</v>
      </c>
      <c r="DL186">
        <f>$DI186*CF186</f>
        <v>0.49718561521313454</v>
      </c>
      <c r="DM186">
        <f>$DI186*CM186</f>
        <v>8.5641339021954366</v>
      </c>
    </row>
    <row r="187" spans="1:117" ht="15.75" x14ac:dyDescent="0.25">
      <c r="A187" s="52" t="s">
        <v>337</v>
      </c>
      <c r="B187" s="55" t="s">
        <v>340</v>
      </c>
      <c r="C187" s="64" t="s">
        <v>489</v>
      </c>
      <c r="D187" s="57">
        <v>43294</v>
      </c>
      <c r="E187" s="42" t="str">
        <f>A187&amp;D187</f>
        <v>14B43294</v>
      </c>
      <c r="F187" s="3">
        <f>VLOOKUP($E187,Water!$C$2:$E$90, 2, FALSE)</f>
        <v>23</v>
      </c>
      <c r="G187" s="3">
        <f>VLOOKUP($E187,Water!$C$2:$E$90, 3, FALSE)</f>
        <v>0.53</v>
      </c>
      <c r="H187" s="1">
        <f>F187+273.15</f>
        <v>296.14999999999998</v>
      </c>
      <c r="I187" s="3">
        <f>VLOOKUP($E187,Water!$C$2:$F$90, 4, FALSE)</f>
        <v>8.69</v>
      </c>
      <c r="J187">
        <f>10^(I187*-1)</f>
        <v>2.0417379446695247E-9</v>
      </c>
      <c r="K187" s="25">
        <v>439.52751160265137</v>
      </c>
      <c r="L187" s="25">
        <v>2.8430237635924795</v>
      </c>
      <c r="M187" s="25">
        <v>0.32236441181786135</v>
      </c>
      <c r="N187" s="21">
        <f>VLOOKUP($C187,Raw!$B$2:$F$353, 3, FALSE)</f>
        <v>468.14699999999999</v>
      </c>
      <c r="O187" s="21">
        <f>VLOOKUP($C187,Raw!$B$2:$F$353, 4, FALSE)</f>
        <v>165.89099999999999</v>
      </c>
      <c r="P187" s="21">
        <f>VLOOKUP($C187,Raw!$B$2:$F$353, 5, FALSE)</f>
        <v>0.46700000000000003</v>
      </c>
      <c r="Q187" s="14">
        <v>60</v>
      </c>
      <c r="R187" s="25">
        <v>1140</v>
      </c>
      <c r="S187">
        <f>EXP(24.4543-(100/H187*(67.4509))-(4.8489*LN(H187/100))-(0.000544*G187))</f>
        <v>2.7699427985865343E-2</v>
      </c>
      <c r="T187" s="8">
        <f>EXP(-58.0931+90.5069*(100/H187)+22.294*LN(H187/100)+G187*(0.027766-0.025888*(H187/100)+0.0050578*(H187/100)^2)*G187)</f>
        <v>3.5839552040389022E-2</v>
      </c>
      <c r="U187" s="9">
        <f>(EXP(-67.1962+99.1624*(100/H187)+27.9015*LN(H187/100)+G187*(-0.072909+0.041674*(H187/100)-0.0064603*(H187/100)^2)*G187))</f>
        <v>3.2662056812096184E-2</v>
      </c>
      <c r="V187" s="9">
        <f>(EXP(-64.8539+100.252*(100/H187)+25.2049*LN(H187/100)+(-0.062544+0.035337*(H187/100)-0.0054699*(H187/100)^2)*G187))</f>
        <v>2.6242139943674619E-2</v>
      </c>
      <c r="W187" s="9">
        <f>(EXP(-68.8862+101.4956*(100/H187)+28.7314*LN(H187/100)+G187*(-0.076146+0.04397*(H187/100)-0.0068672*(H187/100)^2)))</f>
        <v>3.2574883164308108E-2</v>
      </c>
      <c r="X187">
        <f>N187*(AZ187-S187)</f>
        <v>425.92040838670107</v>
      </c>
      <c r="Y187">
        <f>O187*(AZ187-S187)</f>
        <v>150.92772669199681</v>
      </c>
      <c r="Z187">
        <f>((Y187/10^6)*AZ187)/(0.082056*H187)</f>
        <v>5.8226170473757324E-6</v>
      </c>
      <c r="AA187">
        <f>(((L187/10^6)*AZ187)/(0.082056*H187))</f>
        <v>1.0968056694956952E-7</v>
      </c>
      <c r="AB187">
        <f>((Y187/10^6)*U187*1)/(0.082056*H187)</f>
        <v>2.0285722538289698E-7</v>
      </c>
      <c r="AC187">
        <f>(Z187*(Q187/1000))+(AB187*(R187/1000))</f>
        <v>5.8061425977904643E-7</v>
      </c>
      <c r="AD187" s="39">
        <f>((AC187-(AA187*(Q187/1000)))/(R187/1000))*1000000</f>
        <v>0.50353809277374773</v>
      </c>
      <c r="AE187" s="39">
        <f>(AD187/((U187*AZ187*1))*(0.0821*273.15))</f>
        <v>368.77535206772802</v>
      </c>
      <c r="AF187" s="39">
        <f>L187*U187*AZ187*1/(0.0821*273.15)</f>
        <v>3.8819589096802812E-3</v>
      </c>
      <c r="AG187" s="39">
        <f>AD187-AF187</f>
        <v>0.49965613386406743</v>
      </c>
      <c r="AH187" s="42">
        <f>P187*(AZ187-S187)</f>
        <v>0.42487686713060091</v>
      </c>
      <c r="AI187">
        <f>(((X187/10^6)*(Q187/1000))/(0.082056*H187))</f>
        <v>1.0516170556822229E-6</v>
      </c>
      <c r="AJ187">
        <f>(((K187/10^6)*AZ187)*(Q187/1000))/(0.082056*H187)</f>
        <v>1.0173877674859083E-6</v>
      </c>
      <c r="AK187">
        <f>(X187/10^6)*T187*(R187/1000)</f>
        <v>1.7401868171240364E-5</v>
      </c>
      <c r="AL187">
        <f>AI187+AK187</f>
        <v>1.8453485226922587E-5</v>
      </c>
      <c r="AM187" s="39">
        <f>((AL187-AJ187)/(R187/1000))*1000000</f>
        <v>15.294822332839196</v>
      </c>
      <c r="AN187" s="39">
        <f>AM187/(T187*AZ187)</f>
        <v>455.20873521641789</v>
      </c>
      <c r="AO187" s="39">
        <f>(K187*AZ187)*T187</f>
        <v>14.767939804936795</v>
      </c>
      <c r="AP187" s="39">
        <f>AM187-AO187</f>
        <v>0.52688252790240142</v>
      </c>
      <c r="AQ187">
        <f>(((AH187/10^6)*(Q187/1000))/(0.082056*H187))</f>
        <v>1.0490405043791761E-9</v>
      </c>
      <c r="AR187">
        <f>(((M187/10^6)*AZ187)*(Q187/1000))/(0.082056*H187)</f>
        <v>7.4618675873190433E-10</v>
      </c>
      <c r="AS187">
        <f>(AH187/10^6)*V187*(R187/1000)</f>
        <v>1.2710633154921253E-8</v>
      </c>
      <c r="AT187">
        <f>AQ187+AS187</f>
        <v>1.375967365930043E-8</v>
      </c>
      <c r="AU187" s="39">
        <f>((AT187-AR187)/(R187/1000))*1000000000</f>
        <v>11.415339386463618</v>
      </c>
      <c r="AV187" s="39">
        <f>(AU187/1000)/(V187*AZ187)</f>
        <v>0.46400034594598061</v>
      </c>
      <c r="AW187" s="39">
        <f>(M187*AZ187)*V187*1000</f>
        <v>7.9308112572981315</v>
      </c>
      <c r="AX187" s="39">
        <f>AU187-AW187</f>
        <v>3.4845281291654864</v>
      </c>
      <c r="AY187" s="26">
        <f>VLOOKUP($E187,Water!$C$2:$G$90, 5, FALSE)</f>
        <v>712.5</v>
      </c>
      <c r="AZ187">
        <f>AY187/760</f>
        <v>0.9375</v>
      </c>
      <c r="BA187" s="3">
        <f>Assumptions!$B$3</f>
        <v>406.07</v>
      </c>
      <c r="BB187" s="3">
        <f>BA187*AZ187*T187</f>
        <v>13.643781465975723</v>
      </c>
      <c r="BC187" s="3">
        <f>Assumptions!$B$4</f>
        <v>1.8474300000000001</v>
      </c>
      <c r="BD187" s="45">
        <f>BC187*AZ187*U187*1/(0.0821*273.15)</f>
        <v>2.522542175113043E-3</v>
      </c>
      <c r="BE187" s="3">
        <f>Assumptions!$B$2</f>
        <v>0.33054499999999998</v>
      </c>
      <c r="BF187" s="44">
        <f>BE187*AZ187*V187*1000</f>
        <v>8.1320701384518053</v>
      </c>
      <c r="BG187">
        <f>1923.6+(-125.06*F187)+(4.3773*(F187^2))+(-0.085681*(F187^3))+(0.00070284*(F187^4))</f>
        <v>517.01442143999986</v>
      </c>
      <c r="BH187">
        <f>1909.4+(-120.78*F187)+(4.1555*(F187^2))+(-0.080578*(F187^3))+(0.00065777*(F187^4))</f>
        <v>533.39798857000017</v>
      </c>
      <c r="BI187">
        <f>2141.2+(-152.56*F187)+(5.8963*(F187^2))+(-0.12411*(F187^3))+(0.0010655*(F187^4))</f>
        <v>539.58691549999958</v>
      </c>
      <c r="BJ187" s="25">
        <f>VLOOKUP(E187,Wind!$C$2:$E$109,3, FALSE)</f>
        <v>0.66666666666666663</v>
      </c>
      <c r="BK187" s="44">
        <v>1.66</v>
      </c>
      <c r="BL187">
        <f>BK187/(1-(((1.3*10^-3)^0.5)/0.41)*LN(10/1.5))</f>
        <v>1.9923982880693825</v>
      </c>
      <c r="BM187">
        <f>BK187*1.22</f>
        <v>2.0251999999999999</v>
      </c>
      <c r="BN187">
        <f>2.07+0.215*(BM187^1.7)*(24/100)</f>
        <v>2.241255750541113</v>
      </c>
      <c r="BO187">
        <f>BN187*((600/BG187)^0.67)</f>
        <v>2.4763154895528312</v>
      </c>
      <c r="BP187">
        <f>BN187*((600/BH187)^0.67)</f>
        <v>2.4250926440206859</v>
      </c>
      <c r="BQ187">
        <f>BN187*((600/BI187)^0.67)</f>
        <v>2.4064210063503109</v>
      </c>
      <c r="BR187" s="39">
        <f>BO187*(AM187-BB187)</f>
        <v>4.0884980724987532</v>
      </c>
      <c r="BS187" s="39">
        <f>BP187*(AD187-BD187)</f>
        <v>1.2150091262967226</v>
      </c>
      <c r="BT187" s="39">
        <f>BQ187*(AU187-BF187)</f>
        <v>7.9009280879196142</v>
      </c>
      <c r="BU187">
        <f>(2.51+1.48*BM187)+(0.39*BM187*LOG10(0.0015))</f>
        <v>3.2768938069574309</v>
      </c>
      <c r="BV187">
        <f>BU187*((600/$BG187)^0.67)</f>
        <v>3.6205698032584164</v>
      </c>
      <c r="BW187">
        <f>BU187*((600/$BH187)^0.67)</f>
        <v>3.545677937277258</v>
      </c>
      <c r="BX187">
        <f>BU187*((600/$BI187)^0.67)</f>
        <v>3.518378520942004</v>
      </c>
      <c r="BY187" s="39">
        <f>BV187*($AM187-$BB187)</f>
        <v>5.9777087065114918</v>
      </c>
      <c r="BZ187" s="39">
        <f>BW187*($AD187-$BD187)</f>
        <v>1.7764397839903967</v>
      </c>
      <c r="CA187" s="39">
        <f>BX187*($AU187-$BF187)</f>
        <v>11.551784000674166</v>
      </c>
      <c r="CB187" s="42">
        <f>AVERAGE(0.72,0.69,0.4,0.22)</f>
        <v>0.50750000000000006</v>
      </c>
      <c r="CC187">
        <f>CB187*((600/$BG187)^0.67)</f>
        <v>0.56072588353410624</v>
      </c>
      <c r="CD187">
        <f>CB187*((600/$BH187)^0.67)</f>
        <v>0.54912720984357022</v>
      </c>
      <c r="CE187">
        <f>CB187*((600/$BI187)^0.67)</f>
        <v>0.54489928711970104</v>
      </c>
      <c r="CF187" s="39">
        <f>CC187*($AM187-$BB187)</f>
        <v>0.92578134882293783</v>
      </c>
      <c r="CG187" s="39">
        <f>CD187*($AD187-$BD187)</f>
        <v>0.27512127138846831</v>
      </c>
      <c r="CH187" s="39">
        <f>CE187*($AU187-$BF187)</f>
        <v>1.7890510726636737</v>
      </c>
      <c r="CI187">
        <v>10.862639018895299</v>
      </c>
      <c r="CJ187">
        <f>((BG187/BH187)^0.67)*CI187</f>
        <v>10.637944191889712</v>
      </c>
      <c r="CK187">
        <f>((BH187/BH187)^0.67)*CI187</f>
        <v>10.862639018895299</v>
      </c>
      <c r="CL187">
        <f>((BI187/BH187)^0.67)*CI187</f>
        <v>10.946923214956444</v>
      </c>
      <c r="CM187" s="39">
        <f>CJ187*($AM187-$BB187)</f>
        <v>17.563680600222842</v>
      </c>
      <c r="CN187" s="39">
        <f>CK187*($AD187-$BD187)</f>
        <v>5.4423510690060413</v>
      </c>
      <c r="CO187" s="39">
        <f>CL187*($AU187-$BF187)</f>
        <v>35.941696352013096</v>
      </c>
      <c r="CP187" s="27">
        <f>VLOOKUP(A187,Water!$A$2:$E$109, 5, FALSE)/1000</f>
        <v>3.8000000000000002E-4</v>
      </c>
      <c r="CQ187">
        <f>0.64*CP187</f>
        <v>2.4320000000000003E-4</v>
      </c>
      <c r="CR187" s="19">
        <f>CQ187*1000*(2.5*10^-5)</f>
        <v>6.0800000000000011E-6</v>
      </c>
      <c r="CS187" s="18">
        <f>(-0.0000009*F187^3)+(0.0002*F187^2)-(0.0134*F187)+6.579</f>
        <v>6.3656496999999996</v>
      </c>
      <c r="CT187" s="18">
        <f>CS187-(SQRT(CP187))/(1+1.4*SQRT(CP187))</f>
        <v>6.3466739781927801</v>
      </c>
      <c r="CU187" s="18">
        <f>10^(-CT187)</f>
        <v>4.5011762822705812E-7</v>
      </c>
      <c r="CV187" s="18">
        <f>(0.000001*F187^3)+(0.00006*F187^2)-(0.014*F187)+10.625</f>
        <v>10.346907</v>
      </c>
      <c r="CW187" s="18">
        <f>CV187-(2*SQRT(CR187))/(1+1.4*SQRT(CR187))</f>
        <v>10.341992434231727</v>
      </c>
      <c r="CX187" s="18">
        <f>10^(-CW187)</f>
        <v>4.5499598648657173E-11</v>
      </c>
      <c r="CY187">
        <f>EXP(1246.98+-61900/H187-183*LN(H187))</f>
        <v>3.1298201569780658E-2</v>
      </c>
      <c r="CZ187">
        <f>12.225*(F187^2)+15.258*F187+1125.7</f>
        <v>7943.6589999999997</v>
      </c>
      <c r="DA187" s="15">
        <f>10^(-4470.99/H187+6.0875-0.01706*H187)</f>
        <v>8.6723257769723363E-15</v>
      </c>
      <c r="DB187">
        <f>(10^-I187)</f>
        <v>2.0417379446695247E-9</v>
      </c>
      <c r="DC187">
        <f>DB187^2</f>
        <v>4.1686938347033353E-18</v>
      </c>
      <c r="DD187" s="20">
        <f>((14.6836*10^-9)*((H187/217.2056)-1)^1.997)*100*100</f>
        <v>1.9455921927724899E-5</v>
      </c>
      <c r="DE187">
        <f>CY187+CZ187*DA187/DB187</f>
        <v>6.5039063803855851E-2</v>
      </c>
      <c r="DF187">
        <f>1+DC187*(CU187*CX187+CU187*DB187)^-1</f>
        <v>1.004437129462405</v>
      </c>
      <c r="DG187">
        <f>(DE187*DF187/DD187)^0.5</f>
        <v>57.945886617356983</v>
      </c>
      <c r="DH187">
        <f>DD187/(BO187/60/60)</f>
        <v>2.8284489288744701E-2</v>
      </c>
      <c r="DI187" s="16">
        <f>DF187/((DF187-1)+TANH(DG187*DH187)/(DG187*DH187))</f>
        <v>1.7614389415234533</v>
      </c>
      <c r="DJ187">
        <f>$DI187*BR187</f>
        <v>7.201639717242883</v>
      </c>
      <c r="DK187">
        <f>$DI187*BY187</f>
        <v>10.529368896733134</v>
      </c>
      <c r="DL187">
        <f>$DI187*CF187</f>
        <v>1.6307073191528305</v>
      </c>
      <c r="DM187">
        <f>$DI187*CM187</f>
        <v>30.937350965712533</v>
      </c>
    </row>
    <row r="188" spans="1:117" ht="15.75" x14ac:dyDescent="0.25">
      <c r="A188" s="52" t="s">
        <v>337</v>
      </c>
      <c r="B188" s="55" t="s">
        <v>341</v>
      </c>
      <c r="C188" s="64" t="s">
        <v>490</v>
      </c>
      <c r="D188" s="57">
        <v>43294</v>
      </c>
      <c r="E188" s="42" t="str">
        <f>A188&amp;D188</f>
        <v>14B43294</v>
      </c>
      <c r="F188" s="3">
        <f>VLOOKUP($E188,Water!$C$2:$E$90, 2, FALSE)</f>
        <v>23</v>
      </c>
      <c r="G188" s="3">
        <f>VLOOKUP($E188,Water!$C$2:$E$90, 3, FALSE)</f>
        <v>0.53</v>
      </c>
      <c r="H188" s="1">
        <f>F188+273.15</f>
        <v>296.14999999999998</v>
      </c>
      <c r="I188" s="3">
        <f>VLOOKUP($E188,Water!$C$2:$F$90, 4, FALSE)</f>
        <v>8.69</v>
      </c>
      <c r="J188">
        <f>10^(I188*-1)</f>
        <v>2.0417379446695247E-9</v>
      </c>
      <c r="K188" s="25">
        <v>439.52751160265137</v>
      </c>
      <c r="L188" s="25">
        <v>2.8430237635924795</v>
      </c>
      <c r="M188" s="25">
        <v>0.32236441181786135</v>
      </c>
      <c r="N188" s="21">
        <f>VLOOKUP($C188,Raw!$B$2:$F$353, 3, FALSE)</f>
        <v>442.41</v>
      </c>
      <c r="O188" s="21">
        <f>VLOOKUP($C188,Raw!$B$2:$F$353, 4, FALSE)</f>
        <v>83.597999999999999</v>
      </c>
      <c r="P188" s="21">
        <f>VLOOKUP($C188,Raw!$B$2:$F$353, 5, FALSE)</f>
        <v>0.38500000000000001</v>
      </c>
      <c r="Q188" s="14">
        <v>60</v>
      </c>
      <c r="R188" s="25">
        <v>1140</v>
      </c>
      <c r="S188">
        <f>EXP(24.4543-(100/H188*(67.4509))-(4.8489*LN(H188/100))-(0.000544*G188))</f>
        <v>2.7699427985865343E-2</v>
      </c>
      <c r="T188" s="8">
        <f>EXP(-58.0931+90.5069*(100/H188)+22.294*LN(H188/100)+G188*(0.027766-0.025888*(H188/100)+0.0050578*(H188/100)^2)*G188)</f>
        <v>3.5839552040389022E-2</v>
      </c>
      <c r="U188" s="9">
        <f>(EXP(-67.1962+99.1624*(100/H188)+27.9015*LN(H188/100)+G188*(-0.072909+0.041674*(H188/100)-0.0064603*(H188/100)^2)*G188))</f>
        <v>3.2662056812096184E-2</v>
      </c>
      <c r="V188" s="9">
        <f>(EXP(-64.8539+100.252*(100/H188)+25.2049*LN(H188/100)+(-0.062544+0.035337*(H188/100)-0.0054699*(H188/100)^2)*G188))</f>
        <v>2.6242139943674619E-2</v>
      </c>
      <c r="W188" s="9">
        <f>(EXP(-68.8862+101.4956*(100/H188)+28.7314*LN(H188/100)+G188*(-0.076146+0.04397*(H188/100)-0.0068672*(H188/100)^2)))</f>
        <v>3.2574883164308108E-2</v>
      </c>
      <c r="X188">
        <f>N188*(AZ188-S188)</f>
        <v>402.50487106477334</v>
      </c>
      <c r="Y188">
        <f>O188*(AZ188-S188)</f>
        <v>76.057508219237633</v>
      </c>
      <c r="Z188">
        <f>((Y188/10^6)*AZ188)/(0.082056*H188)</f>
        <v>2.9342106559518994E-6</v>
      </c>
      <c r="AA188">
        <f>(((L188/10^6)*AZ188)/(0.082056*H188))</f>
        <v>1.0968056694956952E-7</v>
      </c>
      <c r="AB188">
        <f>((Y188/10^6)*U188*1)/(0.082056*H188)</f>
        <v>1.022265121529162E-7</v>
      </c>
      <c r="AC188">
        <f>(Z188*(Q188/1000))+(AB188*(R188/1000))</f>
        <v>2.9259086321143844E-7</v>
      </c>
      <c r="AD188" s="39">
        <f>((AC188-(AA188*(Q188/1000)))/(R188/1000))*1000000</f>
        <v>0.25088599052145988</v>
      </c>
      <c r="AE188" s="39">
        <f>(AD188/((U188*AZ188*1))*(0.0821*273.15))</f>
        <v>183.74095388446381</v>
      </c>
      <c r="AF188" s="39">
        <f>L188*U188*AZ188*1/(0.0821*273.15)</f>
        <v>3.8819589096802812E-3</v>
      </c>
      <c r="AG188" s="39">
        <f>AD188-AF188</f>
        <v>0.24700403161177958</v>
      </c>
      <c r="AH188" s="42">
        <f>P188*(AZ188-S188)</f>
        <v>0.35027322022544183</v>
      </c>
      <c r="AI188">
        <f>(((X188/10^6)*(Q188/1000))/(0.082056*H188))</f>
        <v>9.938030182920585E-7</v>
      </c>
      <c r="AJ188">
        <f>(((K188/10^6)*AZ188)*(Q188/1000))/(0.082056*H188)</f>
        <v>1.0173877674859083E-6</v>
      </c>
      <c r="AK188">
        <f>(X188/10^6)*T188*(R188/1000)</f>
        <v>1.6445177471261061E-5</v>
      </c>
      <c r="AL188">
        <f>AI188+AK188</f>
        <v>1.7438980489553119E-5</v>
      </c>
      <c r="AM188" s="39">
        <f>((AL188-AJ188)/(R188/1000))*1000000</f>
        <v>14.404905896550186</v>
      </c>
      <c r="AN188" s="39">
        <f>AM188/(T188*AZ188)</f>
        <v>428.72279594913755</v>
      </c>
      <c r="AO188" s="39">
        <f>(K188*AZ188)*T188</f>
        <v>14.767939804936795</v>
      </c>
      <c r="AP188" s="39">
        <f>AM188-AO188</f>
        <v>-0.36303390838660832</v>
      </c>
      <c r="AQ188">
        <f>(((AH188/10^6)*(Q188/1000))/(0.082056*H188))</f>
        <v>8.6484067277512382E-10</v>
      </c>
      <c r="AR188">
        <f>(((M188/10^6)*AZ188)*(Q188/1000))/(0.082056*H188)</f>
        <v>7.4618675873190433E-10</v>
      </c>
      <c r="AS188">
        <f>(AH188/10^6)*V188*(R188/1000)</f>
        <v>1.0478787504592468E-8</v>
      </c>
      <c r="AT188">
        <f>AQ188+AS188</f>
        <v>1.1343628177367592E-8</v>
      </c>
      <c r="AU188" s="39">
        <f>((AT188-AR188)/(R188/1000))*1000000000</f>
        <v>9.2960012444172708</v>
      </c>
      <c r="AV188" s="39">
        <f>(AU188/1000)/(V188*AZ188)</f>
        <v>0.37785541430670694</v>
      </c>
      <c r="AW188" s="39">
        <f>(M188*AZ188)*V188*1000</f>
        <v>7.9308112572981315</v>
      </c>
      <c r="AX188" s="39">
        <f>AU188-AW188</f>
        <v>1.3651899871191393</v>
      </c>
      <c r="AY188" s="26">
        <f>VLOOKUP($E188,Water!$C$2:$G$90, 5, FALSE)</f>
        <v>712.5</v>
      </c>
      <c r="AZ188">
        <f>AY188/760</f>
        <v>0.9375</v>
      </c>
      <c r="BA188" s="3">
        <f>Assumptions!$B$3</f>
        <v>406.07</v>
      </c>
      <c r="BB188" s="3">
        <f>BA188*AZ188*T188</f>
        <v>13.643781465975723</v>
      </c>
      <c r="BC188" s="3">
        <f>Assumptions!$B$4</f>
        <v>1.8474300000000001</v>
      </c>
      <c r="BD188" s="45">
        <f>BC188*AZ188*U188*1/(0.0821*273.15)</f>
        <v>2.522542175113043E-3</v>
      </c>
      <c r="BE188" s="3">
        <f>Assumptions!$B$2</f>
        <v>0.33054499999999998</v>
      </c>
      <c r="BF188" s="44">
        <f>BE188*AZ188*V188*1000</f>
        <v>8.1320701384518053</v>
      </c>
      <c r="BG188">
        <f>1923.6+(-125.06*F188)+(4.3773*(F188^2))+(-0.085681*(F188^3))+(0.00070284*(F188^4))</f>
        <v>517.01442143999986</v>
      </c>
      <c r="BH188">
        <f>1909.4+(-120.78*F188)+(4.1555*(F188^2))+(-0.080578*(F188^3))+(0.00065777*(F188^4))</f>
        <v>533.39798857000017</v>
      </c>
      <c r="BI188">
        <f>2141.2+(-152.56*F188)+(5.8963*(F188^2))+(-0.12411*(F188^3))+(0.0010655*(F188^4))</f>
        <v>539.58691549999958</v>
      </c>
      <c r="BJ188" s="25">
        <f>VLOOKUP(E188,Wind!$C$2:$E$109,3, FALSE)</f>
        <v>0.66666666666666663</v>
      </c>
      <c r="BK188" s="44">
        <v>1.66</v>
      </c>
      <c r="BL188">
        <f>BK188/(1-(((1.3*10^-3)^0.5)/0.41)*LN(10/1.5))</f>
        <v>1.9923982880693825</v>
      </c>
      <c r="BM188">
        <f>BK188*1.22</f>
        <v>2.0251999999999999</v>
      </c>
      <c r="BN188">
        <f>2.07+0.215*(BM188^1.7)*(24/100)</f>
        <v>2.241255750541113</v>
      </c>
      <c r="BO188">
        <f>BN188*((600/BG188)^0.67)</f>
        <v>2.4763154895528312</v>
      </c>
      <c r="BP188">
        <f>BN188*((600/BH188)^0.67)</f>
        <v>2.4250926440206859</v>
      </c>
      <c r="BQ188">
        <f>BN188*((600/BI188)^0.67)</f>
        <v>2.4064210063503109</v>
      </c>
      <c r="BR188" s="39">
        <f>BO188*(AM188-BB188)</f>
        <v>1.8847842169086231</v>
      </c>
      <c r="BS188" s="39">
        <f>BP188*(AD188-BD188)</f>
        <v>0.60230437162833728</v>
      </c>
      <c r="BT188" s="39">
        <f>BQ188*(AU188-BF188)</f>
        <v>2.8009082633398461</v>
      </c>
      <c r="BU188">
        <f>(2.51+1.48*BM188)+(0.39*BM188*LOG10(0.0015))</f>
        <v>3.2768938069574309</v>
      </c>
      <c r="BV188">
        <f>BU188*((600/$BG188)^0.67)</f>
        <v>3.6205698032584164</v>
      </c>
      <c r="BW188">
        <f>BU188*((600/$BH188)^0.67)</f>
        <v>3.545677937277258</v>
      </c>
      <c r="BX188">
        <f>BU188*((600/$BI188)^0.67)</f>
        <v>3.518378520942004</v>
      </c>
      <c r="BY188" s="39">
        <f>BV188*($AM188-$BB188)</f>
        <v>2.7557041298601606</v>
      </c>
      <c r="BZ188" s="39">
        <f>BW188*($AD188-$BD188)</f>
        <v>0.88061679922774183</v>
      </c>
      <c r="CA188" s="39">
        <f>BX188*($AU188-$BF188)</f>
        <v>4.0951502030851659</v>
      </c>
      <c r="CB188" s="42">
        <f>AVERAGE(0.72,0.69,0.4,0.22)</f>
        <v>0.50750000000000006</v>
      </c>
      <c r="CC188">
        <f>CB188*((600/$BG188)^0.67)</f>
        <v>0.56072588353410624</v>
      </c>
      <c r="CD188">
        <f>CB188*((600/$BH188)^0.67)</f>
        <v>0.54912720984357022</v>
      </c>
      <c r="CE188">
        <f>CB188*((600/$BI188)^0.67)</f>
        <v>0.54489928711970104</v>
      </c>
      <c r="CF188" s="39">
        <f>CC188*($AM188-$BB188)</f>
        <v>0.4267821688132597</v>
      </c>
      <c r="CG188" s="39">
        <f>CD188*($AD188-$BD188)</f>
        <v>0.13638312741755709</v>
      </c>
      <c r="CH188" s="39">
        <f>CE188*($AU188-$BF188)</f>
        <v>0.63422522989702734</v>
      </c>
      <c r="CI188">
        <v>11.862639018895299</v>
      </c>
      <c r="CJ188">
        <f>((BG188/BH188)^0.67)*CI188</f>
        <v>11.617259087044127</v>
      </c>
      <c r="CK188">
        <f>((BH188/BH188)^0.67)*CI188</f>
        <v>11.862639018895299</v>
      </c>
      <c r="CL188">
        <f>((BI188/BH188)^0.67)*CI188</f>
        <v>11.954682305165971</v>
      </c>
      <c r="CM188" s="39">
        <f>CJ188*($AM188-$BB188)</f>
        <v>8.8421797074624759</v>
      </c>
      <c r="CN188" s="39">
        <f>CK188*($AD188-$BD188)</f>
        <v>2.9462459332207609</v>
      </c>
      <c r="CO188" s="39">
        <f>CL188*($AU188-$BF188)</f>
        <v>13.914426596917609</v>
      </c>
      <c r="CP188" s="27">
        <f>VLOOKUP(A188,Water!$A$2:$E$109, 5, FALSE)/1000</f>
        <v>3.8000000000000002E-4</v>
      </c>
      <c r="CQ188">
        <f>0.64*CP188</f>
        <v>2.4320000000000003E-4</v>
      </c>
      <c r="CR188" s="19">
        <f>CQ188*1000*(2.5*10^-5)</f>
        <v>6.0800000000000011E-6</v>
      </c>
      <c r="CS188" s="18">
        <f>(-0.0000009*F188^3)+(0.0002*F188^2)-(0.0134*F188)+6.579</f>
        <v>6.3656496999999996</v>
      </c>
      <c r="CT188" s="18">
        <f>CS188-(SQRT(CP188))/(1+1.4*SQRT(CP188))</f>
        <v>6.3466739781927801</v>
      </c>
      <c r="CU188" s="18">
        <f>10^(-CT188)</f>
        <v>4.5011762822705812E-7</v>
      </c>
      <c r="CV188" s="18">
        <f>(0.000001*F188^3)+(0.00006*F188^2)-(0.014*F188)+10.625</f>
        <v>10.346907</v>
      </c>
      <c r="CW188" s="18">
        <f>CV188-(2*SQRT(CR188))/(1+1.4*SQRT(CR188))</f>
        <v>10.341992434231727</v>
      </c>
      <c r="CX188" s="18">
        <f>10^(-CW188)</f>
        <v>4.5499598648657173E-11</v>
      </c>
      <c r="CY188">
        <f>EXP(1246.98+-61900/H188-183*LN(H188))</f>
        <v>3.1298201569780658E-2</v>
      </c>
      <c r="CZ188">
        <f>12.225*(F188^2)+15.258*F188+1125.7</f>
        <v>7943.6589999999997</v>
      </c>
      <c r="DA188" s="15">
        <f>10^(-4470.99/H188+6.0875-0.01706*H188)</f>
        <v>8.6723257769723363E-15</v>
      </c>
      <c r="DB188">
        <f>(10^-I188)</f>
        <v>2.0417379446695247E-9</v>
      </c>
      <c r="DC188">
        <f>DB188^2</f>
        <v>4.1686938347033353E-18</v>
      </c>
      <c r="DD188" s="20">
        <f>((14.6836*10^-9)*((H188/217.2056)-1)^1.997)*100*100</f>
        <v>1.9455921927724899E-5</v>
      </c>
      <c r="DE188">
        <f>CY188+CZ188*DA188/DB188</f>
        <v>6.5039063803855851E-2</v>
      </c>
      <c r="DF188">
        <f>1+DC188*(CU188*CX188+CU188*DB188)^-1</f>
        <v>1.004437129462405</v>
      </c>
      <c r="DG188">
        <f>(DE188*DF188/DD188)^0.5</f>
        <v>57.945886617356983</v>
      </c>
      <c r="DH188">
        <f>DD188/(BO188/60/60)</f>
        <v>2.8284489288744701E-2</v>
      </c>
      <c r="DI188" s="16">
        <f>DF188/((DF188-1)+TANH(DG188*DH188)/(DG188*DH188))</f>
        <v>1.7614389415234533</v>
      </c>
      <c r="DJ188">
        <f>$DI188*BR188</f>
        <v>3.3199323160316356</v>
      </c>
      <c r="DK188">
        <f>$DI188*BY188</f>
        <v>4.8540045656526898</v>
      </c>
      <c r="DL188">
        <f>$DI188*CF188</f>
        <v>0.75175073169551188</v>
      </c>
      <c r="DM188">
        <f>$DI188*CM188</f>
        <v>15.574959664672861</v>
      </c>
    </row>
    <row r="189" spans="1:117" ht="15.75" x14ac:dyDescent="0.25">
      <c r="A189" s="52" t="s">
        <v>337</v>
      </c>
      <c r="B189" s="55" t="s">
        <v>342</v>
      </c>
      <c r="C189" s="64" t="s">
        <v>491</v>
      </c>
      <c r="D189" s="57">
        <v>43294</v>
      </c>
      <c r="E189" s="42" t="str">
        <f>A189&amp;D189</f>
        <v>14B43294</v>
      </c>
      <c r="F189" s="3">
        <f>VLOOKUP($E189,Water!$C$2:$E$90, 2, FALSE)</f>
        <v>23</v>
      </c>
      <c r="G189" s="3">
        <f>VLOOKUP($E189,Water!$C$2:$E$90, 3, FALSE)</f>
        <v>0.53</v>
      </c>
      <c r="H189" s="1">
        <f>F189+273.15</f>
        <v>296.14999999999998</v>
      </c>
      <c r="I189" s="3">
        <f>VLOOKUP($E189,Water!$C$2:$F$90, 4, FALSE)</f>
        <v>8.69</v>
      </c>
      <c r="J189">
        <f>10^(I189*-1)</f>
        <v>2.0417379446695247E-9</v>
      </c>
      <c r="K189" s="25">
        <v>439.52751160265137</v>
      </c>
      <c r="L189" s="25">
        <v>2.8430237635924795</v>
      </c>
      <c r="M189" s="25">
        <v>0.32236441181786135</v>
      </c>
      <c r="N189" s="21">
        <f>VLOOKUP($C189,Raw!$B$2:$F$353, 3, FALSE)</f>
        <v>421.79399999999998</v>
      </c>
      <c r="O189" s="21">
        <f>VLOOKUP($C189,Raw!$B$2:$F$353, 4, FALSE)</f>
        <v>175.23500000000001</v>
      </c>
      <c r="P189" s="21">
        <f>VLOOKUP($C189,Raw!$B$2:$F$353, 5, FALSE)</f>
        <v>0.46899999999999997</v>
      </c>
      <c r="Q189" s="14">
        <v>60</v>
      </c>
      <c r="R189" s="25">
        <v>1140</v>
      </c>
      <c r="S189">
        <f>EXP(24.4543-(100/H189*(67.4509))-(4.8489*LN(H189/100))-(0.000544*G189))</f>
        <v>2.7699427985865343E-2</v>
      </c>
      <c r="T189" s="8">
        <f>EXP(-58.0931+90.5069*(100/H189)+22.294*LN(H189/100)+G189*(0.027766-0.025888*(H189/100)+0.0050578*(H189/100)^2)*G189)</f>
        <v>3.5839552040389022E-2</v>
      </c>
      <c r="U189" s="9">
        <f>(EXP(-67.1962+99.1624*(100/H189)+27.9015*LN(H189/100)+G189*(-0.072909+0.041674*(H189/100)-0.0064603*(H189/100)^2)*G189))</f>
        <v>3.2662056812096184E-2</v>
      </c>
      <c r="V189" s="9">
        <f>(EXP(-64.8539+100.252*(100/H189)+25.2049*LN(H189/100)+(-0.062544+0.035337*(H189/100)-0.0054699*(H189/100)^2)*G189))</f>
        <v>2.6242139943674619E-2</v>
      </c>
      <c r="W189" s="9">
        <f>(EXP(-68.8862+101.4956*(100/H189)+28.7314*LN(H189/100)+G189*(-0.076146+0.04397*(H189/100)-0.0068672*(H189/100)^2)))</f>
        <v>3.2574883164308108E-2</v>
      </c>
      <c r="X189">
        <f>N189*(AZ189-S189)</f>
        <v>383.7484224721299</v>
      </c>
      <c r="Y189">
        <f>O189*(AZ189-S189)</f>
        <v>159.4289032368969</v>
      </c>
      <c r="Z189">
        <f>((Y189/10^6)*AZ189)/(0.082056*H189)</f>
        <v>6.1505826012073392E-6</v>
      </c>
      <c r="AA189">
        <f>(((L189/10^6)*AZ189)/(0.082056*H189))</f>
        <v>1.0968056694956952E-7</v>
      </c>
      <c r="AB189">
        <f>((Y189/10^6)*U189*1)/(0.082056*H189)</f>
        <v>2.142833902379994E-7</v>
      </c>
      <c r="AC189">
        <f>(Z189*(Q189/1000))+(AB189*(R189/1000))</f>
        <v>6.1331802094375962E-7</v>
      </c>
      <c r="AD189" s="39">
        <f>((AC189-(AA189*(Q189/1000)))/(R189/1000))*1000000</f>
        <v>0.53222560256735574</v>
      </c>
      <c r="AE189" s="39">
        <f>(AD189/((U189*AZ189*1))*(0.0821*273.15))</f>
        <v>389.78517570551531</v>
      </c>
      <c r="AF189" s="39">
        <f>L189*U189*AZ189*1/(0.0821*273.15)</f>
        <v>3.8819589096802812E-3</v>
      </c>
      <c r="AG189" s="39">
        <f>AD189-AF189</f>
        <v>0.5283436436576755</v>
      </c>
      <c r="AH189" s="42">
        <f>P189*(AZ189-S189)</f>
        <v>0.42669646827462915</v>
      </c>
      <c r="AI189">
        <f>(((X189/10^6)*(Q189/1000))/(0.082056*H189))</f>
        <v>9.47492485019508E-7</v>
      </c>
      <c r="AJ189">
        <f>(((K189/10^6)*AZ189)*(Q189/1000))/(0.082056*H189)</f>
        <v>1.0173877674859083E-6</v>
      </c>
      <c r="AK189">
        <f>(X189/10^6)*T189*(R189/1000)</f>
        <v>1.5678843575672082E-5</v>
      </c>
      <c r="AL189">
        <f>AI189+AK189</f>
        <v>1.662633606069159E-5</v>
      </c>
      <c r="AM189" s="39">
        <f>((AL189-AJ189)/(R189/1000))*1000000</f>
        <v>13.692059906320777</v>
      </c>
      <c r="AN189" s="39">
        <f>AM189/(T189*AZ189)</f>
        <v>407.50687630293737</v>
      </c>
      <c r="AO189" s="39">
        <f>(K189*AZ189)*T189</f>
        <v>14.767939804936795</v>
      </c>
      <c r="AP189" s="39">
        <f>AM189-AO189</f>
        <v>-1.0758798986160176</v>
      </c>
      <c r="AQ189">
        <f>(((AH189/10^6)*(Q189/1000))/(0.082056*H189))</f>
        <v>1.0535331831987869E-9</v>
      </c>
      <c r="AR189">
        <f>(((M189/10^6)*AZ189)*(Q189/1000))/(0.082056*H189)</f>
        <v>7.4618675873190433E-10</v>
      </c>
      <c r="AS189">
        <f>(AH189/10^6)*V189*(R189/1000)</f>
        <v>1.2765068414685368E-8</v>
      </c>
      <c r="AT189">
        <f>AQ189+AS189</f>
        <v>1.3818601597884155E-8</v>
      </c>
      <c r="AU189" s="39">
        <f>((AT189-AR189)/(R189/1000))*1000000000</f>
        <v>11.46703056065987</v>
      </c>
      <c r="AV189" s="39">
        <f>(AU189/1000)/(V189*AZ189)</f>
        <v>0.46610144183962143</v>
      </c>
      <c r="AW189" s="39">
        <f>(M189*AZ189)*V189*1000</f>
        <v>7.9308112572981315</v>
      </c>
      <c r="AX189" s="39">
        <f>AU189-AW189</f>
        <v>3.5362193033617384</v>
      </c>
      <c r="AY189" s="26">
        <f>VLOOKUP($E189,Water!$C$2:$G$90, 5, FALSE)</f>
        <v>712.5</v>
      </c>
      <c r="AZ189">
        <f>AY189/760</f>
        <v>0.9375</v>
      </c>
      <c r="BA189" s="3">
        <f>Assumptions!$B$3</f>
        <v>406.07</v>
      </c>
      <c r="BB189" s="3">
        <f>BA189*AZ189*T189</f>
        <v>13.643781465975723</v>
      </c>
      <c r="BC189" s="3">
        <f>Assumptions!$B$4</f>
        <v>1.8474300000000001</v>
      </c>
      <c r="BD189" s="45">
        <f>BC189*AZ189*U189*1/(0.0821*273.15)</f>
        <v>2.522542175113043E-3</v>
      </c>
      <c r="BE189" s="3">
        <f>Assumptions!$B$2</f>
        <v>0.33054499999999998</v>
      </c>
      <c r="BF189" s="44">
        <f>BE189*AZ189*V189*1000</f>
        <v>8.1320701384518053</v>
      </c>
      <c r="BG189">
        <f>1923.6+(-125.06*F189)+(4.3773*(F189^2))+(-0.085681*(F189^3))+(0.00070284*(F189^4))</f>
        <v>517.01442143999986</v>
      </c>
      <c r="BH189">
        <f>1909.4+(-120.78*F189)+(4.1555*(F189^2))+(-0.080578*(F189^3))+(0.00065777*(F189^4))</f>
        <v>533.39798857000017</v>
      </c>
      <c r="BI189">
        <f>2141.2+(-152.56*F189)+(5.8963*(F189^2))+(-0.12411*(F189^3))+(0.0010655*(F189^4))</f>
        <v>539.58691549999958</v>
      </c>
      <c r="BJ189" s="25">
        <f>VLOOKUP(E189,Wind!$C$2:$E$109,3, FALSE)</f>
        <v>0.66666666666666663</v>
      </c>
      <c r="BK189" s="44">
        <v>1.66</v>
      </c>
      <c r="BL189">
        <f>BK189/(1-(((1.3*10^-3)^0.5)/0.41)*LN(10/1.5))</f>
        <v>1.9923982880693825</v>
      </c>
      <c r="BM189">
        <f>BK189*1.22</f>
        <v>2.0251999999999999</v>
      </c>
      <c r="BN189">
        <f>2.07+0.215*(BM189^1.7)*(24/100)</f>
        <v>2.241255750541113</v>
      </c>
      <c r="BO189">
        <f>BN189*((600/BG189)^0.67)</f>
        <v>2.4763154895528312</v>
      </c>
      <c r="BP189">
        <f>BN189*((600/BH189)^0.67)</f>
        <v>2.4250926440206859</v>
      </c>
      <c r="BQ189">
        <f>BN189*((600/BI189)^0.67)</f>
        <v>2.4064210063503109</v>
      </c>
      <c r="BR189" s="39">
        <f>BO189*(AM189-BB189)</f>
        <v>0.11955264963791069</v>
      </c>
      <c r="BS189" s="39">
        <f>BP189*(AD189-BD189)</f>
        <v>1.2845789952724729</v>
      </c>
      <c r="BT189" s="39">
        <f>BQ189*(AU189-BF189)</f>
        <v>8.0253188153483883</v>
      </c>
      <c r="BU189">
        <f>(2.51+1.48*BM189)+(0.39*BM189*LOG10(0.0015))</f>
        <v>3.2768938069574309</v>
      </c>
      <c r="BV189">
        <f>BU189*((600/$BG189)^0.67)</f>
        <v>3.6205698032584164</v>
      </c>
      <c r="BW189">
        <f>BU189*((600/$BH189)^0.67)</f>
        <v>3.545677937277258</v>
      </c>
      <c r="BX189">
        <f>BU189*((600/$BI189)^0.67)</f>
        <v>3.518378520942004</v>
      </c>
      <c r="BY189" s="39">
        <f>BV189*($AM189-$BB189)</f>
        <v>0.17479546326171702</v>
      </c>
      <c r="BZ189" s="39">
        <f>BW189*($AD189-$BD189)</f>
        <v>1.8781564545410179</v>
      </c>
      <c r="CA189" s="39">
        <f>BX189*($AU189-$BF189)</f>
        <v>11.733653117688531</v>
      </c>
      <c r="CB189" s="42">
        <f>AVERAGE(0.72,0.69,0.4,0.22)</f>
        <v>0.50750000000000006</v>
      </c>
      <c r="CC189">
        <f>CB189*((600/$BG189)^0.67)</f>
        <v>0.56072588353410624</v>
      </c>
      <c r="CD189">
        <f>CB189*((600/$BH189)^0.67)</f>
        <v>0.54912720984357022</v>
      </c>
      <c r="CE189">
        <f>CB189*((600/$BI189)^0.67)</f>
        <v>0.54489928711970104</v>
      </c>
      <c r="CF189" s="39">
        <f>CC189*($AM189-$BB189)</f>
        <v>2.7070971118129304E-2</v>
      </c>
      <c r="CG189" s="39">
        <f>CD189*($AD189-$BD189)</f>
        <v>0.29087436359879237</v>
      </c>
      <c r="CH189" s="39">
        <f>CE189*($AU189-$BF189)</f>
        <v>1.8172175566335915</v>
      </c>
      <c r="CI189">
        <v>12.862639018895299</v>
      </c>
      <c r="CJ189">
        <f>((BG189/BH189)^0.67)*CI189</f>
        <v>12.596573982198542</v>
      </c>
      <c r="CK189">
        <f>((BH189/BH189)^0.67)*CI189</f>
        <v>12.862639018895299</v>
      </c>
      <c r="CL189">
        <f>((BI189/BH189)^0.67)*CI189</f>
        <v>12.9624413953755</v>
      </c>
      <c r="CM189" s="39">
        <f>CJ189*($AM189-$BB189)</f>
        <v>0.6081429455516375</v>
      </c>
      <c r="CN189" s="39">
        <f>CK189*($AD189-$BD189)</f>
        <v>6.8133792530295141</v>
      </c>
      <c r="CO189" s="39">
        <f>CL189*($AU189-$BF189)</f>
        <v>43.229229028768771</v>
      </c>
      <c r="CP189" s="27">
        <f>VLOOKUP(A189,Water!$A$2:$E$109, 5, FALSE)/1000</f>
        <v>3.8000000000000002E-4</v>
      </c>
      <c r="CQ189">
        <f>0.64*CP189</f>
        <v>2.4320000000000003E-4</v>
      </c>
      <c r="CR189" s="19">
        <f>CQ189*1000*(2.5*10^-5)</f>
        <v>6.0800000000000011E-6</v>
      </c>
      <c r="CS189" s="18">
        <f>(-0.0000009*F189^3)+(0.0002*F189^2)-(0.0134*F189)+6.579</f>
        <v>6.3656496999999996</v>
      </c>
      <c r="CT189" s="18">
        <f>CS189-(SQRT(CP189))/(1+1.4*SQRT(CP189))</f>
        <v>6.3466739781927801</v>
      </c>
      <c r="CU189" s="18">
        <f>10^(-CT189)</f>
        <v>4.5011762822705812E-7</v>
      </c>
      <c r="CV189" s="18">
        <f>(0.000001*F189^3)+(0.00006*F189^2)-(0.014*F189)+10.625</f>
        <v>10.346907</v>
      </c>
      <c r="CW189" s="18">
        <f>CV189-(2*SQRT(CR189))/(1+1.4*SQRT(CR189))</f>
        <v>10.341992434231727</v>
      </c>
      <c r="CX189" s="18">
        <f>10^(-CW189)</f>
        <v>4.5499598648657173E-11</v>
      </c>
      <c r="CY189">
        <f>EXP(1246.98+-61900/H189-183*LN(H189))</f>
        <v>3.1298201569780658E-2</v>
      </c>
      <c r="CZ189">
        <f>12.225*(F189^2)+15.258*F189+1125.7</f>
        <v>7943.6589999999997</v>
      </c>
      <c r="DA189" s="15">
        <f>10^(-4470.99/H189+6.0875-0.01706*H189)</f>
        <v>8.6723257769723363E-15</v>
      </c>
      <c r="DB189">
        <f>(10^-I189)</f>
        <v>2.0417379446695247E-9</v>
      </c>
      <c r="DC189">
        <f>DB189^2</f>
        <v>4.1686938347033353E-18</v>
      </c>
      <c r="DD189" s="20">
        <f>((14.6836*10^-9)*((H189/217.2056)-1)^1.997)*100*100</f>
        <v>1.9455921927724899E-5</v>
      </c>
      <c r="DE189">
        <f>CY189+CZ189*DA189/DB189</f>
        <v>6.5039063803855851E-2</v>
      </c>
      <c r="DF189">
        <f>1+DC189*(CU189*CX189+CU189*DB189)^-1</f>
        <v>1.004437129462405</v>
      </c>
      <c r="DG189">
        <f>(DE189*DF189/DD189)^0.5</f>
        <v>57.945886617356983</v>
      </c>
      <c r="DH189">
        <f>DD189/(BO189/60/60)</f>
        <v>2.8284489288744701E-2</v>
      </c>
      <c r="DI189" s="16">
        <f>DF189/((DF189-1)+TANH(DG189*DH189)/(DG189*DH189))</f>
        <v>1.7614389415234533</v>
      </c>
      <c r="DJ189">
        <f>$DI189*BR189</f>
        <v>0.21058469263452567</v>
      </c>
      <c r="DK189">
        <f>$DI189*BY189</f>
        <v>0.30789153579082051</v>
      </c>
      <c r="DL189">
        <f>$DI189*CF189</f>
        <v>4.7683862712329654E-2</v>
      </c>
      <c r="DM189">
        <f>$DI189*CM189</f>
        <v>1.0712066663074313</v>
      </c>
    </row>
    <row r="190" spans="1:117" ht="15.75" x14ac:dyDescent="0.25">
      <c r="A190" s="52" t="s">
        <v>58</v>
      </c>
      <c r="B190" s="55" t="s">
        <v>339</v>
      </c>
      <c r="C190" s="64" t="s">
        <v>492</v>
      </c>
      <c r="D190" s="57">
        <v>43294</v>
      </c>
      <c r="E190" s="42" t="str">
        <f>A190&amp;D190</f>
        <v>14A43294</v>
      </c>
      <c r="F190" s="3">
        <f>VLOOKUP($E190,Water!$C$2:$E$90, 2, FALSE)</f>
        <v>21.4</v>
      </c>
      <c r="G190" s="3">
        <f>VLOOKUP($E190,Water!$C$2:$E$90, 3, FALSE)</f>
        <v>2.48</v>
      </c>
      <c r="H190" s="1">
        <f>F190+273.15</f>
        <v>294.54999999999995</v>
      </c>
      <c r="I190" s="3">
        <f>VLOOKUP($E190,Water!$C$2:$F$90, 4, FALSE)</f>
        <v>8.3000000000000007</v>
      </c>
      <c r="J190">
        <f>10^(I190*-1)</f>
        <v>5.0118723362727114E-9</v>
      </c>
      <c r="K190" s="25">
        <v>439.52751160265137</v>
      </c>
      <c r="L190" s="25">
        <v>2.8430237635924795</v>
      </c>
      <c r="M190" s="25">
        <v>0.32236441181786135</v>
      </c>
      <c r="N190" s="21">
        <f>VLOOKUP($C190,Raw!$B$2:$F$353, 3, FALSE)</f>
        <v>1896.4690000000001</v>
      </c>
      <c r="O190" s="21">
        <f>VLOOKUP($C190,Raw!$B$2:$F$353, 4, FALSE)</f>
        <v>125.126</v>
      </c>
      <c r="P190" s="21">
        <f>VLOOKUP($C190,Raw!$B$2:$F$353, 5, FALSE)</f>
        <v>10.558</v>
      </c>
      <c r="Q190" s="14">
        <v>60</v>
      </c>
      <c r="R190" s="25">
        <v>1140</v>
      </c>
      <c r="S190">
        <f>EXP(24.4543-(100/H190*(67.4509))-(4.8489*LN(H190/100))-(0.000544*G190))</f>
        <v>2.5100802526690728E-2</v>
      </c>
      <c r="T190" s="8">
        <f>EXP(-58.0931+90.5069*(100/H190)+22.294*LN(H190/100)+G190*(0.027766-0.025888*(H190/100)+0.0050578*(H190/100)^2)*G190)</f>
        <v>3.6497203302077022E-2</v>
      </c>
      <c r="U190" s="9">
        <f>(EXP(-67.1962+99.1624*(100/H190)+27.9015*LN(H190/100)+G190*(-0.072909+0.041674*(H190/100)-0.0064603*(H190/100)^2)*G190))</f>
        <v>3.2475834847533781E-2</v>
      </c>
      <c r="V190" s="9">
        <f>(EXP(-64.8539+100.252*(100/H190)+25.2049*LN(H190/100)+(-0.062544+0.035337*(H190/100)-0.0054699*(H190/100)^2)*G190))</f>
        <v>2.7198067654054834E-2</v>
      </c>
      <c r="W190" s="9">
        <f>(EXP(-68.8862+101.4956*(100/H190)+28.7314*LN(H190/100)+G190*(-0.076146+0.04397*(H190/100)-0.0068672*(H190/100)^2)))</f>
        <v>3.3178980513870165E-2</v>
      </c>
      <c r="X190">
        <f>N190*(AZ190-S190)</f>
        <v>1735.0779661330091</v>
      </c>
      <c r="Y190">
        <f>O190*(AZ190-S190)</f>
        <v>114.47767698304528</v>
      </c>
      <c r="Z190">
        <f>((Y190/10^6)*AZ190)/(0.082056*H190)</f>
        <v>4.4522474313083049E-6</v>
      </c>
      <c r="AA190">
        <f>(((L190/10^6)*AZ190)/(0.082056*H190))</f>
        <v>1.1057042370345946E-7</v>
      </c>
      <c r="AB190">
        <f>((Y190/10^6)*U190*1)/(0.082056*H190)</f>
        <v>1.5381963008460111E-7</v>
      </c>
      <c r="AC190">
        <f>(Z190*(Q190/1000))+(AB190*(R190/1000))</f>
        <v>4.4248922417494352E-7</v>
      </c>
      <c r="AD190" s="39">
        <f>((AC190-(AA190*(Q190/1000)))/(R190/1000))*1000000</f>
        <v>0.38232894627432984</v>
      </c>
      <c r="AE190" s="39">
        <f>(AD190/((U190*AZ190*1))*(0.0821*273.15))</f>
        <v>280.86224572027004</v>
      </c>
      <c r="AF190" s="39">
        <f>L190*U190*AZ190*1/(0.0821*273.15)</f>
        <v>3.8701188797364396E-3</v>
      </c>
      <c r="AG190" s="39">
        <f>AD190-AF190</f>
        <v>0.37845882739459341</v>
      </c>
      <c r="AH190" s="42">
        <f>P190*(AZ190-S190)</f>
        <v>9.6595057269231983</v>
      </c>
      <c r="AI190">
        <f>(((X190/10^6)*(Q190/1000))/(0.082056*H190))</f>
        <v>4.307257892795975E-6</v>
      </c>
      <c r="AJ190">
        <f>(((K190/10^6)*AZ190)*(Q190/1000))/(0.082056*H190)</f>
        <v>1.0256420043247699E-6</v>
      </c>
      <c r="AK190">
        <f>(X190/10^6)*T190*(R190/1000)</f>
        <v>7.2191062333398236E-5</v>
      </c>
      <c r="AL190">
        <f>AI190+AK190</f>
        <v>7.6498320226194206E-5</v>
      </c>
      <c r="AM190" s="39">
        <f>((AL190-AJ190)/(R190/1000))*1000000</f>
        <v>66.204103703394253</v>
      </c>
      <c r="AN190" s="39">
        <f>AM190/(T190*AZ190)</f>
        <v>1929.7340942502929</v>
      </c>
      <c r="AO190" s="39">
        <f>(K190*AZ190)*T190</f>
        <v>15.079033450948904</v>
      </c>
      <c r="AP190" s="39">
        <f>AM190-AO190</f>
        <v>51.125070252445347</v>
      </c>
      <c r="AQ190">
        <f>(((AH190/10^6)*(Q190/1000))/(0.082056*H190))</f>
        <v>2.3979315682006875E-8</v>
      </c>
      <c r="AR190">
        <f>(((M190/10^6)*AZ190)*(Q190/1000))/(0.082056*H190)</f>
        <v>7.522406965021763E-10</v>
      </c>
      <c r="AS190">
        <f>(AH190/10^6)*V190*(R190/1000)</f>
        <v>2.9950067490276947E-7</v>
      </c>
      <c r="AT190">
        <f>AQ190+AS190</f>
        <v>3.2347999058477635E-7</v>
      </c>
      <c r="AU190" s="39">
        <f>((AT190-AR190)/(R190/1000))*1000000000</f>
        <v>283.09451744585454</v>
      </c>
      <c r="AV190" s="39">
        <f>(AU190/1000)/(V190*AZ190)</f>
        <v>11.073006512528774</v>
      </c>
      <c r="AW190" s="39">
        <f>(M190*AZ190)*V190*1000</f>
        <v>8.24162773696888</v>
      </c>
      <c r="AX190" s="39">
        <f>AU190-AW190</f>
        <v>274.85288970888564</v>
      </c>
      <c r="AY190" s="26">
        <f>VLOOKUP($E190,Water!$C$2:$G$90, 5, FALSE)</f>
        <v>714.4</v>
      </c>
      <c r="AZ190">
        <f>AY190/760</f>
        <v>0.94</v>
      </c>
      <c r="BA190" s="3">
        <f>Assumptions!$B$3</f>
        <v>406.07</v>
      </c>
      <c r="BB190" s="3">
        <f>BA190*AZ190*T190</f>
        <v>13.931194184181949</v>
      </c>
      <c r="BC190" s="3">
        <f>Assumptions!$B$4</f>
        <v>1.8474300000000001</v>
      </c>
      <c r="BD190" s="45">
        <f>BC190*AZ190*U190*1/(0.0821*273.15)</f>
        <v>2.5148483855643011E-3</v>
      </c>
      <c r="BE190" s="3">
        <f>Assumptions!$B$2</f>
        <v>0.33054499999999998</v>
      </c>
      <c r="BF190" s="44">
        <f>BE190*AZ190*V190*1000</f>
        <v>8.4507741563469807</v>
      </c>
      <c r="BG190">
        <f>1923.6+(-125.06*F190)+(4.3773*(F190^2))+(-0.085681*(F190^3))+(0.00070284*(F190^4))</f>
        <v>559.64581256294412</v>
      </c>
      <c r="BH190">
        <f>1909.4+(-120.78*F190)+(4.1555*(F190^2))+(-0.080578*(F190^3))+(0.00065777*(F190^4))</f>
        <v>576.02102780763198</v>
      </c>
      <c r="BI190">
        <f>2141.2+(-152.56*F190)+(5.8963*(F190^2))+(-0.12411*(F190^3))+(0.0010655*(F190^4))</f>
        <v>583.82935794480022</v>
      </c>
      <c r="BJ190" s="25">
        <f>VLOOKUP(E190,Wind!$C$2:$E$109,3, FALSE)</f>
        <v>1.7222222222222221</v>
      </c>
      <c r="BK190" s="44">
        <v>1.66</v>
      </c>
      <c r="BL190">
        <f>BK190/(1-(((1.3*10^-3)^0.5)/0.41)*LN(10/1.5))</f>
        <v>1.9923982880693825</v>
      </c>
      <c r="BM190">
        <f>BK190*1.22</f>
        <v>2.0251999999999999</v>
      </c>
      <c r="BN190">
        <f>2.07+0.215*(BM190^1.7)*(24/100)</f>
        <v>2.241255750541113</v>
      </c>
      <c r="BO190">
        <f>BN190*((600/BG190)^0.67)</f>
        <v>2.3482853643170589</v>
      </c>
      <c r="BP190">
        <f>BN190*((600/BH190)^0.67)</f>
        <v>2.3033454026992137</v>
      </c>
      <c r="BQ190">
        <f>BN190*((600/BI190)^0.67)</f>
        <v>2.2826597536092255</v>
      </c>
      <c r="BR190" s="39">
        <f>BO190*(AM190-BB190)</f>
        <v>122.75170837423613</v>
      </c>
      <c r="BS190" s="39">
        <f>BP190*(AD190-BD190)</f>
        <v>0.87484305625243719</v>
      </c>
      <c r="BT190" s="39">
        <f>BQ190*(AU190-BF190)</f>
        <v>626.91821938754265</v>
      </c>
      <c r="BU190">
        <f>(2.51+1.48*BM190)+(0.39*BM190*LOG10(0.0015))</f>
        <v>3.2768938069574309</v>
      </c>
      <c r="BV190">
        <f>BU190*((600/$BG190)^0.67)</f>
        <v>3.4333795977730333</v>
      </c>
      <c r="BW190">
        <f>BU190*((600/$BH190)^0.67)</f>
        <v>3.3676738067784684</v>
      </c>
      <c r="BX190">
        <f>BU190*((600/$BI190)^0.67)</f>
        <v>3.3374297458855913</v>
      </c>
      <c r="BY190" s="39">
        <f>BV190*($AM190-$BB190)</f>
        <v>179.4727410594993</v>
      </c>
      <c r="BZ190" s="39">
        <f>BW190*($AD190-$BD190)</f>
        <v>1.2790899889051888</v>
      </c>
      <c r="CA190" s="39">
        <f>BX190*($AU190-$BF190)</f>
        <v>916.60419837576876</v>
      </c>
      <c r="CB190" s="42">
        <f>AVERAGE(0.72,0.69,0.4,0.22)</f>
        <v>0.50750000000000006</v>
      </c>
      <c r="CC190">
        <f>CB190*((600/$BG190)^0.67)</f>
        <v>0.53173531048528422</v>
      </c>
      <c r="CD190">
        <f>CB190*((600/$BH190)^0.67)</f>
        <v>0.52155930512955895</v>
      </c>
      <c r="CE190">
        <f>CB190*((600/$BI190)^0.67)</f>
        <v>0.51687533860292123</v>
      </c>
      <c r="CF190" s="39">
        <f>CC190*($AM190-$BB190)</f>
        <v>27.795351773167525</v>
      </c>
      <c r="CG190" s="39">
        <f>CD190*($AD190-$BD190)</f>
        <v>0.19809557697327482</v>
      </c>
      <c r="CH190" s="39">
        <f>CE190*($AU190-$BF190)</f>
        <v>141.95657780793798</v>
      </c>
      <c r="CI190">
        <v>13.862639018895299</v>
      </c>
      <c r="CJ190">
        <f>((BG190/BH190)^0.67)*CI190</f>
        <v>13.597344828122033</v>
      </c>
      <c r="CK190">
        <f>((BH190/BH190)^0.67)*CI190</f>
        <v>13.862639018895299</v>
      </c>
      <c r="CL190">
        <f>((BI190/BH190)^0.67)*CI190</f>
        <v>13.988263385712402</v>
      </c>
      <c r="CM190" s="39">
        <f>CJ190*($AM190-$BB190)</f>
        <v>710.7727759019524</v>
      </c>
      <c r="CN190" s="39">
        <f>CK190*($AD190-$BD190)</f>
        <v>5.26522573331932</v>
      </c>
      <c r="CO190" s="39">
        <f>CL190*($AU190-$BF190)</f>
        <v>3841.7890183716145</v>
      </c>
      <c r="CP190" s="27">
        <f>VLOOKUP(A190,Water!$A$2:$E$109, 5, FALSE)/1000</f>
        <v>9.1E-4</v>
      </c>
      <c r="CQ190">
        <f>0.64*CP190</f>
        <v>5.8240000000000006E-4</v>
      </c>
      <c r="CR190" s="19">
        <f>CQ190*1000*(2.5*10^-5)</f>
        <v>1.4560000000000001E-5</v>
      </c>
      <c r="CS190" s="18">
        <f>(-0.0000009*F190^3)+(0.0002*F190^2)-(0.0134*F190)+6.579</f>
        <v>6.3750116904</v>
      </c>
      <c r="CT190" s="18">
        <f>CS190-(SQRT(CP190))/(1+1.4*SQRT(CP190))</f>
        <v>6.3460678599259701</v>
      </c>
      <c r="CU190" s="18">
        <f>10^(-CT190)</f>
        <v>4.5074626846751576E-7</v>
      </c>
      <c r="CV190" s="18">
        <f>(0.000001*F190^3)+(0.00006*F190^2)-(0.014*F190)+10.625</f>
        <v>10.362677944</v>
      </c>
      <c r="CW190" s="18">
        <f>CV190-(2*SQRT(CR190))/(1+1.4*SQRT(CR190))</f>
        <v>10.35508698176082</v>
      </c>
      <c r="CX190" s="18">
        <f>10^(-CW190)</f>
        <v>4.4148201719680769E-11</v>
      </c>
      <c r="CY190">
        <f>EXP(1246.98+-61900/H190-183*LN(H190))</f>
        <v>2.7100517548374385E-2</v>
      </c>
      <c r="CZ190">
        <f>12.225*(F190^2)+15.258*F190+1125.7</f>
        <v>7050.7821999999987</v>
      </c>
      <c r="DA190" s="15">
        <f>10^(-4470.99/H190+6.0875-0.01706*H190)</f>
        <v>7.6458224309505178E-15</v>
      </c>
      <c r="DB190">
        <f>(10^-I190)</f>
        <v>5.0118723362727114E-9</v>
      </c>
      <c r="DC190">
        <f>DB190^2</f>
        <v>2.5118864315095687E-17</v>
      </c>
      <c r="DD190" s="20">
        <f>((14.6836*10^-9)*((H190/217.2056)-1)^1.997)*100*100</f>
        <v>1.8676417988154074E-5</v>
      </c>
      <c r="DE190">
        <f>CY190+CZ190*DA190/DB190</f>
        <v>3.7856782888644074E-2</v>
      </c>
      <c r="DF190">
        <f>1+DC190*(CU190*CX190+CU190*DB190)^-1</f>
        <v>1.0110219650737762</v>
      </c>
      <c r="DG190">
        <f>(DE190*DF190/DD190)^0.5</f>
        <v>45.269464286345134</v>
      </c>
      <c r="DH190">
        <f>DD190/(BO190/60/60)</f>
        <v>2.863157339351231E-2</v>
      </c>
      <c r="DI190" s="16">
        <f>DF190/((DF190-1)+TANH(DG190*DH190)/(DG190*DH190))</f>
        <v>1.4976061237383964</v>
      </c>
      <c r="DJ190">
        <f>$DI190*BR190</f>
        <v>183.83371016060582</v>
      </c>
      <c r="DK190">
        <f>$DI190*BY190</f>
        <v>268.77947605482166</v>
      </c>
      <c r="DL190">
        <f>$DI190*CF190</f>
        <v>41.626489026958581</v>
      </c>
      <c r="DM190">
        <f>$DI190*CM190</f>
        <v>1064.4576617773027</v>
      </c>
    </row>
    <row r="191" spans="1:117" ht="15.75" x14ac:dyDescent="0.25">
      <c r="A191" s="52" t="s">
        <v>58</v>
      </c>
      <c r="B191" s="55" t="s">
        <v>340</v>
      </c>
      <c r="C191" s="64" t="s">
        <v>493</v>
      </c>
      <c r="D191" s="57">
        <v>43294</v>
      </c>
      <c r="E191" s="42" t="str">
        <f>A191&amp;D191</f>
        <v>14A43294</v>
      </c>
      <c r="F191" s="3">
        <f>VLOOKUP($E191,Water!$C$2:$E$90, 2, FALSE)</f>
        <v>21.4</v>
      </c>
      <c r="G191" s="3">
        <f>VLOOKUP($E191,Water!$C$2:$E$90, 3, FALSE)</f>
        <v>2.48</v>
      </c>
      <c r="H191" s="1">
        <f>F191+273.15</f>
        <v>294.54999999999995</v>
      </c>
      <c r="I191" s="3">
        <f>VLOOKUP($E191,Water!$C$2:$F$90, 4, FALSE)</f>
        <v>8.3000000000000007</v>
      </c>
      <c r="J191">
        <f>10^(I191*-1)</f>
        <v>5.0118723362727114E-9</v>
      </c>
      <c r="K191" s="25">
        <v>439.52751160265137</v>
      </c>
      <c r="L191" s="25">
        <v>2.8430237635924795</v>
      </c>
      <c r="M191" s="25">
        <v>0.32236441181786135</v>
      </c>
      <c r="N191" s="21">
        <f>VLOOKUP($C191,Raw!$B$2:$F$353, 3, FALSE)</f>
        <v>1107.0070000000001</v>
      </c>
      <c r="O191" s="21">
        <f>VLOOKUP($C191,Raw!$B$2:$F$353, 4, FALSE)</f>
        <v>57.991</v>
      </c>
      <c r="P191" s="21">
        <f>VLOOKUP($C191,Raw!$B$2:$F$353, 5, FALSE)</f>
        <v>4.2690000000000001</v>
      </c>
      <c r="Q191" s="14">
        <v>60</v>
      </c>
      <c r="R191" s="25">
        <v>1140</v>
      </c>
      <c r="S191">
        <f>EXP(24.4543-(100/H191*(67.4509))-(4.8489*LN(H191/100))-(0.000544*G191))</f>
        <v>2.5100802526690728E-2</v>
      </c>
      <c r="T191" s="8">
        <f>EXP(-58.0931+90.5069*(100/H191)+22.294*LN(H191/100)+G191*(0.027766-0.025888*(H191/100)+0.0050578*(H191/100)^2)*G191)</f>
        <v>3.6497203302077022E-2</v>
      </c>
      <c r="U191" s="9">
        <f>(EXP(-67.1962+99.1624*(100/H191)+27.9015*LN(H191/100)+G191*(-0.072909+0.041674*(H191/100)-0.0064603*(H191/100)^2)*G191))</f>
        <v>3.2475834847533781E-2</v>
      </c>
      <c r="V191" s="9">
        <f>(EXP(-64.8539+100.252*(100/H191)+25.2049*LN(H191/100)+(-0.062544+0.035337*(H191/100)-0.0054699*(H191/100)^2)*G191))</f>
        <v>2.7198067654054834E-2</v>
      </c>
      <c r="W191" s="9">
        <f>(EXP(-68.8862+101.4956*(100/H191)+28.7314*LN(H191/100)+G191*(-0.076146+0.04397*(H191/100)-0.0068672*(H191/100)^2)))</f>
        <v>3.3178980513870165E-2</v>
      </c>
      <c r="X191">
        <f>N191*(AZ191-S191)</f>
        <v>1012.7998158973356</v>
      </c>
      <c r="Y191">
        <f>O191*(AZ191-S191)</f>
        <v>53.055919360674672</v>
      </c>
      <c r="Z191">
        <f>((Y191/10^6)*AZ191)/(0.082056*H191)</f>
        <v>2.0634422964771503E-6</v>
      </c>
      <c r="AA191">
        <f>(((L191/10^6)*AZ191)/(0.082056*H191))</f>
        <v>1.1057042370345946E-7</v>
      </c>
      <c r="AB191">
        <f>((Y191/10^6)*U191*1)/(0.082056*H191)</f>
        <v>7.1289373657242312E-8</v>
      </c>
      <c r="AC191">
        <f>(Z191*(Q191/1000))+(AB191*(R191/1000))</f>
        <v>2.0507642375788525E-7</v>
      </c>
      <c r="AD191" s="39">
        <f>((AC191-(AA191*(Q191/1000)))/(R191/1000))*1000000</f>
        <v>0.17407210380322605</v>
      </c>
      <c r="AE191" s="39">
        <f>(AD191/((U191*AZ191*1))*(0.0821*273.15))</f>
        <v>127.87491626738125</v>
      </c>
      <c r="AF191" s="39">
        <f>L191*U191*AZ191*1/(0.0821*273.15)</f>
        <v>3.8701188797364396E-3</v>
      </c>
      <c r="AG191" s="39">
        <f>AD191-AF191</f>
        <v>0.17020198492348962</v>
      </c>
      <c r="AH191" s="42">
        <f>P191*(AZ191-S191)</f>
        <v>3.905704674013557</v>
      </c>
      <c r="AI191">
        <f>(((X191/10^6)*(Q191/1000))/(0.082056*H191))</f>
        <v>2.5142328390974984E-6</v>
      </c>
      <c r="AJ191">
        <f>(((K191/10^6)*AZ191)*(Q191/1000))/(0.082056*H191)</f>
        <v>1.0256420043247699E-6</v>
      </c>
      <c r="AK191">
        <f>(X191/10^6)*T191*(R191/1000)</f>
        <v>4.2139371295026806E-5</v>
      </c>
      <c r="AL191">
        <f>AI191+AK191</f>
        <v>4.4653604134124306E-5</v>
      </c>
      <c r="AM191" s="39">
        <f>((AL191-AJ191)/(R191/1000))*1000000</f>
        <v>38.270142219122398</v>
      </c>
      <c r="AN191" s="39">
        <f>AM191/(T191*AZ191)</f>
        <v>1115.5078628194121</v>
      </c>
      <c r="AO191" s="39">
        <f>(K191*AZ191)*T191</f>
        <v>15.079033450948904</v>
      </c>
      <c r="AP191" s="39">
        <f>AM191-AO191</f>
        <v>23.191108768173493</v>
      </c>
      <c r="AQ191">
        <f>(((AH191/10^6)*(Q191/1000))/(0.082056*H191))</f>
        <v>9.6957471724272942E-9</v>
      </c>
      <c r="AR191">
        <f>(((M191/10^6)*AZ191)*(Q191/1000))/(0.082056*H191)</f>
        <v>7.522406965021763E-10</v>
      </c>
      <c r="AS191">
        <f>(AH191/10^6)*V191*(R191/1000)</f>
        <v>1.2109948675505995E-7</v>
      </c>
      <c r="AT191">
        <f>AQ191+AS191</f>
        <v>1.3079523392748723E-7</v>
      </c>
      <c r="AU191" s="39">
        <f>((AT191-AR191)/(R191/1000))*1000000000</f>
        <v>114.07280107981147</v>
      </c>
      <c r="AV191" s="39">
        <f>(AU191/1000)/(V191*AZ191)</f>
        <v>4.4618627045673582</v>
      </c>
      <c r="AW191" s="39">
        <f>(M191*AZ191)*V191*1000</f>
        <v>8.24162773696888</v>
      </c>
      <c r="AX191" s="39">
        <f>AU191-AW191</f>
        <v>105.83117334284259</v>
      </c>
      <c r="AY191" s="26">
        <f>VLOOKUP($E191,Water!$C$2:$G$90, 5, FALSE)</f>
        <v>714.4</v>
      </c>
      <c r="AZ191">
        <f>AY191/760</f>
        <v>0.94</v>
      </c>
      <c r="BA191" s="3">
        <f>Assumptions!$B$3</f>
        <v>406.07</v>
      </c>
      <c r="BB191" s="3">
        <f>BA191*AZ191*T191</f>
        <v>13.931194184181949</v>
      </c>
      <c r="BC191" s="3">
        <f>Assumptions!$B$4</f>
        <v>1.8474300000000001</v>
      </c>
      <c r="BD191" s="45">
        <f>BC191*AZ191*U191*1/(0.0821*273.15)</f>
        <v>2.5148483855643011E-3</v>
      </c>
      <c r="BE191" s="3">
        <f>Assumptions!$B$2</f>
        <v>0.33054499999999998</v>
      </c>
      <c r="BF191" s="44">
        <f>BE191*AZ191*V191*1000</f>
        <v>8.4507741563469807</v>
      </c>
      <c r="BG191">
        <f>1923.6+(-125.06*F191)+(4.3773*(F191^2))+(-0.085681*(F191^3))+(0.00070284*(F191^4))</f>
        <v>559.64581256294412</v>
      </c>
      <c r="BH191">
        <f>1909.4+(-120.78*F191)+(4.1555*(F191^2))+(-0.080578*(F191^3))+(0.00065777*(F191^4))</f>
        <v>576.02102780763198</v>
      </c>
      <c r="BI191">
        <f>2141.2+(-152.56*F191)+(5.8963*(F191^2))+(-0.12411*(F191^3))+(0.0010655*(F191^4))</f>
        <v>583.82935794480022</v>
      </c>
      <c r="BJ191" s="25">
        <f>VLOOKUP(E191,Wind!$C$2:$E$109,3, FALSE)</f>
        <v>1.7222222222222221</v>
      </c>
      <c r="BK191" s="44">
        <v>1.66</v>
      </c>
      <c r="BL191">
        <f>BK191/(1-(((1.3*10^-3)^0.5)/0.41)*LN(10/1.5))</f>
        <v>1.9923982880693825</v>
      </c>
      <c r="BM191">
        <f>BK191*1.22</f>
        <v>2.0251999999999999</v>
      </c>
      <c r="BN191">
        <f>2.07+0.215*(BM191^1.7)*(24/100)</f>
        <v>2.241255750541113</v>
      </c>
      <c r="BO191">
        <f>BN191*((600/BG191)^0.67)</f>
        <v>2.3482853643170589</v>
      </c>
      <c r="BP191">
        <f>BN191*((600/BH191)^0.67)</f>
        <v>2.3033454026992137</v>
      </c>
      <c r="BQ191">
        <f>BN191*((600/BI191)^0.67)</f>
        <v>2.2826597536092255</v>
      </c>
      <c r="BR191" s="39">
        <f>BO191*(AM191-BB191)</f>
        <v>57.154795453324098</v>
      </c>
      <c r="BS191" s="39">
        <f>BP191*(AD191-BD191)</f>
        <v>0.39515561556596601</v>
      </c>
      <c r="BT191" s="39">
        <f>BQ191*(AU191-BF191)</f>
        <v>241.09914995282242</v>
      </c>
      <c r="BU191">
        <f>(2.51+1.48*BM191)+(0.39*BM191*LOG10(0.0015))</f>
        <v>3.2768938069574309</v>
      </c>
      <c r="BV191">
        <f>BU191*((600/$BG191)^0.67)</f>
        <v>3.4333795977730333</v>
      </c>
      <c r="BW191">
        <f>BU191*((600/$BH191)^0.67)</f>
        <v>3.3676738067784684</v>
      </c>
      <c r="BX191">
        <f>BU191*((600/$BI191)^0.67)</f>
        <v>3.3374297458855913</v>
      </c>
      <c r="BY191" s="39">
        <f>BV191*($AM191-$BB191)</f>
        <v>83.564847614422604</v>
      </c>
      <c r="BZ191" s="39">
        <f>BW191*($AD191-$BD191)</f>
        <v>0.57774887543286302</v>
      </c>
      <c r="CA191" s="39">
        <f>BX191*($AU191-$BF191)</f>
        <v>352.50609447509919</v>
      </c>
      <c r="CB191" s="42">
        <f>AVERAGE(0.72,0.69,0.4,0.22)</f>
        <v>0.50750000000000006</v>
      </c>
      <c r="CC191">
        <f>CB191*((600/$BG191)^0.67)</f>
        <v>0.53173531048528422</v>
      </c>
      <c r="CD191">
        <f>CB191*((600/$BH191)^0.67)</f>
        <v>0.52155930512955895</v>
      </c>
      <c r="CE191">
        <f>CB191*((600/$BI191)^0.67)</f>
        <v>0.51687533860292123</v>
      </c>
      <c r="CF191" s="39">
        <f>CC191*($AM191-$BB191)</f>
        <v>12.941878090244259</v>
      </c>
      <c r="CG191" s="39">
        <f>CD191*($AD191-$BD191)</f>
        <v>8.9477282925569931E-2</v>
      </c>
      <c r="CH191" s="39">
        <f>CE191*($AU191-$BF191)</f>
        <v>54.593420929992568</v>
      </c>
      <c r="CI191">
        <v>14.862639018895299</v>
      </c>
      <c r="CJ191">
        <f>((BG191/BH191)^0.67)*CI191</f>
        <v>14.578207476971818</v>
      </c>
      <c r="CK191">
        <f>((BH191/BH191)^0.67)*CI191</f>
        <v>14.862639018895299</v>
      </c>
      <c r="CL191">
        <f>((BI191/BH191)^0.67)*CI191</f>
        <v>14.997325467372747</v>
      </c>
      <c r="CM191" s="39">
        <f>CJ191*($AM191-$BB191)</f>
        <v>354.8182342245974</v>
      </c>
      <c r="CN191" s="39">
        <f>CK191*($AD191-$BD191)</f>
        <v>2.5497935583451268</v>
      </c>
      <c r="CO191" s="39">
        <f>CL191*($AU191-$BF191)</f>
        <v>1584.0479142948038</v>
      </c>
      <c r="CP191" s="27">
        <f>VLOOKUP(A191,Water!$A$2:$E$109, 5, FALSE)/1000</f>
        <v>9.1E-4</v>
      </c>
      <c r="CQ191">
        <f>0.64*CP191</f>
        <v>5.8240000000000006E-4</v>
      </c>
      <c r="CR191" s="19">
        <f>CQ191*1000*(2.5*10^-5)</f>
        <v>1.4560000000000001E-5</v>
      </c>
      <c r="CS191" s="18">
        <f>(-0.0000009*F191^3)+(0.0002*F191^2)-(0.0134*F191)+6.579</f>
        <v>6.3750116904</v>
      </c>
      <c r="CT191" s="18">
        <f>CS191-(SQRT(CP191))/(1+1.4*SQRT(CP191))</f>
        <v>6.3460678599259701</v>
      </c>
      <c r="CU191" s="18">
        <f>10^(-CT191)</f>
        <v>4.5074626846751576E-7</v>
      </c>
      <c r="CV191" s="18">
        <f>(0.000001*F191^3)+(0.00006*F191^2)-(0.014*F191)+10.625</f>
        <v>10.362677944</v>
      </c>
      <c r="CW191" s="18">
        <f>CV191-(2*SQRT(CR191))/(1+1.4*SQRT(CR191))</f>
        <v>10.35508698176082</v>
      </c>
      <c r="CX191" s="18">
        <f>10^(-CW191)</f>
        <v>4.4148201719680769E-11</v>
      </c>
      <c r="CY191">
        <f>EXP(1246.98+-61900/H191-183*LN(H191))</f>
        <v>2.7100517548374385E-2</v>
      </c>
      <c r="CZ191">
        <f>12.225*(F191^2)+15.258*F191+1125.7</f>
        <v>7050.7821999999987</v>
      </c>
      <c r="DA191" s="15">
        <f>10^(-4470.99/H191+6.0875-0.01706*H191)</f>
        <v>7.6458224309505178E-15</v>
      </c>
      <c r="DB191">
        <f>(10^-I191)</f>
        <v>5.0118723362727114E-9</v>
      </c>
      <c r="DC191">
        <f>DB191^2</f>
        <v>2.5118864315095687E-17</v>
      </c>
      <c r="DD191" s="20">
        <f>((14.6836*10^-9)*((H191/217.2056)-1)^1.997)*100*100</f>
        <v>1.8676417988154074E-5</v>
      </c>
      <c r="DE191">
        <f>CY191+CZ191*DA191/DB191</f>
        <v>3.7856782888644074E-2</v>
      </c>
      <c r="DF191">
        <f>1+DC191*(CU191*CX191+CU191*DB191)^-1</f>
        <v>1.0110219650737762</v>
      </c>
      <c r="DG191">
        <f>(DE191*DF191/DD191)^0.5</f>
        <v>45.269464286345134</v>
      </c>
      <c r="DH191">
        <f>DD191/(BO191/60/60)</f>
        <v>2.863157339351231E-2</v>
      </c>
      <c r="DI191" s="16">
        <f>DF191/((DF191-1)+TANH(DG191*DH191)/(DG191*DH191))</f>
        <v>1.4976061237383964</v>
      </c>
      <c r="DJ191">
        <f>$DI191*BR191</f>
        <v>85.595371671913625</v>
      </c>
      <c r="DK191">
        <f>$DI191*BY191</f>
        <v>125.14722751662522</v>
      </c>
      <c r="DL191">
        <f>$DI191*CF191</f>
        <v>19.381835880625584</v>
      </c>
      <c r="DM191">
        <f>$DI191*CM191</f>
        <v>531.37796038880174</v>
      </c>
    </row>
    <row r="192" spans="1:117" ht="15.75" x14ac:dyDescent="0.25">
      <c r="A192" s="52" t="s">
        <v>58</v>
      </c>
      <c r="B192" s="55" t="s">
        <v>341</v>
      </c>
      <c r="C192" s="64" t="s">
        <v>494</v>
      </c>
      <c r="D192" s="57">
        <v>43294</v>
      </c>
      <c r="E192" s="42" t="str">
        <f>A192&amp;D192</f>
        <v>14A43294</v>
      </c>
      <c r="F192" s="3">
        <f>VLOOKUP($E192,Water!$C$2:$E$90, 2, FALSE)</f>
        <v>21.4</v>
      </c>
      <c r="G192" s="3">
        <f>VLOOKUP($E192,Water!$C$2:$E$90, 3, FALSE)</f>
        <v>2.48</v>
      </c>
      <c r="H192" s="1">
        <f>F192+273.15</f>
        <v>294.54999999999995</v>
      </c>
      <c r="I192" s="3">
        <f>VLOOKUP($E192,Water!$C$2:$F$90, 4, FALSE)</f>
        <v>8.3000000000000007</v>
      </c>
      <c r="J192">
        <f>10^(I192*-1)</f>
        <v>5.0118723362727114E-9</v>
      </c>
      <c r="K192" s="25">
        <v>439.52751160265137</v>
      </c>
      <c r="L192" s="25">
        <v>2.8430237635924795</v>
      </c>
      <c r="M192" s="25">
        <v>0.32236441181786135</v>
      </c>
      <c r="N192" s="21">
        <f>VLOOKUP($C192,Raw!$B$2:$F$353, 3, FALSE)</f>
        <v>1240.154</v>
      </c>
      <c r="O192" s="21">
        <f>VLOOKUP($C192,Raw!$B$2:$F$353, 4, FALSE)</f>
        <v>54.673999999999999</v>
      </c>
      <c r="P192" s="21">
        <f>VLOOKUP($C192,Raw!$B$2:$F$353, 5, FALSE)</f>
        <v>3.589</v>
      </c>
      <c r="Q192" s="14">
        <v>60</v>
      </c>
      <c r="R192" s="25">
        <v>1140</v>
      </c>
      <c r="S192">
        <f>EXP(24.4543-(100/H192*(67.4509))-(4.8489*LN(H192/100))-(0.000544*G192))</f>
        <v>2.5100802526690728E-2</v>
      </c>
      <c r="T192" s="8">
        <f>EXP(-58.0931+90.5069*(100/H192)+22.294*LN(H192/100)+G192*(0.027766-0.025888*(H192/100)+0.0050578*(H192/100)^2)*G192)</f>
        <v>3.6497203302077022E-2</v>
      </c>
      <c r="U192" s="9">
        <f>(EXP(-67.1962+99.1624*(100/H192)+27.9015*LN(H192/100)+G192*(-0.072909+0.041674*(H192/100)-0.0064603*(H192/100)^2)*G192))</f>
        <v>3.2475834847533781E-2</v>
      </c>
      <c r="V192" s="9">
        <f>(EXP(-64.8539+100.252*(100/H192)+25.2049*LN(H192/100)+(-0.062544+0.035337*(H192/100)-0.0054699*(H192/100)^2)*G192))</f>
        <v>2.7198067654054834E-2</v>
      </c>
      <c r="W192" s="9">
        <f>(EXP(-68.8862+101.4956*(100/H192)+28.7314*LN(H192/100)+G192*(-0.076146+0.04397*(H192/100)-0.0068672*(H192/100)^2)))</f>
        <v>3.3178980513870165E-2</v>
      </c>
      <c r="X192">
        <f>N192*(AZ192-S192)</f>
        <v>1134.6158993433141</v>
      </c>
      <c r="Y192">
        <f>O192*(AZ192-S192)</f>
        <v>50.021198722655704</v>
      </c>
      <c r="Z192">
        <f>((Y192/10^6)*AZ192)/(0.082056*H192)</f>
        <v>1.9454164287146577E-6</v>
      </c>
      <c r="AA192">
        <f>(((L192/10^6)*AZ192)/(0.082056*H192))</f>
        <v>1.1057042370345946E-7</v>
      </c>
      <c r="AB192">
        <f>((Y192/10^6)*U192*1)/(0.082056*H192)</f>
        <v>6.7211726221932127E-8</v>
      </c>
      <c r="AC192">
        <f>(Z192*(Q192/1000))+(AB192*(R192/1000))</f>
        <v>1.9334635361588208E-7</v>
      </c>
      <c r="AD192" s="39">
        <f>((AC192-(AA192*(Q192/1000)))/(R192/1000))*1000000</f>
        <v>0.16378256859094256</v>
      </c>
      <c r="AE192" s="39">
        <f>(AD192/((U192*AZ192*1))*(0.0821*273.15))</f>
        <v>120.31613214888519</v>
      </c>
      <c r="AF192" s="39">
        <f>L192*U192*AZ192*1/(0.0821*273.15)</f>
        <v>3.8701188797364396E-3</v>
      </c>
      <c r="AG192" s="39">
        <f>AD192-AF192</f>
        <v>0.15991244971120613</v>
      </c>
      <c r="AH192" s="42">
        <f>P192*(AZ192-S192)</f>
        <v>3.2835732197317067</v>
      </c>
      <c r="AI192">
        <f>(((X192/10^6)*(Q192/1000))/(0.082056*H192))</f>
        <v>2.8166361299776051E-6</v>
      </c>
      <c r="AJ192">
        <f>(((K192/10^6)*AZ192)*(Q192/1000))/(0.082056*H192)</f>
        <v>1.0256420043247699E-6</v>
      </c>
      <c r="AK192">
        <f>(X192/10^6)*T192*(R192/1000)</f>
        <v>4.7207750148836153E-5</v>
      </c>
      <c r="AL192">
        <f>AI192+AK192</f>
        <v>5.0024386278813759E-5</v>
      </c>
      <c r="AM192" s="39">
        <f>((AL192-AJ192)/(R192/1000))*1000000</f>
        <v>42.981354626744732</v>
      </c>
      <c r="AN192" s="39">
        <f>AM192/(T192*AZ192)</f>
        <v>1252.8314832550093</v>
      </c>
      <c r="AO192" s="39">
        <f>(K192*AZ192)*T192</f>
        <v>15.079033450948904</v>
      </c>
      <c r="AP192" s="39">
        <f>AM192-AO192</f>
        <v>27.902321175795826</v>
      </c>
      <c r="AQ192">
        <f>(((AH192/10^6)*(Q192/1000))/(0.082056*H192))</f>
        <v>8.1513320688314719E-9</v>
      </c>
      <c r="AR192">
        <f>(((M192/10^6)*AZ192)*(Q192/1000))/(0.082056*H192)</f>
        <v>7.522406965021763E-10</v>
      </c>
      <c r="AS192">
        <f>(AH192/10^6)*V192*(R192/1000)</f>
        <v>1.018098050981284E-7</v>
      </c>
      <c r="AT192">
        <f>AQ192+AS192</f>
        <v>1.0996113716695988E-7</v>
      </c>
      <c r="AU192" s="39">
        <f>((AT192-AR192)/(R192/1000))*1000000000</f>
        <v>95.797277605664661</v>
      </c>
      <c r="AV192" s="39">
        <f>(AU192/1000)/(V192*AZ192)</f>
        <v>3.7470308092877018</v>
      </c>
      <c r="AW192" s="39">
        <f>(M192*AZ192)*V192*1000</f>
        <v>8.24162773696888</v>
      </c>
      <c r="AX192" s="39">
        <f>AU192-AW192</f>
        <v>87.555649868695781</v>
      </c>
      <c r="AY192" s="26">
        <f>VLOOKUP($E192,Water!$C$2:$G$90, 5, FALSE)</f>
        <v>714.4</v>
      </c>
      <c r="AZ192">
        <f>AY192/760</f>
        <v>0.94</v>
      </c>
      <c r="BA192" s="3">
        <f>Assumptions!$B$3</f>
        <v>406.07</v>
      </c>
      <c r="BB192" s="3">
        <f>BA192*AZ192*T192</f>
        <v>13.931194184181949</v>
      </c>
      <c r="BC192" s="3">
        <f>Assumptions!$B$4</f>
        <v>1.8474300000000001</v>
      </c>
      <c r="BD192" s="45">
        <f>BC192*AZ192*U192*1/(0.0821*273.15)</f>
        <v>2.5148483855643011E-3</v>
      </c>
      <c r="BE192" s="3">
        <f>Assumptions!$B$2</f>
        <v>0.33054499999999998</v>
      </c>
      <c r="BF192" s="44">
        <f>BE192*AZ192*V192*1000</f>
        <v>8.4507741563469807</v>
      </c>
      <c r="BG192">
        <f>1923.6+(-125.06*F192)+(4.3773*(F192^2))+(-0.085681*(F192^3))+(0.00070284*(F192^4))</f>
        <v>559.64581256294412</v>
      </c>
      <c r="BH192">
        <f>1909.4+(-120.78*F192)+(4.1555*(F192^2))+(-0.080578*(F192^3))+(0.00065777*(F192^4))</f>
        <v>576.02102780763198</v>
      </c>
      <c r="BI192">
        <f>2141.2+(-152.56*F192)+(5.8963*(F192^2))+(-0.12411*(F192^3))+(0.0010655*(F192^4))</f>
        <v>583.82935794480022</v>
      </c>
      <c r="BJ192" s="25">
        <f>VLOOKUP(E192,Wind!$C$2:$E$109,3, FALSE)</f>
        <v>1.7222222222222221</v>
      </c>
      <c r="BK192" s="44">
        <v>1.66</v>
      </c>
      <c r="BL192">
        <f>BK192/(1-(((1.3*10^-3)^0.5)/0.41)*LN(10/1.5))</f>
        <v>1.9923982880693825</v>
      </c>
      <c r="BM192">
        <f>BK192*1.22</f>
        <v>2.0251999999999999</v>
      </c>
      <c r="BN192">
        <f>2.07+0.215*(BM192^1.7)*(24/100)</f>
        <v>2.241255750541113</v>
      </c>
      <c r="BO192">
        <f>BN192*((600/BG192)^0.67)</f>
        <v>2.3482853643170589</v>
      </c>
      <c r="BP192">
        <f>BN192*((600/BH192)^0.67)</f>
        <v>2.3033454026992137</v>
      </c>
      <c r="BQ192">
        <f>BN192*((600/BI192)^0.67)</f>
        <v>2.2826597536092255</v>
      </c>
      <c r="BR192" s="39">
        <f>BO192*(AM192-BB192)</f>
        <v>68.218066598332555</v>
      </c>
      <c r="BS192" s="39">
        <f>BP192*(AD192-BD192)</f>
        <v>0.37145526193884115</v>
      </c>
      <c r="BT192" s="39">
        <f>BQ192*(AU192-BF192)</f>
        <v>199.38234804224686</v>
      </c>
      <c r="BU192">
        <f>(2.51+1.48*BM192)+(0.39*BM192*LOG10(0.0015))</f>
        <v>3.2768938069574309</v>
      </c>
      <c r="BV192">
        <f>BU192*((600/$BG192)^0.67)</f>
        <v>3.4333795977730333</v>
      </c>
      <c r="BW192">
        <f>BU192*((600/$BH192)^0.67)</f>
        <v>3.3676738067784684</v>
      </c>
      <c r="BX192">
        <f>BU192*((600/$BI192)^0.67)</f>
        <v>3.3374297458855913</v>
      </c>
      <c r="BY192" s="39">
        <f>BV192*($AM192-$BB192)</f>
        <v>99.740228175528301</v>
      </c>
      <c r="BZ192" s="39">
        <f>BW192*($AD192-$BD192)</f>
        <v>0.54309707721453115</v>
      </c>
      <c r="CA192" s="39">
        <f>BX192*($AU192-$BF192)</f>
        <v>291.51281881085123</v>
      </c>
      <c r="CB192" s="42">
        <f>AVERAGE(0.72,0.69,0.4,0.22)</f>
        <v>0.50750000000000006</v>
      </c>
      <c r="CC192">
        <f>CB192*((600/$BG192)^0.67)</f>
        <v>0.53173531048528422</v>
      </c>
      <c r="CD192">
        <f>CB192*((600/$BH192)^0.67)</f>
        <v>0.52155930512955895</v>
      </c>
      <c r="CE192">
        <f>CB192*((600/$BI192)^0.67)</f>
        <v>0.51687533860292123</v>
      </c>
      <c r="CF192" s="39">
        <f>CC192*($AM192-$BB192)</f>
        <v>15.446996082573444</v>
      </c>
      <c r="CG192" s="39">
        <f>CD192*($AD192-$BD192)</f>
        <v>8.4110680090145232E-2</v>
      </c>
      <c r="CH192" s="39">
        <f>CE192*($AU192-$BF192)</f>
        <v>45.147253546147304</v>
      </c>
      <c r="CI192">
        <v>15.862639018895299</v>
      </c>
      <c r="CJ192">
        <f>((BG192/BH192)^0.67)*CI192</f>
        <v>15.559070125821604</v>
      </c>
      <c r="CK192">
        <f>((BH192/BH192)^0.67)*CI192</f>
        <v>15.862639018895299</v>
      </c>
      <c r="CL192">
        <f>((BI192/BH192)^0.67)*CI192</f>
        <v>16.006387549033089</v>
      </c>
      <c r="CM192" s="39">
        <f>CJ192*($AM192-$BB192)</f>
        <v>451.99348349220315</v>
      </c>
      <c r="CN192" s="39">
        <f>CK192*($AD192-$BD192)</f>
        <v>2.558131631018123</v>
      </c>
      <c r="CO192" s="39">
        <f>CL192*($AU192-$BF192)</f>
        <v>1398.1019852627344</v>
      </c>
      <c r="CP192" s="27">
        <f>VLOOKUP(A192,Water!$A$2:$E$109, 5, FALSE)/1000</f>
        <v>9.1E-4</v>
      </c>
      <c r="CQ192">
        <f>0.64*CP192</f>
        <v>5.8240000000000006E-4</v>
      </c>
      <c r="CR192" s="19">
        <f>CQ192*1000*(2.5*10^-5)</f>
        <v>1.4560000000000001E-5</v>
      </c>
      <c r="CS192" s="18">
        <f>(-0.0000009*F192^3)+(0.0002*F192^2)-(0.0134*F192)+6.579</f>
        <v>6.3750116904</v>
      </c>
      <c r="CT192" s="18">
        <f>CS192-(SQRT(CP192))/(1+1.4*SQRT(CP192))</f>
        <v>6.3460678599259701</v>
      </c>
      <c r="CU192" s="18">
        <f>10^(-CT192)</f>
        <v>4.5074626846751576E-7</v>
      </c>
      <c r="CV192" s="18">
        <f>(0.000001*F192^3)+(0.00006*F192^2)-(0.014*F192)+10.625</f>
        <v>10.362677944</v>
      </c>
      <c r="CW192" s="18">
        <f>CV192-(2*SQRT(CR192))/(1+1.4*SQRT(CR192))</f>
        <v>10.35508698176082</v>
      </c>
      <c r="CX192" s="18">
        <f>10^(-CW192)</f>
        <v>4.4148201719680769E-11</v>
      </c>
      <c r="CY192">
        <f>EXP(1246.98+-61900/H192-183*LN(H192))</f>
        <v>2.7100517548374385E-2</v>
      </c>
      <c r="CZ192">
        <f>12.225*(F192^2)+15.258*F192+1125.7</f>
        <v>7050.7821999999987</v>
      </c>
      <c r="DA192" s="15">
        <f>10^(-4470.99/H192+6.0875-0.01706*H192)</f>
        <v>7.6458224309505178E-15</v>
      </c>
      <c r="DB192">
        <f>(10^-I192)</f>
        <v>5.0118723362727114E-9</v>
      </c>
      <c r="DC192">
        <f>DB192^2</f>
        <v>2.5118864315095687E-17</v>
      </c>
      <c r="DD192" s="20">
        <f>((14.6836*10^-9)*((H192/217.2056)-1)^1.997)*100*100</f>
        <v>1.8676417988154074E-5</v>
      </c>
      <c r="DE192">
        <f>CY192+CZ192*DA192/DB192</f>
        <v>3.7856782888644074E-2</v>
      </c>
      <c r="DF192">
        <f>1+DC192*(CU192*CX192+CU192*DB192)^-1</f>
        <v>1.0110219650737762</v>
      </c>
      <c r="DG192">
        <f>(DE192*DF192/DD192)^0.5</f>
        <v>45.269464286345134</v>
      </c>
      <c r="DH192">
        <f>DD192/(BO192/60/60)</f>
        <v>2.863157339351231E-2</v>
      </c>
      <c r="DI192" s="16">
        <f>DF192/((DF192-1)+TANH(DG192*DH192)/(DG192*DH192))</f>
        <v>1.4976061237383964</v>
      </c>
      <c r="DJ192">
        <f>$DI192*BR192</f>
        <v>102.16379428725659</v>
      </c>
      <c r="DK192">
        <f>$DI192*BY192</f>
        <v>149.37157649873612</v>
      </c>
      <c r="DL192">
        <f>$DI192*CF192</f>
        <v>23.133515926625009</v>
      </c>
      <c r="DM192">
        <f>$DI192*CM192</f>
        <v>676.9082087677732</v>
      </c>
    </row>
    <row r="193" spans="1:117" ht="15.75" x14ac:dyDescent="0.25">
      <c r="A193" s="52" t="s">
        <v>58</v>
      </c>
      <c r="B193" s="55" t="s">
        <v>342</v>
      </c>
      <c r="C193" s="64" t="s">
        <v>495</v>
      </c>
      <c r="D193" s="57">
        <v>43294</v>
      </c>
      <c r="E193" s="42" t="str">
        <f>A193&amp;D193</f>
        <v>14A43294</v>
      </c>
      <c r="F193" s="3">
        <f>VLOOKUP($E193,Water!$C$2:$E$90, 2, FALSE)</f>
        <v>21.4</v>
      </c>
      <c r="G193" s="3">
        <f>VLOOKUP($E193,Water!$C$2:$E$90, 3, FALSE)</f>
        <v>2.48</v>
      </c>
      <c r="H193" s="1">
        <f>F193+273.15</f>
        <v>294.54999999999995</v>
      </c>
      <c r="I193" s="3">
        <f>VLOOKUP($E193,Water!$C$2:$F$90, 4, FALSE)</f>
        <v>8.3000000000000007</v>
      </c>
      <c r="J193">
        <f>10^(I193*-1)</f>
        <v>5.0118723362727114E-9</v>
      </c>
      <c r="K193" s="25">
        <v>439.52751160265137</v>
      </c>
      <c r="L193" s="25">
        <v>2.8430237635924795</v>
      </c>
      <c r="M193" s="25">
        <v>0.32236441181786135</v>
      </c>
      <c r="N193" s="21">
        <f>VLOOKUP($C193,Raw!$B$2:$F$353, 3, FALSE)</f>
        <v>1794.769</v>
      </c>
      <c r="O193" s="21">
        <f>VLOOKUP($C193,Raw!$B$2:$F$353, 4, FALSE)</f>
        <v>100.968</v>
      </c>
      <c r="P193" s="21">
        <f>VLOOKUP($C193,Raw!$B$2:$F$353, 5, FALSE)</f>
        <v>6.734</v>
      </c>
      <c r="Q193" s="14">
        <v>60</v>
      </c>
      <c r="R193" s="25">
        <v>1140</v>
      </c>
      <c r="S193">
        <f>EXP(24.4543-(100/H193*(67.4509))-(4.8489*LN(H193/100))-(0.000544*G193))</f>
        <v>2.5100802526690728E-2</v>
      </c>
      <c r="T193" s="8">
        <f>EXP(-58.0931+90.5069*(100/H193)+22.294*LN(H193/100)+G193*(0.027766-0.025888*(H193/100)+0.0050578*(H193/100)^2)*G193)</f>
        <v>3.6497203302077022E-2</v>
      </c>
      <c r="U193" s="9">
        <f>(EXP(-67.1962+99.1624*(100/H193)+27.9015*LN(H193/100)+G193*(-0.072909+0.041674*(H193/100)-0.0064603*(H193/100)^2)*G193))</f>
        <v>3.2475834847533781E-2</v>
      </c>
      <c r="V193" s="9">
        <f>(EXP(-64.8539+100.252*(100/H193)+25.2049*LN(H193/100)+(-0.062544+0.035337*(H193/100)-0.0054699*(H193/100)^2)*G193))</f>
        <v>2.7198067654054834E-2</v>
      </c>
      <c r="W193" s="9">
        <f>(EXP(-68.8862+101.4956*(100/H193)+28.7314*LN(H193/100)+G193*(-0.076146+0.04397*(H193/100)-0.0068672*(H193/100)^2)))</f>
        <v>3.3178980513870165E-2</v>
      </c>
      <c r="X193">
        <f>N193*(AZ193-S193)</f>
        <v>1642.0327177499737</v>
      </c>
      <c r="Y193">
        <f>O193*(AZ193-S193)</f>
        <v>92.375542170485076</v>
      </c>
      <c r="Z193">
        <f>((Y193/10^6)*AZ193)/(0.082056*H193)</f>
        <v>3.5926547531635062E-6</v>
      </c>
      <c r="AA193">
        <f>(((L193/10^6)*AZ193)/(0.082056*H193))</f>
        <v>1.1057042370345946E-7</v>
      </c>
      <c r="AB193">
        <f>((Y193/10^6)*U193*1)/(0.082056*H193)</f>
        <v>1.2412176854036733E-7</v>
      </c>
      <c r="AC193">
        <f>(Z193*(Q193/1000))+(AB193*(R193/1000))</f>
        <v>3.5705810132582911E-7</v>
      </c>
      <c r="AD193" s="39">
        <f>((AC193-(AA193*(Q193/1000)))/(R193/1000))*1000000</f>
        <v>0.30738936482773821</v>
      </c>
      <c r="AE193" s="39">
        <f>(AD193/((U193*AZ193*1))*(0.0821*273.15))</f>
        <v>225.81096241166961</v>
      </c>
      <c r="AF193" s="39">
        <f>L193*U193*AZ193*1/(0.0821*273.15)</f>
        <v>3.8701188797364396E-3</v>
      </c>
      <c r="AG193" s="39">
        <f>AD193-AF193</f>
        <v>0.30351924594800178</v>
      </c>
      <c r="AH193" s="42">
        <f>P193*(AZ193-S193)</f>
        <v>6.1609311957852642</v>
      </c>
      <c r="AI193">
        <f>(((X193/10^6)*(Q193/1000))/(0.082056*H193))</f>
        <v>4.0762769868611297E-6</v>
      </c>
      <c r="AJ193">
        <f>(((K193/10^6)*AZ193)*(Q193/1000))/(0.082056*H193)</f>
        <v>1.0256420043247699E-6</v>
      </c>
      <c r="AK193">
        <f>(X193/10^6)*T193*(R193/1000)</f>
        <v>6.8319746198356436E-5</v>
      </c>
      <c r="AL193">
        <f>AI193+AK193</f>
        <v>7.239602318521757E-5</v>
      </c>
      <c r="AM193" s="39">
        <f>((AL193-AJ193)/(R193/1000))*1000000</f>
        <v>62.605597527098958</v>
      </c>
      <c r="AN193" s="39">
        <f>AM193/(T193*AZ193)</f>
        <v>1824.8439187427698</v>
      </c>
      <c r="AO193" s="39">
        <f>(K193*AZ193)*T193</f>
        <v>15.079033450948904</v>
      </c>
      <c r="AP193" s="39">
        <f>AM193-AO193</f>
        <v>47.526564076150052</v>
      </c>
      <c r="AQ193">
        <f>(((AH193/10^6)*(Q193/1000))/(0.082056*H193))</f>
        <v>1.5294251922962144E-8</v>
      </c>
      <c r="AR193">
        <f>(((M193/10^6)*AZ193)*(Q193/1000))/(0.082056*H193)</f>
        <v>7.522406965021763E-10</v>
      </c>
      <c r="AS193">
        <f>(AH193/10^6)*V193*(R193/1000)</f>
        <v>1.9102458276143677E-7</v>
      </c>
      <c r="AT193">
        <f>AQ193+AS193</f>
        <v>2.0631883468439891E-7</v>
      </c>
      <c r="AU193" s="39">
        <f>((AT193-AR193)/(R193/1000))*1000000000</f>
        <v>180.32157367359363</v>
      </c>
      <c r="AV193" s="39">
        <f>(AU193/1000)/(V193*AZ193)</f>
        <v>7.0531283249561145</v>
      </c>
      <c r="AW193" s="39">
        <f>(M193*AZ193)*V193*1000</f>
        <v>8.24162773696888</v>
      </c>
      <c r="AX193" s="39">
        <f>AU193-AW193</f>
        <v>172.07994593662477</v>
      </c>
      <c r="AY193" s="26">
        <f>VLOOKUP($E193,Water!$C$2:$G$90, 5, FALSE)</f>
        <v>714.4</v>
      </c>
      <c r="AZ193">
        <f>AY193/760</f>
        <v>0.94</v>
      </c>
      <c r="BA193" s="3">
        <f>Assumptions!$B$3</f>
        <v>406.07</v>
      </c>
      <c r="BB193" s="3">
        <f>BA193*AZ193*T193</f>
        <v>13.931194184181949</v>
      </c>
      <c r="BC193" s="3">
        <f>Assumptions!$B$4</f>
        <v>1.8474300000000001</v>
      </c>
      <c r="BD193" s="45">
        <f>BC193*AZ193*U193*1/(0.0821*273.15)</f>
        <v>2.5148483855643011E-3</v>
      </c>
      <c r="BE193" s="3">
        <f>Assumptions!$B$2</f>
        <v>0.33054499999999998</v>
      </c>
      <c r="BF193" s="44">
        <f>BE193*AZ193*V193*1000</f>
        <v>8.4507741563469807</v>
      </c>
      <c r="BG193">
        <f>1923.6+(-125.06*F193)+(4.3773*(F193^2))+(-0.085681*(F193^3))+(0.00070284*(F193^4))</f>
        <v>559.64581256294412</v>
      </c>
      <c r="BH193">
        <f>1909.4+(-120.78*F193)+(4.1555*(F193^2))+(-0.080578*(F193^3))+(0.00065777*(F193^4))</f>
        <v>576.02102780763198</v>
      </c>
      <c r="BI193">
        <f>2141.2+(-152.56*F193)+(5.8963*(F193^2))+(-0.12411*(F193^3))+(0.0010655*(F193^4))</f>
        <v>583.82935794480022</v>
      </c>
      <c r="BJ193" s="25">
        <f>VLOOKUP(E193,Wind!$C$2:$E$109,3, FALSE)</f>
        <v>1.7222222222222221</v>
      </c>
      <c r="BK193" s="44">
        <v>1.66</v>
      </c>
      <c r="BL193">
        <f>BK193/(1-(((1.3*10^-3)^0.5)/0.41)*LN(10/1.5))</f>
        <v>1.9923982880693825</v>
      </c>
      <c r="BM193">
        <f>BK193*1.22</f>
        <v>2.0251999999999999</v>
      </c>
      <c r="BN193">
        <f>2.07+0.215*(BM193^1.7)*(24/100)</f>
        <v>2.241255750541113</v>
      </c>
      <c r="BO193">
        <f>BN193*((600/BG193)^0.67)</f>
        <v>2.3482853643170589</v>
      </c>
      <c r="BP193">
        <f>BN193*((600/BH193)^0.67)</f>
        <v>2.3033454026992137</v>
      </c>
      <c r="BQ193">
        <f>BN193*((600/BI193)^0.67)</f>
        <v>2.2826597536092255</v>
      </c>
      <c r="BR193" s="39">
        <f>BO193*(AM193-BB193)</f>
        <v>114.30138898703734</v>
      </c>
      <c r="BS193" s="39">
        <f>BP193*(AD193-BD193)</f>
        <v>0.70223131584722709</v>
      </c>
      <c r="BT193" s="39">
        <f>BQ193*(AU193-BF193)</f>
        <v>392.32255687865887</v>
      </c>
      <c r="BU193">
        <f>(2.51+1.48*BM193)+(0.39*BM193*LOG10(0.0015))</f>
        <v>3.2768938069574309</v>
      </c>
      <c r="BV193">
        <f>BU193*((600/$BG193)^0.67)</f>
        <v>3.4333795977730333</v>
      </c>
      <c r="BW193">
        <f>BU193*((600/$BH193)^0.67)</f>
        <v>3.3676738067784684</v>
      </c>
      <c r="BX193">
        <f>BU193*((600/$BI193)^0.67)</f>
        <v>3.3374297458855913</v>
      </c>
      <c r="BY193" s="39">
        <f>BV193*($AM193-$BB193)</f>
        <v>167.11770337134678</v>
      </c>
      <c r="BZ193" s="39">
        <f>BW193*($AD193-$BD193)</f>
        <v>1.0267179233765604</v>
      </c>
      <c r="CA193" s="39">
        <f>BX193*($AU193-$BF193)</f>
        <v>573.6067187579979</v>
      </c>
      <c r="CB193" s="42">
        <f>AVERAGE(0.72,0.69,0.4,0.22)</f>
        <v>0.50750000000000006</v>
      </c>
      <c r="CC193">
        <f>CB193*((600/$BG193)^0.67)</f>
        <v>0.53173531048528422</v>
      </c>
      <c r="CD193">
        <f>CB193*((600/$BH193)^0.67)</f>
        <v>0.52155930512955895</v>
      </c>
      <c r="CE193">
        <f>CB193*((600/$BI193)^0.67)</f>
        <v>0.51687533860292123</v>
      </c>
      <c r="CF193" s="39">
        <f>CC193*($AM193-$BB193)</f>
        <v>25.881898974231934</v>
      </c>
      <c r="CG193" s="39">
        <f>CD193*($AD193-$BD193)</f>
        <v>0.15901014094729052</v>
      </c>
      <c r="CH193" s="39">
        <f>CE193*($AU193-$BF193)</f>
        <v>88.835777696431663</v>
      </c>
      <c r="CI193">
        <v>16.862639018895301</v>
      </c>
      <c r="CJ193">
        <f>((BG193/BH193)^0.67)*CI193</f>
        <v>16.539932774671392</v>
      </c>
      <c r="CK193">
        <f>((BH193/BH193)^0.67)*CI193</f>
        <v>16.862639018895301</v>
      </c>
      <c r="CL193">
        <f>((BI193/BH193)^0.67)*CI193</f>
        <v>17.015449630693436</v>
      </c>
      <c r="CM193" s="39">
        <f>CJ193*($AM193-$BB193)</f>
        <v>805.0713591390878</v>
      </c>
      <c r="CN193" s="39">
        <f>CK193*($AD193-$BD193)</f>
        <v>5.1409889168246385</v>
      </c>
      <c r="CO193" s="39">
        <f>CL193*($AU193-$BF193)</f>
        <v>2924.4589321727203</v>
      </c>
      <c r="CP193" s="27">
        <f>VLOOKUP(A193,Water!$A$2:$E$109, 5, FALSE)/1000</f>
        <v>9.1E-4</v>
      </c>
      <c r="CQ193">
        <f>0.64*CP193</f>
        <v>5.8240000000000006E-4</v>
      </c>
      <c r="CR193" s="19">
        <f>CQ193*1000*(2.5*10^-5)</f>
        <v>1.4560000000000001E-5</v>
      </c>
      <c r="CS193" s="18">
        <f>(-0.0000009*F193^3)+(0.0002*F193^2)-(0.0134*F193)+6.579</f>
        <v>6.3750116904</v>
      </c>
      <c r="CT193" s="18">
        <f>CS193-(SQRT(CP193))/(1+1.4*SQRT(CP193))</f>
        <v>6.3460678599259701</v>
      </c>
      <c r="CU193" s="18">
        <f>10^(-CT193)</f>
        <v>4.5074626846751576E-7</v>
      </c>
      <c r="CV193" s="18">
        <f>(0.000001*F193^3)+(0.00006*F193^2)-(0.014*F193)+10.625</f>
        <v>10.362677944</v>
      </c>
      <c r="CW193" s="18">
        <f>CV193-(2*SQRT(CR193))/(1+1.4*SQRT(CR193))</f>
        <v>10.35508698176082</v>
      </c>
      <c r="CX193" s="18">
        <f>10^(-CW193)</f>
        <v>4.4148201719680769E-11</v>
      </c>
      <c r="CY193">
        <f>EXP(1246.98+-61900/H193-183*LN(H193))</f>
        <v>2.7100517548374385E-2</v>
      </c>
      <c r="CZ193">
        <f>12.225*(F193^2)+15.258*F193+1125.7</f>
        <v>7050.7821999999987</v>
      </c>
      <c r="DA193" s="15">
        <f>10^(-4470.99/H193+6.0875-0.01706*H193)</f>
        <v>7.6458224309505178E-15</v>
      </c>
      <c r="DB193">
        <f>(10^-I193)</f>
        <v>5.0118723362727114E-9</v>
      </c>
      <c r="DC193">
        <f>DB193^2</f>
        <v>2.5118864315095687E-17</v>
      </c>
      <c r="DD193" s="20">
        <f>((14.6836*10^-9)*((H193/217.2056)-1)^1.997)*100*100</f>
        <v>1.8676417988154074E-5</v>
      </c>
      <c r="DE193">
        <f>CY193+CZ193*DA193/DB193</f>
        <v>3.7856782888644074E-2</v>
      </c>
      <c r="DF193">
        <f>1+DC193*(CU193*CX193+CU193*DB193)^-1</f>
        <v>1.0110219650737762</v>
      </c>
      <c r="DG193">
        <f>(DE193*DF193/DD193)^0.5</f>
        <v>45.269464286345134</v>
      </c>
      <c r="DH193">
        <f>DD193/(BO193/60/60)</f>
        <v>2.863157339351231E-2</v>
      </c>
      <c r="DI193" s="16">
        <f>DF193/((DF193-1)+TANH(DG193*DH193)/(DG193*DH193))</f>
        <v>1.4976061237383964</v>
      </c>
      <c r="DJ193">
        <f>$DI193*BR193</f>
        <v>171.17846009879162</v>
      </c>
      <c r="DK193">
        <f>$DI193*BY193</f>
        <v>250.27649595402579</v>
      </c>
      <c r="DL193">
        <f>$DI193*CF193</f>
        <v>38.760890397788266</v>
      </c>
      <c r="DM193">
        <f>$DI193*CM193</f>
        <v>1205.6797974930917</v>
      </c>
    </row>
    <row r="194" spans="1:117" ht="15.75" x14ac:dyDescent="0.25">
      <c r="A194" s="52" t="s">
        <v>324</v>
      </c>
      <c r="B194" s="55" t="s">
        <v>339</v>
      </c>
      <c r="C194" s="62" t="s">
        <v>378</v>
      </c>
      <c r="D194" s="57">
        <v>43293</v>
      </c>
      <c r="E194" s="42" t="str">
        <f>A194&amp;D194</f>
        <v>32B43293</v>
      </c>
      <c r="F194" s="3">
        <f>VLOOKUP($E194,Water!$C$2:$E$90, 2, FALSE)</f>
        <v>22.5</v>
      </c>
      <c r="G194" s="3">
        <f>VLOOKUP($E194,Water!$C$2:$E$90, 3, FALSE)</f>
        <v>0.94</v>
      </c>
      <c r="H194" s="1">
        <f>F194+273.15</f>
        <v>295.64999999999998</v>
      </c>
      <c r="I194" s="3">
        <f>VLOOKUP($E194,Water!$C$2:$F$90, 4, FALSE)</f>
        <v>8.99</v>
      </c>
      <c r="J194">
        <f>10^(I194*-1)</f>
        <v>1.0232929922807512E-9</v>
      </c>
      <c r="K194" s="25">
        <f>VLOOKUP($E194,Atm!$D$2:$G$100, 2, FALSE)</f>
        <v>447.16325736992229</v>
      </c>
      <c r="L194" s="25">
        <f>VLOOKUP($E194,Atm!$D$2:$G$100, 3, FALSE)</f>
        <v>2.1371686599433839</v>
      </c>
      <c r="M194" s="25">
        <f>VLOOKUP($E194,Atm!$D$2:$G$100, 4, FALSE)</f>
        <v>0.29066818161689745</v>
      </c>
      <c r="N194" s="21">
        <f>VLOOKUP($C194,Raw!$B$2:$F$353, 3, FALSE)</f>
        <v>212.60793326365061</v>
      </c>
      <c r="O194" s="21">
        <f>VLOOKUP($C194,Raw!$B$2:$F$353, 4, FALSE)</f>
        <v>260.28285982925883</v>
      </c>
      <c r="P194" s="21">
        <f>VLOOKUP($C194,Raw!$B$2:$F$353, 5, FALSE)</f>
        <v>0.28501494713167452</v>
      </c>
      <c r="Q194" s="14">
        <v>60</v>
      </c>
      <c r="R194" s="25">
        <v>1140</v>
      </c>
      <c r="S194">
        <f>EXP(24.4543-(100/H194*(67.4509))-(4.8489*LN(H194/100))-(0.000544*G194))</f>
        <v>2.6866060848435895E-2</v>
      </c>
      <c r="T194" s="8">
        <f>EXP(-58.0931+90.5069*(100/H194)+22.294*LN(H194/100)+G194*(0.027766-0.025888*(H194/100)+0.0050578*(H194/100)^2)*G194)</f>
        <v>3.6245309081329009E-2</v>
      </c>
      <c r="U194" s="9">
        <f>(EXP(-67.1962+99.1624*(100/H194)+27.9015*LN(H194/100)+G194*(-0.072909+0.041674*(H194/100)-0.0064603*(H194/100)^2)*G194))</f>
        <v>3.285066740024737E-2</v>
      </c>
      <c r="V194" s="9">
        <f>(EXP(-64.8539+100.252*(100/H194)+25.2049*LN(H194/100)+(-0.062544+0.035337*(H194/100)-0.0054699*(H194/100)^2)*G194))</f>
        <v>2.6565318042923409E-2</v>
      </c>
      <c r="W194" s="9">
        <f>(EXP(-68.8862+101.4956*(100/H194)+28.7314*LN(H194/100)+G194*(-0.076146+0.04397*(H194/100)-0.0068672*(H194/100)^2)))</f>
        <v>3.2799459058538781E-2</v>
      </c>
      <c r="X194">
        <f>N194*(AZ194-S194)</f>
        <v>192.04141499133465</v>
      </c>
      <c r="Y194">
        <f>O194*(AZ194-S194)</f>
        <v>235.10453223594729</v>
      </c>
      <c r="Z194">
        <f>((Y194/10^6)*AZ194)/(0.082056*H194)</f>
        <v>9.0139919289177712E-6</v>
      </c>
      <c r="AA194">
        <f>(((L194/10^6)*AZ194)/(0.082056*H194))</f>
        <v>8.1939811488330621E-8</v>
      </c>
      <c r="AB194">
        <f>((Y194/10^6)*U194*1)/(0.082056*H194)</f>
        <v>3.1835888331036618E-7</v>
      </c>
      <c r="AC194">
        <f>(Z194*(Q194/1000))+(AB194*(R194/1000))</f>
        <v>9.0376864270888367E-7</v>
      </c>
      <c r="AD194" s="39">
        <f>((AC194-(AA194*(Q194/1000)))/(R194/1000))*1000000</f>
        <v>0.78846688949086308</v>
      </c>
      <c r="AE194" s="39">
        <f>(AD194/((U194*AZ194*1))*(0.0821*273.15))</f>
        <v>578.68101679433869</v>
      </c>
      <c r="AF194" s="39">
        <f>L194*U194*AZ194*1/(0.0821*273.15)</f>
        <v>2.9119440187577294E-3</v>
      </c>
      <c r="AG194" s="39">
        <f>AD194-AF194</f>
        <v>0.78555494547210536</v>
      </c>
      <c r="AH194" s="42">
        <f>P194*(AZ194-S194)</f>
        <v>0.25744417388683183</v>
      </c>
      <c r="AI194">
        <f>(((X194/10^6)*(Q194/1000))/(0.082056*H194))</f>
        <v>4.7496096883244861E-7</v>
      </c>
      <c r="AJ194">
        <f>(((K194/10^6)*AZ194)*(Q194/1000))/(0.082056*H194)</f>
        <v>1.0286639618148794E-6</v>
      </c>
      <c r="AK194">
        <f>(X194/10^6)*T194*(R194/1000)</f>
        <v>7.9350845047654317E-6</v>
      </c>
      <c r="AL194">
        <f>AI194+AK194</f>
        <v>8.4100454735978799E-6</v>
      </c>
      <c r="AM194" s="39">
        <f>((AL194-AJ194)/(R194/1000))*1000000</f>
        <v>6.4748960629675443</v>
      </c>
      <c r="AN194" s="39">
        <f>AM194/(T194*AZ194)</f>
        <v>192.0598584531792</v>
      </c>
      <c r="AO194" s="39">
        <f>(K194*AZ194)*T194</f>
        <v>15.075173115125898</v>
      </c>
      <c r="AP194" s="39">
        <f>AM194-AO194</f>
        <v>-8.6002770521583543</v>
      </c>
      <c r="AQ194">
        <f>(((AH194/10^6)*(Q194/1000))/(0.082056*H194))</f>
        <v>6.3671648251017313E-10</v>
      </c>
      <c r="AR194">
        <f>(((M194/10^6)*AZ194)*(Q194/1000))/(0.082056*H194)</f>
        <v>6.6865932821536058E-10</v>
      </c>
      <c r="AS194">
        <f>(AH194/10^6)*V194*(R194/1000)</f>
        <v>7.7965584476655567E-9</v>
      </c>
      <c r="AT194">
        <f>AQ194+AS194</f>
        <v>8.4332749301757292E-9</v>
      </c>
      <c r="AU194" s="39">
        <f>((AT194-AR194)/(R194/1000))*1000000000</f>
        <v>6.8110663175090957</v>
      </c>
      <c r="AV194" s="39">
        <f>(AU194/1000)/(V194*AZ194)</f>
        <v>0.27564854209120626</v>
      </c>
      <c r="AW194" s="39">
        <f>(M194*AZ194)*V194*1000</f>
        <v>7.1821902135343292</v>
      </c>
      <c r="AX194" s="39">
        <f>AU194-AW194</f>
        <v>-0.37112389602523344</v>
      </c>
      <c r="AY194" s="26">
        <f>VLOOKUP($E194,Water!$C$2:$G$90, 5, FALSE)</f>
        <v>706.9</v>
      </c>
      <c r="AZ194">
        <f>AY194/760</f>
        <v>0.93013157894736842</v>
      </c>
      <c r="BA194" s="3">
        <f>Assumptions!$B$3</f>
        <v>406.07</v>
      </c>
      <c r="BB194" s="3">
        <f>BA194*AZ194*T194</f>
        <v>13.689799968951855</v>
      </c>
      <c r="BC194" s="3">
        <f>Assumptions!$B$4</f>
        <v>1.8474300000000001</v>
      </c>
      <c r="BD194" s="45">
        <f>BC194*AZ194*U194*1/(0.0821*273.15)</f>
        <v>2.5171680828952945E-3</v>
      </c>
      <c r="BE194" s="3">
        <f>Assumptions!$B$2</f>
        <v>0.33054499999999998</v>
      </c>
      <c r="BF194" s="44">
        <f>BE194*AZ194*V194*1000</f>
        <v>8.1675161379091037</v>
      </c>
      <c r="BG194">
        <f>1923.6+(-125.06*F194)+(4.3773*(F194^2))+(-0.085681*(F194^3))+(0.00070284*(F194^4))</f>
        <v>529.9281890625</v>
      </c>
      <c r="BH194">
        <f>1909.4+(-120.78*F194)+(4.1555*(F194^2))+(-0.080578*(F194^3))+(0.00065777*(F194^4))</f>
        <v>546.31735039062505</v>
      </c>
      <c r="BI194">
        <f>2141.2+(-152.56*F194)+(5.8963*(F194^2))+(-0.12411*(F194^3))+(0.0010655*(F194^4))</f>
        <v>552.98740234374986</v>
      </c>
      <c r="BJ194" s="25">
        <f>VLOOKUP(E194,Wind!$C$2:$E$109,3, FALSE)</f>
        <v>1.9166666666666667</v>
      </c>
      <c r="BK194" s="44">
        <v>1.66</v>
      </c>
      <c r="BL194">
        <f>BK194/(1-(((1.3*10^-3)^0.5)/0.41)*LN(10/1.5))</f>
        <v>1.9923982880693825</v>
      </c>
      <c r="BM194">
        <f>BK194*1.22</f>
        <v>2.0251999999999999</v>
      </c>
      <c r="BN194">
        <f>2.07+0.215*(BM194^1.7)*(24/100)</f>
        <v>2.241255750541113</v>
      </c>
      <c r="BO194">
        <f>BN194*((600/BG194)^0.67)</f>
        <v>2.4357199308724997</v>
      </c>
      <c r="BP194">
        <f>BN194*((600/BH194)^0.67)</f>
        <v>2.3865174214591391</v>
      </c>
      <c r="BQ194">
        <f>BN194*((600/BI194)^0.67)</f>
        <v>2.3671923320266264</v>
      </c>
      <c r="BR194" s="39">
        <f>BO194*(AM194-BB194)</f>
        <v>-17.573485243135831</v>
      </c>
      <c r="BS194" s="39">
        <f>BP194*(AD194-BD194)</f>
        <v>1.8756827025310721</v>
      </c>
      <c r="BT194" s="39">
        <f>BQ194*(AU194-BF194)</f>
        <v>-3.2109776136297934</v>
      </c>
      <c r="BU194">
        <f>(2.51+1.48*BM194)+(0.39*BM194*LOG10(0.0015))</f>
        <v>3.2768938069574309</v>
      </c>
      <c r="BV194">
        <f>BU194*((600/$BG194)^0.67)</f>
        <v>3.5612158741954616</v>
      </c>
      <c r="BW194">
        <f>BU194*((600/$BH194)^0.67)</f>
        <v>3.4892778999841387</v>
      </c>
      <c r="BX194">
        <f>BU194*((600/$BI194)^0.67)</f>
        <v>3.461023085304908</v>
      </c>
      <c r="BY194" s="39">
        <f>BV194*($AM194-$BB194)</f>
        <v>-25.693830320786166</v>
      </c>
      <c r="BZ194" s="39">
        <f>BW194*($AD194-$BD194)</f>
        <v>2.742396993407513</v>
      </c>
      <c r="CA194" s="39">
        <f>BX194*($AU194-$BF194)</f>
        <v>-4.6947041424621236</v>
      </c>
      <c r="CB194" s="42">
        <f>AVERAGE(0.72,0.69,0.4,0.22)</f>
        <v>0.50750000000000006</v>
      </c>
      <c r="CC194">
        <f>CB194*((600/$BG194)^0.67)</f>
        <v>0.55153360548850872</v>
      </c>
      <c r="CD194">
        <f>CB194*((600/$BH194)^0.67)</f>
        <v>0.54039240773753727</v>
      </c>
      <c r="CE194">
        <f>CB194*((600/$BI194)^0.67)</f>
        <v>0.53601652029826019</v>
      </c>
      <c r="CF194" s="39">
        <f>CC194*($AM194-$BB194)</f>
        <v>-3.9792619645206511</v>
      </c>
      <c r="CG194" s="39">
        <f>CD194*($AD194-$BD194)</f>
        <v>0.4247212623122984</v>
      </c>
      <c r="CH194" s="39">
        <f>CE194*($AU194-$BF194)</f>
        <v>-0.72707951269001225</v>
      </c>
      <c r="CI194">
        <v>17.862639018895301</v>
      </c>
      <c r="CJ194">
        <f>((BG194/BH194)^0.67)*CI194</f>
        <v>17.501806620500535</v>
      </c>
      <c r="CK194">
        <f>((BH194/BH194)^0.67)*CI194</f>
        <v>17.862639018895301</v>
      </c>
      <c r="CL194">
        <f>((BI194/BH194)^0.67)*CI194</f>
        <v>18.008464557391076</v>
      </c>
      <c r="CM194" s="39">
        <f>CJ194*($AM194-$BB194)</f>
        <v>-126.27385294803138</v>
      </c>
      <c r="CN194" s="39">
        <f>CK194*($AD194-$BD194)</f>
        <v>14.039136160511857</v>
      </c>
      <c r="CO194" s="39">
        <f>CL194*($AU194-$BF194)</f>
        <v>-24.427578514553034</v>
      </c>
      <c r="CP194" s="27">
        <f>VLOOKUP(A194,Water!$A$2:$E$109, 5, FALSE)/1000</f>
        <v>6.6E-4</v>
      </c>
      <c r="CQ194">
        <f>0.64*CP194</f>
        <v>4.2240000000000002E-4</v>
      </c>
      <c r="CR194" s="19">
        <f>CQ194*1000*(2.5*10^-5)</f>
        <v>1.0560000000000001E-5</v>
      </c>
      <c r="CS194" s="18">
        <f>(-0.0000009*F194^3)+(0.0002*F194^2)-(0.0134*F194)+6.579</f>
        <v>6.3684984374999996</v>
      </c>
      <c r="CT194" s="18">
        <f>CS194-(SQRT(CP194))/(1+1.4*SQRT(CP194))</f>
        <v>6.3436998929454331</v>
      </c>
      <c r="CU194" s="18">
        <f>10^(-CT194)</f>
        <v>4.5321065026553519E-7</v>
      </c>
      <c r="CV194" s="18">
        <f>(0.000001*F194^3)+(0.00006*F194^2)-(0.014*F194)+10.625</f>
        <v>10.351765625000001</v>
      </c>
      <c r="CW194" s="18">
        <f>CV194-(2*SQRT(CR194))/(1+1.4*SQRT(CR194))</f>
        <v>10.345295828367028</v>
      </c>
      <c r="CX194" s="18">
        <f>10^(-CW194)</f>
        <v>4.515482584718102E-11</v>
      </c>
      <c r="CY194">
        <f>EXP(1246.98+-61900/H194-183*LN(H194))</f>
        <v>2.9943185396901027E-2</v>
      </c>
      <c r="CZ194">
        <f>12.225*(F194^2)+15.258*F194+1125.7</f>
        <v>7657.9112500000001</v>
      </c>
      <c r="DA194" s="15">
        <f>10^(-4470.99/H194+6.0875-0.01706*H194)</f>
        <v>8.3393773952476486E-15</v>
      </c>
      <c r="DB194">
        <f>(10^-I194)</f>
        <v>1.0232929922807512E-9</v>
      </c>
      <c r="DC194">
        <f>DB194^2</f>
        <v>1.0471285480508934E-18</v>
      </c>
      <c r="DD194" s="20">
        <f>((14.6836*10^-9)*((H194/217.2056)-1)^1.997)*100*100</f>
        <v>1.9210617613552908E-5</v>
      </c>
      <c r="DE194">
        <f>CY194+CZ194*DA194/DB194</f>
        <v>9.2351715949547872E-2</v>
      </c>
      <c r="DF194">
        <f>1+DC194*(CU194*CX194+CU194*DB194)^-1</f>
        <v>1.0021624524990003</v>
      </c>
      <c r="DG194">
        <f>(DE194*DF194/DD194)^0.5</f>
        <v>69.409814625631398</v>
      </c>
      <c r="DH194">
        <f>DD194/(BO194/60/60)</f>
        <v>2.8393339698960088E-2</v>
      </c>
      <c r="DI194" s="16">
        <f>DF194/((DF194-1)+TANH(DG194*DH194)/(DG194*DH194))</f>
        <v>2.0442029620541384</v>
      </c>
      <c r="DJ194">
        <f>$DI194*BR194</f>
        <v>-35.923770587632958</v>
      </c>
      <c r="DK194">
        <f>$DI194*BY194</f>
        <v>-52.523404048267516</v>
      </c>
      <c r="DL194">
        <f>$DI194*CF194</f>
        <v>-8.1344190946624853</v>
      </c>
      <c r="DM194">
        <f>$DI194*CM194</f>
        <v>-258.12938422635443</v>
      </c>
    </row>
    <row r="195" spans="1:117" ht="15.75" x14ac:dyDescent="0.25">
      <c r="A195" s="52" t="s">
        <v>324</v>
      </c>
      <c r="B195" s="55" t="s">
        <v>340</v>
      </c>
      <c r="C195" s="62" t="s">
        <v>379</v>
      </c>
      <c r="D195" s="57">
        <v>43293</v>
      </c>
      <c r="E195" s="42" t="str">
        <f>A195&amp;D195</f>
        <v>32B43293</v>
      </c>
      <c r="F195" s="3">
        <f>VLOOKUP($E195,Water!$C$2:$E$90, 2, FALSE)</f>
        <v>22.5</v>
      </c>
      <c r="G195" s="3">
        <f>VLOOKUP($E195,Water!$C$2:$E$90, 3, FALSE)</f>
        <v>0.94</v>
      </c>
      <c r="H195" s="1">
        <f>F195+273.15</f>
        <v>295.64999999999998</v>
      </c>
      <c r="I195" s="3">
        <f>VLOOKUP($E195,Water!$C$2:$F$90, 4, FALSE)</f>
        <v>8.99</v>
      </c>
      <c r="J195">
        <f>10^(I195*-1)</f>
        <v>1.0232929922807512E-9</v>
      </c>
      <c r="K195" s="25">
        <f>VLOOKUP($E195,Atm!$D$2:$G$100, 2, FALSE)</f>
        <v>447.16325736992229</v>
      </c>
      <c r="L195" s="25">
        <f>VLOOKUP($E195,Atm!$D$2:$G$100, 3, FALSE)</f>
        <v>2.1371686599433839</v>
      </c>
      <c r="M195" s="25">
        <f>VLOOKUP($E195,Atm!$D$2:$G$100, 4, FALSE)</f>
        <v>0.29066818161689745</v>
      </c>
      <c r="N195" s="21">
        <f>VLOOKUP($C195,Raw!$B$2:$F$353, 3, FALSE)</f>
        <v>268.37595505818092</v>
      </c>
      <c r="O195" s="21">
        <f>VLOOKUP($C195,Raw!$B$2:$F$353, 4, FALSE)</f>
        <v>188.3532825589171</v>
      </c>
      <c r="P195" s="21">
        <f>VLOOKUP($C195,Raw!$B$2:$F$353, 5, FALSE)</f>
        <v>0.28668919717284519</v>
      </c>
      <c r="Q195" s="14">
        <v>60</v>
      </c>
      <c r="R195" s="25">
        <v>1140</v>
      </c>
      <c r="S195">
        <f>EXP(24.4543-(100/H195*(67.4509))-(4.8489*LN(H195/100))-(0.000544*G195))</f>
        <v>2.6866060848435895E-2</v>
      </c>
      <c r="T195" s="8">
        <f>EXP(-58.0931+90.5069*(100/H195)+22.294*LN(H195/100)+G195*(0.027766-0.025888*(H195/100)+0.0050578*(H195/100)^2)*G195)</f>
        <v>3.6245309081329009E-2</v>
      </c>
      <c r="U195" s="9">
        <f>(EXP(-67.1962+99.1624*(100/H195)+27.9015*LN(H195/100)+G195*(-0.072909+0.041674*(H195/100)-0.0064603*(H195/100)^2)*G195))</f>
        <v>3.285066740024737E-2</v>
      </c>
      <c r="V195" s="9">
        <f>(EXP(-64.8539+100.252*(100/H195)+25.2049*LN(H195/100)+(-0.062544+0.035337*(H195/100)-0.0054699*(H195/100)^2)*G195))</f>
        <v>2.6565318042923409E-2</v>
      </c>
      <c r="W195" s="9">
        <f>(EXP(-68.8862+101.4956*(100/H195)+28.7314*LN(H195/100)+G195*(-0.076146+0.04397*(H195/100)-0.0068672*(H195/100)^2)))</f>
        <v>3.2799459058538781E-2</v>
      </c>
      <c r="X195">
        <f>N195*(AZ195-S195)</f>
        <v>242.41474609092361</v>
      </c>
      <c r="Y195">
        <f>O195*(AZ195-S195)</f>
        <v>170.13302535621489</v>
      </c>
      <c r="Z195">
        <f>((Y195/10^6)*AZ195)/(0.082056*H195)</f>
        <v>6.5229610965738788E-6</v>
      </c>
      <c r="AA195">
        <f>(((L195/10^6)*AZ195)/(0.082056*H195))</f>
        <v>8.1939811488330621E-8</v>
      </c>
      <c r="AB195">
        <f>((Y195/10^6)*U195*1)/(0.082056*H195)</f>
        <v>2.3037990570195079E-7</v>
      </c>
      <c r="AC195">
        <f>(Z195*(Q195/1000))+(AB195*(R195/1000))</f>
        <v>6.5401075829465657E-7</v>
      </c>
      <c r="AD195" s="39">
        <f>((AC195-(AA195*(Q195/1000)))/(R195/1000))*1000000</f>
        <v>0.56938102596961115</v>
      </c>
      <c r="AE195" s="39">
        <f>(AD195/((U195*AZ195*1))*(0.0821*273.15))</f>
        <v>417.88690868713587</v>
      </c>
      <c r="AF195" s="39">
        <f>L195*U195*AZ195*1/(0.0821*273.15)</f>
        <v>2.9119440187577294E-3</v>
      </c>
      <c r="AG195" s="39">
        <f>AD195-AF195</f>
        <v>0.56646908195085344</v>
      </c>
      <c r="AH195" s="42">
        <f>P195*(AZ195-S195)</f>
        <v>0.25895646621769702</v>
      </c>
      <c r="AI195">
        <f>(((X195/10^6)*(Q195/1000))/(0.082056*H195))</f>
        <v>5.9954537758333211E-7</v>
      </c>
      <c r="AJ195">
        <f>(((K195/10^6)*AZ195)*(Q195/1000))/(0.082056*H195)</f>
        <v>1.0286639618148794E-6</v>
      </c>
      <c r="AK195">
        <f>(X195/10^6)*T195*(R195/1000)</f>
        <v>1.0016493033648657E-5</v>
      </c>
      <c r="AL195">
        <f>AI195+AK195</f>
        <v>1.0616038411231989E-5</v>
      </c>
      <c r="AM195" s="39">
        <f>((AL195-AJ195)/(R195/1000))*1000000</f>
        <v>8.4099775872079903</v>
      </c>
      <c r="AN195" s="39">
        <f>AM195/(T195*AZ195)</f>
        <v>249.45869235363395</v>
      </c>
      <c r="AO195" s="39">
        <f>(K195*AZ195)*T195</f>
        <v>15.075173115125898</v>
      </c>
      <c r="AP195" s="39">
        <f>AM195-AO195</f>
        <v>-6.6651955279179074</v>
      </c>
      <c r="AQ195">
        <f>(((AH195/10^6)*(Q195/1000))/(0.082056*H195))</f>
        <v>6.4045671651468726E-10</v>
      </c>
      <c r="AR195">
        <f>(((M195/10^6)*AZ195)*(Q195/1000))/(0.082056*H195)</f>
        <v>6.6865932821536058E-10</v>
      </c>
      <c r="AS195">
        <f>(AH195/10^6)*V195*(R195/1000)</f>
        <v>7.8423574081529268E-9</v>
      </c>
      <c r="AT195">
        <f>AQ195+AS195</f>
        <v>8.4828141246676137E-9</v>
      </c>
      <c r="AU195" s="39">
        <f>((AT195-AR195)/(R195/1000))*1000000000</f>
        <v>6.8545217512739063</v>
      </c>
      <c r="AV195" s="39">
        <f>(AU195/1000)/(V195*AZ195)</f>
        <v>0.27740721340709379</v>
      </c>
      <c r="AW195" s="39">
        <f>(M195*AZ195)*V195*1000</f>
        <v>7.1821902135343292</v>
      </c>
      <c r="AX195" s="39">
        <f>AU195-AW195</f>
        <v>-0.3276684622604229</v>
      </c>
      <c r="AY195" s="26">
        <f>VLOOKUP($E195,Water!$C$2:$G$90, 5, FALSE)</f>
        <v>706.9</v>
      </c>
      <c r="AZ195">
        <f>AY195/760</f>
        <v>0.93013157894736842</v>
      </c>
      <c r="BA195" s="3">
        <f>Assumptions!$B$3</f>
        <v>406.07</v>
      </c>
      <c r="BB195" s="3">
        <f>BA195*AZ195*T195</f>
        <v>13.689799968951855</v>
      </c>
      <c r="BC195" s="3">
        <f>Assumptions!$B$4</f>
        <v>1.8474300000000001</v>
      </c>
      <c r="BD195" s="45">
        <f>BC195*AZ195*U195*1/(0.0821*273.15)</f>
        <v>2.5171680828952945E-3</v>
      </c>
      <c r="BE195" s="3">
        <f>Assumptions!$B$2</f>
        <v>0.33054499999999998</v>
      </c>
      <c r="BF195" s="44">
        <f>BE195*AZ195*V195*1000</f>
        <v>8.1675161379091037</v>
      </c>
      <c r="BG195">
        <f>1923.6+(-125.06*F195)+(4.3773*(F195^2))+(-0.085681*(F195^3))+(0.00070284*(F195^4))</f>
        <v>529.9281890625</v>
      </c>
      <c r="BH195">
        <f>1909.4+(-120.78*F195)+(4.1555*(F195^2))+(-0.080578*(F195^3))+(0.00065777*(F195^4))</f>
        <v>546.31735039062505</v>
      </c>
      <c r="BI195">
        <f>2141.2+(-152.56*F195)+(5.8963*(F195^2))+(-0.12411*(F195^3))+(0.0010655*(F195^4))</f>
        <v>552.98740234374986</v>
      </c>
      <c r="BJ195" s="25">
        <f>VLOOKUP(E195,Wind!$C$2:$E$109,3, FALSE)</f>
        <v>1.9166666666666667</v>
      </c>
      <c r="BK195" s="44">
        <v>1.66</v>
      </c>
      <c r="BL195">
        <f>BK195/(1-(((1.3*10^-3)^0.5)/0.41)*LN(10/1.5))</f>
        <v>1.9923982880693825</v>
      </c>
      <c r="BM195">
        <f>BK195*1.22</f>
        <v>2.0251999999999999</v>
      </c>
      <c r="BN195">
        <f>2.07+0.215*(BM195^1.7)*(24/100)</f>
        <v>2.241255750541113</v>
      </c>
      <c r="BO195">
        <f>BN195*((600/BG195)^0.67)</f>
        <v>2.4357199308724997</v>
      </c>
      <c r="BP195">
        <f>BN195*((600/BH195)^0.67)</f>
        <v>2.3865174214591391</v>
      </c>
      <c r="BQ195">
        <f>BN195*((600/BI195)^0.67)</f>
        <v>2.3671923320266264</v>
      </c>
      <c r="BR195" s="39">
        <f>BO195*(AM195-BB195)</f>
        <v>-12.860168606680242</v>
      </c>
      <c r="BS195" s="39">
        <f>BP195*(AD195-BD195)</f>
        <v>1.3528304724421851</v>
      </c>
      <c r="BT195" s="39">
        <f>BQ195*(AU195-BF195)</f>
        <v>-3.1081102440368427</v>
      </c>
      <c r="BU195">
        <f>(2.51+1.48*BM195)+(0.39*BM195*LOG10(0.0015))</f>
        <v>3.2768938069574309</v>
      </c>
      <c r="BV195">
        <f>BU195*((600/$BG195)^0.67)</f>
        <v>3.5612158741954616</v>
      </c>
      <c r="BW195">
        <f>BU195*((600/$BH195)^0.67)</f>
        <v>3.4892778999841387</v>
      </c>
      <c r="BX195">
        <f>BU195*((600/$BI195)^0.67)</f>
        <v>3.461023085304908</v>
      </c>
      <c r="BY195" s="39">
        <f>BV195*($AM195-$BB195)</f>
        <v>-18.80258727879874</v>
      </c>
      <c r="BZ195" s="39">
        <f>BW195*($AD195-$BD195)</f>
        <v>1.9779455316238672</v>
      </c>
      <c r="CA195" s="39">
        <f>BX195*($AU195-$BF195)</f>
        <v>-4.5443038830201763</v>
      </c>
      <c r="CB195" s="42">
        <f>AVERAGE(0.72,0.69,0.4,0.22)</f>
        <v>0.50750000000000006</v>
      </c>
      <c r="CC195">
        <f>CB195*((600/$BG195)^0.67)</f>
        <v>0.55153360548850872</v>
      </c>
      <c r="CD195">
        <f>CB195*((600/$BH195)^0.67)</f>
        <v>0.54039240773753727</v>
      </c>
      <c r="CE195">
        <f>CB195*((600/$BI195)^0.67)</f>
        <v>0.53601652029826019</v>
      </c>
      <c r="CF195" s="39">
        <f>CC195*($AM195-$BB195)</f>
        <v>-2.9119994745421187</v>
      </c>
      <c r="CG195" s="39">
        <f>CD195*($AD195-$BD195)</f>
        <v>0.30632892502279158</v>
      </c>
      <c r="CH195" s="39">
        <f>CE195*($AU195-$BF195)</f>
        <v>-0.70378668229534702</v>
      </c>
      <c r="CI195">
        <v>18.862639018895301</v>
      </c>
      <c r="CJ195">
        <f>((BG195/BH195)^0.67)*CI195</f>
        <v>18.481606223570772</v>
      </c>
      <c r="CK195">
        <f>((BH195/BH195)^0.67)*CI195</f>
        <v>18.862639018895301</v>
      </c>
      <c r="CL195">
        <f>((BI195/BH195)^0.67)*CI195</f>
        <v>19.016628274876577</v>
      </c>
      <c r="CM195" s="39">
        <f>CJ195*($AM195-$BB195)</f>
        <v>-97.579598189785656</v>
      </c>
      <c r="CN195" s="39">
        <f>CK195*($AD195-$BD195)</f>
        <v>10.692548324175489</v>
      </c>
      <c r="CO195" s="39">
        <f>CL195*($AU195-$BF195)</f>
        <v>-24.968726177641123</v>
      </c>
      <c r="CP195" s="27">
        <f>VLOOKUP(A195,Water!$A$2:$E$109, 5, FALSE)/1000</f>
        <v>6.6E-4</v>
      </c>
      <c r="CQ195">
        <f>0.64*CP195</f>
        <v>4.2240000000000002E-4</v>
      </c>
      <c r="CR195" s="19">
        <f>CQ195*1000*(2.5*10^-5)</f>
        <v>1.0560000000000001E-5</v>
      </c>
      <c r="CS195" s="18">
        <f>(-0.0000009*F195^3)+(0.0002*F195^2)-(0.0134*F195)+6.579</f>
        <v>6.3684984374999996</v>
      </c>
      <c r="CT195" s="18">
        <f>CS195-(SQRT(CP195))/(1+1.4*SQRT(CP195))</f>
        <v>6.3436998929454331</v>
      </c>
      <c r="CU195" s="18">
        <f>10^(-CT195)</f>
        <v>4.5321065026553519E-7</v>
      </c>
      <c r="CV195" s="18">
        <f>(0.000001*F195^3)+(0.00006*F195^2)-(0.014*F195)+10.625</f>
        <v>10.351765625000001</v>
      </c>
      <c r="CW195" s="18">
        <f>CV195-(2*SQRT(CR195))/(1+1.4*SQRT(CR195))</f>
        <v>10.345295828367028</v>
      </c>
      <c r="CX195" s="18">
        <f>10^(-CW195)</f>
        <v>4.515482584718102E-11</v>
      </c>
      <c r="CY195">
        <f>EXP(1246.98+-61900/H195-183*LN(H195))</f>
        <v>2.9943185396901027E-2</v>
      </c>
      <c r="CZ195">
        <f>12.225*(F195^2)+15.258*F195+1125.7</f>
        <v>7657.9112500000001</v>
      </c>
      <c r="DA195" s="15">
        <f>10^(-4470.99/H195+6.0875-0.01706*H195)</f>
        <v>8.3393773952476486E-15</v>
      </c>
      <c r="DB195">
        <f>(10^-I195)</f>
        <v>1.0232929922807512E-9</v>
      </c>
      <c r="DC195">
        <f>DB195^2</f>
        <v>1.0471285480508934E-18</v>
      </c>
      <c r="DD195" s="20">
        <f>((14.6836*10^-9)*((H195/217.2056)-1)^1.997)*100*100</f>
        <v>1.9210617613552908E-5</v>
      </c>
      <c r="DE195">
        <f>CY195+CZ195*DA195/DB195</f>
        <v>9.2351715949547872E-2</v>
      </c>
      <c r="DF195">
        <f>1+DC195*(CU195*CX195+CU195*DB195)^-1</f>
        <v>1.0021624524990003</v>
      </c>
      <c r="DG195">
        <f>(DE195*DF195/DD195)^0.5</f>
        <v>69.409814625631398</v>
      </c>
      <c r="DH195">
        <f>DD195/(BO195/60/60)</f>
        <v>2.8393339698960088E-2</v>
      </c>
      <c r="DI195" s="16">
        <f>DF195/((DF195-1)+TANH(DG195*DH195)/(DG195*DH195))</f>
        <v>2.0442029620541384</v>
      </c>
      <c r="DJ195">
        <f>$DI195*BR195</f>
        <v>-26.288794758291392</v>
      </c>
      <c r="DK195">
        <f>$DI195*BY195</f>
        <v>-38.436304609601848</v>
      </c>
      <c r="DL195">
        <f>$DI195*CF195</f>
        <v>-5.9527179513590935</v>
      </c>
      <c r="DM195">
        <f>$DI195*CM195</f>
        <v>-199.47250365561248</v>
      </c>
    </row>
    <row r="196" spans="1:117" ht="15.75" x14ac:dyDescent="0.25">
      <c r="A196" s="52" t="s">
        <v>324</v>
      </c>
      <c r="B196" s="55" t="s">
        <v>341</v>
      </c>
      <c r="C196" s="62" t="s">
        <v>380</v>
      </c>
      <c r="D196" s="57">
        <v>43293</v>
      </c>
      <c r="E196" s="42" t="str">
        <f>A196&amp;D196</f>
        <v>32B43293</v>
      </c>
      <c r="F196" s="3">
        <f>VLOOKUP($E196,Water!$C$2:$E$90, 2, FALSE)</f>
        <v>22.5</v>
      </c>
      <c r="G196" s="3">
        <f>VLOOKUP($E196,Water!$C$2:$E$90, 3, FALSE)</f>
        <v>0.94</v>
      </c>
      <c r="H196" s="1">
        <f>F196+273.15</f>
        <v>295.64999999999998</v>
      </c>
      <c r="I196" s="3">
        <f>VLOOKUP($E196,Water!$C$2:$F$90, 4, FALSE)</f>
        <v>8.99</v>
      </c>
      <c r="J196">
        <f>10^(I196*-1)</f>
        <v>1.0232929922807512E-9</v>
      </c>
      <c r="K196" s="25">
        <f>VLOOKUP($E196,Atm!$D$2:$G$100, 2, FALSE)</f>
        <v>447.16325736992229</v>
      </c>
      <c r="L196" s="25">
        <f>VLOOKUP($E196,Atm!$D$2:$G$100, 3, FALSE)</f>
        <v>2.1371686599433839</v>
      </c>
      <c r="M196" s="25">
        <f>VLOOKUP($E196,Atm!$D$2:$G$100, 4, FALSE)</f>
        <v>0.29066818161689745</v>
      </c>
      <c r="N196" s="21">
        <f>VLOOKUP($C196,Raw!$B$2:$F$353, 3, FALSE)</f>
        <v>372.88066963003098</v>
      </c>
      <c r="O196" s="21">
        <f>VLOOKUP($C196,Raw!$B$2:$F$353, 4, FALSE)</f>
        <v>139.1970391170484</v>
      </c>
      <c r="P196" s="21">
        <f>VLOOKUP($C196,Raw!$B$2:$F$353, 5, FALSE)</f>
        <v>0.28390385500913023</v>
      </c>
      <c r="Q196" s="14">
        <v>60</v>
      </c>
      <c r="R196" s="25">
        <v>1140</v>
      </c>
      <c r="S196">
        <f>EXP(24.4543-(100/H196*(67.4509))-(4.8489*LN(H196/100))-(0.000544*G196))</f>
        <v>2.6866060848435895E-2</v>
      </c>
      <c r="T196" s="8">
        <f>EXP(-58.0931+90.5069*(100/H196)+22.294*LN(H196/100)+G196*(0.027766-0.025888*(H196/100)+0.0050578*(H196/100)^2)*G196)</f>
        <v>3.6245309081329009E-2</v>
      </c>
      <c r="U196" s="9">
        <f>(EXP(-67.1962+99.1624*(100/H196)+27.9015*LN(H196/100)+G196*(-0.072909+0.041674*(H196/100)-0.0064603*(H196/100)^2)*G196))</f>
        <v>3.285066740024737E-2</v>
      </c>
      <c r="V196" s="9">
        <f>(EXP(-64.8539+100.252*(100/H196)+25.2049*LN(H196/100)+(-0.062544+0.035337*(H196/100)-0.0054699*(H196/100)^2)*G196))</f>
        <v>2.6565318042923409E-2</v>
      </c>
      <c r="W196" s="9">
        <f>(EXP(-68.8862+101.4956*(100/H196)+28.7314*LN(H196/100)+G196*(-0.076146+0.04397*(H196/100)-0.0068672*(H196/100)^2)))</f>
        <v>3.2799459058538781E-2</v>
      </c>
      <c r="X196">
        <f>N196*(AZ196-S196)</f>
        <v>336.81025124244684</v>
      </c>
      <c r="Y196">
        <f>O196*(AZ196-S196)</f>
        <v>125.7318856558981</v>
      </c>
      <c r="Z196">
        <f>((Y196/10^6)*AZ196)/(0.082056*H196)</f>
        <v>4.8206055056925426E-6</v>
      </c>
      <c r="AA196">
        <f>(((L196/10^6)*AZ196)/(0.082056*H196))</f>
        <v>8.1939811488330621E-8</v>
      </c>
      <c r="AB196">
        <f>((Y196/10^6)*U196*1)/(0.082056*H196)</f>
        <v>1.7025559793865233E-7</v>
      </c>
      <c r="AC196">
        <f>(Z196*(Q196/1000))+(AB196*(R196/1000))</f>
        <v>4.8332771199161611E-7</v>
      </c>
      <c r="AD196" s="39">
        <f>((AC196-(AA196*(Q196/1000)))/(R196/1000))*1000000</f>
        <v>0.41965905552834765</v>
      </c>
      <c r="AE196" s="39">
        <f>(AD196/((U196*AZ196*1))*(0.0821*273.15))</f>
        <v>308.00117569541925</v>
      </c>
      <c r="AF196" s="39">
        <f>L196*U196*AZ196*1/(0.0821*273.15)</f>
        <v>2.9119440187577294E-3</v>
      </c>
      <c r="AG196" s="39">
        <f>AD196-AF196</f>
        <v>0.41674711150958993</v>
      </c>
      <c r="AH196" s="42">
        <f>P196*(AZ196-S196)</f>
        <v>0.25644056268510623</v>
      </c>
      <c r="AI196">
        <f>(((X196/10^6)*(Q196/1000))/(0.082056*H196))</f>
        <v>8.3300637651535353E-7</v>
      </c>
      <c r="AJ196">
        <f>(((K196/10^6)*AZ196)*(Q196/1000))/(0.082056*H196)</f>
        <v>1.0286639618148794E-6</v>
      </c>
      <c r="AK196">
        <f>(X196/10^6)*T196*(R196/1000)</f>
        <v>1.3916882490168522E-5</v>
      </c>
      <c r="AL196">
        <f>AI196+AK196</f>
        <v>1.4749888866683876E-5</v>
      </c>
      <c r="AM196" s="39">
        <f>((AL196-AJ196)/(R196/1000))*1000000</f>
        <v>12.036162197253507</v>
      </c>
      <c r="AN196" s="39">
        <f>AM196/(T196*AZ196)</f>
        <v>357.01941551545832</v>
      </c>
      <c r="AO196" s="39">
        <f>(K196*AZ196)*T196</f>
        <v>15.075173115125898</v>
      </c>
      <c r="AP196" s="39">
        <f>AM196-AO196</f>
        <v>-3.0390109178723907</v>
      </c>
      <c r="AQ196">
        <f>(((AH196/10^6)*(Q196/1000))/(0.082056*H196))</f>
        <v>6.3423432964369789E-10</v>
      </c>
      <c r="AR196">
        <f>(((M196/10^6)*AZ196)*(Q196/1000))/(0.082056*H196)</f>
        <v>6.6865932821536058E-10</v>
      </c>
      <c r="AS196">
        <f>(AH196/10^6)*V196*(R196/1000)</f>
        <v>7.7661646217931347E-9</v>
      </c>
      <c r="AT196">
        <f>AQ196+AS196</f>
        <v>8.4003989514368323E-9</v>
      </c>
      <c r="AU196" s="39">
        <f>((AT196-AR196)/(R196/1000))*1000000000</f>
        <v>6.7822277396679578</v>
      </c>
      <c r="AV196" s="39">
        <f>(AU196/1000)/(V196*AZ196)</f>
        <v>0.27448142499568506</v>
      </c>
      <c r="AW196" s="39">
        <f>(M196*AZ196)*V196*1000</f>
        <v>7.1821902135343292</v>
      </c>
      <c r="AX196" s="39">
        <f>AU196-AW196</f>
        <v>-0.3999624738663714</v>
      </c>
      <c r="AY196" s="26">
        <f>VLOOKUP($E196,Water!$C$2:$G$90, 5, FALSE)</f>
        <v>706.9</v>
      </c>
      <c r="AZ196">
        <f>AY196/760</f>
        <v>0.93013157894736842</v>
      </c>
      <c r="BA196" s="3">
        <f>Assumptions!$B$3</f>
        <v>406.07</v>
      </c>
      <c r="BB196" s="3">
        <f>BA196*AZ196*T196</f>
        <v>13.689799968951855</v>
      </c>
      <c r="BC196" s="3">
        <f>Assumptions!$B$4</f>
        <v>1.8474300000000001</v>
      </c>
      <c r="BD196" s="45">
        <f>BC196*AZ196*U196*1/(0.0821*273.15)</f>
        <v>2.5171680828952945E-3</v>
      </c>
      <c r="BE196" s="3">
        <f>Assumptions!$B$2</f>
        <v>0.33054499999999998</v>
      </c>
      <c r="BF196" s="44">
        <f>BE196*AZ196*V196*1000</f>
        <v>8.1675161379091037</v>
      </c>
      <c r="BG196">
        <f>1923.6+(-125.06*F196)+(4.3773*(F196^2))+(-0.085681*(F196^3))+(0.00070284*(F196^4))</f>
        <v>529.9281890625</v>
      </c>
      <c r="BH196">
        <f>1909.4+(-120.78*F196)+(4.1555*(F196^2))+(-0.080578*(F196^3))+(0.00065777*(F196^4))</f>
        <v>546.31735039062505</v>
      </c>
      <c r="BI196">
        <f>2141.2+(-152.56*F196)+(5.8963*(F196^2))+(-0.12411*(F196^3))+(0.0010655*(F196^4))</f>
        <v>552.98740234374986</v>
      </c>
      <c r="BJ196" s="25">
        <f>VLOOKUP(E196,Wind!$C$2:$E$109,3, FALSE)</f>
        <v>1.9166666666666667</v>
      </c>
      <c r="BK196" s="44">
        <v>1.66</v>
      </c>
      <c r="BL196">
        <f>BK196/(1-(((1.3*10^-3)^0.5)/0.41)*LN(10/1.5))</f>
        <v>1.9923982880693825</v>
      </c>
      <c r="BM196">
        <f>BK196*1.22</f>
        <v>2.0251999999999999</v>
      </c>
      <c r="BN196">
        <f>2.07+0.215*(BM196^1.7)*(24/100)</f>
        <v>2.241255750541113</v>
      </c>
      <c r="BO196">
        <f>BN196*((600/BG196)^0.67)</f>
        <v>2.4357199308724997</v>
      </c>
      <c r="BP196">
        <f>BN196*((600/BH196)^0.67)</f>
        <v>2.3865174214591391</v>
      </c>
      <c r="BQ196">
        <f>BN196*((600/BI196)^0.67)</f>
        <v>2.3671923320266264</v>
      </c>
      <c r="BR196" s="39">
        <f>BO196*(AM196-BB196)</f>
        <v>-4.0277984789692542</v>
      </c>
      <c r="BS196" s="39">
        <f>BP196*(AD196-BD196)</f>
        <v>0.99551638160891931</v>
      </c>
      <c r="BT196" s="39">
        <f>BQ196*(AU196-BF196)</f>
        <v>-3.279244073961888</v>
      </c>
      <c r="BU196">
        <f>(2.51+1.48*BM196)+(0.39*BM196*LOG10(0.0015))</f>
        <v>3.2768938069574309</v>
      </c>
      <c r="BV196">
        <f>BU196*((600/$BG196)^0.67)</f>
        <v>3.5612158741954616</v>
      </c>
      <c r="BW196">
        <f>BU196*((600/$BH196)^0.67)</f>
        <v>3.4892778999841387</v>
      </c>
      <c r="BX196">
        <f>BU196*((600/$BI196)^0.67)</f>
        <v>3.461023085304908</v>
      </c>
      <c r="BY196" s="39">
        <f>BV196*($AM196-$BB196)</f>
        <v>-5.8889610827413668</v>
      </c>
      <c r="BZ196" s="39">
        <f>BW196*($AD196-$BD196)</f>
        <v>1.4555239690210879</v>
      </c>
      <c r="CA196" s="39">
        <f>BX196*($AU196-$BF196)</f>
        <v>-4.7945151261176653</v>
      </c>
      <c r="CB196" s="42">
        <f>AVERAGE(0.72,0.69,0.4,0.22)</f>
        <v>0.50750000000000006</v>
      </c>
      <c r="CC196">
        <f>CB196*((600/$BG196)^0.67)</f>
        <v>0.55153360548850872</v>
      </c>
      <c r="CD196">
        <f>CB196*((600/$BH196)^0.67)</f>
        <v>0.54039240773753727</v>
      </c>
      <c r="CE196">
        <f>CB196*((600/$BI196)^0.67)</f>
        <v>0.53601652029826019</v>
      </c>
      <c r="CF196" s="39">
        <f>CC196*($AM196-$BB196)</f>
        <v>-0.91203680239677309</v>
      </c>
      <c r="CG196" s="39">
        <f>CD196*($AD196-$BD196)</f>
        <v>0.22542030892482876</v>
      </c>
      <c r="CH196" s="39">
        <f>CE196*($AU196-$BF196)</f>
        <v>-0.74253746683476951</v>
      </c>
      <c r="CI196">
        <v>19.862639018895301</v>
      </c>
      <c r="CJ196">
        <f>((BG196/BH196)^0.67)*CI196</f>
        <v>19.461405826641009</v>
      </c>
      <c r="CK196">
        <f>((BH196/BH196)^0.67)*CI196</f>
        <v>19.862639018895301</v>
      </c>
      <c r="CL196">
        <f>((BI196/BH196)^0.67)*CI196</f>
        <v>20.024791992362079</v>
      </c>
      <c r="CM196" s="39">
        <f>CJ196*($AM196-$BB196)</f>
        <v>-32.182115765283875</v>
      </c>
      <c r="CN196" s="39">
        <f>CK196*($AD196-$BD196)</f>
        <v>8.285538729989673</v>
      </c>
      <c r="CO196" s="39">
        <f>CL196*($AU196-$BF196)</f>
        <v>-27.740112024211388</v>
      </c>
      <c r="CP196" s="27">
        <f>VLOOKUP(A196,Water!$A$2:$E$109, 5, FALSE)/1000</f>
        <v>6.6E-4</v>
      </c>
      <c r="CQ196">
        <f>0.64*CP196</f>
        <v>4.2240000000000002E-4</v>
      </c>
      <c r="CR196" s="19">
        <f>CQ196*1000*(2.5*10^-5)</f>
        <v>1.0560000000000001E-5</v>
      </c>
      <c r="CS196" s="18">
        <f>(-0.0000009*F196^3)+(0.0002*F196^2)-(0.0134*F196)+6.579</f>
        <v>6.3684984374999996</v>
      </c>
      <c r="CT196" s="18">
        <f>CS196-(SQRT(CP196))/(1+1.4*SQRT(CP196))</f>
        <v>6.3436998929454331</v>
      </c>
      <c r="CU196" s="18">
        <f>10^(-CT196)</f>
        <v>4.5321065026553519E-7</v>
      </c>
      <c r="CV196" s="18">
        <f>(0.000001*F196^3)+(0.00006*F196^2)-(0.014*F196)+10.625</f>
        <v>10.351765625000001</v>
      </c>
      <c r="CW196" s="18">
        <f>CV196-(2*SQRT(CR196))/(1+1.4*SQRT(CR196))</f>
        <v>10.345295828367028</v>
      </c>
      <c r="CX196" s="18">
        <f>10^(-CW196)</f>
        <v>4.515482584718102E-11</v>
      </c>
      <c r="CY196">
        <f>EXP(1246.98+-61900/H196-183*LN(H196))</f>
        <v>2.9943185396901027E-2</v>
      </c>
      <c r="CZ196">
        <f>12.225*(F196^2)+15.258*F196+1125.7</f>
        <v>7657.9112500000001</v>
      </c>
      <c r="DA196" s="15">
        <f>10^(-4470.99/H196+6.0875-0.01706*H196)</f>
        <v>8.3393773952476486E-15</v>
      </c>
      <c r="DB196">
        <f>(10^-I196)</f>
        <v>1.0232929922807512E-9</v>
      </c>
      <c r="DC196">
        <f>DB196^2</f>
        <v>1.0471285480508934E-18</v>
      </c>
      <c r="DD196" s="20">
        <f>((14.6836*10^-9)*((H196/217.2056)-1)^1.997)*100*100</f>
        <v>1.9210617613552908E-5</v>
      </c>
      <c r="DE196">
        <f>CY196+CZ196*DA196/DB196</f>
        <v>9.2351715949547872E-2</v>
      </c>
      <c r="DF196">
        <f>1+DC196*(CU196*CX196+CU196*DB196)^-1</f>
        <v>1.0021624524990003</v>
      </c>
      <c r="DG196">
        <f>(DE196*DF196/DD196)^0.5</f>
        <v>69.409814625631398</v>
      </c>
      <c r="DH196">
        <f>DD196/(BO196/60/60)</f>
        <v>2.8393339698960088E-2</v>
      </c>
      <c r="DI196" s="16">
        <f>DF196/((DF196-1)+TANH(DG196*DH196)/(DG196*DH196))</f>
        <v>2.0442029620541384</v>
      </c>
      <c r="DJ196">
        <f>$DI196*BR196</f>
        <v>-8.2336375812661036</v>
      </c>
      <c r="DK196">
        <f>$DI196*BY196</f>
        <v>-12.038231688761448</v>
      </c>
      <c r="DL196">
        <f>$DI196*CF196</f>
        <v>-1.8643883329618685</v>
      </c>
      <c r="DM196">
        <f>$DI196*CM196</f>
        <v>-65.786776372562485</v>
      </c>
    </row>
    <row r="197" spans="1:117" ht="15.75" x14ac:dyDescent="0.25">
      <c r="A197" s="52" t="s">
        <v>324</v>
      </c>
      <c r="B197" s="55" t="s">
        <v>342</v>
      </c>
      <c r="C197" s="62" t="s">
        <v>381</v>
      </c>
      <c r="D197" s="57">
        <v>43293</v>
      </c>
      <c r="E197" s="42" t="str">
        <f>A197&amp;D197</f>
        <v>32B43293</v>
      </c>
      <c r="F197" s="3">
        <f>VLOOKUP($E197,Water!$C$2:$E$90, 2, FALSE)</f>
        <v>22.5</v>
      </c>
      <c r="G197" s="3">
        <f>VLOOKUP($E197,Water!$C$2:$E$90, 3, FALSE)</f>
        <v>0.94</v>
      </c>
      <c r="H197" s="1">
        <f>F197+273.15</f>
        <v>295.64999999999998</v>
      </c>
      <c r="I197" s="3">
        <f>VLOOKUP($E197,Water!$C$2:$F$90, 4, FALSE)</f>
        <v>8.99</v>
      </c>
      <c r="J197">
        <f>10^(I197*-1)</f>
        <v>1.0232929922807512E-9</v>
      </c>
      <c r="K197" s="25">
        <f>VLOOKUP($E197,Atm!$D$2:$G$100, 2, FALSE)</f>
        <v>447.16325736992229</v>
      </c>
      <c r="L197" s="25">
        <f>VLOOKUP($E197,Atm!$D$2:$G$100, 3, FALSE)</f>
        <v>2.1371686599433839</v>
      </c>
      <c r="M197" s="25">
        <f>VLOOKUP($E197,Atm!$D$2:$G$100, 4, FALSE)</f>
        <v>0.29066818161689745</v>
      </c>
      <c r="N197" s="21">
        <f>VLOOKUP($C197,Raw!$B$2:$F$353, 3, FALSE)</f>
        <v>366.8039327735687</v>
      </c>
      <c r="O197" s="21">
        <f>VLOOKUP($C197,Raw!$B$2:$F$353, 4, FALSE)</f>
        <v>160.37847670189299</v>
      </c>
      <c r="P197" s="21">
        <f>VLOOKUP($C197,Raw!$B$2:$F$353, 5, FALSE)</f>
        <v>0.28295838349241287</v>
      </c>
      <c r="Q197" s="14">
        <v>60</v>
      </c>
      <c r="R197" s="25">
        <v>1140</v>
      </c>
      <c r="S197">
        <f>EXP(24.4543-(100/H197*(67.4509))-(4.8489*LN(H197/100))-(0.000544*G197))</f>
        <v>2.6866060848435895E-2</v>
      </c>
      <c r="T197" s="8">
        <f>EXP(-58.0931+90.5069*(100/H197)+22.294*LN(H197/100)+G197*(0.027766-0.025888*(H197/100)+0.0050578*(H197/100)^2)*G197)</f>
        <v>3.6245309081329009E-2</v>
      </c>
      <c r="U197" s="9">
        <f>(EXP(-67.1962+99.1624*(100/H197)+27.9015*LN(H197/100)+G197*(-0.072909+0.041674*(H197/100)-0.0064603*(H197/100)^2)*G197))</f>
        <v>3.285066740024737E-2</v>
      </c>
      <c r="V197" s="9">
        <f>(EXP(-64.8539+100.252*(100/H197)+25.2049*LN(H197/100)+(-0.062544+0.035337*(H197/100)-0.0054699*(H197/100)^2)*G197))</f>
        <v>2.6565318042923409E-2</v>
      </c>
      <c r="W197" s="9">
        <f>(EXP(-68.8862+101.4956*(100/H197)+28.7314*LN(H197/100)+G197*(-0.076146+0.04397*(H197/100)-0.0068672*(H197/100)^2)))</f>
        <v>3.2799459058538781E-2</v>
      </c>
      <c r="X197">
        <f>N197*(AZ197-S197)</f>
        <v>331.32134437744355</v>
      </c>
      <c r="Y197">
        <f>O197*(AZ197-S197)</f>
        <v>144.86434785005295</v>
      </c>
      <c r="Z197">
        <f>((Y197/10^6)*AZ197)/(0.082056*H197)</f>
        <v>5.5541509552773188E-6</v>
      </c>
      <c r="AA197">
        <f>(((L197/10^6)*AZ197)/(0.082056*H197))</f>
        <v>8.1939811488330621E-8</v>
      </c>
      <c r="AB197">
        <f>((Y197/10^6)*U197*1)/(0.082056*H197)</f>
        <v>1.9616317718087689E-7</v>
      </c>
      <c r="AC197">
        <f>(Z197*(Q197/1000))+(AB197*(R197/1000))</f>
        <v>5.5687507930283867E-7</v>
      </c>
      <c r="AD197" s="39">
        <f>((AC197-(AA197*(Q197/1000)))/(R197/1000))*1000000</f>
        <v>0.48417429001187623</v>
      </c>
      <c r="AE197" s="39">
        <f>(AD197/((U197*AZ197*1))*(0.0821*273.15))</f>
        <v>355.35096550556722</v>
      </c>
      <c r="AF197" s="39">
        <f>L197*U197*AZ197*1/(0.0821*273.15)</f>
        <v>2.9119440187577294E-3</v>
      </c>
      <c r="AG197" s="39">
        <f>AD197-AF197</f>
        <v>0.48126234599311851</v>
      </c>
      <c r="AH197" s="42">
        <f>P197*(AZ197-S197)</f>
        <v>0.25558655086571075</v>
      </c>
      <c r="AI197">
        <f>(((X197/10^6)*(Q197/1000))/(0.082056*H197))</f>
        <v>8.1943109369132994E-7</v>
      </c>
      <c r="AJ197">
        <f>(((K197/10^6)*AZ197)*(Q197/1000))/(0.082056*H197)</f>
        <v>1.0286639618148794E-6</v>
      </c>
      <c r="AK197">
        <f>(X197/10^6)*T197*(R197/1000)</f>
        <v>1.3690082766710153E-5</v>
      </c>
      <c r="AL197">
        <f>AI197+AK197</f>
        <v>1.4509513860401483E-5</v>
      </c>
      <c r="AM197" s="39">
        <f>((AL197-AJ197)/(R197/1000))*1000000</f>
        <v>11.825306928584741</v>
      </c>
      <c r="AN197" s="39">
        <f>AM197/(T197*AZ197)</f>
        <v>350.76497796761146</v>
      </c>
      <c r="AO197" s="39">
        <f>(K197*AZ197)*T197</f>
        <v>15.075173115125898</v>
      </c>
      <c r="AP197" s="39">
        <f>AM197-AO197</f>
        <v>-3.2498661865411567</v>
      </c>
      <c r="AQ197">
        <f>(((AH197/10^6)*(Q197/1000))/(0.082056*H197))</f>
        <v>6.3212216919563648E-10</v>
      </c>
      <c r="AR197">
        <f>(((M197/10^6)*AZ197)*(Q197/1000))/(0.082056*H197)</f>
        <v>6.6865932821536058E-10</v>
      </c>
      <c r="AS197">
        <f>(AH197/10^6)*V197*(R197/1000)</f>
        <v>7.7403013328152279E-9</v>
      </c>
      <c r="AT197">
        <f>AQ197+AS197</f>
        <v>8.3724235020108643E-9</v>
      </c>
      <c r="AU197" s="39">
        <f>((AT197-AR197)/(R197/1000))*1000000000</f>
        <v>6.7576878717504423</v>
      </c>
      <c r="AV197" s="39">
        <f>(AU197/1000)/(V197*AZ197)</f>
        <v>0.27348827964967881</v>
      </c>
      <c r="AW197" s="39">
        <f>(M197*AZ197)*V197*1000</f>
        <v>7.1821902135343292</v>
      </c>
      <c r="AX197" s="39">
        <f>AU197-AW197</f>
        <v>-0.42450234178388691</v>
      </c>
      <c r="AY197" s="26">
        <f>VLOOKUP($E197,Water!$C$2:$G$90, 5, FALSE)</f>
        <v>706.9</v>
      </c>
      <c r="AZ197">
        <f>AY197/760</f>
        <v>0.93013157894736842</v>
      </c>
      <c r="BA197" s="3">
        <f>Assumptions!$B$3</f>
        <v>406.07</v>
      </c>
      <c r="BB197" s="3">
        <f>BA197*AZ197*T197</f>
        <v>13.689799968951855</v>
      </c>
      <c r="BC197" s="3">
        <f>Assumptions!$B$4</f>
        <v>1.8474300000000001</v>
      </c>
      <c r="BD197" s="45">
        <f>BC197*AZ197*U197*1/(0.0821*273.15)</f>
        <v>2.5171680828952945E-3</v>
      </c>
      <c r="BE197" s="3">
        <f>Assumptions!$B$2</f>
        <v>0.33054499999999998</v>
      </c>
      <c r="BF197" s="44">
        <f>BE197*AZ197*V197*1000</f>
        <v>8.1675161379091037</v>
      </c>
      <c r="BG197">
        <f>1923.6+(-125.06*F197)+(4.3773*(F197^2))+(-0.085681*(F197^3))+(0.00070284*(F197^4))</f>
        <v>529.9281890625</v>
      </c>
      <c r="BH197">
        <f>1909.4+(-120.78*F197)+(4.1555*(F197^2))+(-0.080578*(F197^3))+(0.00065777*(F197^4))</f>
        <v>546.31735039062505</v>
      </c>
      <c r="BI197">
        <f>2141.2+(-152.56*F197)+(5.8963*(F197^2))+(-0.12411*(F197^3))+(0.0010655*(F197^4))</f>
        <v>552.98740234374986</v>
      </c>
      <c r="BJ197" s="25">
        <f>VLOOKUP(E197,Wind!$C$2:$E$109,3, FALSE)</f>
        <v>1.9166666666666667</v>
      </c>
      <c r="BK197" s="44">
        <v>1.66</v>
      </c>
      <c r="BL197">
        <f>BK197/(1-(((1.3*10^-3)^0.5)/0.41)*LN(10/1.5))</f>
        <v>1.9923982880693825</v>
      </c>
      <c r="BM197">
        <f>BK197*1.22</f>
        <v>2.0251999999999999</v>
      </c>
      <c r="BN197">
        <f>2.07+0.215*(BM197^1.7)*(24/100)</f>
        <v>2.241255750541113</v>
      </c>
      <c r="BO197">
        <f>BN197*((600/BG197)^0.67)</f>
        <v>2.4357199308724997</v>
      </c>
      <c r="BP197">
        <f>BN197*((600/BH197)^0.67)</f>
        <v>2.3865174214591391</v>
      </c>
      <c r="BQ197">
        <f>BN197*((600/BI197)^0.67)</f>
        <v>2.3671923320266264</v>
      </c>
      <c r="BR197" s="39">
        <f>BO197*(AM197-BB197)</f>
        <v>-4.5413828593952426</v>
      </c>
      <c r="BS197" s="39">
        <f>BP197*(AD197-BD197)</f>
        <v>1.1494831126533818</v>
      </c>
      <c r="BT197" s="39">
        <f>BQ197*(AU197-BF197)</f>
        <v>-3.3373346611251771</v>
      </c>
      <c r="BU197">
        <f>(2.51+1.48*BM197)+(0.39*BM197*LOG10(0.0015))</f>
        <v>3.2768938069574309</v>
      </c>
      <c r="BV197">
        <f>BU197*((600/$BG197)^0.67)</f>
        <v>3.5612158741954616</v>
      </c>
      <c r="BW197">
        <f>BU197*((600/$BH197)^0.67)</f>
        <v>3.4892778999841387</v>
      </c>
      <c r="BX197">
        <f>BU197*((600/$BI197)^0.67)</f>
        <v>3.461023085304908</v>
      </c>
      <c r="BY197" s="39">
        <f>BV197*($AM197-$BB197)</f>
        <v>-6.6398622126823241</v>
      </c>
      <c r="BZ197" s="39">
        <f>BW197*($AD197-$BD197)</f>
        <v>1.6806355509167588</v>
      </c>
      <c r="CA197" s="39">
        <f>BX197*($AU197-$BF197)</f>
        <v>-4.879448175490519</v>
      </c>
      <c r="CB197" s="42">
        <f>AVERAGE(0.72,0.69,0.4,0.22)</f>
        <v>0.50750000000000006</v>
      </c>
      <c r="CC197">
        <f>CB197*((600/$BG197)^0.67)</f>
        <v>0.55153360548850872</v>
      </c>
      <c r="CD197">
        <f>CB197*((600/$BH197)^0.67)</f>
        <v>0.54039240773753727</v>
      </c>
      <c r="CE197">
        <f>CB197*((600/$BI197)^0.67)</f>
        <v>0.53601652029826019</v>
      </c>
      <c r="CF197" s="39">
        <f>CC197*($AM197-$BB197)</f>
        <v>-1.0283305689619058</v>
      </c>
      <c r="CG197" s="39">
        <f>CD197*($AD197-$BD197)</f>
        <v>0.26028385182313457</v>
      </c>
      <c r="CH197" s="39">
        <f>CE197*($AU197-$BF197)</f>
        <v>-0.75569124144449507</v>
      </c>
      <c r="CI197">
        <v>20.862639018895301</v>
      </c>
      <c r="CJ197">
        <f>((BG197/BH197)^0.67)*CI197</f>
        <v>20.441205429711243</v>
      </c>
      <c r="CK197">
        <f>((BH197/BH197)^0.67)*CI197</f>
        <v>20.862639018895301</v>
      </c>
      <c r="CL197">
        <f>((BI197/BH197)^0.67)*CI197</f>
        <v>21.032955709847585</v>
      </c>
      <c r="CM197" s="39">
        <f>CJ197*($AM197-$BB197)</f>
        <v>-38.112485260411063</v>
      </c>
      <c r="CN197" s="39">
        <f>CK197*($AD197-$BD197)</f>
        <v>10.048638665684368</v>
      </c>
      <c r="CO197" s="39">
        <f>CL197*($AU197-$BF197)</f>
        <v>-29.652855480606338</v>
      </c>
      <c r="CP197" s="27">
        <f>VLOOKUP(A197,Water!$A$2:$E$109, 5, FALSE)/1000</f>
        <v>6.6E-4</v>
      </c>
      <c r="CQ197">
        <f>0.64*CP197</f>
        <v>4.2240000000000002E-4</v>
      </c>
      <c r="CR197" s="19">
        <f>CQ197*1000*(2.5*10^-5)</f>
        <v>1.0560000000000001E-5</v>
      </c>
      <c r="CS197" s="18">
        <f>(-0.0000009*F197^3)+(0.0002*F197^2)-(0.0134*F197)+6.579</f>
        <v>6.3684984374999996</v>
      </c>
      <c r="CT197" s="18">
        <f>CS197-(SQRT(CP197))/(1+1.4*SQRT(CP197))</f>
        <v>6.3436998929454331</v>
      </c>
      <c r="CU197" s="18">
        <f>10^(-CT197)</f>
        <v>4.5321065026553519E-7</v>
      </c>
      <c r="CV197" s="18">
        <f>(0.000001*F197^3)+(0.00006*F197^2)-(0.014*F197)+10.625</f>
        <v>10.351765625000001</v>
      </c>
      <c r="CW197" s="18">
        <f>CV197-(2*SQRT(CR197))/(1+1.4*SQRT(CR197))</f>
        <v>10.345295828367028</v>
      </c>
      <c r="CX197" s="18">
        <f>10^(-CW197)</f>
        <v>4.515482584718102E-11</v>
      </c>
      <c r="CY197">
        <f>EXP(1246.98+-61900/H197-183*LN(H197))</f>
        <v>2.9943185396901027E-2</v>
      </c>
      <c r="CZ197">
        <f>12.225*(F197^2)+15.258*F197+1125.7</f>
        <v>7657.9112500000001</v>
      </c>
      <c r="DA197" s="15">
        <f>10^(-4470.99/H197+6.0875-0.01706*H197)</f>
        <v>8.3393773952476486E-15</v>
      </c>
      <c r="DB197">
        <f>(10^-I197)</f>
        <v>1.0232929922807512E-9</v>
      </c>
      <c r="DC197">
        <f>DB197^2</f>
        <v>1.0471285480508934E-18</v>
      </c>
      <c r="DD197" s="20">
        <f>((14.6836*10^-9)*((H197/217.2056)-1)^1.997)*100*100</f>
        <v>1.9210617613552908E-5</v>
      </c>
      <c r="DE197">
        <f>CY197+CZ197*DA197/DB197</f>
        <v>9.2351715949547872E-2</v>
      </c>
      <c r="DF197">
        <f>1+DC197*(CU197*CX197+CU197*DB197)^-1</f>
        <v>1.0021624524990003</v>
      </c>
      <c r="DG197">
        <f>(DE197*DF197/DD197)^0.5</f>
        <v>69.409814625631398</v>
      </c>
      <c r="DH197">
        <f>DD197/(BO197/60/60)</f>
        <v>2.8393339698960088E-2</v>
      </c>
      <c r="DI197" s="16">
        <f>DF197/((DF197-1)+TANH(DG197*DH197)/(DG197*DH197))</f>
        <v>2.0442029620541384</v>
      </c>
      <c r="DJ197">
        <f>$DI197*BR197</f>
        <v>-9.2835082929976469</v>
      </c>
      <c r="DK197">
        <f>$DI197*BY197</f>
        <v>-13.573226002796552</v>
      </c>
      <c r="DL197">
        <f>$DI197*CF197</f>
        <v>-2.1021163950427453</v>
      </c>
      <c r="DM197">
        <f>$DI197*CM197</f>
        <v>-77.909655260576983</v>
      </c>
    </row>
    <row r="198" spans="1:117" ht="15.75" x14ac:dyDescent="0.25">
      <c r="A198" s="52" t="s">
        <v>322</v>
      </c>
      <c r="B198" s="55" t="s">
        <v>339</v>
      </c>
      <c r="C198" s="62" t="s">
        <v>383</v>
      </c>
      <c r="D198" s="57">
        <v>43293</v>
      </c>
      <c r="E198" s="42" t="str">
        <f>A198&amp;D198</f>
        <v>32A43293</v>
      </c>
      <c r="F198" s="3">
        <f>VLOOKUP($E198,Water!$C$2:$E$90, 2, FALSE)</f>
        <v>22.2</v>
      </c>
      <c r="G198" s="3">
        <f>VLOOKUP($E198,Water!$C$2:$E$90, 3, FALSE)</f>
        <v>1.06</v>
      </c>
      <c r="H198" s="1">
        <f>F198+273.15</f>
        <v>295.34999999999997</v>
      </c>
      <c r="I198" s="3">
        <f>VLOOKUP($E198,Water!$C$2:$F$90, 4, FALSE)</f>
        <v>8.7200000000000006</v>
      </c>
      <c r="J198">
        <f>10^(I198*-1)</f>
        <v>1.9054607179632436E-9</v>
      </c>
      <c r="K198" s="25">
        <f>VLOOKUP($E198,Atm!$D$2:$G$100, 2, FALSE)</f>
        <v>416.50138231124839</v>
      </c>
      <c r="L198" s="25">
        <f>VLOOKUP($E198,Atm!$D$2:$G$100, 3, FALSE)</f>
        <v>2.0472938748408969</v>
      </c>
      <c r="M198" s="25">
        <f>VLOOKUP($E198,Atm!$D$2:$G$100, 4, FALSE)</f>
        <v>0.29634610556873048</v>
      </c>
      <c r="N198" s="21">
        <f>VLOOKUP($C198,Raw!$B$2:$F$353, 3, FALSE)</f>
        <v>463.9862151850437</v>
      </c>
      <c r="O198" s="21">
        <f>VLOOKUP($C198,Raw!$B$2:$F$353, 4, FALSE)</f>
        <v>88.382484212925789</v>
      </c>
      <c r="P198" s="21">
        <f>VLOOKUP($C198,Raw!$B$2:$F$353, 5, FALSE)</f>
        <v>0.2857786689331645</v>
      </c>
      <c r="Q198" s="14">
        <v>60</v>
      </c>
      <c r="R198" s="25">
        <v>1140</v>
      </c>
      <c r="S198">
        <f>EXP(24.4543-(100/H198*(67.4509))-(4.8489*LN(H198/100))-(0.000544*G198))</f>
        <v>2.6378456596024849E-2</v>
      </c>
      <c r="T198" s="8">
        <f>EXP(-58.0931+90.5069*(100/H198)+22.294*LN(H198/100)+G198*(0.027766-0.025888*(H198/100)+0.0050578*(H198/100)^2)*G198)</f>
        <v>3.6512799353205255E-2</v>
      </c>
      <c r="U198" s="9">
        <f>(EXP(-67.1962+99.1624*(100/H198)+27.9015*LN(H198/100)+G198*(-0.072909+0.041674*(H198/100)-0.0064603*(H198/100)^2)*G198))</f>
        <v>3.2990576292366396E-2</v>
      </c>
      <c r="V198" s="9">
        <f>(EXP(-64.8539+100.252*(100/H198)+25.2049*LN(H198/100)+(-0.062544+0.035337*(H198/100)-0.0054699*(H198/100)^2)*G198))</f>
        <v>2.6782408432092484E-2</v>
      </c>
      <c r="W198" s="9">
        <f>(EXP(-68.8862+101.4956*(100/H198)+28.7314*LN(H198/100)+G198*(-0.076146+0.04397*(H198/100)-0.0068672*(H198/100)^2)))</f>
        <v>3.2962203559887875E-2</v>
      </c>
      <c r="X198">
        <f>N198*(AZ198-S198)</f>
        <v>419.87844806155312</v>
      </c>
      <c r="Y198">
        <f>O198*(AZ198-S198)</f>
        <v>79.980609536746883</v>
      </c>
      <c r="Z198">
        <f>((Y198/10^6)*AZ198)/(0.082056*H198)</f>
        <v>3.073508071003428E-6</v>
      </c>
      <c r="AA198">
        <f>(((L198/10^6)*AZ198)/(0.082056*H198))</f>
        <v>7.8673747105520164E-8</v>
      </c>
      <c r="AB198">
        <f>((Y198/10^6)*U198*1)/(0.082056*H198)</f>
        <v>1.0887478087206596E-7</v>
      </c>
      <c r="AC198">
        <f>(Z198*(Q198/1000))+(AB198*(R198/1000))</f>
        <v>3.0852773445436087E-7</v>
      </c>
      <c r="AD198" s="39">
        <f>((AC198-(AA198*(Q198/1000)))/(R198/1000))*1000000</f>
        <v>0.26649764002458742</v>
      </c>
      <c r="AE198" s="39">
        <f>(AD198/((U198*AZ198*1))*(0.0821*273.15))</f>
        <v>194.51399846765227</v>
      </c>
      <c r="AF198" s="39">
        <f>L198*U198*AZ198*1/(0.0821*273.15)</f>
        <v>2.8049342997420587E-3</v>
      </c>
      <c r="AG198" s="39">
        <f>AD198-AF198</f>
        <v>0.26369270572484538</v>
      </c>
      <c r="AH198" s="42">
        <f>P198*(AZ198-S198)</f>
        <v>0.25861178645770544</v>
      </c>
      <c r="AI198">
        <f>(((X198/10^6)*(Q198/1000))/(0.082056*H198))</f>
        <v>1.0395072340730309E-6</v>
      </c>
      <c r="AJ198">
        <f>(((K198/10^6)*AZ198)*(Q198/1000))/(0.082056*H198)</f>
        <v>9.6032303394454015E-7</v>
      </c>
      <c r="AK198">
        <f>(X198/10^6)*T198*(R198/1000)</f>
        <v>1.747726878055964E-5</v>
      </c>
      <c r="AL198">
        <f>AI198+AK198</f>
        <v>1.851677601463267E-5</v>
      </c>
      <c r="AM198" s="39">
        <f>((AL198-AJ198)/(R198/1000))*1000000</f>
        <v>15.400397351480816</v>
      </c>
      <c r="AN198" s="39">
        <f>AM198/(T198*AZ198)</f>
        <v>452.88697414461336</v>
      </c>
      <c r="AO198" s="39">
        <f>(K198*AZ198)*T198</f>
        <v>14.163107245796109</v>
      </c>
      <c r="AP198" s="39">
        <f>AM198-AO198</f>
        <v>1.237290105684707</v>
      </c>
      <c r="AQ198">
        <f>(((AH198/10^6)*(Q198/1000))/(0.082056*H198))</f>
        <v>6.4025392129658692E-10</v>
      </c>
      <c r="AR198">
        <f>(((M198/10^6)*AZ198)*(Q198/1000))/(0.082056*H198)</f>
        <v>6.8328222494287349E-10</v>
      </c>
      <c r="AS198">
        <f>(AH198/10^6)*V198*(R198/1000)</f>
        <v>7.89592099890022E-9</v>
      </c>
      <c r="AT198">
        <f>AQ198+AS198</f>
        <v>8.5361749201968064E-9</v>
      </c>
      <c r="AU198" s="39">
        <f>((AT198-AR198)/(R198/1000))*1000000000</f>
        <v>6.8885023642578371</v>
      </c>
      <c r="AV198" s="39">
        <f>(AU198/1000)/(V198*AZ198)</f>
        <v>0.27617109190563877</v>
      </c>
      <c r="AW198" s="39">
        <f>(M198*AZ198)*V198*1000</f>
        <v>7.3917253060877739</v>
      </c>
      <c r="AX198" s="39">
        <f>AU198-AW198</f>
        <v>-0.50322294182993677</v>
      </c>
      <c r="AY198" s="26">
        <f>VLOOKUP($E198,Water!$C$2:$G$90, 5, FALSE)</f>
        <v>707.8</v>
      </c>
      <c r="AZ198">
        <f>AY198/760</f>
        <v>0.9313157894736841</v>
      </c>
      <c r="BA198" s="3">
        <f>Assumptions!$B$3</f>
        <v>406.07</v>
      </c>
      <c r="BB198" s="3">
        <f>BA198*AZ198*T198</f>
        <v>13.808388647801864</v>
      </c>
      <c r="BC198" s="3">
        <f>Assumptions!$B$4</f>
        <v>1.8474300000000001</v>
      </c>
      <c r="BD198" s="45">
        <f>BC198*AZ198*U198*1/(0.0821*273.15)</f>
        <v>2.5311069588264067E-3</v>
      </c>
      <c r="BE198" s="3">
        <f>Assumptions!$B$2</f>
        <v>0.33054499999999998</v>
      </c>
      <c r="BF198" s="44">
        <f>BE198*AZ198*V198*1000</f>
        <v>8.2447442209903379</v>
      </c>
      <c r="BG198">
        <f>1923.6+(-125.06*F198)+(4.3773*(F198^2))+(-0.085681*(F198^3))+(0.00070284*(F198^4))</f>
        <v>537.85029542630423</v>
      </c>
      <c r="BH198">
        <f>1909.4+(-120.78*F198)+(4.1555*(F198^2))+(-0.080578*(F198^3))+(0.00065777*(F198^4))</f>
        <v>554.23944202971234</v>
      </c>
      <c r="BI198">
        <f>2141.2+(-152.56*F198)+(5.8963*(F198^2))+(-0.12411*(F198^3))+(0.0010655*(F198^4))</f>
        <v>561.2076682167999</v>
      </c>
      <c r="BJ198" s="25">
        <f>VLOOKUP(E198,Wind!$C$2:$E$109,3, FALSE)</f>
        <v>1.7222222222222221</v>
      </c>
      <c r="BK198" s="44">
        <v>1.66</v>
      </c>
      <c r="BL198">
        <f>BK198/(1-(((1.3*10^-3)^0.5)/0.41)*LN(10/1.5))</f>
        <v>1.9923982880693825</v>
      </c>
      <c r="BM198">
        <f>BK198*1.22</f>
        <v>2.0251999999999999</v>
      </c>
      <c r="BN198">
        <f>2.07+0.215*(BM198^1.7)*(24/100)</f>
        <v>2.241255750541113</v>
      </c>
      <c r="BO198">
        <f>BN198*((600/BG198)^0.67)</f>
        <v>2.4116240649189633</v>
      </c>
      <c r="BP198">
        <f>BN198*((600/BH198)^0.67)</f>
        <v>2.3636081420188941</v>
      </c>
      <c r="BQ198">
        <f>BN198*((600/BI198)^0.67)</f>
        <v>2.3439046735246336</v>
      </c>
      <c r="BR198" s="39">
        <f>BO198*(AM198-BB198)</f>
        <v>3.8393265013526023</v>
      </c>
      <c r="BS198" s="39">
        <f>BP198*(AD198-BD198)</f>
        <v>0.62391344677473237</v>
      </c>
      <c r="BT198" s="39">
        <f>BQ198*(AU198-BF198)</f>
        <v>-3.1789016264250352</v>
      </c>
      <c r="BU198">
        <f>(2.51+1.48*BM198)+(0.39*BM198*LOG10(0.0015))</f>
        <v>3.2768938069574309</v>
      </c>
      <c r="BV198">
        <f>BU198*((600/$BG198)^0.67)</f>
        <v>3.5259858055621267</v>
      </c>
      <c r="BW198">
        <f>BU198*((600/$BH198)^0.67)</f>
        <v>3.4557827150185356</v>
      </c>
      <c r="BX198">
        <f>BU198*((600/$BI198)^0.67)</f>
        <v>3.4269746801171936</v>
      </c>
      <c r="BY198" s="39">
        <f>BV198*($AM198-$BB198)</f>
        <v>5.6134000915033448</v>
      </c>
      <c r="BZ198" s="39">
        <f>BW198*($AD198-$BD198)</f>
        <v>0.91221098231202569</v>
      </c>
      <c r="CA198" s="39">
        <f>BX198*($AU198-$BF198)</f>
        <v>-4.6478065031374109</v>
      </c>
      <c r="CB198" s="42">
        <f>AVERAGE(0.72,0.69,0.4,0.22)</f>
        <v>0.50750000000000006</v>
      </c>
      <c r="CC198">
        <f>CB198*((600/$BG198)^0.67)</f>
        <v>0.54607744459813845</v>
      </c>
      <c r="CD198">
        <f>CB198*((600/$BH198)^0.67)</f>
        <v>0.53520493222827537</v>
      </c>
      <c r="CE198">
        <f>CB198*((600/$BI198)^0.67)</f>
        <v>0.5307433663144242</v>
      </c>
      <c r="CF198" s="39">
        <f>CC198*($AM198-$BB198)</f>
        <v>0.86936004468299677</v>
      </c>
      <c r="CG198" s="39">
        <f>CD198*($AD198-$BD198)</f>
        <v>0.14127619043999343</v>
      </c>
      <c r="CH198" s="39">
        <f>CE198*($AU198-$BF198)</f>
        <v>-0.71981636857873244</v>
      </c>
      <c r="CI198">
        <v>21.862639018895301</v>
      </c>
      <c r="CJ198">
        <f>((BG198/BH198)^0.67)*CI198</f>
        <v>21.427349454160179</v>
      </c>
      <c r="CK198">
        <f>((BH198/BH198)^0.67)*CI198</f>
        <v>21.862639018895301</v>
      </c>
      <c r="CL198">
        <f>((BI198/BH198)^0.67)*CI198</f>
        <v>22.046422013133892</v>
      </c>
      <c r="CM198" s="39">
        <f>CJ198*($AM198-$BB198)</f>
        <v>34.112526827793431</v>
      </c>
      <c r="CN198" s="39">
        <f>CK198*($AD198-$BD198)</f>
        <v>5.7710050254860237</v>
      </c>
      <c r="CO198" s="39">
        <f>CL198*($AU198-$BF198)</f>
        <v>-29.900280325400988</v>
      </c>
      <c r="CP198" s="27">
        <f>VLOOKUP(A198,Water!$A$2:$E$109, 5, FALSE)/1000</f>
        <v>7.0999999999999991E-4</v>
      </c>
      <c r="CQ198">
        <f>0.64*CP198</f>
        <v>4.5439999999999993E-4</v>
      </c>
      <c r="CR198" s="19">
        <f>CQ198*1000*(2.5*10^-5)</f>
        <v>1.1359999999999998E-5</v>
      </c>
      <c r="CS198" s="18">
        <f>(-0.0000009*F198^3)+(0.0002*F198^2)-(0.0134*F198)+6.579</f>
        <v>6.3702410567999994</v>
      </c>
      <c r="CT198" s="18">
        <f>CS198-(SQRT(CP198))/(1+1.4*SQRT(CP198))</f>
        <v>6.3445534847858358</v>
      </c>
      <c r="CU198" s="18">
        <f>10^(-CT198)</f>
        <v>4.5232075412202934E-7</v>
      </c>
      <c r="CV198" s="18">
        <f>(0.000001*F198^3)+(0.00006*F198^2)-(0.014*F198)+10.625</f>
        <v>10.354711448</v>
      </c>
      <c r="CW198" s="18">
        <f>CV198-(2*SQRT(CR198))/(1+1.4*SQRT(CR198))</f>
        <v>10.348002186795732</v>
      </c>
      <c r="CX198" s="18">
        <f>10^(-CW198)</f>
        <v>4.4874313037867344E-11</v>
      </c>
      <c r="CY198">
        <f>EXP(1246.98+-61900/H198-183*LN(H198))</f>
        <v>2.9149072152470215E-2</v>
      </c>
      <c r="CZ198">
        <f>12.225*(F198^2)+15.258*F198+1125.7</f>
        <v>7489.3965999999991</v>
      </c>
      <c r="DA198" s="15">
        <f>10^(-4470.99/H198+6.0875-0.01706*H198)</f>
        <v>8.1449975945682967E-15</v>
      </c>
      <c r="DB198">
        <f>(10^-I198)</f>
        <v>1.9054607179632436E-9</v>
      </c>
      <c r="DC198">
        <f>DB198^2</f>
        <v>3.6307805477009994E-18</v>
      </c>
      <c r="DD198" s="20">
        <f>((14.6836*10^-9)*((H198/217.2056)-1)^1.997)*100*100</f>
        <v>1.9064180908209046E-5</v>
      </c>
      <c r="DE198">
        <f>CY198+CZ198*DA198/DB198</f>
        <v>6.1162913590761508E-2</v>
      </c>
      <c r="DF198">
        <f>1+DC198*(CU198*CX198+CU198*DB198)^-1</f>
        <v>1.0041157052363174</v>
      </c>
      <c r="DG198">
        <f>(DE198*DF198/DD198)^0.5</f>
        <v>56.757974350376088</v>
      </c>
      <c r="DH198">
        <f>DD198/(BO198/60/60)</f>
        <v>2.8458436896489813E-2</v>
      </c>
      <c r="DI198" s="16">
        <f>DF198/((DF198-1)+TANH(DG198*DH198)/(DG198*DH198))</f>
        <v>1.7428838798949748</v>
      </c>
      <c r="DJ198">
        <f>$DI198*BR198</f>
        <v>6.6915002688610228</v>
      </c>
      <c r="DK198">
        <f>$DI198*BY198</f>
        <v>9.7835045308821567</v>
      </c>
      <c r="DL198">
        <f>$DI198*CF198</f>
        <v>1.5151936077027701</v>
      </c>
      <c r="DM198">
        <f>$DI198*CM198</f>
        <v>59.454173110646032</v>
      </c>
    </row>
    <row r="199" spans="1:117" ht="15.75" x14ac:dyDescent="0.25">
      <c r="A199" s="52" t="s">
        <v>322</v>
      </c>
      <c r="B199" s="55" t="s">
        <v>340</v>
      </c>
      <c r="C199" s="62" t="s">
        <v>384</v>
      </c>
      <c r="D199" s="57">
        <v>43293</v>
      </c>
      <c r="E199" s="42" t="str">
        <f>A199&amp;D199</f>
        <v>32A43293</v>
      </c>
      <c r="F199" s="3">
        <f>VLOOKUP($E199,Water!$C$2:$E$90, 2, FALSE)</f>
        <v>22.2</v>
      </c>
      <c r="G199" s="3">
        <f>VLOOKUP($E199,Water!$C$2:$E$90, 3, FALSE)</f>
        <v>1.06</v>
      </c>
      <c r="H199" s="1">
        <f>F199+273.15</f>
        <v>295.34999999999997</v>
      </c>
      <c r="I199" s="3">
        <f>VLOOKUP($E199,Water!$C$2:$F$90, 4, FALSE)</f>
        <v>8.7200000000000006</v>
      </c>
      <c r="J199">
        <f>10^(I199*-1)</f>
        <v>1.9054607179632436E-9</v>
      </c>
      <c r="K199" s="25">
        <f>VLOOKUP($E199,Atm!$D$2:$G$100, 2, FALSE)</f>
        <v>416.50138231124839</v>
      </c>
      <c r="L199" s="25">
        <f>VLOOKUP($E199,Atm!$D$2:$G$100, 3, FALSE)</f>
        <v>2.0472938748408969</v>
      </c>
      <c r="M199" s="25">
        <f>VLOOKUP($E199,Atm!$D$2:$G$100, 4, FALSE)</f>
        <v>0.29634610556873048</v>
      </c>
      <c r="N199" s="21">
        <f>VLOOKUP($C199,Raw!$B$2:$F$353, 3, FALSE)</f>
        <v>461.55114590211821</v>
      </c>
      <c r="O199" s="21">
        <f>VLOOKUP($C199,Raw!$B$2:$F$353, 4, FALSE)</f>
        <v>74.313505307002217</v>
      </c>
      <c r="P199" s="21">
        <f>VLOOKUP($C199,Raw!$B$2:$F$353, 5, FALSE)</f>
        <v>0.28377497978766569</v>
      </c>
      <c r="Q199" s="14">
        <v>60</v>
      </c>
      <c r="R199" s="25">
        <v>1140</v>
      </c>
      <c r="S199">
        <f>EXP(24.4543-(100/H199*(67.4509))-(4.8489*LN(H199/100))-(0.000544*G199))</f>
        <v>2.6378456596024849E-2</v>
      </c>
      <c r="T199" s="8">
        <f>EXP(-58.0931+90.5069*(100/H199)+22.294*LN(H199/100)+G199*(0.027766-0.025888*(H199/100)+0.0050578*(H199/100)^2)*G199)</f>
        <v>3.6512799353205255E-2</v>
      </c>
      <c r="U199" s="9">
        <f>(EXP(-67.1962+99.1624*(100/H199)+27.9015*LN(H199/100)+G199*(-0.072909+0.041674*(H199/100)-0.0064603*(H199/100)^2)*G199))</f>
        <v>3.2990576292366396E-2</v>
      </c>
      <c r="V199" s="9">
        <f>(EXP(-64.8539+100.252*(100/H199)+25.2049*LN(H199/100)+(-0.062544+0.035337*(H199/100)-0.0054699*(H199/100)^2)*G199))</f>
        <v>2.6782408432092484E-2</v>
      </c>
      <c r="W199" s="9">
        <f>(EXP(-68.8862+101.4956*(100/H199)+28.7314*LN(H199/100)+G199*(-0.076146+0.04397*(H199/100)-0.0068672*(H199/100)^2)))</f>
        <v>3.2962203559887875E-2</v>
      </c>
      <c r="X199">
        <f>N199*(AZ199-S199)</f>
        <v>417.67486295929018</v>
      </c>
      <c r="Y199">
        <f>O199*(AZ199-S199)</f>
        <v>67.249065289308362</v>
      </c>
      <c r="Z199">
        <f>((Y199/10^6)*AZ199)/(0.082056*H199)</f>
        <v>2.5842581862190272E-6</v>
      </c>
      <c r="AA199">
        <f>(((L199/10^6)*AZ199)/(0.082056*H199))</f>
        <v>7.8673747105520164E-8</v>
      </c>
      <c r="AB199">
        <f>((Y199/10^6)*U199*1)/(0.082056*H199)</f>
        <v>9.1543779043853815E-8</v>
      </c>
      <c r="AC199">
        <f>(Z199*(Q199/1000))+(AB199*(R199/1000))</f>
        <v>2.5941539928313497E-7</v>
      </c>
      <c r="AD199" s="39">
        <f>((AC199-(AA199*(Q199/1000)))/(R199/1000))*1000000</f>
        <v>0.22341664426035418</v>
      </c>
      <c r="AE199" s="39">
        <f>(AD199/((U199*AZ199*1))*(0.0821*273.15))</f>
        <v>163.06960465127224</v>
      </c>
      <c r="AF199" s="39">
        <f>L199*U199*AZ199*1/(0.0821*273.15)</f>
        <v>2.8049342997420587E-3</v>
      </c>
      <c r="AG199" s="39">
        <f>AD199-AF199</f>
        <v>0.22061170996061213</v>
      </c>
      <c r="AH199" s="42">
        <f>P199*(AZ199-S199)</f>
        <v>0.25679857334646183</v>
      </c>
      <c r="AI199">
        <f>(((X199/10^6)*(Q199/1000))/(0.082056*H199))</f>
        <v>1.034051744120467E-6</v>
      </c>
      <c r="AJ199">
        <f>(((K199/10^6)*AZ199)*(Q199/1000))/(0.082056*H199)</f>
        <v>9.6032303394454015E-7</v>
      </c>
      <c r="AK199">
        <f>(X199/10^6)*T199*(R199/1000)</f>
        <v>1.7385545451365471E-5</v>
      </c>
      <c r="AL199">
        <f>AI199+AK199</f>
        <v>1.8419597195485938E-5</v>
      </c>
      <c r="AM199" s="39">
        <f>((AL199-AJ199)/(R199/1000))*1000000</f>
        <v>15.315152773281929</v>
      </c>
      <c r="AN199" s="39">
        <f>AM199/(T199*AZ199)</f>
        <v>450.3801453789896</v>
      </c>
      <c r="AO199" s="39">
        <f>(K199*AZ199)*T199</f>
        <v>14.163107245796109</v>
      </c>
      <c r="AP199" s="39">
        <f>AM199-AO199</f>
        <v>1.1520455274858197</v>
      </c>
      <c r="AQ199">
        <f>(((AH199/10^6)*(Q199/1000))/(0.082056*H199))</f>
        <v>6.3576488844730501E-10</v>
      </c>
      <c r="AR199">
        <f>(((M199/10^6)*AZ199)*(Q199/1000))/(0.082056*H199)</f>
        <v>6.8328222494287349E-10</v>
      </c>
      <c r="AS199">
        <f>(AH199/10^6)*V199*(R199/1000)</f>
        <v>7.8405600748037023E-9</v>
      </c>
      <c r="AT199">
        <f>AQ199+AS199</f>
        <v>8.4763249632510077E-9</v>
      </c>
      <c r="AU199" s="39">
        <f>((AT199-AR199)/(R199/1000))*1000000000</f>
        <v>6.8360024020246799</v>
      </c>
      <c r="AV199" s="39">
        <f>(AU199/1000)/(V199*AZ199)</f>
        <v>0.27406628433960434</v>
      </c>
      <c r="AW199" s="39">
        <f>(M199*AZ199)*V199*1000</f>
        <v>7.3917253060877739</v>
      </c>
      <c r="AX199" s="39">
        <f>AU199-AW199</f>
        <v>-0.55572290406309399</v>
      </c>
      <c r="AY199" s="26">
        <f>VLOOKUP($E199,Water!$C$2:$G$90, 5, FALSE)</f>
        <v>707.8</v>
      </c>
      <c r="AZ199">
        <f>AY199/760</f>
        <v>0.9313157894736841</v>
      </c>
      <c r="BA199" s="3">
        <f>Assumptions!$B$3</f>
        <v>406.07</v>
      </c>
      <c r="BB199" s="3">
        <f>BA199*AZ199*T199</f>
        <v>13.808388647801864</v>
      </c>
      <c r="BC199" s="3">
        <f>Assumptions!$B$4</f>
        <v>1.8474300000000001</v>
      </c>
      <c r="BD199" s="45">
        <f>BC199*AZ199*U199*1/(0.0821*273.15)</f>
        <v>2.5311069588264067E-3</v>
      </c>
      <c r="BE199" s="3">
        <f>Assumptions!$B$2</f>
        <v>0.33054499999999998</v>
      </c>
      <c r="BF199" s="44">
        <f>BE199*AZ199*V199*1000</f>
        <v>8.2447442209903379</v>
      </c>
      <c r="BG199">
        <f>1923.6+(-125.06*F199)+(4.3773*(F199^2))+(-0.085681*(F199^3))+(0.00070284*(F199^4))</f>
        <v>537.85029542630423</v>
      </c>
      <c r="BH199">
        <f>1909.4+(-120.78*F199)+(4.1555*(F199^2))+(-0.080578*(F199^3))+(0.00065777*(F199^4))</f>
        <v>554.23944202971234</v>
      </c>
      <c r="BI199">
        <f>2141.2+(-152.56*F199)+(5.8963*(F199^2))+(-0.12411*(F199^3))+(0.0010655*(F199^4))</f>
        <v>561.2076682167999</v>
      </c>
      <c r="BJ199" s="25">
        <f>VLOOKUP(E199,Wind!$C$2:$E$109,3, FALSE)</f>
        <v>1.7222222222222221</v>
      </c>
      <c r="BK199" s="44">
        <v>1.66</v>
      </c>
      <c r="BL199">
        <f>BK199/(1-(((1.3*10^-3)^0.5)/0.41)*LN(10/1.5))</f>
        <v>1.9923982880693825</v>
      </c>
      <c r="BM199">
        <f>BK199*1.22</f>
        <v>2.0251999999999999</v>
      </c>
      <c r="BN199">
        <f>2.07+0.215*(BM199^1.7)*(24/100)</f>
        <v>2.241255750541113</v>
      </c>
      <c r="BO199">
        <f>BN199*((600/BG199)^0.67)</f>
        <v>2.4116240649189633</v>
      </c>
      <c r="BP199">
        <f>BN199*((600/BH199)^0.67)</f>
        <v>2.3636081420188941</v>
      </c>
      <c r="BQ199">
        <f>BN199*((600/BI199)^0.67)</f>
        <v>2.3439046735246336</v>
      </c>
      <c r="BR199" s="39">
        <f>BO199*(AM199-BB199)</f>
        <v>3.6337486251642992</v>
      </c>
      <c r="BS199" s="39">
        <f>BP199*(AD199-BD199)</f>
        <v>0.52208685442010916</v>
      </c>
      <c r="BT199" s="39">
        <f>BQ199*(AU199-BF199)</f>
        <v>-3.301956533263199</v>
      </c>
      <c r="BU199">
        <f>(2.51+1.48*BM199)+(0.39*BM199*LOG10(0.0015))</f>
        <v>3.2768938069574309</v>
      </c>
      <c r="BV199">
        <f>BU199*((600/$BG199)^0.67)</f>
        <v>3.5259858055621267</v>
      </c>
      <c r="BW199">
        <f>BU199*((600/$BH199)^0.67)</f>
        <v>3.4557827150185356</v>
      </c>
      <c r="BX199">
        <f>BU199*((600/$BI199)^0.67)</f>
        <v>3.4269746801171936</v>
      </c>
      <c r="BY199" s="39">
        <f>BV199*($AM199-$BB199)</f>
        <v>5.3128289187729374</v>
      </c>
      <c r="BZ199" s="39">
        <f>BW199*($AD199-$BD199)</f>
        <v>0.76333242180420169</v>
      </c>
      <c r="CA199" s="39">
        <f>BX199*($AU199-$BF199)</f>
        <v>-4.8277225444175489</v>
      </c>
      <c r="CB199" s="42">
        <f>AVERAGE(0.72,0.69,0.4,0.22)</f>
        <v>0.50750000000000006</v>
      </c>
      <c r="CC199">
        <f>CB199*((600/$BG199)^0.67)</f>
        <v>0.54607744459813845</v>
      </c>
      <c r="CD199">
        <f>CB199*((600/$BH199)^0.67)</f>
        <v>0.53520493222827537</v>
      </c>
      <c r="CE199">
        <f>CB199*((600/$BI199)^0.67)</f>
        <v>0.5307433663144242</v>
      </c>
      <c r="CF199" s="39">
        <f>CC199*($AM199-$BB199)</f>
        <v>0.82280990325430226</v>
      </c>
      <c r="CG199" s="39">
        <f>CD199*($AD199-$BD199)</f>
        <v>0.11821902902167036</v>
      </c>
      <c r="CH199" s="39">
        <f>CE199*($AU199-$BF199)</f>
        <v>-0.74768037526573849</v>
      </c>
      <c r="CI199">
        <v>22.862639018895301</v>
      </c>
      <c r="CJ199">
        <f>((BG199/BH199)^0.67)*CI199</f>
        <v>22.407439251903309</v>
      </c>
      <c r="CK199">
        <f>((BH199/BH199)^0.67)*CI199</f>
        <v>22.862639018895301</v>
      </c>
      <c r="CL199">
        <f>((BI199/BH199)^0.67)*CI199</f>
        <v>23.054828271595177</v>
      </c>
      <c r="CM199" s="39">
        <f>CJ199*($AM199-$BB199)</f>
        <v>33.762725608641752</v>
      </c>
      <c r="CN199" s="39">
        <f>CK199*($AD199-$BD199)</f>
        <v>5.0500263038195623</v>
      </c>
      <c r="CO199" s="39">
        <f>CL199*($AU199-$BF199)</f>
        <v>-32.478300715267864</v>
      </c>
      <c r="CP199" s="27">
        <f>VLOOKUP(A199,Water!$A$2:$E$109, 5, FALSE)/1000</f>
        <v>7.0999999999999991E-4</v>
      </c>
      <c r="CQ199">
        <f>0.64*CP199</f>
        <v>4.5439999999999993E-4</v>
      </c>
      <c r="CR199" s="19">
        <f>CQ199*1000*(2.5*10^-5)</f>
        <v>1.1359999999999998E-5</v>
      </c>
      <c r="CS199" s="18">
        <f>(-0.0000009*F199^3)+(0.0002*F199^2)-(0.0134*F199)+6.579</f>
        <v>6.3702410567999994</v>
      </c>
      <c r="CT199" s="18">
        <f>CS199-(SQRT(CP199))/(1+1.4*SQRT(CP199))</f>
        <v>6.3445534847858358</v>
      </c>
      <c r="CU199" s="18">
        <f>10^(-CT199)</f>
        <v>4.5232075412202934E-7</v>
      </c>
      <c r="CV199" s="18">
        <f>(0.000001*F199^3)+(0.00006*F199^2)-(0.014*F199)+10.625</f>
        <v>10.354711448</v>
      </c>
      <c r="CW199" s="18">
        <f>CV199-(2*SQRT(CR199))/(1+1.4*SQRT(CR199))</f>
        <v>10.348002186795732</v>
      </c>
      <c r="CX199" s="18">
        <f>10^(-CW199)</f>
        <v>4.4874313037867344E-11</v>
      </c>
      <c r="CY199">
        <f>EXP(1246.98+-61900/H199-183*LN(H199))</f>
        <v>2.9149072152470215E-2</v>
      </c>
      <c r="CZ199">
        <f>12.225*(F199^2)+15.258*F199+1125.7</f>
        <v>7489.3965999999991</v>
      </c>
      <c r="DA199" s="15">
        <f>10^(-4470.99/H199+6.0875-0.01706*H199)</f>
        <v>8.1449975945682967E-15</v>
      </c>
      <c r="DB199">
        <f>(10^-I199)</f>
        <v>1.9054607179632436E-9</v>
      </c>
      <c r="DC199">
        <f>DB199^2</f>
        <v>3.6307805477009994E-18</v>
      </c>
      <c r="DD199" s="20">
        <f>((14.6836*10^-9)*((H199/217.2056)-1)^1.997)*100*100</f>
        <v>1.9064180908209046E-5</v>
      </c>
      <c r="DE199">
        <f>CY199+CZ199*DA199/DB199</f>
        <v>6.1162913590761508E-2</v>
      </c>
      <c r="DF199">
        <f>1+DC199*(CU199*CX199+CU199*DB199)^-1</f>
        <v>1.0041157052363174</v>
      </c>
      <c r="DG199">
        <f>(DE199*DF199/DD199)^0.5</f>
        <v>56.757974350376088</v>
      </c>
      <c r="DH199">
        <f>DD199/(BO199/60/60)</f>
        <v>2.8458436896489813E-2</v>
      </c>
      <c r="DI199" s="16">
        <f>DF199/((DF199-1)+TANH(DG199*DH199)/(DG199*DH199))</f>
        <v>1.7428838798949748</v>
      </c>
      <c r="DJ199">
        <f>$DI199*BR199</f>
        <v>6.3332019023893844</v>
      </c>
      <c r="DK199">
        <f>$DI199*BY199</f>
        <v>9.259643879169202</v>
      </c>
      <c r="DL199">
        <f>$DI199*CF199</f>
        <v>1.4340621165998673</v>
      </c>
      <c r="DM199">
        <f>$DI199*CM199</f>
        <v>58.844510204618963</v>
      </c>
    </row>
    <row r="200" spans="1:117" ht="15.75" x14ac:dyDescent="0.25">
      <c r="A200" s="52" t="s">
        <v>322</v>
      </c>
      <c r="B200" s="55" t="s">
        <v>341</v>
      </c>
      <c r="C200" s="62" t="s">
        <v>385</v>
      </c>
      <c r="D200" s="57">
        <v>43293</v>
      </c>
      <c r="E200" s="42" t="str">
        <f>A200&amp;D200</f>
        <v>32A43293</v>
      </c>
      <c r="F200" s="3">
        <f>VLOOKUP($E200,Water!$C$2:$E$90, 2, FALSE)</f>
        <v>22.2</v>
      </c>
      <c r="G200" s="3">
        <f>VLOOKUP($E200,Water!$C$2:$E$90, 3, FALSE)</f>
        <v>1.06</v>
      </c>
      <c r="H200" s="1">
        <f>F200+273.15</f>
        <v>295.34999999999997</v>
      </c>
      <c r="I200" s="3">
        <f>VLOOKUP($E200,Water!$C$2:$F$90, 4, FALSE)</f>
        <v>8.7200000000000006</v>
      </c>
      <c r="J200">
        <f>10^(I200*-1)</f>
        <v>1.9054607179632436E-9</v>
      </c>
      <c r="K200" s="25">
        <f>VLOOKUP($E200,Atm!$D$2:$G$100, 2, FALSE)</f>
        <v>416.50138231124839</v>
      </c>
      <c r="L200" s="25">
        <f>VLOOKUP($E200,Atm!$D$2:$G$100, 3, FALSE)</f>
        <v>2.0472938748408969</v>
      </c>
      <c r="M200" s="25">
        <f>VLOOKUP($E200,Atm!$D$2:$G$100, 4, FALSE)</f>
        <v>0.29634610556873048</v>
      </c>
      <c r="N200" s="21">
        <f>VLOOKUP($C200,Raw!$B$2:$F$353, 3, FALSE)</f>
        <v>451.75321345505171</v>
      </c>
      <c r="O200" s="21">
        <f>VLOOKUP($C200,Raw!$B$2:$F$353, 4, FALSE)</f>
        <v>76.490449632100194</v>
      </c>
      <c r="P200" s="21">
        <f>VLOOKUP($C200,Raw!$B$2:$F$353, 5, FALSE)</f>
        <v>0.28229176074473317</v>
      </c>
      <c r="Q200" s="14">
        <v>60</v>
      </c>
      <c r="R200" s="25">
        <v>1140</v>
      </c>
      <c r="S200">
        <f>EXP(24.4543-(100/H200*(67.4509))-(4.8489*LN(H200/100))-(0.000544*G200))</f>
        <v>2.6378456596024849E-2</v>
      </c>
      <c r="T200" s="8">
        <f>EXP(-58.0931+90.5069*(100/H200)+22.294*LN(H200/100)+G200*(0.027766-0.025888*(H200/100)+0.0050578*(H200/100)^2)*G200)</f>
        <v>3.6512799353205255E-2</v>
      </c>
      <c r="U200" s="9">
        <f>(EXP(-67.1962+99.1624*(100/H200)+27.9015*LN(H200/100)+G200*(-0.072909+0.041674*(H200/100)-0.0064603*(H200/100)^2)*G200))</f>
        <v>3.2990576292366396E-2</v>
      </c>
      <c r="V200" s="9">
        <f>(EXP(-64.8539+100.252*(100/H200)+25.2049*LN(H200/100)+(-0.062544+0.035337*(H200/100)-0.0054699*(H200/100)^2)*G200))</f>
        <v>2.6782408432092484E-2</v>
      </c>
      <c r="W200" s="9">
        <f>(EXP(-68.8862+101.4956*(100/H200)+28.7314*LN(H200/100)+G200*(-0.076146+0.04397*(H200/100)-0.0068672*(H200/100)^2)))</f>
        <v>3.2962203559887875E-2</v>
      </c>
      <c r="X200">
        <f>N200*(AZ200-S200)</f>
        <v>408.80834810292635</v>
      </c>
      <c r="Y200">
        <f>O200*(AZ200-S200)</f>
        <v>69.219063480685676</v>
      </c>
      <c r="Z200">
        <f>((Y200/10^6)*AZ200)/(0.082056*H200)</f>
        <v>2.6599616020360631E-6</v>
      </c>
      <c r="AA200">
        <f>(((L200/10^6)*AZ200)/(0.082056*H200))</f>
        <v>7.8673747105520164E-8</v>
      </c>
      <c r="AB200">
        <f>((Y200/10^6)*U200*1)/(0.082056*H200)</f>
        <v>9.4225468051312914E-8</v>
      </c>
      <c r="AC200">
        <f>(Z200*(Q200/1000))+(AB200*(R200/1000))</f>
        <v>2.6701472970066047E-7</v>
      </c>
      <c r="AD200" s="39">
        <f>((AC200-(AA200*(Q200/1000)))/(R200/1000))*1000000</f>
        <v>0.23008272357397308</v>
      </c>
      <c r="AE200" s="39">
        <f>(AD200/((U200*AZ200*1))*(0.0821*273.15))</f>
        <v>167.93511018173356</v>
      </c>
      <c r="AF200" s="39">
        <f>L200*U200*AZ200*1/(0.0821*273.15)</f>
        <v>2.8049342997420587E-3</v>
      </c>
      <c r="AG200" s="39">
        <f>AD200-AF200</f>
        <v>0.22727778927423103</v>
      </c>
      <c r="AH200" s="42">
        <f>P200*(AZ200-S200)</f>
        <v>0.25545635306167713</v>
      </c>
      <c r="AI200">
        <f>(((X200/10^6)*(Q200/1000))/(0.082056*H200))</f>
        <v>1.0121006142714422E-6</v>
      </c>
      <c r="AJ200">
        <f>(((K200/10^6)*AZ200)*(Q200/1000))/(0.082056*H200)</f>
        <v>9.6032303394454015E-7</v>
      </c>
      <c r="AK200">
        <f>(X200/10^6)*T200*(R200/1000)</f>
        <v>1.7016480394545078E-5</v>
      </c>
      <c r="AL200">
        <f>AI200+AK200</f>
        <v>1.8028581008816519E-5</v>
      </c>
      <c r="AM200" s="39">
        <f>((AL200-AJ200)/(R200/1000))*1000000</f>
        <v>14.972156118308753</v>
      </c>
      <c r="AN200" s="39">
        <f>AM200/(T200*AZ200)</f>
        <v>440.29347594655519</v>
      </c>
      <c r="AO200" s="39">
        <f>(K200*AZ200)*T200</f>
        <v>14.163107245796109</v>
      </c>
      <c r="AP200" s="39">
        <f>AM200-AO200</f>
        <v>0.80904887251264412</v>
      </c>
      <c r="AQ200">
        <f>(((AH200/10^6)*(Q200/1000))/(0.082056*H200))</f>
        <v>6.3244190842250326E-10</v>
      </c>
      <c r="AR200">
        <f>(((M200/10^6)*AZ200)*(Q200/1000))/(0.082056*H200)</f>
        <v>6.8328222494287349E-10</v>
      </c>
      <c r="AS200">
        <f>(AH200/10^6)*V200*(R200/1000)</f>
        <v>7.7995794780685472E-9</v>
      </c>
      <c r="AT200">
        <f>AQ200+AS200</f>
        <v>8.4320213864910512E-9</v>
      </c>
      <c r="AU200" s="39">
        <f>((AT200-AR200)/(R200/1000))*1000000000</f>
        <v>6.7971396153931387</v>
      </c>
      <c r="AV200" s="39">
        <f>(AU200/1000)/(V200*AZ200)</f>
        <v>0.27250821298374373</v>
      </c>
      <c r="AW200" s="39">
        <f>(M200*AZ200)*V200*1000</f>
        <v>7.3917253060877739</v>
      </c>
      <c r="AX200" s="39">
        <f>AU200-AW200</f>
        <v>-0.59458569069463518</v>
      </c>
      <c r="AY200" s="26">
        <f>VLOOKUP($E200,Water!$C$2:$G$90, 5, FALSE)</f>
        <v>707.8</v>
      </c>
      <c r="AZ200">
        <f>AY200/760</f>
        <v>0.9313157894736841</v>
      </c>
      <c r="BA200" s="3">
        <f>Assumptions!$B$3</f>
        <v>406.07</v>
      </c>
      <c r="BB200" s="3">
        <f>BA200*AZ200*T200</f>
        <v>13.808388647801864</v>
      </c>
      <c r="BC200" s="3">
        <f>Assumptions!$B$4</f>
        <v>1.8474300000000001</v>
      </c>
      <c r="BD200" s="45">
        <f>BC200*AZ200*U200*1/(0.0821*273.15)</f>
        <v>2.5311069588264067E-3</v>
      </c>
      <c r="BE200" s="3">
        <f>Assumptions!$B$2</f>
        <v>0.33054499999999998</v>
      </c>
      <c r="BF200" s="44">
        <f>BE200*AZ200*V200*1000</f>
        <v>8.2447442209903379</v>
      </c>
      <c r="BG200">
        <f>1923.6+(-125.06*F200)+(4.3773*(F200^2))+(-0.085681*(F200^3))+(0.00070284*(F200^4))</f>
        <v>537.85029542630423</v>
      </c>
      <c r="BH200">
        <f>1909.4+(-120.78*F200)+(4.1555*(F200^2))+(-0.080578*(F200^3))+(0.00065777*(F200^4))</f>
        <v>554.23944202971234</v>
      </c>
      <c r="BI200">
        <f>2141.2+(-152.56*F200)+(5.8963*(F200^2))+(-0.12411*(F200^3))+(0.0010655*(F200^4))</f>
        <v>561.2076682167999</v>
      </c>
      <c r="BJ200" s="25">
        <f>VLOOKUP(E200,Wind!$C$2:$E$109,3, FALSE)</f>
        <v>1.7222222222222221</v>
      </c>
      <c r="BK200" s="44">
        <v>1.66</v>
      </c>
      <c r="BL200">
        <f>BK200/(1-(((1.3*10^-3)^0.5)/0.41)*LN(10/1.5))</f>
        <v>1.9923982880693825</v>
      </c>
      <c r="BM200">
        <f>BK200*1.22</f>
        <v>2.0251999999999999</v>
      </c>
      <c r="BN200">
        <f>2.07+0.215*(BM200^1.7)*(24/100)</f>
        <v>2.241255750541113</v>
      </c>
      <c r="BO200">
        <f>BN200*((600/BG200)^0.67)</f>
        <v>2.4116240649189633</v>
      </c>
      <c r="BP200">
        <f>BN200*((600/BH200)^0.67)</f>
        <v>2.3636081420188941</v>
      </c>
      <c r="BQ200">
        <f>BN200*((600/BI200)^0.67)</f>
        <v>2.3439046735246336</v>
      </c>
      <c r="BR200" s="39">
        <f>BO200*(AM200-BB200)</f>
        <v>2.8065696378442824</v>
      </c>
      <c r="BS200" s="39">
        <f>BP200*(AD200-BD200)</f>
        <v>0.53784285376112251</v>
      </c>
      <c r="BT200" s="39">
        <f>BQ200*(AU200-BF200)</f>
        <v>-3.3930472004750589</v>
      </c>
      <c r="BU200">
        <f>(2.51+1.48*BM200)+(0.39*BM200*LOG10(0.0015))</f>
        <v>3.2768938069574309</v>
      </c>
      <c r="BV200">
        <f>BU200*((600/$BG200)^0.67)</f>
        <v>3.5259858055621267</v>
      </c>
      <c r="BW200">
        <f>BU200*((600/$BH200)^0.67)</f>
        <v>3.4557827150185356</v>
      </c>
      <c r="BX200">
        <f>BU200*((600/$BI200)^0.67)</f>
        <v>3.4269746801171936</v>
      </c>
      <c r="BY200" s="39">
        <f>BV200*($AM200-$BB200)</f>
        <v>4.1034275819822303</v>
      </c>
      <c r="BZ200" s="39">
        <f>BW200*($AD200-$BD200)</f>
        <v>0.78636894347314845</v>
      </c>
      <c r="CA200" s="39">
        <f>BX200*($AU200-$BF200)</f>
        <v>-4.9609043302026379</v>
      </c>
      <c r="CB200" s="42">
        <f>AVERAGE(0.72,0.69,0.4,0.22)</f>
        <v>0.50750000000000006</v>
      </c>
      <c r="CC200">
        <f>CB200*((600/$BG200)^0.67)</f>
        <v>0.54607744459813845</v>
      </c>
      <c r="CD200">
        <f>CB200*((600/$BH200)^0.67)</f>
        <v>0.53520493222827537</v>
      </c>
      <c r="CE200">
        <f>CB200*((600/$BI200)^0.67)</f>
        <v>0.5307433663144242</v>
      </c>
      <c r="CF200" s="39">
        <f>CC200*($AM200-$BB200)</f>
        <v>0.63550716640084115</v>
      </c>
      <c r="CG200" s="39">
        <f>CD200*($AD200-$BD200)</f>
        <v>0.12178674754894407</v>
      </c>
      <c r="CH200" s="39">
        <f>CE200*($AU200-$BF200)</f>
        <v>-0.7683065414669219</v>
      </c>
      <c r="CI200">
        <v>23.862639018895301</v>
      </c>
      <c r="CJ200">
        <f>((BG200/BH200)^0.67)*CI200</f>
        <v>23.387529049646442</v>
      </c>
      <c r="CK200">
        <f>((BH200/BH200)^0.67)*CI200</f>
        <v>23.862639018895301</v>
      </c>
      <c r="CL200">
        <f>((BI200/BH200)^0.67)*CI200</f>
        <v>24.063234530056462</v>
      </c>
      <c r="CM200" s="39">
        <f>CJ200*($AM200-$BB200)</f>
        <v>27.217645523513415</v>
      </c>
      <c r="CN200" s="39">
        <f>CK200*($AD200-$BD200)</f>
        <v>5.429982085453303</v>
      </c>
      <c r="CO200" s="39">
        <f>CL200*($AU200-$BF200)</f>
        <v>-34.834049131275286</v>
      </c>
      <c r="CP200" s="27">
        <f>VLOOKUP(A200,Water!$A$2:$E$109, 5, FALSE)/1000</f>
        <v>7.0999999999999991E-4</v>
      </c>
      <c r="CQ200">
        <f>0.64*CP200</f>
        <v>4.5439999999999993E-4</v>
      </c>
      <c r="CR200" s="19">
        <f>CQ200*1000*(2.5*10^-5)</f>
        <v>1.1359999999999998E-5</v>
      </c>
      <c r="CS200" s="18">
        <f>(-0.0000009*F200^3)+(0.0002*F200^2)-(0.0134*F200)+6.579</f>
        <v>6.3702410567999994</v>
      </c>
      <c r="CT200" s="18">
        <f>CS200-(SQRT(CP200))/(1+1.4*SQRT(CP200))</f>
        <v>6.3445534847858358</v>
      </c>
      <c r="CU200" s="18">
        <f>10^(-CT200)</f>
        <v>4.5232075412202934E-7</v>
      </c>
      <c r="CV200" s="18">
        <f>(0.000001*F200^3)+(0.00006*F200^2)-(0.014*F200)+10.625</f>
        <v>10.354711448</v>
      </c>
      <c r="CW200" s="18">
        <f>CV200-(2*SQRT(CR200))/(1+1.4*SQRT(CR200))</f>
        <v>10.348002186795732</v>
      </c>
      <c r="CX200" s="18">
        <f>10^(-CW200)</f>
        <v>4.4874313037867344E-11</v>
      </c>
      <c r="CY200">
        <f>EXP(1246.98+-61900/H200-183*LN(H200))</f>
        <v>2.9149072152470215E-2</v>
      </c>
      <c r="CZ200">
        <f>12.225*(F200^2)+15.258*F200+1125.7</f>
        <v>7489.3965999999991</v>
      </c>
      <c r="DA200" s="15">
        <f>10^(-4470.99/H200+6.0875-0.01706*H200)</f>
        <v>8.1449975945682967E-15</v>
      </c>
      <c r="DB200">
        <f>(10^-I200)</f>
        <v>1.9054607179632436E-9</v>
      </c>
      <c r="DC200">
        <f>DB200^2</f>
        <v>3.6307805477009994E-18</v>
      </c>
      <c r="DD200" s="20">
        <f>((14.6836*10^-9)*((H200/217.2056)-1)^1.997)*100*100</f>
        <v>1.9064180908209046E-5</v>
      </c>
      <c r="DE200">
        <f>CY200+CZ200*DA200/DB200</f>
        <v>6.1162913590761508E-2</v>
      </c>
      <c r="DF200">
        <f>1+DC200*(CU200*CX200+CU200*DB200)^-1</f>
        <v>1.0041157052363174</v>
      </c>
      <c r="DG200">
        <f>(DE200*DF200/DD200)^0.5</f>
        <v>56.757974350376088</v>
      </c>
      <c r="DH200">
        <f>DD200/(BO200/60/60)</f>
        <v>2.8458436896489813E-2</v>
      </c>
      <c r="DI200" s="16">
        <f>DF200/((DF200-1)+TANH(DG200*DH200)/(DG200*DH200))</f>
        <v>1.7428838798949748</v>
      </c>
      <c r="DJ200">
        <f>$DI200*BR200</f>
        <v>4.8915249796014777</v>
      </c>
      <c r="DK200">
        <f>$DI200*BY200</f>
        <v>7.1517977849532448</v>
      </c>
      <c r="DL200">
        <f>$DI200*CF200</f>
        <v>1.1076151958777594</v>
      </c>
      <c r="DM200">
        <f>$DI200*CM200</f>
        <v>47.437195631627155</v>
      </c>
    </row>
    <row r="201" spans="1:117" ht="15.75" x14ac:dyDescent="0.25">
      <c r="A201" s="52" t="s">
        <v>322</v>
      </c>
      <c r="B201" s="55" t="s">
        <v>342</v>
      </c>
      <c r="C201" s="62" t="s">
        <v>386</v>
      </c>
      <c r="D201" s="57">
        <v>43293</v>
      </c>
      <c r="E201" s="42" t="str">
        <f>A201&amp;D201</f>
        <v>32A43293</v>
      </c>
      <c r="F201" s="3">
        <f>VLOOKUP($E201,Water!$C$2:$E$90, 2, FALSE)</f>
        <v>22.2</v>
      </c>
      <c r="G201" s="3">
        <f>VLOOKUP($E201,Water!$C$2:$E$90, 3, FALSE)</f>
        <v>1.06</v>
      </c>
      <c r="H201" s="1">
        <f>F201+273.15</f>
        <v>295.34999999999997</v>
      </c>
      <c r="I201" s="3">
        <f>VLOOKUP($E201,Water!$C$2:$F$90, 4, FALSE)</f>
        <v>8.7200000000000006</v>
      </c>
      <c r="J201">
        <f>10^(I201*-1)</f>
        <v>1.9054607179632436E-9</v>
      </c>
      <c r="K201" s="25">
        <f>VLOOKUP($E201,Atm!$D$2:$G$100, 2, FALSE)</f>
        <v>416.50138231124839</v>
      </c>
      <c r="L201" s="25">
        <f>VLOOKUP($E201,Atm!$D$2:$G$100, 3, FALSE)</f>
        <v>2.0472938748408969</v>
      </c>
      <c r="M201" s="25">
        <f>VLOOKUP($E201,Atm!$D$2:$G$100, 4, FALSE)</f>
        <v>0.29634610556873048</v>
      </c>
      <c r="N201" s="21">
        <f>VLOOKUP($C201,Raw!$B$2:$F$353, 3, FALSE)</f>
        <v>556.49678865887199</v>
      </c>
      <c r="O201" s="21">
        <f>VLOOKUP($C201,Raw!$B$2:$F$353, 4, FALSE)</f>
        <v>81.69086112533158</v>
      </c>
      <c r="P201" s="21">
        <f>VLOOKUP($C201,Raw!$B$2:$F$353, 5, FALSE)</f>
        <v>0.28363077280368604</v>
      </c>
      <c r="Q201" s="14">
        <v>60</v>
      </c>
      <c r="R201" s="25">
        <v>1140</v>
      </c>
      <c r="S201">
        <f>EXP(24.4543-(100/H201*(67.4509))-(4.8489*LN(H201/100))-(0.000544*G201))</f>
        <v>2.6378456596024849E-2</v>
      </c>
      <c r="T201" s="8">
        <f>EXP(-58.0931+90.5069*(100/H201)+22.294*LN(H201/100)+G201*(0.027766-0.025888*(H201/100)+0.0050578*(H201/100)^2)*G201)</f>
        <v>3.6512799353205255E-2</v>
      </c>
      <c r="U201" s="9">
        <f>(EXP(-67.1962+99.1624*(100/H201)+27.9015*LN(H201/100)+G201*(-0.072909+0.041674*(H201/100)-0.0064603*(H201/100)^2)*G201))</f>
        <v>3.2990576292366396E-2</v>
      </c>
      <c r="V201" s="9">
        <f>(EXP(-64.8539+100.252*(100/H201)+25.2049*LN(H201/100)+(-0.062544+0.035337*(H201/100)-0.0054699*(H201/100)^2)*G201))</f>
        <v>2.6782408432092484E-2</v>
      </c>
      <c r="W201" s="9">
        <f>(EXP(-68.8862+101.4956*(100/H201)+28.7314*LN(H201/100)+G201*(-0.076146+0.04397*(H201/100)-0.0068672*(H201/100)^2)))</f>
        <v>3.2962203559887875E-2</v>
      </c>
      <c r="X201">
        <f>N201*(AZ201-S201)</f>
        <v>503.594719683942</v>
      </c>
      <c r="Y201">
        <f>O201*(AZ201-S201)</f>
        <v>73.925109987236809</v>
      </c>
      <c r="Z201">
        <f>((Y201/10^6)*AZ201)/(0.082056*H201)</f>
        <v>2.840806334330294E-6</v>
      </c>
      <c r="AA201">
        <f>(((L201/10^6)*AZ201)/(0.082056*H201))</f>
        <v>7.8673747105520164E-8</v>
      </c>
      <c r="AB201">
        <f>((Y201/10^6)*U201*1)/(0.082056*H201)</f>
        <v>1.0063164306225852E-7</v>
      </c>
      <c r="AC201">
        <f>(Z201*(Q201/1000))+(AB201*(R201/1000))</f>
        <v>2.8516845315079236E-7</v>
      </c>
      <c r="AD201" s="39">
        <f>((AC201-(AA201*(Q201/1000)))/(R201/1000))*1000000</f>
        <v>0.24600704238987822</v>
      </c>
      <c r="AE201" s="39">
        <f>(AD201/((U201*AZ201*1))*(0.0821*273.15))</f>
        <v>179.55811339282991</v>
      </c>
      <c r="AF201" s="39">
        <f>L201*U201*AZ201*1/(0.0821*273.15)</f>
        <v>2.8049342997420587E-3</v>
      </c>
      <c r="AG201" s="39">
        <f>AD201-AF201</f>
        <v>0.24320210809013618</v>
      </c>
      <c r="AH201" s="42">
        <f>P201*(AZ201-S201)</f>
        <v>0.25666807506299694</v>
      </c>
      <c r="AI201">
        <f>(((X201/10^6)*(Q201/1000))/(0.082056*H201))</f>
        <v>1.2467664310212357E-6</v>
      </c>
      <c r="AJ201">
        <f>(((K201/10^6)*AZ201)*(Q201/1000))/(0.082056*H201)</f>
        <v>9.6032303394454015E-7</v>
      </c>
      <c r="AK201">
        <f>(X201/10^6)*T201*(R201/1000)</f>
        <v>2.0961924368874896E-5</v>
      </c>
      <c r="AL201">
        <f>AI201+AK201</f>
        <v>2.2208690799896132E-5</v>
      </c>
      <c r="AM201" s="39">
        <f>((AL201-AJ201)/(R201/1000))*1000000</f>
        <v>18.638919092939993</v>
      </c>
      <c r="AN201" s="39">
        <f>AM201/(T201*AZ201)</f>
        <v>548.12375789227178</v>
      </c>
      <c r="AO201" s="39">
        <f>(K201*AZ201)*T201</f>
        <v>14.163107245796109</v>
      </c>
      <c r="AP201" s="39">
        <f>AM201-AO201</f>
        <v>4.4758118471438841</v>
      </c>
      <c r="AQ201">
        <f>(((AH201/10^6)*(Q201/1000))/(0.082056*H201))</f>
        <v>6.3544180944593657E-10</v>
      </c>
      <c r="AR201">
        <f>(((M201/10^6)*AZ201)*(Q201/1000))/(0.082056*H201)</f>
        <v>6.8328222494287349E-10</v>
      </c>
      <c r="AS201">
        <f>(AH201/10^6)*V201*(R201/1000)</f>
        <v>7.836575708310417E-9</v>
      </c>
      <c r="AT201">
        <f>AQ201+AS201</f>
        <v>8.4720175177563536E-9</v>
      </c>
      <c r="AU201" s="39">
        <f>((AT201-AR201)/(R201/1000))*1000000000</f>
        <v>6.8322239410644574</v>
      </c>
      <c r="AV201" s="39">
        <f>(AU201/1000)/(V201*AZ201)</f>
        <v>0.27391479978840177</v>
      </c>
      <c r="AW201" s="39">
        <f>(M201*AZ201)*V201*1000</f>
        <v>7.3917253060877739</v>
      </c>
      <c r="AX201" s="39">
        <f>AU201-AW201</f>
        <v>-0.55950136502331649</v>
      </c>
      <c r="AY201" s="26">
        <f>VLOOKUP($E201,Water!$C$2:$G$90, 5, FALSE)</f>
        <v>707.8</v>
      </c>
      <c r="AZ201">
        <f>AY201/760</f>
        <v>0.9313157894736841</v>
      </c>
      <c r="BA201" s="3">
        <f>Assumptions!$B$3</f>
        <v>406.07</v>
      </c>
      <c r="BB201" s="3">
        <f>BA201*AZ201*T201</f>
        <v>13.808388647801864</v>
      </c>
      <c r="BC201" s="3">
        <f>Assumptions!$B$4</f>
        <v>1.8474300000000001</v>
      </c>
      <c r="BD201" s="45">
        <f>BC201*AZ201*U201*1/(0.0821*273.15)</f>
        <v>2.5311069588264067E-3</v>
      </c>
      <c r="BE201" s="3">
        <f>Assumptions!$B$2</f>
        <v>0.33054499999999998</v>
      </c>
      <c r="BF201" s="44">
        <f>BE201*AZ201*V201*1000</f>
        <v>8.2447442209903379</v>
      </c>
      <c r="BG201">
        <f>1923.6+(-125.06*F201)+(4.3773*(F201^2))+(-0.085681*(F201^3))+(0.00070284*(F201^4))</f>
        <v>537.85029542630423</v>
      </c>
      <c r="BH201">
        <f>1909.4+(-120.78*F201)+(4.1555*(F201^2))+(-0.080578*(F201^3))+(0.00065777*(F201^4))</f>
        <v>554.23944202971234</v>
      </c>
      <c r="BI201">
        <f>2141.2+(-152.56*F201)+(5.8963*(F201^2))+(-0.12411*(F201^3))+(0.0010655*(F201^4))</f>
        <v>561.2076682167999</v>
      </c>
      <c r="BJ201" s="25">
        <f>VLOOKUP(E201,Wind!$C$2:$E$109,3, FALSE)</f>
        <v>1.7222222222222221</v>
      </c>
      <c r="BK201" s="44">
        <v>1.66</v>
      </c>
      <c r="BL201">
        <f>BK201/(1-(((1.3*10^-3)^0.5)/0.41)*LN(10/1.5))</f>
        <v>1.9923982880693825</v>
      </c>
      <c r="BM201">
        <f>BK201*1.22</f>
        <v>2.0251999999999999</v>
      </c>
      <c r="BN201">
        <f>2.07+0.215*(BM201^1.7)*(24/100)</f>
        <v>2.241255750541113</v>
      </c>
      <c r="BO201">
        <f>BN201*((600/BG201)^0.67)</f>
        <v>2.4116240649189633</v>
      </c>
      <c r="BP201">
        <f>BN201*((600/BH201)^0.67)</f>
        <v>2.3636081420188941</v>
      </c>
      <c r="BQ201">
        <f>BN201*((600/BI201)^0.67)</f>
        <v>2.3439046735246336</v>
      </c>
      <c r="BR201" s="39">
        <f>BO201*(AM201-BB201)</f>
        <v>11.649423467818822</v>
      </c>
      <c r="BS201" s="39">
        <f>BP201*(AD201-BD201)</f>
        <v>0.57548170337050064</v>
      </c>
      <c r="BT201" s="39">
        <f>BQ201*(AU201-BF201)</f>
        <v>-3.310812885566595</v>
      </c>
      <c r="BU201">
        <f>(2.51+1.48*BM201)+(0.39*BM201*LOG10(0.0015))</f>
        <v>3.2768938069574309</v>
      </c>
      <c r="BV201">
        <f>BU201*((600/$BG201)^0.67)</f>
        <v>3.5259858055621267</v>
      </c>
      <c r="BW201">
        <f>BU201*((600/$BH201)^0.67)</f>
        <v>3.4557827150185356</v>
      </c>
      <c r="BX201">
        <f>BU201*((600/$BI201)^0.67)</f>
        <v>3.4269746801171936</v>
      </c>
      <c r="BY201" s="39">
        <f>BV201*($AM201-$BB201)</f>
        <v>17.032381782892742</v>
      </c>
      <c r="BZ201" s="39">
        <f>BW201*($AD201-$BD201)</f>
        <v>0.84139992918559792</v>
      </c>
      <c r="CA201" s="39">
        <f>BX201*($AU201-$BF201)</f>
        <v>-4.8406712344580427</v>
      </c>
      <c r="CB201" s="42">
        <f>AVERAGE(0.72,0.69,0.4,0.22)</f>
        <v>0.50750000000000006</v>
      </c>
      <c r="CC201">
        <f>CB201*((600/$BG201)^0.67)</f>
        <v>0.54607744459813845</v>
      </c>
      <c r="CD201">
        <f>CB201*((600/$BH201)^0.67)</f>
        <v>0.53520493222827537</v>
      </c>
      <c r="CE201">
        <f>CB201*((600/$BI201)^0.67)</f>
        <v>0.5307433663144242</v>
      </c>
      <c r="CF201" s="39">
        <f>CC201*($AM201-$BB201)</f>
        <v>2.6378437215345376</v>
      </c>
      <c r="CG201" s="39">
        <f>CD201*($AD201-$BD201)</f>
        <v>0.13030952152159203</v>
      </c>
      <c r="CH201" s="39">
        <f>CE201*($AU201-$BF201)</f>
        <v>-0.74968576835525458</v>
      </c>
      <c r="CI201">
        <v>24.862639018895301</v>
      </c>
      <c r="CJ201">
        <f>((BG201/BH201)^0.67)*CI201</f>
        <v>24.367618847389572</v>
      </c>
      <c r="CK201">
        <f>((BH201/BH201)^0.67)*CI201</f>
        <v>24.862639018895301</v>
      </c>
      <c r="CL201">
        <f>((BI201/BH201)^0.67)*CI201</f>
        <v>25.071640788517747</v>
      </c>
      <c r="CM201" s="39">
        <f>CJ201*($AM201-$BB201)</f>
        <v>117.70852471783699</v>
      </c>
      <c r="CN201" s="39">
        <f>CK201*($AD201-$BD201)</f>
        <v>6.0534542924101018</v>
      </c>
      <c r="CO201" s="39">
        <f>CL201*($AU201-$BF201)</f>
        <v>-35.414201064798213</v>
      </c>
      <c r="CP201" s="27">
        <f>VLOOKUP(A201,Water!$A$2:$E$109, 5, FALSE)/1000</f>
        <v>7.0999999999999991E-4</v>
      </c>
      <c r="CQ201">
        <f>0.64*CP201</f>
        <v>4.5439999999999993E-4</v>
      </c>
      <c r="CR201" s="19">
        <f>CQ201*1000*(2.5*10^-5)</f>
        <v>1.1359999999999998E-5</v>
      </c>
      <c r="CS201" s="18">
        <f>(-0.0000009*F201^3)+(0.0002*F201^2)-(0.0134*F201)+6.579</f>
        <v>6.3702410567999994</v>
      </c>
      <c r="CT201" s="18">
        <f>CS201-(SQRT(CP201))/(1+1.4*SQRT(CP201))</f>
        <v>6.3445534847858358</v>
      </c>
      <c r="CU201" s="18">
        <f>10^(-CT201)</f>
        <v>4.5232075412202934E-7</v>
      </c>
      <c r="CV201" s="18">
        <f>(0.000001*F201^3)+(0.00006*F201^2)-(0.014*F201)+10.625</f>
        <v>10.354711448</v>
      </c>
      <c r="CW201" s="18">
        <f>CV201-(2*SQRT(CR201))/(1+1.4*SQRT(CR201))</f>
        <v>10.348002186795732</v>
      </c>
      <c r="CX201" s="18">
        <f>10^(-CW201)</f>
        <v>4.4874313037867344E-11</v>
      </c>
      <c r="CY201">
        <f>EXP(1246.98+-61900/H201-183*LN(H201))</f>
        <v>2.9149072152470215E-2</v>
      </c>
      <c r="CZ201">
        <f>12.225*(F201^2)+15.258*F201+1125.7</f>
        <v>7489.3965999999991</v>
      </c>
      <c r="DA201" s="15">
        <f>10^(-4470.99/H201+6.0875-0.01706*H201)</f>
        <v>8.1449975945682967E-15</v>
      </c>
      <c r="DB201">
        <f>(10^-I201)</f>
        <v>1.9054607179632436E-9</v>
      </c>
      <c r="DC201">
        <f>DB201^2</f>
        <v>3.6307805477009994E-18</v>
      </c>
      <c r="DD201" s="20">
        <f>((14.6836*10^-9)*((H201/217.2056)-1)^1.997)*100*100</f>
        <v>1.9064180908209046E-5</v>
      </c>
      <c r="DE201">
        <f>CY201+CZ201*DA201/DB201</f>
        <v>6.1162913590761508E-2</v>
      </c>
      <c r="DF201">
        <f>1+DC201*(CU201*CX201+CU201*DB201)^-1</f>
        <v>1.0041157052363174</v>
      </c>
      <c r="DG201">
        <f>(DE201*DF201/DD201)^0.5</f>
        <v>56.757974350376088</v>
      </c>
      <c r="DH201">
        <f>DD201/(BO201/60/60)</f>
        <v>2.8458436896489813E-2</v>
      </c>
      <c r="DI201" s="16">
        <f>DF201/((DF201-1)+TANH(DG201*DH201)/(DG201*DH201))</f>
        <v>1.7428838798949748</v>
      </c>
      <c r="DJ201">
        <f>$DI201*BR201</f>
        <v>20.303592372131643</v>
      </c>
      <c r="DK201">
        <f>$DI201*BY201</f>
        <v>29.68546364562059</v>
      </c>
      <c r="DL201">
        <f>$DI201*CF201</f>
        <v>4.5974552999447145</v>
      </c>
      <c r="DM201">
        <f>$DI201*CM201</f>
        <v>205.15229025693728</v>
      </c>
    </row>
    <row r="202" spans="1:117" ht="15.75" x14ac:dyDescent="0.25">
      <c r="A202" s="52" t="s">
        <v>325</v>
      </c>
      <c r="B202" s="55" t="s">
        <v>339</v>
      </c>
      <c r="C202" s="62" t="s">
        <v>388</v>
      </c>
      <c r="D202" s="57">
        <v>43293</v>
      </c>
      <c r="E202" s="42" t="str">
        <f>A202&amp;D202</f>
        <v>32C43293</v>
      </c>
      <c r="F202" s="3">
        <f>VLOOKUP($E202,Water!$C$2:$E$90, 2, FALSE)</f>
        <v>21.4</v>
      </c>
      <c r="G202" s="3">
        <f>VLOOKUP($E202,Water!$C$2:$E$90, 3, FALSE)</f>
        <v>1.4</v>
      </c>
      <c r="H202" s="1">
        <f>F202+273.15</f>
        <v>294.54999999999995</v>
      </c>
      <c r="I202" s="3">
        <f>VLOOKUP($E202,Water!$C$2:$F$90, 4, FALSE)</f>
        <v>9.0299999999999994</v>
      </c>
      <c r="J202">
        <f>10^(I202*-1)</f>
        <v>9.3325430079699202E-10</v>
      </c>
      <c r="K202" s="25">
        <f>VLOOKUP($E202,Atm!$D$2:$G$100, 2, FALSE)</f>
        <v>459.97742632397319</v>
      </c>
      <c r="L202" s="25">
        <f>VLOOKUP($E202,Atm!$D$2:$G$100, 3, FALSE)</f>
        <v>2.0155666148013589</v>
      </c>
      <c r="M202" s="25">
        <f>VLOOKUP($E202,Atm!$D$2:$G$100, 4, FALSE)</f>
        <v>0.28809610637338745</v>
      </c>
      <c r="N202" s="21">
        <f>VLOOKUP($C202,Raw!$B$2:$F$353, 3, FALSE)</f>
        <v>168.65700315106241</v>
      </c>
      <c r="O202" s="21">
        <f>VLOOKUP($C202,Raw!$B$2:$F$353, 4, FALSE)</f>
        <v>219.51717541044621</v>
      </c>
      <c r="P202" s="21">
        <f>VLOOKUP($C202,Raw!$B$2:$F$353, 5, FALSE)</f>
        <v>0.27410844225156356</v>
      </c>
      <c r="Q202" s="14">
        <v>60</v>
      </c>
      <c r="R202" s="25">
        <v>1140</v>
      </c>
      <c r="S202">
        <f>EXP(24.4543-(100/H202*(67.4509))-(4.8489*LN(H202/100))-(0.000544*G202))</f>
        <v>2.5115554083184114E-2</v>
      </c>
      <c r="T202" s="8">
        <f>EXP(-58.0931+90.5069*(100/H202)+22.294*LN(H202/100)+G202*(0.027766-0.025888*(H202/100)+0.0050578*(H202/100)^2)*G202)</f>
        <v>3.7208443201200515E-2</v>
      </c>
      <c r="U202" s="9">
        <f>(EXP(-67.1962+99.1624*(100/H202)+27.9015*LN(H202/100)+G202*(-0.072909+0.041674*(H202/100)-0.0064603*(H202/100)^2)*G202))</f>
        <v>3.3331690522100083E-2</v>
      </c>
      <c r="V202" s="9">
        <f>(EXP(-64.8539+100.252*(100/H202)+25.2049*LN(H202/100)+(-0.062544+0.035337*(H202/100)-0.0054699*(H202/100)^2)*G202))</f>
        <v>2.7372386939399806E-2</v>
      </c>
      <c r="W202" s="9">
        <f>(EXP(-68.8862+101.4956*(100/H202)+28.7314*LN(H202/100)+G202*(-0.076146+0.04397*(H202/100)-0.0068672*(H202/100)^2)))</f>
        <v>3.3402324898510041E-2</v>
      </c>
      <c r="X202">
        <f>N202*(AZ202-S202)</f>
        <v>152.83701595574905</v>
      </c>
      <c r="Y202">
        <f>O202*(AZ202-S202)</f>
        <v>198.92651602920404</v>
      </c>
      <c r="Z202">
        <f>((Y202/10^6)*AZ202)/(0.082056*H202)</f>
        <v>7.665143203931066E-6</v>
      </c>
      <c r="AA202">
        <f>(((L202/10^6)*AZ202)/(0.082056*H202))</f>
        <v>7.7664893790463081E-8</v>
      </c>
      <c r="AB202">
        <f>((Y202/10^6)*U202*1)/(0.082056*H202)</f>
        <v>2.7433463919407578E-7</v>
      </c>
      <c r="AC202">
        <f>(Z202*(Q202/1000))+(AB202*(R202/1000))</f>
        <v>7.7265008091711031E-7</v>
      </c>
      <c r="AD202" s="39">
        <f>((AC202-(AA202*(Q202/1000)))/(R202/1000))*1000000</f>
        <v>0.67367560288568651</v>
      </c>
      <c r="AE202" s="39">
        <f>(AD202/((U202*AZ202*1))*(0.0821*273.15))</f>
        <v>486.67705885191964</v>
      </c>
      <c r="AF202" s="39">
        <f>L202*U202*AZ202*1/(0.0821*273.15)</f>
        <v>2.790018616422424E-3</v>
      </c>
      <c r="AG202" s="39">
        <f>AD202-AF202</f>
        <v>0.67088558426926403</v>
      </c>
      <c r="AH202" s="42">
        <f>P202*(AZ202-S202)</f>
        <v>0.24839713489089016</v>
      </c>
      <c r="AI202">
        <f>(((X202/10^6)*(Q202/1000))/(0.082056*H202))</f>
        <v>3.7941144786361684E-7</v>
      </c>
      <c r="AJ202">
        <f>(((K202/10^6)*AZ202)*(Q202/1000))/(0.082056*H202)</f>
        <v>1.0634458131759439E-6</v>
      </c>
      <c r="AK202">
        <f>(X202/10^6)*T202*(R202/1000)</f>
        <v>6.4829832670427303E-6</v>
      </c>
      <c r="AL202">
        <f>AI202+AK202</f>
        <v>6.8623947149063471E-6</v>
      </c>
      <c r="AM202" s="39">
        <f>((AL202-AJ202)/(R202/1000))*1000000</f>
        <v>5.0867972822196519</v>
      </c>
      <c r="AN202" s="39">
        <f>AM202/(T202*AZ202)</f>
        <v>146.79320915297265</v>
      </c>
      <c r="AO202" s="39">
        <f>(K202*AZ202)*T202</f>
        <v>15.939510659984739</v>
      </c>
      <c r="AP202" s="39">
        <f>AM202-AO202</f>
        <v>-10.852713377765088</v>
      </c>
      <c r="AQ202">
        <f>(((AH202/10^6)*(Q202/1000))/(0.082056*H202))</f>
        <v>6.1663541390662481E-10</v>
      </c>
      <c r="AR202">
        <f>(((M202/10^6)*AZ202)*(Q202/1000))/(0.082056*H202)</f>
        <v>6.6606442095113426E-10</v>
      </c>
      <c r="AS202">
        <f>(AH202/10^6)*V202*(R202/1000)</f>
        <v>7.7511136395937751E-9</v>
      </c>
      <c r="AT202">
        <f>AQ202+AS202</f>
        <v>8.3677490535003995E-9</v>
      </c>
      <c r="AU202" s="39">
        <f>((AT202-AR202)/(R202/1000))*1000000000</f>
        <v>6.7558637127625136</v>
      </c>
      <c r="AV202" s="39">
        <f>(AU202/1000)/(V202*AZ202)</f>
        <v>0.26501548043360523</v>
      </c>
      <c r="AW202" s="39">
        <f>(M202*AZ202)*V202*1000</f>
        <v>7.3442427878236964</v>
      </c>
      <c r="AX202" s="39">
        <f>AU202-AW202</f>
        <v>-0.58837907506118281</v>
      </c>
      <c r="AY202" s="26">
        <f>VLOOKUP($E202,Water!$C$2:$G$90, 5, FALSE)</f>
        <v>707.8</v>
      </c>
      <c r="AZ202">
        <f>AY202/760</f>
        <v>0.9313157894736841</v>
      </c>
      <c r="BA202" s="3">
        <f>Assumptions!$B$3</f>
        <v>406.07</v>
      </c>
      <c r="BB202" s="3">
        <f>BA202*AZ202*T202</f>
        <v>14.071466822681044</v>
      </c>
      <c r="BC202" s="3">
        <f>Assumptions!$B$4</f>
        <v>1.8474300000000001</v>
      </c>
      <c r="BD202" s="45">
        <f>BC202*AZ202*U202*1/(0.0821*273.15)</f>
        <v>2.5572779657522067E-3</v>
      </c>
      <c r="BE202" s="3">
        <f>Assumptions!$B$2</f>
        <v>0.33054499999999998</v>
      </c>
      <c r="BF202" s="44">
        <f>BE202*AZ202*V202*1000</f>
        <v>8.4263642534442482</v>
      </c>
      <c r="BG202">
        <f>1923.6+(-125.06*F202)+(4.3773*(F202^2))+(-0.085681*(F202^3))+(0.00070284*(F202^4))</f>
        <v>559.64581256294412</v>
      </c>
      <c r="BH202">
        <f>1909.4+(-120.78*F202)+(4.1555*(F202^2))+(-0.080578*(F202^3))+(0.00065777*(F202^4))</f>
        <v>576.02102780763198</v>
      </c>
      <c r="BI202">
        <f>2141.2+(-152.56*F202)+(5.8963*(F202^2))+(-0.12411*(F202^3))+(0.0010655*(F202^4))</f>
        <v>583.82935794480022</v>
      </c>
      <c r="BJ202" s="25">
        <f>VLOOKUP(E202,Wind!$C$2:$E$109,3, FALSE)</f>
        <v>2.8333333333333335</v>
      </c>
      <c r="BK202" s="44">
        <v>1.66</v>
      </c>
      <c r="BL202">
        <f>BK202/(1-(((1.3*10^-3)^0.5)/0.41)*LN(10/1.5))</f>
        <v>1.9923982880693825</v>
      </c>
      <c r="BM202">
        <f>BK202*1.22</f>
        <v>2.0251999999999999</v>
      </c>
      <c r="BN202">
        <f>2.07+0.215*(BM202^1.7)*(24/100)</f>
        <v>2.241255750541113</v>
      </c>
      <c r="BO202">
        <f>BN202*((600/BG202)^0.67)</f>
        <v>2.3482853643170589</v>
      </c>
      <c r="BP202">
        <f>BN202*((600/BH202)^0.67)</f>
        <v>2.3033454026992137</v>
      </c>
      <c r="BQ202">
        <f>BN202*((600/BI202)^0.67)</f>
        <v>2.2826597536092255</v>
      </c>
      <c r="BR202" s="39">
        <f>BO202*(AM202-BB202)</f>
        <v>-21.098567985090764</v>
      </c>
      <c r="BS202" s="39">
        <f>BP202*(AD202-BD202)</f>
        <v>1.5458173083715279</v>
      </c>
      <c r="BT202" s="39">
        <f>BQ202*(AU202-BF202)</f>
        <v>-3.8131843525966462</v>
      </c>
      <c r="BU202">
        <f>(2.51+1.48*BM202)+(0.39*BM202*LOG10(0.0015))</f>
        <v>3.2768938069574309</v>
      </c>
      <c r="BV202">
        <f>BU202*((600/$BG202)^0.67)</f>
        <v>3.4333795977730333</v>
      </c>
      <c r="BW202">
        <f>BU202*((600/$BH202)^0.67)</f>
        <v>3.3676738067784684</v>
      </c>
      <c r="BX202">
        <f>BU202*((600/$BI202)^0.67)</f>
        <v>3.3374297458855913</v>
      </c>
      <c r="BY202" s="39">
        <f>BV202*($AM202-$BB202)</f>
        <v>-30.84778109295296</v>
      </c>
      <c r="BZ202" s="39">
        <f>BW202*($AD202-$BD202)</f>
        <v>2.2601076040819041</v>
      </c>
      <c r="CA202" s="39">
        <f>BX202*($AU202-$BF202)</f>
        <v>-5.5751781949891841</v>
      </c>
      <c r="CB202" s="42">
        <f>AVERAGE(0.72,0.69,0.4,0.22)</f>
        <v>0.50750000000000006</v>
      </c>
      <c r="CC202">
        <f>CB202*((600/$BG202)^0.67)</f>
        <v>0.53173531048528422</v>
      </c>
      <c r="CD202">
        <f>CB202*((600/$BH202)^0.67)</f>
        <v>0.52155930512955895</v>
      </c>
      <c r="CE202">
        <f>CB202*((600/$BI202)^0.67)</f>
        <v>0.51687533860292123</v>
      </c>
      <c r="CF202" s="39">
        <f>CC202*($AM202-$BB202)</f>
        <v>-4.7774660477049151</v>
      </c>
      <c r="CG202" s="39">
        <f>CD202*($AD202-$BD202)</f>
        <v>0.35002800720495447</v>
      </c>
      <c r="CH202" s="39">
        <f>CE202*($AU202-$BF202)</f>
        <v>-0.86344053260123454</v>
      </c>
      <c r="CI202">
        <v>25.862639018895301</v>
      </c>
      <c r="CJ202">
        <f>((BG202/BH202)^0.67)*CI202</f>
        <v>25.36769661431946</v>
      </c>
      <c r="CK202">
        <f>((BH202/BH202)^0.67)*CI202</f>
        <v>25.862639018895301</v>
      </c>
      <c r="CL202">
        <f>((BI202/BH202)^0.67)*CI202</f>
        <v>26.097008365636533</v>
      </c>
      <c r="CM202" s="39">
        <f>CJ202*($AM202-$BB202)</f>
        <v>-227.92037108234166</v>
      </c>
      <c r="CN202" s="39">
        <f>CK202*($AD202-$BD202)</f>
        <v>17.356890976369947</v>
      </c>
      <c r="CO202" s="39">
        <f>CL202*($AU202-$BF202)</f>
        <v>-43.595066584971576</v>
      </c>
      <c r="CP202" s="27">
        <f>VLOOKUP(A202,Water!$A$2:$E$109, 5, FALSE)/1000</f>
        <v>7.9000000000000001E-4</v>
      </c>
      <c r="CQ202">
        <f>0.64*CP202</f>
        <v>5.0560000000000004E-4</v>
      </c>
      <c r="CR202" s="19">
        <f>CQ202*1000*(2.5*10^-5)</f>
        <v>1.2640000000000003E-5</v>
      </c>
      <c r="CS202" s="18">
        <f>(-0.0000009*F202^3)+(0.0002*F202^2)-(0.0134*F202)+6.579</f>
        <v>6.3750116904</v>
      </c>
      <c r="CT202" s="18">
        <f>CS202-(SQRT(CP202))/(1+1.4*SQRT(CP202))</f>
        <v>6.3479688786651991</v>
      </c>
      <c r="CU202" s="18">
        <f>10^(-CT202)</f>
        <v>4.4877754796528946E-7</v>
      </c>
      <c r="CV202" s="18">
        <f>(0.000001*F202^3)+(0.00006*F202^2)-(0.014*F202)+10.625</f>
        <v>10.362677944</v>
      </c>
      <c r="CW202" s="18">
        <f>CV202-(2*SQRT(CR202))/(1+1.4*SQRT(CR202))</f>
        <v>10.355602605178873</v>
      </c>
      <c r="CX202" s="18">
        <f>10^(-CW202)</f>
        <v>4.4095817129071619E-11</v>
      </c>
      <c r="CY202">
        <f>EXP(1246.98+-61900/H202-183*LN(H202))</f>
        <v>2.7100517548374385E-2</v>
      </c>
      <c r="CZ202">
        <f>12.225*(F202^2)+15.258*F202+1125.7</f>
        <v>7050.7821999999987</v>
      </c>
      <c r="DA202" s="15">
        <f>10^(-4470.99/H202+6.0875-0.01706*H202)</f>
        <v>7.6458224309505178E-15</v>
      </c>
      <c r="DB202">
        <f>(10^-I202)</f>
        <v>9.3325430079699202E-10</v>
      </c>
      <c r="DC202">
        <f>DB202^2</f>
        <v>8.7096358995608252E-19</v>
      </c>
      <c r="DD202" s="20">
        <f>((14.6836*10^-9)*((H202/217.2056)-1)^1.997)*100*100</f>
        <v>1.8676417988154074E-5</v>
      </c>
      <c r="DE202">
        <f>CY202+CZ202*DA202/DB202</f>
        <v>8.4865082527575381E-2</v>
      </c>
      <c r="DF202">
        <f>1+DC202*(CU202*CX202+CU202*DB202)^-1</f>
        <v>1.0019857231958398</v>
      </c>
      <c r="DG202">
        <f>(DE202*DF202/DD202)^0.5</f>
        <v>67.475870048755581</v>
      </c>
      <c r="DH202">
        <f>DD202/(BO202/60/60)</f>
        <v>2.863157339351231E-2</v>
      </c>
      <c r="DI202" s="16">
        <f>DF202/((DF202-1)+TANH(DG202*DH202)/(DG202*DH202))</f>
        <v>2.0107238423934901</v>
      </c>
      <c r="DJ202">
        <f>$DI202*BR202</f>
        <v>-42.423393687981978</v>
      </c>
      <c r="DK202">
        <f>$DI202*BY202</f>
        <v>-62.026368928535632</v>
      </c>
      <c r="DL202">
        <f>$DI202*CF202</f>
        <v>-9.6061648883456687</v>
      </c>
      <c r="DM202">
        <f>$DI202*CM202</f>
        <v>-458.28492430243614</v>
      </c>
    </row>
    <row r="203" spans="1:117" ht="15.75" x14ac:dyDescent="0.25">
      <c r="A203" s="52" t="s">
        <v>325</v>
      </c>
      <c r="B203" s="55" t="s">
        <v>340</v>
      </c>
      <c r="C203" s="62" t="s">
        <v>389</v>
      </c>
      <c r="D203" s="57">
        <v>43293</v>
      </c>
      <c r="E203" s="42" t="str">
        <f>A203&amp;D203</f>
        <v>32C43293</v>
      </c>
      <c r="F203" s="3">
        <f>VLOOKUP($E203,Water!$C$2:$E$90, 2, FALSE)</f>
        <v>21.4</v>
      </c>
      <c r="G203" s="3">
        <f>VLOOKUP($E203,Water!$C$2:$E$90, 3, FALSE)</f>
        <v>1.4</v>
      </c>
      <c r="H203" s="1">
        <f>F203+273.15</f>
        <v>294.54999999999995</v>
      </c>
      <c r="I203" s="3">
        <f>VLOOKUP($E203,Water!$C$2:$F$90, 4, FALSE)</f>
        <v>9.0299999999999994</v>
      </c>
      <c r="J203">
        <f>10^(I203*-1)</f>
        <v>9.3325430079699202E-10</v>
      </c>
      <c r="K203" s="25">
        <f>VLOOKUP($E203,Atm!$D$2:$G$100, 2, FALSE)</f>
        <v>459.97742632397319</v>
      </c>
      <c r="L203" s="25">
        <f>VLOOKUP($E203,Atm!$D$2:$G$100, 3, FALSE)</f>
        <v>2.0155666148013589</v>
      </c>
      <c r="M203" s="25">
        <f>VLOOKUP($E203,Atm!$D$2:$G$100, 4, FALSE)</f>
        <v>0.28809610637338745</v>
      </c>
      <c r="N203" s="21">
        <f>VLOOKUP($C203,Raw!$B$2:$F$353, 3, FALSE)</f>
        <v>190.86014528520681</v>
      </c>
      <c r="O203" s="21">
        <f>VLOOKUP($C203,Raw!$B$2:$F$353, 4, FALSE)</f>
        <v>217.45993948538569</v>
      </c>
      <c r="P203" s="21">
        <f>VLOOKUP($C203,Raw!$B$2:$F$353, 5, FALSE)</f>
        <v>0.27765939045999777</v>
      </c>
      <c r="Q203" s="14">
        <v>60</v>
      </c>
      <c r="R203" s="25">
        <v>1140</v>
      </c>
      <c r="S203">
        <f>EXP(24.4543-(100/H203*(67.4509))-(4.8489*LN(H203/100))-(0.000544*G203))</f>
        <v>2.5115554083184114E-2</v>
      </c>
      <c r="T203" s="8">
        <f>EXP(-58.0931+90.5069*(100/H203)+22.294*LN(H203/100)+G203*(0.027766-0.025888*(H203/100)+0.0050578*(H203/100)^2)*G203)</f>
        <v>3.7208443201200515E-2</v>
      </c>
      <c r="U203" s="9">
        <f>(EXP(-67.1962+99.1624*(100/H203)+27.9015*LN(H203/100)+G203*(-0.072909+0.041674*(H203/100)-0.0064603*(H203/100)^2)*G203))</f>
        <v>3.3331690522100083E-2</v>
      </c>
      <c r="V203" s="9">
        <f>(EXP(-64.8539+100.252*(100/H203)+25.2049*LN(H203/100)+(-0.062544+0.035337*(H203/100)-0.0054699*(H203/100)^2)*G203))</f>
        <v>2.7372386939399806E-2</v>
      </c>
      <c r="W203" s="9">
        <f>(EXP(-68.8862+101.4956*(100/H203)+28.7314*LN(H203/100)+G203*(-0.076146+0.04397*(H203/100)-0.0068672*(H203/100)^2)))</f>
        <v>3.3402324898510041E-2</v>
      </c>
      <c r="X203">
        <f>N203*(AZ203-S203)</f>
        <v>172.95750858411944</v>
      </c>
      <c r="Y203">
        <f>O203*(AZ203-S203)</f>
        <v>197.06224834966039</v>
      </c>
      <c r="Z203">
        <f>((Y203/10^6)*AZ203)/(0.082056*H203)</f>
        <v>7.5933082418586173E-6</v>
      </c>
      <c r="AA203">
        <f>(((L203/10^6)*AZ203)/(0.082056*H203))</f>
        <v>7.7664893790463081E-8</v>
      </c>
      <c r="AB203">
        <f>((Y203/10^6)*U203*1)/(0.082056*H203)</f>
        <v>2.7176367373689312E-7</v>
      </c>
      <c r="AC203">
        <f>(Z203*(Q203/1000))+(AB203*(R203/1000))</f>
        <v>7.6540908257157511E-7</v>
      </c>
      <c r="AD203" s="39">
        <f>((AC203-(AA203*(Q203/1000)))/(R203/1000))*1000000</f>
        <v>0.66732384995100635</v>
      </c>
      <c r="AE203" s="39">
        <f>(AD203/((U203*AZ203*1))*(0.0821*273.15))</f>
        <v>482.08842238718375</v>
      </c>
      <c r="AF203" s="39">
        <f>L203*U203*AZ203*1/(0.0821*273.15)</f>
        <v>2.790018616422424E-3</v>
      </c>
      <c r="AG203" s="39">
        <f>AD203-AF203</f>
        <v>0.66453383133458388</v>
      </c>
      <c r="AH203" s="42">
        <f>P203*(AZ203-S203)</f>
        <v>0.25161500499323275</v>
      </c>
      <c r="AI203">
        <f>(((X203/10^6)*(Q203/1000))/(0.082056*H203))</f>
        <v>4.2935972244959463E-7</v>
      </c>
      <c r="AJ203">
        <f>(((K203/10^6)*AZ203)*(Q203/1000))/(0.082056*H203)</f>
        <v>1.0634458131759439E-6</v>
      </c>
      <c r="AK203">
        <f>(X203/10^6)*T203*(R203/1000)</f>
        <v>7.3364467831856279E-6</v>
      </c>
      <c r="AL203">
        <f>AI203+AK203</f>
        <v>7.7658065056352226E-6</v>
      </c>
      <c r="AM203" s="39">
        <f>((AL203-AJ203)/(R203/1000))*1000000</f>
        <v>5.8792637653151578</v>
      </c>
      <c r="AN203" s="39">
        <f>AM203/(T203*AZ203)</f>
        <v>169.6619597136395</v>
      </c>
      <c r="AO203" s="39">
        <f>(K203*AZ203)*T203</f>
        <v>15.939510659984739</v>
      </c>
      <c r="AP203" s="39">
        <f>AM203-AO203</f>
        <v>-10.060246894669582</v>
      </c>
      <c r="AQ203">
        <f>(((AH203/10^6)*(Q203/1000))/(0.082056*H203))</f>
        <v>6.2462364075685562E-10</v>
      </c>
      <c r="AR203">
        <f>(((M203/10^6)*AZ203)*(Q203/1000))/(0.082056*H203)</f>
        <v>6.6606442095113426E-10</v>
      </c>
      <c r="AS203">
        <f>(AH203/10^6)*V203*(R203/1000)</f>
        <v>7.8515257351345105E-9</v>
      </c>
      <c r="AT203">
        <f>AQ203+AS203</f>
        <v>8.4761493758913667E-9</v>
      </c>
      <c r="AU203" s="39">
        <f>((AT203-AR203)/(R203/1000))*1000000000</f>
        <v>6.8509517148598533</v>
      </c>
      <c r="AV203" s="39">
        <f>(AU203/1000)/(V203*AZ203)</f>
        <v>0.26874554273662254</v>
      </c>
      <c r="AW203" s="39">
        <f>(M203*AZ203)*V203*1000</f>
        <v>7.3442427878236964</v>
      </c>
      <c r="AX203" s="39">
        <f>AU203-AW203</f>
        <v>-0.49329107296384311</v>
      </c>
      <c r="AY203" s="26">
        <f>VLOOKUP($E203,Water!$C$2:$G$90, 5, FALSE)</f>
        <v>707.8</v>
      </c>
      <c r="AZ203">
        <f>AY203/760</f>
        <v>0.9313157894736841</v>
      </c>
      <c r="BA203" s="3">
        <f>Assumptions!$B$3</f>
        <v>406.07</v>
      </c>
      <c r="BB203" s="3">
        <f>BA203*AZ203*T203</f>
        <v>14.071466822681044</v>
      </c>
      <c r="BC203" s="3">
        <f>Assumptions!$B$4</f>
        <v>1.8474300000000001</v>
      </c>
      <c r="BD203" s="45">
        <f>BC203*AZ203*U203*1/(0.0821*273.15)</f>
        <v>2.5572779657522067E-3</v>
      </c>
      <c r="BE203" s="3">
        <f>Assumptions!$B$2</f>
        <v>0.33054499999999998</v>
      </c>
      <c r="BF203" s="44">
        <f>BE203*AZ203*V203*1000</f>
        <v>8.4263642534442482</v>
      </c>
      <c r="BG203">
        <f>1923.6+(-125.06*F203)+(4.3773*(F203^2))+(-0.085681*(F203^3))+(0.00070284*(F203^4))</f>
        <v>559.64581256294412</v>
      </c>
      <c r="BH203">
        <f>1909.4+(-120.78*F203)+(4.1555*(F203^2))+(-0.080578*(F203^3))+(0.00065777*(F203^4))</f>
        <v>576.02102780763198</v>
      </c>
      <c r="BI203">
        <f>2141.2+(-152.56*F203)+(5.8963*(F203^2))+(-0.12411*(F203^3))+(0.0010655*(F203^4))</f>
        <v>583.82935794480022</v>
      </c>
      <c r="BJ203" s="25">
        <f>VLOOKUP(E203,Wind!$C$2:$E$109,3, FALSE)</f>
        <v>2.8333333333333335</v>
      </c>
      <c r="BK203" s="44">
        <v>1.66</v>
      </c>
      <c r="BL203">
        <f>BK203/(1-(((1.3*10^-3)^0.5)/0.41)*LN(10/1.5))</f>
        <v>1.9923982880693825</v>
      </c>
      <c r="BM203">
        <f>BK203*1.22</f>
        <v>2.0251999999999999</v>
      </c>
      <c r="BN203">
        <f>2.07+0.215*(BM203^1.7)*(24/100)</f>
        <v>2.241255750541113</v>
      </c>
      <c r="BO203">
        <f>BN203*((600/BG203)^0.67)</f>
        <v>2.3482853643170589</v>
      </c>
      <c r="BP203">
        <f>BN203*((600/BH203)^0.67)</f>
        <v>2.3033454026992137</v>
      </c>
      <c r="BQ203">
        <f>BN203*((600/BI203)^0.67)</f>
        <v>2.2826597536092255</v>
      </c>
      <c r="BR203" s="39">
        <f>BO203*(AM203-BB203)</f>
        <v>-19.237630541125778</v>
      </c>
      <c r="BS203" s="39">
        <f>BP203*(AD203-BD203)</f>
        <v>1.531187027450351</v>
      </c>
      <c r="BT203" s="39">
        <f>BQ203*(AU203-BF203)</f>
        <v>-3.5961307971579393</v>
      </c>
      <c r="BU203">
        <f>(2.51+1.48*BM203)+(0.39*BM203*LOG10(0.0015))</f>
        <v>3.2768938069574309</v>
      </c>
      <c r="BV203">
        <f>BU203*((600/$BG203)^0.67)</f>
        <v>3.4333795977730333</v>
      </c>
      <c r="BW203">
        <f>BU203*((600/$BH203)^0.67)</f>
        <v>3.3676738067784684</v>
      </c>
      <c r="BX203">
        <f>BU203*((600/$BI203)^0.67)</f>
        <v>3.3374297458855913</v>
      </c>
      <c r="BY203" s="39">
        <f>BV203*($AM203-$BB203)</f>
        <v>-28.126942837973903</v>
      </c>
      <c r="BZ203" s="39">
        <f>BW203*($AD203-$BD203)</f>
        <v>2.2387169720966535</v>
      </c>
      <c r="CA203" s="39">
        <f>BX203*($AU203-$BF203)</f>
        <v>-5.2578286683126914</v>
      </c>
      <c r="CB203" s="42">
        <f>AVERAGE(0.72,0.69,0.4,0.22)</f>
        <v>0.50750000000000006</v>
      </c>
      <c r="CC203">
        <f>CB203*((600/$BG203)^0.67)</f>
        <v>0.53173531048528422</v>
      </c>
      <c r="CD203">
        <f>CB203*((600/$BH203)^0.67)</f>
        <v>0.52155930512955895</v>
      </c>
      <c r="CE203">
        <f>CB203*((600/$BI203)^0.67)</f>
        <v>0.51687533860292123</v>
      </c>
      <c r="CF203" s="39">
        <f>CC203*($AM203-$BB203)</f>
        <v>-4.3560836362669448</v>
      </c>
      <c r="CG203" s="39">
        <f>CD203*($AD203-$BD203)</f>
        <v>0.34671519135798806</v>
      </c>
      <c r="CH203" s="39">
        <f>CE203*($AU203-$BF203)</f>
        <v>-0.81429188932009677</v>
      </c>
      <c r="CI203">
        <v>26.862639018895301</v>
      </c>
      <c r="CJ203">
        <f>((BG203/BH203)^0.67)*CI203</f>
        <v>26.348559263169243</v>
      </c>
      <c r="CK203">
        <f>((BH203/BH203)^0.67)*CI203</f>
        <v>26.862639018895301</v>
      </c>
      <c r="CL203">
        <f>((BI203/BH203)^0.67)*CI203</f>
        <v>27.106070447296879</v>
      </c>
      <c r="CM203" s="39">
        <f>CJ203*($AM203-$BB203)</f>
        <v>-215.85274775292135</v>
      </c>
      <c r="CN203" s="39">
        <f>CK203*($AD203-$BD203)</f>
        <v>17.85738445506836</v>
      </c>
      <c r="CO203" s="39">
        <f>CL203*($AU203-$BF203)</f>
        <v>-42.70324325442342</v>
      </c>
      <c r="CP203" s="27">
        <f>VLOOKUP(A203,Water!$A$2:$E$109, 5, FALSE)/1000</f>
        <v>7.9000000000000001E-4</v>
      </c>
      <c r="CQ203">
        <f>0.64*CP203</f>
        <v>5.0560000000000004E-4</v>
      </c>
      <c r="CR203" s="19">
        <f>CQ203*1000*(2.5*10^-5)</f>
        <v>1.2640000000000003E-5</v>
      </c>
      <c r="CS203" s="18">
        <f>(-0.0000009*F203^3)+(0.0002*F203^2)-(0.0134*F203)+6.579</f>
        <v>6.3750116904</v>
      </c>
      <c r="CT203" s="18">
        <f>CS203-(SQRT(CP203))/(1+1.4*SQRT(CP203))</f>
        <v>6.3479688786651991</v>
      </c>
      <c r="CU203" s="18">
        <f>10^(-CT203)</f>
        <v>4.4877754796528946E-7</v>
      </c>
      <c r="CV203" s="18">
        <f>(0.000001*F203^3)+(0.00006*F203^2)-(0.014*F203)+10.625</f>
        <v>10.362677944</v>
      </c>
      <c r="CW203" s="18">
        <f>CV203-(2*SQRT(CR203))/(1+1.4*SQRT(CR203))</f>
        <v>10.355602605178873</v>
      </c>
      <c r="CX203" s="18">
        <f>10^(-CW203)</f>
        <v>4.4095817129071619E-11</v>
      </c>
      <c r="CY203">
        <f>EXP(1246.98+-61900/H203-183*LN(H203))</f>
        <v>2.7100517548374385E-2</v>
      </c>
      <c r="CZ203">
        <f>12.225*(F203^2)+15.258*F203+1125.7</f>
        <v>7050.7821999999987</v>
      </c>
      <c r="DA203" s="15">
        <f>10^(-4470.99/H203+6.0875-0.01706*H203)</f>
        <v>7.6458224309505178E-15</v>
      </c>
      <c r="DB203">
        <f>(10^-I203)</f>
        <v>9.3325430079699202E-10</v>
      </c>
      <c r="DC203">
        <f>DB203^2</f>
        <v>8.7096358995608252E-19</v>
      </c>
      <c r="DD203" s="20">
        <f>((14.6836*10^-9)*((H203/217.2056)-1)^1.997)*100*100</f>
        <v>1.8676417988154074E-5</v>
      </c>
      <c r="DE203">
        <f>CY203+CZ203*DA203/DB203</f>
        <v>8.4865082527575381E-2</v>
      </c>
      <c r="DF203">
        <f>1+DC203*(CU203*CX203+CU203*DB203)^-1</f>
        <v>1.0019857231958398</v>
      </c>
      <c r="DG203">
        <f>(DE203*DF203/DD203)^0.5</f>
        <v>67.475870048755581</v>
      </c>
      <c r="DH203">
        <f>DD203/(BO203/60/60)</f>
        <v>2.863157339351231E-2</v>
      </c>
      <c r="DI203" s="16">
        <f>DF203/((DF203-1)+TANH(DG203*DH203)/(DG203*DH203))</f>
        <v>2.0107238423934901</v>
      </c>
      <c r="DJ203">
        <f>$DI203*BR203</f>
        <v>-38.681562400198779</v>
      </c>
      <c r="DK203">
        <f>$DI203*BY203</f>
        <v>-56.555514577952941</v>
      </c>
      <c r="DL203">
        <f>$DI203*CF203</f>
        <v>-8.7588812269020782</v>
      </c>
      <c r="DM203">
        <f>$DI203*CM203</f>
        <v>-434.02026635294681</v>
      </c>
    </row>
    <row r="204" spans="1:117" ht="15.75" x14ac:dyDescent="0.25">
      <c r="A204" s="52" t="s">
        <v>325</v>
      </c>
      <c r="B204" s="55" t="s">
        <v>341</v>
      </c>
      <c r="C204" s="62" t="s">
        <v>390</v>
      </c>
      <c r="D204" s="57">
        <v>43293</v>
      </c>
      <c r="E204" s="42" t="str">
        <f>A204&amp;D204</f>
        <v>32C43293</v>
      </c>
      <c r="F204" s="3">
        <f>VLOOKUP($E204,Water!$C$2:$E$90, 2, FALSE)</f>
        <v>21.4</v>
      </c>
      <c r="G204" s="3">
        <f>VLOOKUP($E204,Water!$C$2:$E$90, 3, FALSE)</f>
        <v>1.4</v>
      </c>
      <c r="H204" s="1">
        <f>F204+273.15</f>
        <v>294.54999999999995</v>
      </c>
      <c r="I204" s="3">
        <f>VLOOKUP($E204,Water!$C$2:$F$90, 4, FALSE)</f>
        <v>9.0299999999999994</v>
      </c>
      <c r="J204">
        <f>10^(I204*-1)</f>
        <v>9.3325430079699202E-10</v>
      </c>
      <c r="K204" s="25">
        <f>VLOOKUP($E204,Atm!$D$2:$G$100, 2, FALSE)</f>
        <v>459.97742632397319</v>
      </c>
      <c r="L204" s="25">
        <f>VLOOKUP($E204,Atm!$D$2:$G$100, 3, FALSE)</f>
        <v>2.0155666148013589</v>
      </c>
      <c r="M204" s="25">
        <f>VLOOKUP($E204,Atm!$D$2:$G$100, 4, FALSE)</f>
        <v>0.28809610637338745</v>
      </c>
      <c r="N204" s="21">
        <f>VLOOKUP($C204,Raw!$B$2:$F$353, 3, FALSE)</f>
        <v>291.51913319083042</v>
      </c>
      <c r="O204" s="21">
        <f>VLOOKUP($C204,Raw!$B$2:$F$353, 4, FALSE)</f>
        <v>104.5213695656705</v>
      </c>
      <c r="P204" s="21">
        <f>VLOOKUP($C204,Raw!$B$2:$F$353, 5, FALSE)</f>
        <v>0.28512773794105767</v>
      </c>
      <c r="Q204" s="14">
        <v>60</v>
      </c>
      <c r="R204" s="25">
        <v>1140</v>
      </c>
      <c r="S204">
        <f>EXP(24.4543-(100/H204*(67.4509))-(4.8489*LN(H204/100))-(0.000544*G204))</f>
        <v>2.5115554083184114E-2</v>
      </c>
      <c r="T204" s="8">
        <f>EXP(-58.0931+90.5069*(100/H204)+22.294*LN(H204/100)+G204*(0.027766-0.025888*(H204/100)+0.0050578*(H204/100)^2)*G204)</f>
        <v>3.7208443201200515E-2</v>
      </c>
      <c r="U204" s="9">
        <f>(EXP(-67.1962+99.1624*(100/H204)+27.9015*LN(H204/100)+G204*(-0.072909+0.041674*(H204/100)-0.0064603*(H204/100)^2)*G204))</f>
        <v>3.3331690522100083E-2</v>
      </c>
      <c r="V204" s="9">
        <f>(EXP(-64.8539+100.252*(100/H204)+25.2049*LN(H204/100)+(-0.062544+0.035337*(H204/100)-0.0054699*(H204/100)^2)*G204))</f>
        <v>2.7372386939399806E-2</v>
      </c>
      <c r="W204" s="9">
        <f>(EXP(-68.8862+101.4956*(100/H204)+28.7314*LN(H204/100)+G204*(-0.076146+0.04397*(H204/100)-0.0068672*(H204/100)^2)))</f>
        <v>3.3402324898510041E-2</v>
      </c>
      <c r="X204">
        <f>N204*(AZ204-S204)</f>
        <v>264.17470711836506</v>
      </c>
      <c r="Y204">
        <f>O204*(AZ204-S204)</f>
        <v>94.717289703748051</v>
      </c>
      <c r="Z204">
        <f>((Y204/10^6)*AZ204)/(0.082056*H204)</f>
        <v>3.6496974056533938E-6</v>
      </c>
      <c r="AA204">
        <f>(((L204/10^6)*AZ204)/(0.082056*H204))</f>
        <v>7.7664893790463081E-8</v>
      </c>
      <c r="AB204">
        <f>((Y204/10^6)*U204*1)/(0.082056*H204)</f>
        <v>1.3062227205800847E-7</v>
      </c>
      <c r="AC204">
        <f>(Z204*(Q204/1000))+(AB204*(R204/1000))</f>
        <v>3.6789123448533323E-7</v>
      </c>
      <c r="AD204" s="39">
        <f>((AC204-(AA204*(Q204/1000)))/(R204/1000))*1000000</f>
        <v>0.31862398320868907</v>
      </c>
      <c r="AE204" s="39">
        <f>(AD204/((U204*AZ204*1))*(0.0821*273.15))</f>
        <v>230.18049394019835</v>
      </c>
      <c r="AF204" s="39">
        <f>L204*U204*AZ204*1/(0.0821*273.15)</f>
        <v>2.790018616422424E-3</v>
      </c>
      <c r="AG204" s="39">
        <f>AD204-AF204</f>
        <v>0.31583396459226665</v>
      </c>
      <c r="AH204" s="42">
        <f>P204*(AZ204-S204)</f>
        <v>0.25838282323854728</v>
      </c>
      <c r="AI204">
        <f>(((X204/10^6)*(Q204/1000))/(0.082056*H204))</f>
        <v>6.5580257171303111E-7</v>
      </c>
      <c r="AJ204">
        <f>(((K204/10^6)*AZ204)*(Q204/1000))/(0.082056*H204)</f>
        <v>1.0634458131759439E-6</v>
      </c>
      <c r="AK204">
        <f>(X204/10^6)*T204*(R204/1000)</f>
        <v>1.1205663726908512E-5</v>
      </c>
      <c r="AL204">
        <f>AI204+AK204</f>
        <v>1.1861466298621544E-5</v>
      </c>
      <c r="AM204" s="39">
        <f>((AL204-AJ204)/(R204/1000))*1000000</f>
        <v>9.4719477942505268</v>
      </c>
      <c r="AN204" s="39">
        <f>AM204/(T204*AZ204)</f>
        <v>273.33851468929367</v>
      </c>
      <c r="AO204" s="39">
        <f>(K204*AZ204)*T204</f>
        <v>15.939510659984739</v>
      </c>
      <c r="AP204" s="39">
        <f>AM204-AO204</f>
        <v>-6.4675628657342124</v>
      </c>
      <c r="AQ204">
        <f>(((AH204/10^6)*(Q204/1000))/(0.082056*H204))</f>
        <v>6.4142446419138295E-10</v>
      </c>
      <c r="AR204">
        <f>(((M204/10^6)*AZ204)*(Q204/1000))/(0.082056*H204)</f>
        <v>6.6606442095113426E-10</v>
      </c>
      <c r="AS204">
        <f>(AH204/10^6)*V204*(R204/1000)</f>
        <v>8.062712262445269E-9</v>
      </c>
      <c r="AT204">
        <f>AQ204+AS204</f>
        <v>8.704136726636652E-9</v>
      </c>
      <c r="AU204" s="39">
        <f>((AT204-AR204)/(R204/1000))*1000000000</f>
        <v>7.0509406190223842</v>
      </c>
      <c r="AV204" s="39">
        <f>(AU204/1000)/(V204*AZ204)</f>
        <v>0.27659060263886726</v>
      </c>
      <c r="AW204" s="39">
        <f>(M204*AZ204)*V204*1000</f>
        <v>7.3442427878236964</v>
      </c>
      <c r="AX204" s="39">
        <f>AU204-AW204</f>
        <v>-0.29330216880131221</v>
      </c>
      <c r="AY204" s="26">
        <f>VLOOKUP($E204,Water!$C$2:$G$90, 5, FALSE)</f>
        <v>707.8</v>
      </c>
      <c r="AZ204">
        <f>AY204/760</f>
        <v>0.9313157894736841</v>
      </c>
      <c r="BA204" s="3">
        <f>Assumptions!$B$3</f>
        <v>406.07</v>
      </c>
      <c r="BB204" s="3">
        <f>BA204*AZ204*T204</f>
        <v>14.071466822681044</v>
      </c>
      <c r="BC204" s="3">
        <f>Assumptions!$B$4</f>
        <v>1.8474300000000001</v>
      </c>
      <c r="BD204" s="45">
        <f>BC204*AZ204*U204*1/(0.0821*273.15)</f>
        <v>2.5572779657522067E-3</v>
      </c>
      <c r="BE204" s="3">
        <f>Assumptions!$B$2</f>
        <v>0.33054499999999998</v>
      </c>
      <c r="BF204" s="44">
        <f>BE204*AZ204*V204*1000</f>
        <v>8.4263642534442482</v>
      </c>
      <c r="BG204">
        <f>1923.6+(-125.06*F204)+(4.3773*(F204^2))+(-0.085681*(F204^3))+(0.00070284*(F204^4))</f>
        <v>559.64581256294412</v>
      </c>
      <c r="BH204">
        <f>1909.4+(-120.78*F204)+(4.1555*(F204^2))+(-0.080578*(F204^3))+(0.00065777*(F204^4))</f>
        <v>576.02102780763198</v>
      </c>
      <c r="BI204">
        <f>2141.2+(-152.56*F204)+(5.8963*(F204^2))+(-0.12411*(F204^3))+(0.0010655*(F204^4))</f>
        <v>583.82935794480022</v>
      </c>
      <c r="BJ204" s="25">
        <f>VLOOKUP(E204,Wind!$C$2:$E$109,3, FALSE)</f>
        <v>2.8333333333333335</v>
      </c>
      <c r="BK204" s="44">
        <v>1.66</v>
      </c>
      <c r="BL204">
        <f>BK204/(1-(((1.3*10^-3)^0.5)/0.41)*LN(10/1.5))</f>
        <v>1.9923982880693825</v>
      </c>
      <c r="BM204">
        <f>BK204*1.22</f>
        <v>2.0251999999999999</v>
      </c>
      <c r="BN204">
        <f>2.07+0.215*(BM204^1.7)*(24/100)</f>
        <v>2.241255750541113</v>
      </c>
      <c r="BO204">
        <f>BN204*((600/BG204)^0.67)</f>
        <v>2.3482853643170589</v>
      </c>
      <c r="BP204">
        <f>BN204*((600/BH204)^0.67)</f>
        <v>2.3033454026992137</v>
      </c>
      <c r="BQ204">
        <f>BN204*((600/BI204)^0.67)</f>
        <v>2.2826597536092255</v>
      </c>
      <c r="BR204" s="39">
        <f>BO204*(AM204-BB204)</f>
        <v>-10.800983217361203</v>
      </c>
      <c r="BS204" s="39">
        <f>BP204*(AD204-BD204)</f>
        <v>0.72801079246760603</v>
      </c>
      <c r="BT204" s="39">
        <f>BQ204*(AU204-BF204)</f>
        <v>-3.1396241744577176</v>
      </c>
      <c r="BU204">
        <f>(2.51+1.48*BM204)+(0.39*BM204*LOG10(0.0015))</f>
        <v>3.2768938069574309</v>
      </c>
      <c r="BV204">
        <f>BU204*((600/$BG204)^0.67)</f>
        <v>3.4333795977730333</v>
      </c>
      <c r="BW204">
        <f>BU204*((600/$BH204)^0.67)</f>
        <v>3.3676738067784684</v>
      </c>
      <c r="BX204">
        <f>BU204*((600/$BI204)^0.67)</f>
        <v>3.3374297458855913</v>
      </c>
      <c r="BY204" s="39">
        <f>BV204*($AM204-$BB204)</f>
        <v>-15.791894791782182</v>
      </c>
      <c r="BZ204" s="39">
        <f>BW204*($AD204-$BD204)</f>
        <v>1.0644095644414091</v>
      </c>
      <c r="CA204" s="39">
        <f>BX204*($AU204-$BF204)</f>
        <v>-4.5903797507135975</v>
      </c>
      <c r="CB204" s="42">
        <f>AVERAGE(0.72,0.69,0.4,0.22)</f>
        <v>0.50750000000000006</v>
      </c>
      <c r="CC204">
        <f>CB204*((600/$BG204)^0.67)</f>
        <v>0.53173531048528422</v>
      </c>
      <c r="CD204">
        <f>CB204*((600/$BH204)^0.67)</f>
        <v>0.52155930512955895</v>
      </c>
      <c r="CE204">
        <f>CB204*((600/$BI204)^0.67)</f>
        <v>0.51687533860292123</v>
      </c>
      <c r="CF204" s="39">
        <f>CC204*($AM204-$BB204)</f>
        <v>-2.4457266786654741</v>
      </c>
      <c r="CG204" s="39">
        <f>CD204*($AD204-$BD204)</f>
        <v>0.16484753116109527</v>
      </c>
      <c r="CH204" s="39">
        <f>CE204*($AU204-$BF204)</f>
        <v>-0.71092255676426153</v>
      </c>
      <c r="CI204">
        <v>27.862639018895301</v>
      </c>
      <c r="CJ204">
        <f>((BG204/BH204)^0.67)*CI204</f>
        <v>27.329421912019029</v>
      </c>
      <c r="CK204">
        <f>((BH204/BH204)^0.67)*CI204</f>
        <v>27.862639018895301</v>
      </c>
      <c r="CL204">
        <f>((BI204/BH204)^0.67)*CI204</f>
        <v>28.115132528957222</v>
      </c>
      <c r="CM204" s="39">
        <f>CJ204*($AM204-$BB204)</f>
        <v>-125.70219612033746</v>
      </c>
      <c r="CN204" s="39">
        <f>CK204*($AD204-$BD204)</f>
        <v>8.8064525140755325</v>
      </c>
      <c r="CO204" s="39">
        <f>CL204*($AU204-$BF204)</f>
        <v>-38.670217765230717</v>
      </c>
      <c r="CP204" s="27">
        <f>VLOOKUP(A204,Water!$A$2:$E$109, 5, FALSE)/1000</f>
        <v>7.9000000000000001E-4</v>
      </c>
      <c r="CQ204">
        <f>0.64*CP204</f>
        <v>5.0560000000000004E-4</v>
      </c>
      <c r="CR204" s="19">
        <f>CQ204*1000*(2.5*10^-5)</f>
        <v>1.2640000000000003E-5</v>
      </c>
      <c r="CS204" s="18">
        <f>(-0.0000009*F204^3)+(0.0002*F204^2)-(0.0134*F204)+6.579</f>
        <v>6.3750116904</v>
      </c>
      <c r="CT204" s="18">
        <f>CS204-(SQRT(CP204))/(1+1.4*SQRT(CP204))</f>
        <v>6.3479688786651991</v>
      </c>
      <c r="CU204" s="18">
        <f>10^(-CT204)</f>
        <v>4.4877754796528946E-7</v>
      </c>
      <c r="CV204" s="18">
        <f>(0.000001*F204^3)+(0.00006*F204^2)-(0.014*F204)+10.625</f>
        <v>10.362677944</v>
      </c>
      <c r="CW204" s="18">
        <f>CV204-(2*SQRT(CR204))/(1+1.4*SQRT(CR204))</f>
        <v>10.355602605178873</v>
      </c>
      <c r="CX204" s="18">
        <f>10^(-CW204)</f>
        <v>4.4095817129071619E-11</v>
      </c>
      <c r="CY204">
        <f>EXP(1246.98+-61900/H204-183*LN(H204))</f>
        <v>2.7100517548374385E-2</v>
      </c>
      <c r="CZ204">
        <f>12.225*(F204^2)+15.258*F204+1125.7</f>
        <v>7050.7821999999987</v>
      </c>
      <c r="DA204" s="15">
        <f>10^(-4470.99/H204+6.0875-0.01706*H204)</f>
        <v>7.6458224309505178E-15</v>
      </c>
      <c r="DB204">
        <f>(10^-I204)</f>
        <v>9.3325430079699202E-10</v>
      </c>
      <c r="DC204">
        <f>DB204^2</f>
        <v>8.7096358995608252E-19</v>
      </c>
      <c r="DD204" s="20">
        <f>((14.6836*10^-9)*((H204/217.2056)-1)^1.997)*100*100</f>
        <v>1.8676417988154074E-5</v>
      </c>
      <c r="DE204">
        <f>CY204+CZ204*DA204/DB204</f>
        <v>8.4865082527575381E-2</v>
      </c>
      <c r="DF204">
        <f>1+DC204*(CU204*CX204+CU204*DB204)^-1</f>
        <v>1.0019857231958398</v>
      </c>
      <c r="DG204">
        <f>(DE204*DF204/DD204)^0.5</f>
        <v>67.475870048755581</v>
      </c>
      <c r="DH204">
        <f>DD204/(BO204/60/60)</f>
        <v>2.863157339351231E-2</v>
      </c>
      <c r="DI204" s="16">
        <f>DF204/((DF204-1)+TANH(DG204*DH204)/(DG204*DH204))</f>
        <v>2.0107238423934901</v>
      </c>
      <c r="DJ204">
        <f>$DI204*BR204</f>
        <v>-21.717794476440119</v>
      </c>
      <c r="DK204">
        <f>$DI204*BY204</f>
        <v>-31.753139374406015</v>
      </c>
      <c r="DL204">
        <f>$DI204*CF204</f>
        <v>-4.9176809447705105</v>
      </c>
      <c r="DM204">
        <f>$DI204*CM204</f>
        <v>-252.75240278038501</v>
      </c>
    </row>
    <row r="205" spans="1:117" ht="15.75" x14ac:dyDescent="0.25">
      <c r="A205" s="52" t="s">
        <v>325</v>
      </c>
      <c r="B205" s="55" t="s">
        <v>342</v>
      </c>
      <c r="C205" s="62" t="s">
        <v>391</v>
      </c>
      <c r="D205" s="57">
        <v>43293</v>
      </c>
      <c r="E205" s="42" t="str">
        <f>A205&amp;D205</f>
        <v>32C43293</v>
      </c>
      <c r="F205" s="3">
        <f>VLOOKUP($E205,Water!$C$2:$E$90, 2, FALSE)</f>
        <v>21.4</v>
      </c>
      <c r="G205" s="3">
        <f>VLOOKUP($E205,Water!$C$2:$E$90, 3, FALSE)</f>
        <v>1.4</v>
      </c>
      <c r="H205" s="1">
        <f>F205+273.15</f>
        <v>294.54999999999995</v>
      </c>
      <c r="I205" s="3">
        <f>VLOOKUP($E205,Water!$C$2:$F$90, 4, FALSE)</f>
        <v>9.0299999999999994</v>
      </c>
      <c r="J205">
        <f>10^(I205*-1)</f>
        <v>9.3325430079699202E-10</v>
      </c>
      <c r="K205" s="25">
        <f>VLOOKUP($E205,Atm!$D$2:$G$100, 2, FALSE)</f>
        <v>459.97742632397319</v>
      </c>
      <c r="L205" s="25">
        <f>VLOOKUP($E205,Atm!$D$2:$G$100, 3, FALSE)</f>
        <v>2.0155666148013589</v>
      </c>
      <c r="M205" s="25">
        <f>VLOOKUP($E205,Atm!$D$2:$G$100, 4, FALSE)</f>
        <v>0.28809610637338745</v>
      </c>
      <c r="N205" s="21">
        <f>VLOOKUP($C205,Raw!$B$2:$F$353, 3, FALSE)</f>
        <v>285.49220671817432</v>
      </c>
      <c r="O205" s="21">
        <f>VLOOKUP($C205,Raw!$B$2:$F$353, 4, FALSE)</f>
        <v>123.87695868364921</v>
      </c>
      <c r="P205" s="21">
        <f>VLOOKUP($C205,Raw!$B$2:$F$353, 5, FALSE)</f>
        <v>0.2826835558739505</v>
      </c>
      <c r="Q205" s="14">
        <v>60</v>
      </c>
      <c r="R205" s="25">
        <v>1140</v>
      </c>
      <c r="S205">
        <f>EXP(24.4543-(100/H205*(67.4509))-(4.8489*LN(H205/100))-(0.000544*G205))</f>
        <v>2.5115554083184114E-2</v>
      </c>
      <c r="T205" s="8">
        <f>EXP(-58.0931+90.5069*(100/H205)+22.294*LN(H205/100)+G205*(0.027766-0.025888*(H205/100)+0.0050578*(H205/100)^2)*G205)</f>
        <v>3.7208443201200515E-2</v>
      </c>
      <c r="U205" s="9">
        <f>(EXP(-67.1962+99.1624*(100/H205)+27.9015*LN(H205/100)+G205*(-0.072909+0.041674*(H205/100)-0.0064603*(H205/100)^2)*G205))</f>
        <v>3.3331690522100083E-2</v>
      </c>
      <c r="V205" s="9">
        <f>(EXP(-64.8539+100.252*(100/H205)+25.2049*LN(H205/100)+(-0.062544+0.035337*(H205/100)-0.0054699*(H205/100)^2)*G205))</f>
        <v>2.7372386939399806E-2</v>
      </c>
      <c r="W205" s="9">
        <f>(EXP(-68.8862+101.4956*(100/H205)+28.7314*LN(H205/100)+G205*(-0.076146+0.04397*(H205/100)-0.0068672*(H205/100)^2)))</f>
        <v>3.3402324898510041E-2</v>
      </c>
      <c r="X205">
        <f>N205*(AZ205-S205)</f>
        <v>258.71310493016284</v>
      </c>
      <c r="Y205">
        <f>O205*(AZ205-S205)</f>
        <v>112.25732911858215</v>
      </c>
      <c r="Z205">
        <f>((Y205/10^6)*AZ205)/(0.082056*H205)</f>
        <v>4.3255596114618988E-6</v>
      </c>
      <c r="AA205">
        <f>(((L205/10^6)*AZ205)/(0.082056*H205))</f>
        <v>7.7664893790463081E-8</v>
      </c>
      <c r="AB205">
        <f>((Y205/10^6)*U205*1)/(0.082056*H205)</f>
        <v>1.5481130668430216E-7</v>
      </c>
      <c r="AC205">
        <f>(Z205*(Q205/1000))+(AB205*(R205/1000))</f>
        <v>4.3601846630781839E-7</v>
      </c>
      <c r="AD205" s="39">
        <f>((AC205-(AA205*(Q205/1000)))/(R205/1000))*1000000</f>
        <v>0.37838471287753567</v>
      </c>
      <c r="AE205" s="39">
        <f>(AD205/((U205*AZ205*1))*(0.0821*273.15))</f>
        <v>273.35286952497086</v>
      </c>
      <c r="AF205" s="39">
        <f>L205*U205*AZ205*1/(0.0821*273.15)</f>
        <v>2.790018616422424E-3</v>
      </c>
      <c r="AG205" s="39">
        <f>AD205-AF205</f>
        <v>0.37559469426111325</v>
      </c>
      <c r="AH205" s="42">
        <f>P205*(AZ205-S205)</f>
        <v>0.25616790487399749</v>
      </c>
      <c r="AI205">
        <f>(((X205/10^6)*(Q205/1000))/(0.082056*H205))</f>
        <v>6.4224437456476398E-7</v>
      </c>
      <c r="AJ205">
        <f>(((K205/10^6)*AZ205)*(Q205/1000))/(0.082056*H205)</f>
        <v>1.0634458131759439E-6</v>
      </c>
      <c r="AK205">
        <f>(X205/10^6)*T205*(R205/1000)</f>
        <v>1.0973995532028221E-5</v>
      </c>
      <c r="AL205">
        <f>AI205+AK205</f>
        <v>1.1616239906592984E-5</v>
      </c>
      <c r="AM205" s="39">
        <f>((AL205-AJ205)/(R205/1000))*1000000</f>
        <v>9.2568369240500363</v>
      </c>
      <c r="AN205" s="39">
        <f>AM205/(T205*AZ205)</f>
        <v>267.13091230049946</v>
      </c>
      <c r="AO205" s="39">
        <f>(K205*AZ205)*T205</f>
        <v>15.939510659984739</v>
      </c>
      <c r="AP205" s="39">
        <f>AM205-AO205</f>
        <v>-6.6826737359347028</v>
      </c>
      <c r="AQ205">
        <f>(((AH205/10^6)*(Q205/1000))/(0.082056*H205))</f>
        <v>6.3592602274159134E-10</v>
      </c>
      <c r="AR205">
        <f>(((M205/10^6)*AZ205)*(Q205/1000))/(0.082056*H205)</f>
        <v>6.6606442095113426E-10</v>
      </c>
      <c r="AS205">
        <f>(AH205/10^6)*V205*(R205/1000)</f>
        <v>7.993596795579718E-9</v>
      </c>
      <c r="AT205">
        <f>AQ205+AS205</f>
        <v>8.6295228183213097E-9</v>
      </c>
      <c r="AU205" s="39">
        <f>((AT205-AR205)/(R205/1000))*1000000000</f>
        <v>6.9854898222545403</v>
      </c>
      <c r="AV205" s="39">
        <f>(AU205/1000)/(V205*AZ205)</f>
        <v>0.27402313309127635</v>
      </c>
      <c r="AW205" s="39">
        <f>(M205*AZ205)*V205*1000</f>
        <v>7.3442427878236964</v>
      </c>
      <c r="AX205" s="39">
        <f>AU205-AW205</f>
        <v>-0.35875296556915615</v>
      </c>
      <c r="AY205" s="26">
        <f>VLOOKUP($E205,Water!$C$2:$G$90, 5, FALSE)</f>
        <v>707.8</v>
      </c>
      <c r="AZ205">
        <f>AY205/760</f>
        <v>0.9313157894736841</v>
      </c>
      <c r="BA205" s="3">
        <f>Assumptions!$B$3</f>
        <v>406.07</v>
      </c>
      <c r="BB205" s="3">
        <f>BA205*AZ205*T205</f>
        <v>14.071466822681044</v>
      </c>
      <c r="BC205" s="3">
        <f>Assumptions!$B$4</f>
        <v>1.8474300000000001</v>
      </c>
      <c r="BD205" s="45">
        <f>BC205*AZ205*U205*1/(0.0821*273.15)</f>
        <v>2.5572779657522067E-3</v>
      </c>
      <c r="BE205" s="3">
        <f>Assumptions!$B$2</f>
        <v>0.33054499999999998</v>
      </c>
      <c r="BF205" s="44">
        <f>BE205*AZ205*V205*1000</f>
        <v>8.4263642534442482</v>
      </c>
      <c r="BG205">
        <f>1923.6+(-125.06*F205)+(4.3773*(F205^2))+(-0.085681*(F205^3))+(0.00070284*(F205^4))</f>
        <v>559.64581256294412</v>
      </c>
      <c r="BH205">
        <f>1909.4+(-120.78*F205)+(4.1555*(F205^2))+(-0.080578*(F205^3))+(0.00065777*(F205^4))</f>
        <v>576.02102780763198</v>
      </c>
      <c r="BI205">
        <f>2141.2+(-152.56*F205)+(5.8963*(F205^2))+(-0.12411*(F205^3))+(0.0010655*(F205^4))</f>
        <v>583.82935794480022</v>
      </c>
      <c r="BJ205" s="25">
        <f>VLOOKUP(E205,Wind!$C$2:$E$109,3, FALSE)</f>
        <v>2.8333333333333335</v>
      </c>
      <c r="BK205" s="44">
        <v>1.66</v>
      </c>
      <c r="BL205">
        <f>BK205/(1-(((1.3*10^-3)^0.5)/0.41)*LN(10/1.5))</f>
        <v>1.9923982880693825</v>
      </c>
      <c r="BM205">
        <f>BK205*1.22</f>
        <v>2.0251999999999999</v>
      </c>
      <c r="BN205">
        <f>2.07+0.215*(BM205^1.7)*(24/100)</f>
        <v>2.241255750541113</v>
      </c>
      <c r="BO205">
        <f>BN205*((600/BG205)^0.67)</f>
        <v>2.3482853643170589</v>
      </c>
      <c r="BP205">
        <f>BN205*((600/BH205)^0.67)</f>
        <v>2.3033454026992137</v>
      </c>
      <c r="BQ205">
        <f>BN205*((600/BI205)^0.67)</f>
        <v>2.2826597536092255</v>
      </c>
      <c r="BR205" s="39">
        <f>BO205*(AM205-BB205)</f>
        <v>-11.306124925558521</v>
      </c>
      <c r="BS205" s="39">
        <f>BP205*(AD205-BD205)</f>
        <v>0.86566039441229437</v>
      </c>
      <c r="BT205" s="39">
        <f>BQ205*(AU205-BF205)</f>
        <v>-3.2890260740813315</v>
      </c>
      <c r="BU205">
        <f>(2.51+1.48*BM205)+(0.39*BM205*LOG10(0.0015))</f>
        <v>3.2768938069574309</v>
      </c>
      <c r="BV205">
        <f>BU205*((600/$BG205)^0.67)</f>
        <v>3.4333795977730333</v>
      </c>
      <c r="BW205">
        <f>BU205*((600/$BH205)^0.67)</f>
        <v>3.3676738067784684</v>
      </c>
      <c r="BX205">
        <f>BU205*((600/$BI205)^0.67)</f>
        <v>3.3374297458855913</v>
      </c>
      <c r="BY205" s="39">
        <f>BV205*($AM205-$BB205)</f>
        <v>-16.530452064787749</v>
      </c>
      <c r="BZ205" s="39">
        <f>BW205*($AD205-$BD205)</f>
        <v>1.2656642084211529</v>
      </c>
      <c r="CA205" s="39">
        <f>BX205*($AU205-$BF205)</f>
        <v>-4.808817186738513</v>
      </c>
      <c r="CB205" s="42">
        <f>AVERAGE(0.72,0.69,0.4,0.22)</f>
        <v>0.50750000000000006</v>
      </c>
      <c r="CC205">
        <f>CB205*((600/$BG205)^0.67)</f>
        <v>0.53173531048528422</v>
      </c>
      <c r="CD205">
        <f>CB205*((600/$BH205)^0.67)</f>
        <v>0.52155930512955895</v>
      </c>
      <c r="CE205">
        <f>CB205*((600/$BI205)^0.67)</f>
        <v>0.51687533860292123</v>
      </c>
      <c r="CF205" s="39">
        <f>CC205*($AM205-$BB205)</f>
        <v>-2.5601087240202913</v>
      </c>
      <c r="CG205" s="39">
        <f>CD205*($AD205-$BD205)</f>
        <v>0.19601629580121432</v>
      </c>
      <c r="CH205" s="39">
        <f>CE205*($AU205-$BF205)</f>
        <v>-0.74475245950547186</v>
      </c>
      <c r="CI205">
        <v>28.862639018895301</v>
      </c>
      <c r="CJ205">
        <f>((BG205/BH205)^0.67)*CI205</f>
        <v>28.310284560868816</v>
      </c>
      <c r="CK205">
        <f>((BH205/BH205)^0.67)*CI205</f>
        <v>28.862639018895301</v>
      </c>
      <c r="CL205">
        <f>((BI205/BH205)^0.67)*CI205</f>
        <v>29.124194610617565</v>
      </c>
      <c r="CM205" s="39">
        <f>CJ205*($AM205-$BB205)</f>
        <v>-136.3035424855108</v>
      </c>
      <c r="CN205" s="39">
        <f>CK205*($AD205-$BD205)</f>
        <v>10.847371587256175</v>
      </c>
      <c r="CO205" s="39">
        <f>CL205*($AU205-$BF205)</f>
        <v>-41.96430734343194</v>
      </c>
      <c r="CP205" s="27">
        <f>VLOOKUP(A205,Water!$A$2:$E$109, 5, FALSE)/1000</f>
        <v>7.9000000000000001E-4</v>
      </c>
      <c r="CQ205">
        <f>0.64*CP205</f>
        <v>5.0560000000000004E-4</v>
      </c>
      <c r="CR205" s="19">
        <f>CQ205*1000*(2.5*10^-5)</f>
        <v>1.2640000000000003E-5</v>
      </c>
      <c r="CS205" s="18">
        <f>(-0.0000009*F205^3)+(0.0002*F205^2)-(0.0134*F205)+6.579</f>
        <v>6.3750116904</v>
      </c>
      <c r="CT205" s="18">
        <f>CS205-(SQRT(CP205))/(1+1.4*SQRT(CP205))</f>
        <v>6.3479688786651991</v>
      </c>
      <c r="CU205" s="18">
        <f>10^(-CT205)</f>
        <v>4.4877754796528946E-7</v>
      </c>
      <c r="CV205" s="18">
        <f>(0.000001*F205^3)+(0.00006*F205^2)-(0.014*F205)+10.625</f>
        <v>10.362677944</v>
      </c>
      <c r="CW205" s="18">
        <f>CV205-(2*SQRT(CR205))/(1+1.4*SQRT(CR205))</f>
        <v>10.355602605178873</v>
      </c>
      <c r="CX205" s="18">
        <f>10^(-CW205)</f>
        <v>4.4095817129071619E-11</v>
      </c>
      <c r="CY205">
        <f>EXP(1246.98+-61900/H205-183*LN(H205))</f>
        <v>2.7100517548374385E-2</v>
      </c>
      <c r="CZ205">
        <f>12.225*(F205^2)+15.258*F205+1125.7</f>
        <v>7050.7821999999987</v>
      </c>
      <c r="DA205" s="15">
        <f>10^(-4470.99/H205+6.0875-0.01706*H205)</f>
        <v>7.6458224309505178E-15</v>
      </c>
      <c r="DB205">
        <f>(10^-I205)</f>
        <v>9.3325430079699202E-10</v>
      </c>
      <c r="DC205">
        <f>DB205^2</f>
        <v>8.7096358995608252E-19</v>
      </c>
      <c r="DD205" s="20">
        <f>((14.6836*10^-9)*((H205/217.2056)-1)^1.997)*100*100</f>
        <v>1.8676417988154074E-5</v>
      </c>
      <c r="DE205">
        <f>CY205+CZ205*DA205/DB205</f>
        <v>8.4865082527575381E-2</v>
      </c>
      <c r="DF205">
        <f>1+DC205*(CU205*CX205+CU205*DB205)^-1</f>
        <v>1.0019857231958398</v>
      </c>
      <c r="DG205">
        <f>(DE205*DF205/DD205)^0.5</f>
        <v>67.475870048755581</v>
      </c>
      <c r="DH205">
        <f>DD205/(BO205/60/60)</f>
        <v>2.863157339351231E-2</v>
      </c>
      <c r="DI205" s="16">
        <f>DF205/((DF205-1)+TANH(DG205*DH205)/(DG205*DH205))</f>
        <v>2.0107238423934901</v>
      </c>
      <c r="DJ205">
        <f>$DI205*BR205</f>
        <v>-22.733494952899843</v>
      </c>
      <c r="DK205">
        <f>$DI205*BY205</f>
        <v>-33.238174092211423</v>
      </c>
      <c r="DL205">
        <f>$DI205*CF205</f>
        <v>-5.1476716505071751</v>
      </c>
      <c r="DM205">
        <f>$DI205*CM205</f>
        <v>-274.06878267831058</v>
      </c>
    </row>
    <row r="206" spans="1:117" ht="15.75" x14ac:dyDescent="0.25">
      <c r="A206" s="51" t="s">
        <v>478</v>
      </c>
      <c r="B206" s="55" t="s">
        <v>339</v>
      </c>
      <c r="C206" s="62" t="s">
        <v>393</v>
      </c>
      <c r="D206" s="57">
        <v>43293</v>
      </c>
      <c r="E206" s="42" t="str">
        <f>A206&amp;D206</f>
        <v>23A43293</v>
      </c>
      <c r="F206" s="3">
        <f>VLOOKUP($E206,Water!$C$2:$E$90, 2, FALSE)</f>
        <v>25.8</v>
      </c>
      <c r="G206" s="3">
        <f>VLOOKUP($E206,Water!$C$2:$E$90, 3, FALSE)</f>
        <v>0.1</v>
      </c>
      <c r="H206" s="1">
        <f>F206+273.15</f>
        <v>298.95</v>
      </c>
      <c r="I206" s="3">
        <f>VLOOKUP($E206,Water!$C$2:$F$90, 4, FALSE)</f>
        <v>10.16</v>
      </c>
      <c r="J206">
        <f>10^(I206*-1)</f>
        <v>6.9183097091893483E-11</v>
      </c>
      <c r="K206" s="25">
        <v>439.52751160265137</v>
      </c>
      <c r="L206" s="25">
        <v>2.8430237635924795</v>
      </c>
      <c r="M206" s="25">
        <v>0.32236441181786135</v>
      </c>
      <c r="N206" s="21">
        <f>VLOOKUP($C206,Raw!$B$2:$F$353, 3, FALSE)</f>
        <v>77.806574000657307</v>
      </c>
      <c r="O206" s="21">
        <f>VLOOKUP($C206,Raw!$B$2:$F$353, 4, FALSE)</f>
        <v>294.79739142328668</v>
      </c>
      <c r="P206" s="21">
        <f>VLOOKUP($C206,Raw!$B$2:$F$353, 5, FALSE)</f>
        <v>0.22817810753095916</v>
      </c>
      <c r="Q206" s="14">
        <v>60</v>
      </c>
      <c r="R206" s="25">
        <v>1140</v>
      </c>
      <c r="S206">
        <f>EXP(24.4543-(100/H206*(67.4509))-(4.8489*LN(H206/100))-(0.000544*G206))</f>
        <v>3.2764258113182732E-2</v>
      </c>
      <c r="T206" s="8">
        <f>EXP(-58.0931+90.5069*(100/H206)+22.294*LN(H206/100)+G206*(0.027766-0.025888*(H206/100)+0.0050578*(H206/100)^2)*G206)</f>
        <v>3.3242741736169722E-2</v>
      </c>
      <c r="U206" s="9">
        <f>(EXP(-67.1962+99.1624*(100/H206)+27.9015*LN(H206/100)+G206*(-0.072909+0.041674*(H206/100)-0.0064603*(H206/100)^2)*G206))</f>
        <v>3.1088190804044239E-2</v>
      </c>
      <c r="V206" s="9">
        <f>(EXP(-64.8539+100.252*(100/H206)+25.2049*LN(H206/100)+(-0.062544+0.035337*(H206/100)-0.0054699*(H206/100)^2)*G206))</f>
        <v>2.4288965408582958E-2</v>
      </c>
      <c r="W206" s="9">
        <f>(EXP(-68.8862+101.4956*(100/H206)+28.7314*LN(H206/100)+G206*(-0.076146+0.04397*(H206/100)-0.0068672*(H206/100)^2)))</f>
        <v>3.1049264895849329E-2</v>
      </c>
      <c r="X206">
        <f>N206*(AZ206-S206)</f>
        <v>70.087257238995747</v>
      </c>
      <c r="Y206">
        <f>O206*(AZ206-S206)</f>
        <v>265.55006272213279</v>
      </c>
      <c r="Z206">
        <f>((Y206/10^6)*AZ206)/(0.082056*H206)</f>
        <v>1.0105930694962903E-5</v>
      </c>
      <c r="AA206">
        <f>(((L206/10^6)*AZ206)/(0.082056*H206))</f>
        <v>1.0819579865459214E-7</v>
      </c>
      <c r="AB206">
        <f>((Y206/10^6)*U206*1)/(0.082056*H206)</f>
        <v>3.3653710682179725E-7</v>
      </c>
      <c r="AC206">
        <f>(Z206*(Q206/1000))+(AB206*(R206/1000))</f>
        <v>9.9000814347462289E-7</v>
      </c>
      <c r="AD206" s="39">
        <f>((AC206-(AA206*(Q206/1000)))/(R206/1000))*1000000</f>
        <v>0.86273368031170827</v>
      </c>
      <c r="AE206" s="39">
        <f>(AD206/((U206*AZ206*1))*(0.0821*273.15))</f>
        <v>666.63307675685087</v>
      </c>
      <c r="AF206" s="39">
        <f>L206*U206*AZ206*1/(0.0821*273.15)</f>
        <v>3.6793439154121262E-3</v>
      </c>
      <c r="AG206" s="39">
        <f>AD206-AF206</f>
        <v>0.85905433639629614</v>
      </c>
      <c r="AH206" s="42">
        <f>P206*(AZ206-S206)</f>
        <v>0.20554018634330906</v>
      </c>
      <c r="AI206">
        <f>(((X206/10^6)*(Q206/1000))/(0.082056*H206))</f>
        <v>1.7142786444325576E-7</v>
      </c>
      <c r="AJ206">
        <f>(((K206/10^6)*AZ206)*(Q206/1000))/(0.082056*H206)</f>
        <v>1.0036151809386902E-6</v>
      </c>
      <c r="AK206">
        <f>(X206/10^6)*T206*(R206/1000)</f>
        <v>2.6560775541873675E-6</v>
      </c>
      <c r="AL206">
        <f>AI206+AK206</f>
        <v>2.8275054186306232E-6</v>
      </c>
      <c r="AM206" s="39">
        <f>((AL206-AJ206)/(R206/1000))*1000000</f>
        <v>1.5999037172736257</v>
      </c>
      <c r="AN206" s="39">
        <f>AM206/(T206*AZ206)</f>
        <v>51.553505844344727</v>
      </c>
      <c r="AO206" s="39">
        <f>(K206*AZ206)*T206</f>
        <v>13.640230439037113</v>
      </c>
      <c r="AP206" s="39">
        <f>AM206-AO206</f>
        <v>-12.040326721763488</v>
      </c>
      <c r="AQ206">
        <f>(((AH206/10^6)*(Q206/1000))/(0.082056*H206))</f>
        <v>5.0273497052325491E-10</v>
      </c>
      <c r="AR206">
        <f>(((M206/10^6)*AZ206)*(Q206/1000))/(0.082056*H206)</f>
        <v>7.360854757762239E-10</v>
      </c>
      <c r="AS206">
        <f>(AH206/10^6)*V206*(R206/1000)</f>
        <v>5.6912886628296148E-9</v>
      </c>
      <c r="AT206">
        <f>AQ206+AS206</f>
        <v>6.1940236333528694E-9</v>
      </c>
      <c r="AU206" s="39">
        <f>((AT206-AR206)/(R206/1000))*1000000000</f>
        <v>4.7876650505058294</v>
      </c>
      <c r="AV206" s="39">
        <f>(AU206/1000)/(V206*AZ206)</f>
        <v>0.21114263409655804</v>
      </c>
      <c r="AW206" s="39">
        <f>(M206*AZ206)*V206*1000</f>
        <v>7.3096219273339207</v>
      </c>
      <c r="AX206" s="39">
        <f>AU206-AW206</f>
        <v>-2.5219568768280913</v>
      </c>
      <c r="AY206" s="26">
        <f>VLOOKUP($E206,Water!$C$2:$G$90, 5, FALSE)</f>
        <v>709.5</v>
      </c>
      <c r="AZ206">
        <f>AY206/760</f>
        <v>0.93355263157894741</v>
      </c>
      <c r="BA206" s="3">
        <f>Assumptions!$B$3</f>
        <v>406.07</v>
      </c>
      <c r="BB206" s="3">
        <f>BA206*AZ206*T206</f>
        <v>12.601915075084431</v>
      </c>
      <c r="BC206" s="3">
        <f>Assumptions!$B$4</f>
        <v>1.8474300000000001</v>
      </c>
      <c r="BD206" s="45">
        <f>BC206*AZ206*U206*1/(0.0821*273.15)</f>
        <v>2.3908805887224225E-3</v>
      </c>
      <c r="BE206" s="3">
        <f>Assumptions!$B$2</f>
        <v>0.33054499999999998</v>
      </c>
      <c r="BF206" s="44">
        <f>BE206*AZ206*V206*1000</f>
        <v>7.4951169899478263</v>
      </c>
      <c r="BG206">
        <f>1923.6+(-125.06*F206)+(4.3773*(F206^2))+(-0.085681*(F206^3))+(0.00070284*(F206^4))</f>
        <v>450.72625461926373</v>
      </c>
      <c r="BH206">
        <f>1909.4+(-120.78*F206)+(4.1555*(F206^2))+(-0.080578*(F206^3))+(0.00065777*(F206^4))</f>
        <v>466.97827156059196</v>
      </c>
      <c r="BI206">
        <f>2141.2+(-152.56*F206)+(5.8963*(F206^2))+(-0.12411*(F206^3))+(0.0010655*(F206^4))</f>
        <v>470.6586852087994</v>
      </c>
      <c r="BJ206" s="25">
        <f>VLOOKUP(E206,Wind!$C$2:$E$109,3, FALSE)</f>
        <v>0.27777777777777779</v>
      </c>
      <c r="BK206" s="44">
        <v>1.66</v>
      </c>
      <c r="BL206">
        <f>BK206/(1-(((1.3*10^-3)^0.5)/0.41)*LN(10/1.5))</f>
        <v>1.9923982880693825</v>
      </c>
      <c r="BM206">
        <f>BK206*1.22</f>
        <v>2.0251999999999999</v>
      </c>
      <c r="BN206">
        <f>2.07+0.215*(BM206^1.7)*(24/100)</f>
        <v>2.241255750541113</v>
      </c>
      <c r="BO206">
        <f>BN206*((600/BG206)^0.67)</f>
        <v>2.7147581207241598</v>
      </c>
      <c r="BP206">
        <f>BN206*((600/BH206)^0.67)</f>
        <v>2.6510870206278581</v>
      </c>
      <c r="BQ206">
        <f>BN206*((600/BI206)^0.67)</f>
        <v>2.6371794498603043</v>
      </c>
      <c r="BR206" s="39">
        <f>BO206*(AM206-BB206)</f>
        <v>-29.86779967791632</v>
      </c>
      <c r="BS206" s="39">
        <f>BP206*(AD206-BD206)</f>
        <v>2.2808436296362404</v>
      </c>
      <c r="BT206" s="39">
        <f>BQ206*(AU206-BF206)</f>
        <v>-7.1400366161808595</v>
      </c>
      <c r="BU206">
        <f>(2.51+1.48*BM206)+(0.39*BM206*LOG10(0.0015))</f>
        <v>3.2768938069574309</v>
      </c>
      <c r="BV206">
        <f>BU206*((600/$BG206)^0.67)</f>
        <v>3.9691918564138033</v>
      </c>
      <c r="BW206">
        <f>BU206*((600/$BH206)^0.67)</f>
        <v>3.8760996541796922</v>
      </c>
      <c r="BX206">
        <f>BU206*((600/$BI206)^0.67)</f>
        <v>3.8557656818041539</v>
      </c>
      <c r="BY206" s="39">
        <f>BV206*($AM206-$BB206)</f>
        <v>-43.669093885594819</v>
      </c>
      <c r="BZ206" s="39">
        <f>BW206*($AD206-$BD206)</f>
        <v>3.3347744284822536</v>
      </c>
      <c r="CA206" s="39">
        <f>BX206*($AU206-$BF206)</f>
        <v>-10.439300273234551</v>
      </c>
      <c r="CB206" s="42">
        <f>AVERAGE(0.72,0.69,0.4,0.22)</f>
        <v>0.50750000000000006</v>
      </c>
      <c r="CC206">
        <f>CB206*((600/$BG206)^0.67)</f>
        <v>0.61471777414731876</v>
      </c>
      <c r="CD206">
        <f>CB206*((600/$BH206)^0.67)</f>
        <v>0.60030037296895178</v>
      </c>
      <c r="CE206">
        <f>CB206*((600/$BI206)^0.67)</f>
        <v>0.59715120440002367</v>
      </c>
      <c r="CF206" s="39">
        <f>CC206*($AM206-$BB206)</f>
        <v>-6.7631319330169779</v>
      </c>
      <c r="CG206" s="39">
        <f>CD206*($AD206-$BD206)</f>
        <v>0.51646410355486061</v>
      </c>
      <c r="CH206" s="39">
        <f>CE206*($AU206-$BF206)</f>
        <v>-1.6167581864929683</v>
      </c>
      <c r="CI206">
        <v>29.862639018895301</v>
      </c>
      <c r="CJ206">
        <f>((BG206/BH206)^0.67)*CI206</f>
        <v>29.162249888977311</v>
      </c>
      <c r="CK206">
        <f>((BH206/BH206)^0.67)*CI206</f>
        <v>29.862639018895301</v>
      </c>
      <c r="CL206">
        <f>((BI206/BH206)^0.67)*CI206</f>
        <v>30.020124231167532</v>
      </c>
      <c r="CM206" s="39">
        <f>CJ206*($AM206-$BB206)</f>
        <v>-320.84340449784526</v>
      </c>
      <c r="CN206" s="39">
        <f>CK206*($AD206-$BD206)</f>
        <v>25.692106460633262</v>
      </c>
      <c r="CO206" s="39">
        <f>CL206*($AU206-$BF206)</f>
        <v>-81.278043571964218</v>
      </c>
      <c r="CP206" s="27">
        <f>VLOOKUP(A206,Water!$A$2:$E$109, 5, FALSE)/1000</f>
        <v>1E-4</v>
      </c>
      <c r="CQ206">
        <f>0.64*CP206</f>
        <v>6.4000000000000011E-5</v>
      </c>
      <c r="CR206" s="19">
        <f>CQ206*1000*(2.5*10^-5)</f>
        <v>1.6000000000000004E-6</v>
      </c>
      <c r="CS206" s="18">
        <f>(-0.0000009*F206^3)+(0.0002*F206^2)-(0.0134*F206)+6.579</f>
        <v>6.3509518391999995</v>
      </c>
      <c r="CT206" s="18">
        <f>CS206-(SQRT(CP206))/(1+1.4*SQRT(CP206))</f>
        <v>6.3410899062611437</v>
      </c>
      <c r="CU206" s="18">
        <f>10^(-CT206)</f>
        <v>4.5594251841194444E-7</v>
      </c>
      <c r="CV206" s="18">
        <f>(0.000001*F206^3)+(0.00006*F206^2)-(0.014*F206)+10.625</f>
        <v>10.320911912</v>
      </c>
      <c r="CW206" s="18">
        <f>CV206-(2*SQRT(CR206))/(1+1.4*SQRT(CR206))</f>
        <v>10.318386561952368</v>
      </c>
      <c r="CX206" s="18">
        <f>10^(-CW206)</f>
        <v>4.8041154771303105E-11</v>
      </c>
      <c r="CY206">
        <f>EXP(1246.98+-61900/H206-183*LN(H206))</f>
        <v>3.9612687296006227E-2</v>
      </c>
      <c r="CZ206">
        <f>12.225*(F206^2)+15.258*F206+1125.7</f>
        <v>9656.8054000000011</v>
      </c>
      <c r="DA206" s="15">
        <f>10^(-4470.99/H206+6.0875-0.01706*H206)</f>
        <v>1.0758909226211215E-14</v>
      </c>
      <c r="DB206">
        <f>(10^-I206)</f>
        <v>6.9183097091893483E-11</v>
      </c>
      <c r="DC206">
        <f>DB206^2</f>
        <v>4.7863009232263608E-21</v>
      </c>
      <c r="DD206" s="20">
        <f>((14.6836*10^-9)*((H206/217.2056)-1)^1.997)*100*100</f>
        <v>2.0858341285346926E-5</v>
      </c>
      <c r="DE206">
        <f>CY206+CZ206*DA206/DB206</f>
        <v>1.5413768042707634</v>
      </c>
      <c r="DF206">
        <f>1+DC206*(CU206*CX206+CU206*DB206)^-1</f>
        <v>1.0000895514117081</v>
      </c>
      <c r="DG206">
        <f>(DE206*DF206/DD206)^0.5</f>
        <v>271.85289984769901</v>
      </c>
      <c r="DH206">
        <f>DD206/(BO206/60/60)</f>
        <v>2.7659933330347206E-2</v>
      </c>
      <c r="DI206" s="16">
        <f>DF206/((DF206-1)+TANH(DG206*DH206)/(DG206*DH206))</f>
        <v>7.5150504303131793</v>
      </c>
      <c r="DJ206">
        <f>$DI206*BR206</f>
        <v>-224.45802082203289</v>
      </c>
      <c r="DK206">
        <f>$DI206*BY206</f>
        <v>-328.17544279632597</v>
      </c>
      <c r="DL206">
        <f>$DI206*CF206</f>
        <v>-50.825277543484042</v>
      </c>
      <c r="DM206">
        <f>$DI206*CM206</f>
        <v>-2411.1543650346775</v>
      </c>
    </row>
    <row r="207" spans="1:117" ht="15.75" x14ac:dyDescent="0.25">
      <c r="A207" s="51" t="s">
        <v>478</v>
      </c>
      <c r="B207" s="55" t="s">
        <v>340</v>
      </c>
      <c r="C207" s="62" t="s">
        <v>394</v>
      </c>
      <c r="D207" s="57">
        <v>43293</v>
      </c>
      <c r="E207" s="42" t="str">
        <f>A207&amp;D207</f>
        <v>23A43293</v>
      </c>
      <c r="F207" s="3">
        <f>VLOOKUP($E207,Water!$C$2:$E$90, 2, FALSE)</f>
        <v>25.8</v>
      </c>
      <c r="G207" s="3">
        <f>VLOOKUP($E207,Water!$C$2:$E$90, 3, FALSE)</f>
        <v>0.1</v>
      </c>
      <c r="H207" s="1">
        <f>F207+273.15</f>
        <v>298.95</v>
      </c>
      <c r="I207" s="3">
        <f>VLOOKUP($E207,Water!$C$2:$F$90, 4, FALSE)</f>
        <v>10.16</v>
      </c>
      <c r="J207">
        <f>10^(I207*-1)</f>
        <v>6.9183097091893483E-11</v>
      </c>
      <c r="K207" s="25">
        <v>439.52751160265137</v>
      </c>
      <c r="L207" s="25">
        <v>2.8430237635924795</v>
      </c>
      <c r="M207" s="25">
        <v>0.32236441181786135</v>
      </c>
      <c r="N207" s="21">
        <f>VLOOKUP($C207,Raw!$B$2:$F$353, 3, FALSE)</f>
        <v>50.770310968241397</v>
      </c>
      <c r="O207" s="21">
        <f>VLOOKUP($C207,Raw!$B$2:$F$353, 4, FALSE)</f>
        <v>294.49646035713761</v>
      </c>
      <c r="P207" s="21">
        <f>VLOOKUP($C207,Raw!$B$2:$F$353, 5, FALSE)</f>
        <v>0.22957178364317748</v>
      </c>
      <c r="Q207" s="14">
        <v>60</v>
      </c>
      <c r="R207" s="25">
        <v>1140</v>
      </c>
      <c r="S207">
        <f>EXP(24.4543-(100/H207*(67.4509))-(4.8489*LN(H207/100))-(0.000544*G207))</f>
        <v>3.2764258113182732E-2</v>
      </c>
      <c r="T207" s="8">
        <f>EXP(-58.0931+90.5069*(100/H207)+22.294*LN(H207/100)+G207*(0.027766-0.025888*(H207/100)+0.0050578*(H207/100)^2)*G207)</f>
        <v>3.3242741736169722E-2</v>
      </c>
      <c r="U207" s="9">
        <f>(EXP(-67.1962+99.1624*(100/H207)+27.9015*LN(H207/100)+G207*(-0.072909+0.041674*(H207/100)-0.0064603*(H207/100)^2)*G207))</f>
        <v>3.1088190804044239E-2</v>
      </c>
      <c r="V207" s="9">
        <f>(EXP(-64.8539+100.252*(100/H207)+25.2049*LN(H207/100)+(-0.062544+0.035337*(H207/100)-0.0054699*(H207/100)^2)*G207))</f>
        <v>2.4288965408582958E-2</v>
      </c>
      <c r="W207" s="9">
        <f>(EXP(-68.8862+101.4956*(100/H207)+28.7314*LN(H207/100)+G207*(-0.076146+0.04397*(H207/100)-0.0068672*(H207/100)^2)))</f>
        <v>3.1049264895849329E-2</v>
      </c>
      <c r="X207">
        <f>N207*(AZ207-S207)</f>
        <v>45.733305837433242</v>
      </c>
      <c r="Y207">
        <f>O207*(AZ207-S207)</f>
        <v>265.27898751653106</v>
      </c>
      <c r="Z207">
        <f>((Y207/10^6)*AZ207)/(0.082056*H207)</f>
        <v>1.0095614496153337E-5</v>
      </c>
      <c r="AA207">
        <f>(((L207/10^6)*AZ207)/(0.082056*H207))</f>
        <v>1.0819579865459214E-7</v>
      </c>
      <c r="AB207">
        <f>((Y207/10^6)*U207*1)/(0.082056*H207)</f>
        <v>3.3619356758671216E-7</v>
      </c>
      <c r="AC207">
        <f>(Z207*(Q207/1000))+(AB207*(R207/1000))</f>
        <v>9.8899753681805207E-7</v>
      </c>
      <c r="AD207" s="39">
        <f>((AC207-(AA207*(Q207/1000)))/(R207/1000))*1000000</f>
        <v>0.8618471832445409</v>
      </c>
      <c r="AE207" s="39">
        <f>(AD207/((U207*AZ207*1))*(0.0821*273.15))</f>
        <v>665.94808174517107</v>
      </c>
      <c r="AF207" s="39">
        <f>L207*U207*AZ207*1/(0.0821*273.15)</f>
        <v>3.6793439154121262E-3</v>
      </c>
      <c r="AG207" s="39">
        <f>AD207-AF207</f>
        <v>0.85816783932912877</v>
      </c>
      <c r="AH207" s="42">
        <f>P207*(AZ207-S207)</f>
        <v>0.20679559358157229</v>
      </c>
      <c r="AI207">
        <f>(((X207/10^6)*(Q207/1000))/(0.082056*H207))</f>
        <v>1.1186003365643757E-7</v>
      </c>
      <c r="AJ207">
        <f>(((K207/10^6)*AZ207)*(Q207/1000))/(0.082056*H207)</f>
        <v>1.0036151809386902E-6</v>
      </c>
      <c r="AK207">
        <f>(X207/10^6)*T207*(R207/1000)</f>
        <v>1.7331425411523643E-6</v>
      </c>
      <c r="AL207">
        <f>AI207+AK207</f>
        <v>1.8450025748088018E-6</v>
      </c>
      <c r="AM207" s="39">
        <f>((AL207-AJ207)/(R207/1000))*1000000</f>
        <v>0.73805911742992258</v>
      </c>
      <c r="AN207" s="39">
        <f>AM207/(T207*AZ207)</f>
        <v>23.782390535809942</v>
      </c>
      <c r="AO207" s="39">
        <f>(K207*AZ207)*T207</f>
        <v>13.640230439037113</v>
      </c>
      <c r="AP207" s="39">
        <f>AM207-AO207</f>
        <v>-12.90217132160719</v>
      </c>
      <c r="AQ207">
        <f>(((AH207/10^6)*(Q207/1000))/(0.082056*H207))</f>
        <v>5.0580559691584155E-10</v>
      </c>
      <c r="AR207">
        <f>(((M207/10^6)*AZ207)*(Q207/1000))/(0.082056*H207)</f>
        <v>7.360854757762239E-10</v>
      </c>
      <c r="AS207">
        <f>(AH207/10^6)*V207*(R207/1000)</f>
        <v>5.7260501618312153E-9</v>
      </c>
      <c r="AT207">
        <f>AQ207+AS207</f>
        <v>6.2318557587470565E-9</v>
      </c>
      <c r="AU207" s="39">
        <f>((AT207-AR207)/(R207/1000))*1000000000</f>
        <v>4.8208511254130109</v>
      </c>
      <c r="AV207" s="39">
        <f>(AU207/1000)/(V207*AZ207)</f>
        <v>0.21260618578559851</v>
      </c>
      <c r="AW207" s="39">
        <f>(M207*AZ207)*V207*1000</f>
        <v>7.3096219273339207</v>
      </c>
      <c r="AX207" s="39">
        <f>AU207-AW207</f>
        <v>-2.4887708019209098</v>
      </c>
      <c r="AY207" s="26">
        <f>VLOOKUP($E207,Water!$C$2:$G$90, 5, FALSE)</f>
        <v>709.5</v>
      </c>
      <c r="AZ207">
        <f>AY207/760</f>
        <v>0.93355263157894741</v>
      </c>
      <c r="BA207" s="3">
        <f>Assumptions!$B$3</f>
        <v>406.07</v>
      </c>
      <c r="BB207" s="3">
        <f>BA207*AZ207*T207</f>
        <v>12.601915075084431</v>
      </c>
      <c r="BC207" s="3">
        <f>Assumptions!$B$4</f>
        <v>1.8474300000000001</v>
      </c>
      <c r="BD207" s="45">
        <f>BC207*AZ207*U207*1/(0.0821*273.15)</f>
        <v>2.3908805887224225E-3</v>
      </c>
      <c r="BE207" s="3">
        <f>Assumptions!$B$2</f>
        <v>0.33054499999999998</v>
      </c>
      <c r="BF207" s="44">
        <f>BE207*AZ207*V207*1000</f>
        <v>7.4951169899478263</v>
      </c>
      <c r="BG207">
        <f>1923.6+(-125.06*F207)+(4.3773*(F207^2))+(-0.085681*(F207^3))+(0.00070284*(F207^4))</f>
        <v>450.72625461926373</v>
      </c>
      <c r="BH207">
        <f>1909.4+(-120.78*F207)+(4.1555*(F207^2))+(-0.080578*(F207^3))+(0.00065777*(F207^4))</f>
        <v>466.97827156059196</v>
      </c>
      <c r="BI207">
        <f>2141.2+(-152.56*F207)+(5.8963*(F207^2))+(-0.12411*(F207^3))+(0.0010655*(F207^4))</f>
        <v>470.6586852087994</v>
      </c>
      <c r="BJ207" s="25">
        <f>VLOOKUP(E207,Wind!$C$2:$E$109,3, FALSE)</f>
        <v>0.27777777777777779</v>
      </c>
      <c r="BK207" s="44">
        <v>1.66</v>
      </c>
      <c r="BL207">
        <f>BK207/(1-(((1.3*10^-3)^0.5)/0.41)*LN(10/1.5))</f>
        <v>1.9923982880693825</v>
      </c>
      <c r="BM207">
        <f>BK207*1.22</f>
        <v>2.0251999999999999</v>
      </c>
      <c r="BN207">
        <f>2.07+0.215*(BM207^1.7)*(24/100)</f>
        <v>2.241255750541113</v>
      </c>
      <c r="BO207">
        <f>BN207*((600/BG207)^0.67)</f>
        <v>2.7147581207241598</v>
      </c>
      <c r="BP207">
        <f>BN207*((600/BH207)^0.67)</f>
        <v>2.6510870206278581</v>
      </c>
      <c r="BQ207">
        <f>BN207*((600/BI207)^0.67)</f>
        <v>2.6371794498603043</v>
      </c>
      <c r="BR207" s="39">
        <f>BO207*(AM207-BB207)</f>
        <v>-32.207499304144278</v>
      </c>
      <c r="BS207" s="39">
        <f>BP207*(AD207-BD207)</f>
        <v>2.2784934487676485</v>
      </c>
      <c r="BT207" s="39">
        <f>BQ207*(AU207-BF207)</f>
        <v>-7.0525189814141154</v>
      </c>
      <c r="BU207">
        <f>(2.51+1.48*BM207)+(0.39*BM207*LOG10(0.0015))</f>
        <v>3.2768938069574309</v>
      </c>
      <c r="BV207">
        <f>BU207*((600/$BG207)^0.67)</f>
        <v>3.9691918564138033</v>
      </c>
      <c r="BW207">
        <f>BU207*((600/$BH207)^0.67)</f>
        <v>3.8760996541796922</v>
      </c>
      <c r="BX207">
        <f>BU207*((600/$BI207)^0.67)</f>
        <v>3.8557656818041539</v>
      </c>
      <c r="BY207" s="39">
        <f>BV207*($AM207-$BB207)</f>
        <v>-47.089920452788654</v>
      </c>
      <c r="BZ207" s="39">
        <f>BW207*($AD207-$BD207)</f>
        <v>3.331338277506775</v>
      </c>
      <c r="CA207" s="39">
        <f>BX207*($AU207-$BF207)</f>
        <v>-10.311342544493657</v>
      </c>
      <c r="CB207" s="42">
        <f>AVERAGE(0.72,0.69,0.4,0.22)</f>
        <v>0.50750000000000006</v>
      </c>
      <c r="CC207">
        <f>CB207*((600/$BG207)^0.67)</f>
        <v>0.61471777414731876</v>
      </c>
      <c r="CD207">
        <f>CB207*((600/$BH207)^0.67)</f>
        <v>0.60030037296895178</v>
      </c>
      <c r="CE207">
        <f>CB207*((600/$BI207)^0.67)</f>
        <v>0.59715120440002367</v>
      </c>
      <c r="CF207" s="39">
        <f>CC207*($AM207-$BB207)</f>
        <v>-7.2929231270937862</v>
      </c>
      <c r="CG207" s="39">
        <f>CD207*($AD207-$BD207)</f>
        <v>0.51593193903480417</v>
      </c>
      <c r="CH207" s="39">
        <f>CE207*($AU207-$BF207)</f>
        <v>-1.5969410818928356</v>
      </c>
      <c r="CI207">
        <v>30.862639018895301</v>
      </c>
      <c r="CJ207">
        <f>((BG207/BH207)^0.67)*CI207</f>
        <v>30.138796197243138</v>
      </c>
      <c r="CK207">
        <f>((BH207/BH207)^0.67)*CI207</f>
        <v>30.862639018895301</v>
      </c>
      <c r="CL207">
        <f>((BI207/BH207)^0.67)*CI207</f>
        <v>31.02539788471746</v>
      </c>
      <c r="CM207" s="39">
        <f>CJ207*($AM207-$BB207)</f>
        <v>-357.56233682119802</v>
      </c>
      <c r="CN207" s="39">
        <f>CK207*($AD207-$BD207)</f>
        <v>26.525089621380953</v>
      </c>
      <c r="CO207" s="39">
        <f>CL207*($AU207-$BF207)</f>
        <v>-82.970162496710572</v>
      </c>
      <c r="CP207" s="27">
        <f>VLOOKUP(A207,Water!$A$2:$E$109, 5, FALSE)/1000</f>
        <v>1E-4</v>
      </c>
      <c r="CQ207">
        <f>0.64*CP207</f>
        <v>6.4000000000000011E-5</v>
      </c>
      <c r="CR207" s="19">
        <f>CQ207*1000*(2.5*10^-5)</f>
        <v>1.6000000000000004E-6</v>
      </c>
      <c r="CS207" s="18">
        <f>(-0.0000009*F207^3)+(0.0002*F207^2)-(0.0134*F207)+6.579</f>
        <v>6.3509518391999995</v>
      </c>
      <c r="CT207" s="18">
        <f>CS207-(SQRT(CP207))/(1+1.4*SQRT(CP207))</f>
        <v>6.3410899062611437</v>
      </c>
      <c r="CU207" s="18">
        <f>10^(-CT207)</f>
        <v>4.5594251841194444E-7</v>
      </c>
      <c r="CV207" s="18">
        <f>(0.000001*F207^3)+(0.00006*F207^2)-(0.014*F207)+10.625</f>
        <v>10.320911912</v>
      </c>
      <c r="CW207" s="18">
        <f>CV207-(2*SQRT(CR207))/(1+1.4*SQRT(CR207))</f>
        <v>10.318386561952368</v>
      </c>
      <c r="CX207" s="18">
        <f>10^(-CW207)</f>
        <v>4.8041154771303105E-11</v>
      </c>
      <c r="CY207">
        <f>EXP(1246.98+-61900/H207-183*LN(H207))</f>
        <v>3.9612687296006227E-2</v>
      </c>
      <c r="CZ207">
        <f>12.225*(F207^2)+15.258*F207+1125.7</f>
        <v>9656.8054000000011</v>
      </c>
      <c r="DA207" s="15">
        <f>10^(-4470.99/H207+6.0875-0.01706*H207)</f>
        <v>1.0758909226211215E-14</v>
      </c>
      <c r="DB207">
        <f>(10^-I207)</f>
        <v>6.9183097091893483E-11</v>
      </c>
      <c r="DC207">
        <f>DB207^2</f>
        <v>4.7863009232263608E-21</v>
      </c>
      <c r="DD207" s="20">
        <f>((14.6836*10^-9)*((H207/217.2056)-1)^1.997)*100*100</f>
        <v>2.0858341285346926E-5</v>
      </c>
      <c r="DE207">
        <f>CY207+CZ207*DA207/DB207</f>
        <v>1.5413768042707634</v>
      </c>
      <c r="DF207">
        <f>1+DC207*(CU207*CX207+CU207*DB207)^-1</f>
        <v>1.0000895514117081</v>
      </c>
      <c r="DG207">
        <f>(DE207*DF207/DD207)^0.5</f>
        <v>271.85289984769901</v>
      </c>
      <c r="DH207">
        <f>DD207/(BO207/60/60)</f>
        <v>2.7659933330347206E-2</v>
      </c>
      <c r="DI207" s="16">
        <f>DF207/((DF207-1)+TANH(DG207*DH207)/(DG207*DH207))</f>
        <v>7.5150504303131793</v>
      </c>
      <c r="DJ207">
        <f>$DI207*BR207</f>
        <v>-242.04098150492089</v>
      </c>
      <c r="DK207">
        <f>$DI207*BY207</f>
        <v>-353.88312696214274</v>
      </c>
      <c r="DL207">
        <f>$DI207*CF207</f>
        <v>-54.806685084507095</v>
      </c>
      <c r="DM207">
        <f>$DI207*CM207</f>
        <v>-2687.0989931919303</v>
      </c>
    </row>
    <row r="208" spans="1:117" ht="15.75" x14ac:dyDescent="0.25">
      <c r="A208" s="51" t="s">
        <v>478</v>
      </c>
      <c r="B208" s="55" t="s">
        <v>341</v>
      </c>
      <c r="C208" s="62" t="s">
        <v>395</v>
      </c>
      <c r="D208" s="57">
        <v>43293</v>
      </c>
      <c r="E208" s="42" t="str">
        <f>A208&amp;D208</f>
        <v>23A43293</v>
      </c>
      <c r="F208" s="3">
        <f>VLOOKUP($E208,Water!$C$2:$E$90, 2, FALSE)</f>
        <v>25.8</v>
      </c>
      <c r="G208" s="3">
        <f>VLOOKUP($E208,Water!$C$2:$E$90, 3, FALSE)</f>
        <v>0.1</v>
      </c>
      <c r="H208" s="1">
        <f>F208+273.15</f>
        <v>298.95</v>
      </c>
      <c r="I208" s="3">
        <f>VLOOKUP($E208,Water!$C$2:$F$90, 4, FALSE)</f>
        <v>10.16</v>
      </c>
      <c r="J208">
        <f>10^(I208*-1)</f>
        <v>6.9183097091893483E-11</v>
      </c>
      <c r="K208" s="25">
        <v>439.52751160265137</v>
      </c>
      <c r="L208" s="25">
        <v>2.8430237635924795</v>
      </c>
      <c r="M208" s="25">
        <v>0.32236441181786135</v>
      </c>
      <c r="N208" s="21">
        <f>VLOOKUP($C208,Raw!$B$2:$F$353, 3, FALSE)</f>
        <v>63.14511135638827</v>
      </c>
      <c r="O208" s="21">
        <f>VLOOKUP($C208,Raw!$B$2:$F$353, 4, FALSE)</f>
        <v>63.509807151923482</v>
      </c>
      <c r="P208" s="21">
        <f>VLOOKUP($C208,Raw!$B$2:$F$353, 5, FALSE)</f>
        <v>0.21847982293943854</v>
      </c>
      <c r="Q208" s="14">
        <v>60</v>
      </c>
      <c r="R208" s="25">
        <v>1140</v>
      </c>
      <c r="S208">
        <f>EXP(24.4543-(100/H208*(67.4509))-(4.8489*LN(H208/100))-(0.000544*G208))</f>
        <v>3.2764258113182732E-2</v>
      </c>
      <c r="T208" s="8">
        <f>EXP(-58.0931+90.5069*(100/H208)+22.294*LN(H208/100)+G208*(0.027766-0.025888*(H208/100)+0.0050578*(H208/100)^2)*G208)</f>
        <v>3.3242741736169722E-2</v>
      </c>
      <c r="U208" s="9">
        <f>(EXP(-67.1962+99.1624*(100/H208)+27.9015*LN(H208/100)+G208*(-0.072909+0.041674*(H208/100)-0.0064603*(H208/100)^2)*G208))</f>
        <v>3.1088190804044239E-2</v>
      </c>
      <c r="V208" s="9">
        <f>(EXP(-64.8539+100.252*(100/H208)+25.2049*LN(H208/100)+(-0.062544+0.035337*(H208/100)-0.0054699*(H208/100)^2)*G208))</f>
        <v>2.4288965408582958E-2</v>
      </c>
      <c r="W208" s="9">
        <f>(EXP(-68.8862+101.4956*(100/H208)+28.7314*LN(H208/100)+G208*(-0.076146+0.04397*(H208/100)-0.0068672*(H208/100)^2)))</f>
        <v>3.1049264895849329E-2</v>
      </c>
      <c r="X208">
        <f>N208*(AZ208-S208)</f>
        <v>56.880382151035576</v>
      </c>
      <c r="Y208">
        <f>O208*(AZ208-S208)</f>
        <v>57.208895883505541</v>
      </c>
      <c r="Z208">
        <f>((Y208/10^6)*AZ208)/(0.082056*H208)</f>
        <v>2.1771756745507579E-6</v>
      </c>
      <c r="AA208">
        <f>(((L208/10^6)*AZ208)/(0.082056*H208))</f>
        <v>1.0819579865459214E-7</v>
      </c>
      <c r="AB208">
        <f>((Y208/10^6)*U208*1)/(0.082056*H208)</f>
        <v>7.2502021305302087E-8</v>
      </c>
      <c r="AC208">
        <f>(Z208*(Q208/1000))+(AB208*(R208/1000))</f>
        <v>2.1328284476108987E-7</v>
      </c>
      <c r="AD208" s="39">
        <f>((AC208-(AA208*(Q208/1000)))/(R208/1000))*1000000</f>
        <v>0.18139569898404767</v>
      </c>
      <c r="AE208" s="39">
        <f>(AD208/((U208*AZ208*1))*(0.0821*273.15))</f>
        <v>140.16419630273961</v>
      </c>
      <c r="AF208" s="39">
        <f>L208*U208*AZ208*1/(0.0821*273.15)</f>
        <v>3.6793439154121262E-3</v>
      </c>
      <c r="AG208" s="39">
        <f>AD208-AF208</f>
        <v>0.17771635506863553</v>
      </c>
      <c r="AH208" s="42">
        <f>P208*(AZ208-S208)</f>
        <v>0.19680408434070512</v>
      </c>
      <c r="AI208">
        <f>(((X208/10^6)*(Q208/1000))/(0.082056*H208))</f>
        <v>1.3912489694978436E-7</v>
      </c>
      <c r="AJ208">
        <f>(((K208/10^6)*AZ208)*(Q208/1000))/(0.082056*H208)</f>
        <v>1.0036151809386902E-6</v>
      </c>
      <c r="AK208">
        <f>(X208/10^6)*T208*(R208/1000)</f>
        <v>2.1555802332197254E-6</v>
      </c>
      <c r="AL208">
        <f>AI208+AK208</f>
        <v>2.2947051301695099E-6</v>
      </c>
      <c r="AM208" s="39">
        <f>((AL208-AJ208)/(R208/1000))*1000000</f>
        <v>1.1325350431849297</v>
      </c>
      <c r="AN208" s="39">
        <f>AM208/(T208*AZ208)</f>
        <v>36.493541040866212</v>
      </c>
      <c r="AO208" s="39">
        <f>(K208*AZ208)*T208</f>
        <v>13.640230439037113</v>
      </c>
      <c r="AP208" s="39">
        <f>AM208-AO208</f>
        <v>-12.507695395852183</v>
      </c>
      <c r="AQ208">
        <f>(((AH208/10^6)*(Q208/1000))/(0.082056*H208))</f>
        <v>4.8136715890012309E-10</v>
      </c>
      <c r="AR208">
        <f>(((M208/10^6)*AZ208)*(Q208/1000))/(0.082056*H208)</f>
        <v>7.360854757762239E-10</v>
      </c>
      <c r="AS208">
        <f>(AH208/10^6)*V208*(R208/1000)</f>
        <v>5.4493910603739205E-9</v>
      </c>
      <c r="AT208">
        <f>AQ208+AS208</f>
        <v>5.9307582192740438E-9</v>
      </c>
      <c r="AU208" s="39">
        <f>((AT208-AR208)/(R208/1000))*1000000000</f>
        <v>4.5567304767524739</v>
      </c>
      <c r="AV208" s="39">
        <f>(AU208/1000)/(V208*AZ208)</f>
        <v>0.20095810078191068</v>
      </c>
      <c r="AW208" s="39">
        <f>(M208*AZ208)*V208*1000</f>
        <v>7.3096219273339207</v>
      </c>
      <c r="AX208" s="39">
        <f>AU208-AW208</f>
        <v>-2.7528914505814468</v>
      </c>
      <c r="AY208" s="26">
        <f>VLOOKUP($E208,Water!$C$2:$G$90, 5, FALSE)</f>
        <v>709.5</v>
      </c>
      <c r="AZ208">
        <f>AY208/760</f>
        <v>0.93355263157894741</v>
      </c>
      <c r="BA208" s="3">
        <f>Assumptions!$B$3</f>
        <v>406.07</v>
      </c>
      <c r="BB208" s="3">
        <f>BA208*AZ208*T208</f>
        <v>12.601915075084431</v>
      </c>
      <c r="BC208" s="3">
        <f>Assumptions!$B$4</f>
        <v>1.8474300000000001</v>
      </c>
      <c r="BD208" s="45">
        <f>BC208*AZ208*U208*1/(0.0821*273.15)</f>
        <v>2.3908805887224225E-3</v>
      </c>
      <c r="BE208" s="3">
        <f>Assumptions!$B$2</f>
        <v>0.33054499999999998</v>
      </c>
      <c r="BF208" s="44">
        <f>BE208*AZ208*V208*1000</f>
        <v>7.4951169899478263</v>
      </c>
      <c r="BG208">
        <f>1923.6+(-125.06*F208)+(4.3773*(F208^2))+(-0.085681*(F208^3))+(0.00070284*(F208^4))</f>
        <v>450.72625461926373</v>
      </c>
      <c r="BH208">
        <f>1909.4+(-120.78*F208)+(4.1555*(F208^2))+(-0.080578*(F208^3))+(0.00065777*(F208^4))</f>
        <v>466.97827156059196</v>
      </c>
      <c r="BI208">
        <f>2141.2+(-152.56*F208)+(5.8963*(F208^2))+(-0.12411*(F208^3))+(0.0010655*(F208^4))</f>
        <v>470.6586852087994</v>
      </c>
      <c r="BJ208" s="25">
        <f>VLOOKUP(E208,Wind!$C$2:$E$109,3, FALSE)</f>
        <v>0.27777777777777779</v>
      </c>
      <c r="BK208" s="44">
        <v>1.66</v>
      </c>
      <c r="BL208">
        <f>BK208/(1-(((1.3*10^-3)^0.5)/0.41)*LN(10/1.5))</f>
        <v>1.9923982880693825</v>
      </c>
      <c r="BM208">
        <f>BK208*1.22</f>
        <v>2.0251999999999999</v>
      </c>
      <c r="BN208">
        <f>2.07+0.215*(BM208^1.7)*(24/100)</f>
        <v>2.241255750541113</v>
      </c>
      <c r="BO208">
        <f>BN208*((600/BG208)^0.67)</f>
        <v>2.7147581207241598</v>
      </c>
      <c r="BP208">
        <f>BN208*((600/BH208)^0.67)</f>
        <v>2.6510870206278581</v>
      </c>
      <c r="BQ208">
        <f>BN208*((600/BI208)^0.67)</f>
        <v>2.6371794498603043</v>
      </c>
      <c r="BR208" s="39">
        <f>BO208*(AM208-BB208)</f>
        <v>-31.136592581270694</v>
      </c>
      <c r="BS208" s="39">
        <f>BP208*(AD208-BD208)</f>
        <v>0.47455735067769361</v>
      </c>
      <c r="BT208" s="39">
        <f>BQ208*(AU208-BF208)</f>
        <v>-7.749052528345457</v>
      </c>
      <c r="BU208">
        <f>(2.51+1.48*BM208)+(0.39*BM208*LOG10(0.0015))</f>
        <v>3.2768938069574309</v>
      </c>
      <c r="BV208">
        <f>BU208*((600/$BG208)^0.67)</f>
        <v>3.9691918564138033</v>
      </c>
      <c r="BW208">
        <f>BU208*((600/$BH208)^0.67)</f>
        <v>3.8760996541796922</v>
      </c>
      <c r="BX208">
        <f>BU208*((600/$BI208)^0.67)</f>
        <v>3.8557656818041539</v>
      </c>
      <c r="BY208" s="39">
        <f>BV208*($AM208-$BB208)</f>
        <v>-45.524169820730584</v>
      </c>
      <c r="BZ208" s="39">
        <f>BW208*($AD208-$BD208)</f>
        <v>0.69384051467861885</v>
      </c>
      <c r="CA208" s="39">
        <f>BX208*($AU208-$BF208)</f>
        <v>-11.329729877454808</v>
      </c>
      <c r="CB208" s="42">
        <f>AVERAGE(0.72,0.69,0.4,0.22)</f>
        <v>0.50750000000000006</v>
      </c>
      <c r="CC208">
        <f>CB208*((600/$BG208)^0.67)</f>
        <v>0.61471777414731876</v>
      </c>
      <c r="CD208">
        <f>CB208*((600/$BH208)^0.67)</f>
        <v>0.60030037296895178</v>
      </c>
      <c r="CE208">
        <f>CB208*((600/$BI208)^0.67)</f>
        <v>0.59715120440002367</v>
      </c>
      <c r="CF208" s="39">
        <f>CC208*($AM208-$BB208)</f>
        <v>-7.0504317640589651</v>
      </c>
      <c r="CG208" s="39">
        <f>CD208*($AD208-$BD208)</f>
        <v>0.10745665924595323</v>
      </c>
      <c r="CH208" s="39">
        <f>CE208*($AU208-$BF208)</f>
        <v>-1.7546610453473908</v>
      </c>
      <c r="CI208">
        <v>31.862639018895301</v>
      </c>
      <c r="CJ208">
        <f>((BG208/BH208)^0.67)*CI208</f>
        <v>31.11534250550897</v>
      </c>
      <c r="CK208">
        <f>((BH208/BH208)^0.67)*CI208</f>
        <v>31.862639018895301</v>
      </c>
      <c r="CL208">
        <f>((BI208/BH208)^0.67)*CI208</f>
        <v>32.030671538267391</v>
      </c>
      <c r="CM208" s="39">
        <f>CJ208*($AM208-$BB208)</f>
        <v>-356.87368801839835</v>
      </c>
      <c r="CN208" s="39">
        <f>CK208*($AD208-$BD208)</f>
        <v>5.7035659111731576</v>
      </c>
      <c r="CO208" s="39">
        <f>CL208*($AU208-$BF208)</f>
        <v>-94.118493256635134</v>
      </c>
      <c r="CP208" s="27">
        <f>VLOOKUP(A208,Water!$A$2:$E$109, 5, FALSE)/1000</f>
        <v>1E-4</v>
      </c>
      <c r="CQ208">
        <f>0.64*CP208</f>
        <v>6.4000000000000011E-5</v>
      </c>
      <c r="CR208" s="19">
        <f>CQ208*1000*(2.5*10^-5)</f>
        <v>1.6000000000000004E-6</v>
      </c>
      <c r="CS208" s="18">
        <f>(-0.0000009*F208^3)+(0.0002*F208^2)-(0.0134*F208)+6.579</f>
        <v>6.3509518391999995</v>
      </c>
      <c r="CT208" s="18">
        <f>CS208-(SQRT(CP208))/(1+1.4*SQRT(CP208))</f>
        <v>6.3410899062611437</v>
      </c>
      <c r="CU208" s="18">
        <f>10^(-CT208)</f>
        <v>4.5594251841194444E-7</v>
      </c>
      <c r="CV208" s="18">
        <f>(0.000001*F208^3)+(0.00006*F208^2)-(0.014*F208)+10.625</f>
        <v>10.320911912</v>
      </c>
      <c r="CW208" s="18">
        <f>CV208-(2*SQRT(CR208))/(1+1.4*SQRT(CR208))</f>
        <v>10.318386561952368</v>
      </c>
      <c r="CX208" s="18">
        <f>10^(-CW208)</f>
        <v>4.8041154771303105E-11</v>
      </c>
      <c r="CY208">
        <f>EXP(1246.98+-61900/H208-183*LN(H208))</f>
        <v>3.9612687296006227E-2</v>
      </c>
      <c r="CZ208">
        <f>12.225*(F208^2)+15.258*F208+1125.7</f>
        <v>9656.8054000000011</v>
      </c>
      <c r="DA208" s="15">
        <f>10^(-4470.99/H208+6.0875-0.01706*H208)</f>
        <v>1.0758909226211215E-14</v>
      </c>
      <c r="DB208">
        <f>(10^-I208)</f>
        <v>6.9183097091893483E-11</v>
      </c>
      <c r="DC208">
        <f>DB208^2</f>
        <v>4.7863009232263608E-21</v>
      </c>
      <c r="DD208" s="20">
        <f>((14.6836*10^-9)*((H208/217.2056)-1)^1.997)*100*100</f>
        <v>2.0858341285346926E-5</v>
      </c>
      <c r="DE208">
        <f>CY208+CZ208*DA208/DB208</f>
        <v>1.5413768042707634</v>
      </c>
      <c r="DF208">
        <f>1+DC208*(CU208*CX208+CU208*DB208)^-1</f>
        <v>1.0000895514117081</v>
      </c>
      <c r="DG208">
        <f>(DE208*DF208/DD208)^0.5</f>
        <v>271.85289984769901</v>
      </c>
      <c r="DH208">
        <f>DD208/(BO208/60/60)</f>
        <v>2.7659933330347206E-2</v>
      </c>
      <c r="DI208" s="16">
        <f>DF208/((DF208-1)+TANH(DG208*DH208)/(DG208*DH208))</f>
        <v>7.5150504303131793</v>
      </c>
      <c r="DJ208">
        <f>$DI208*BR208</f>
        <v>-233.99306347636448</v>
      </c>
      <c r="DK208">
        <f>$DI208*BY208</f>
        <v>-342.11643200093164</v>
      </c>
      <c r="DL208">
        <f>$DI208*CF208</f>
        <v>-52.984350262385036</v>
      </c>
      <c r="DM208">
        <f>$DI208*CM208</f>
        <v>-2681.9237627101161</v>
      </c>
    </row>
    <row r="209" spans="1:117" ht="15.75" x14ac:dyDescent="0.25">
      <c r="A209" s="51" t="s">
        <v>478</v>
      </c>
      <c r="B209" s="55" t="s">
        <v>342</v>
      </c>
      <c r="C209" s="62" t="s">
        <v>396</v>
      </c>
      <c r="D209" s="57">
        <v>43293</v>
      </c>
      <c r="E209" s="42" t="str">
        <f>A209&amp;D209</f>
        <v>23A43293</v>
      </c>
      <c r="F209" s="3">
        <f>VLOOKUP($E209,Water!$C$2:$E$90, 2, FALSE)</f>
        <v>25.8</v>
      </c>
      <c r="G209" s="3">
        <f>VLOOKUP($E209,Water!$C$2:$E$90, 3, FALSE)</f>
        <v>0.1</v>
      </c>
      <c r="H209" s="1">
        <f>F209+273.15</f>
        <v>298.95</v>
      </c>
      <c r="I209" s="3">
        <f>VLOOKUP($E209,Water!$C$2:$F$90, 4, FALSE)</f>
        <v>10.16</v>
      </c>
      <c r="J209">
        <f>10^(I209*-1)</f>
        <v>6.9183097091893483E-11</v>
      </c>
      <c r="K209" s="25">
        <v>439.52751160265137</v>
      </c>
      <c r="L209" s="25">
        <v>2.8430237635924795</v>
      </c>
      <c r="M209" s="25">
        <v>0.32236441181786135</v>
      </c>
      <c r="N209" s="21">
        <f>VLOOKUP($C209,Raw!$B$2:$F$353, 3, FALSE)</f>
        <v>69.85919278064766</v>
      </c>
      <c r="O209" s="21">
        <f>VLOOKUP($C209,Raw!$B$2:$F$353, 4, FALSE)</f>
        <v>63.147678776552148</v>
      </c>
      <c r="P209" s="21">
        <f>VLOOKUP($C209,Raw!$B$2:$F$353, 5, FALSE)</f>
        <v>0.2209956053220089</v>
      </c>
      <c r="Q209" s="14">
        <v>60</v>
      </c>
      <c r="R209" s="25">
        <v>1140</v>
      </c>
      <c r="S209">
        <f>EXP(24.4543-(100/H209*(67.4509))-(4.8489*LN(H209/100))-(0.000544*G209))</f>
        <v>3.2764258113182732E-2</v>
      </c>
      <c r="T209" s="8">
        <f>EXP(-58.0931+90.5069*(100/H209)+22.294*LN(H209/100)+G209*(0.027766-0.025888*(H209/100)+0.0050578*(H209/100)^2)*G209)</f>
        <v>3.3242741736169722E-2</v>
      </c>
      <c r="U209" s="9">
        <f>(EXP(-67.1962+99.1624*(100/H209)+27.9015*LN(H209/100)+G209*(-0.072909+0.041674*(H209/100)-0.0064603*(H209/100)^2)*G209))</f>
        <v>3.1088190804044239E-2</v>
      </c>
      <c r="V209" s="9">
        <f>(EXP(-64.8539+100.252*(100/H209)+25.2049*LN(H209/100)+(-0.062544+0.035337*(H209/100)-0.0054699*(H209/100)^2)*G209))</f>
        <v>2.4288965408582958E-2</v>
      </c>
      <c r="W209" s="9">
        <f>(EXP(-68.8862+101.4956*(100/H209)+28.7314*LN(H209/100)+G209*(-0.076146+0.04397*(H209/100)-0.0068672*(H209/100)^2)))</f>
        <v>3.1049264895849329E-2</v>
      </c>
      <c r="X209">
        <f>N209*(AZ209-S209)</f>
        <v>62.928348636510897</v>
      </c>
      <c r="Y209">
        <f>O209*(AZ209-S209)</f>
        <v>56.882694853269001</v>
      </c>
      <c r="Z209">
        <f>((Y209/10^6)*AZ209)/(0.082056*H209)</f>
        <v>2.1647615746616328E-6</v>
      </c>
      <c r="AA209">
        <f>(((L209/10^6)*AZ209)/(0.082056*H209))</f>
        <v>1.0819579865459214E-7</v>
      </c>
      <c r="AB209">
        <f>((Y209/10^6)*U209*1)/(0.082056*H209)</f>
        <v>7.2088619968346024E-8</v>
      </c>
      <c r="AC209">
        <f>(Z209*(Q209/1000))+(AB209*(R209/1000))</f>
        <v>2.1206672124361243E-7</v>
      </c>
      <c r="AD209" s="39">
        <f>((AC209-(AA209*(Q209/1000)))/(R209/1000))*1000000</f>
        <v>0.18032892396871661</v>
      </c>
      <c r="AE209" s="39">
        <f>(AD209/((U209*AZ209*1))*(0.0821*273.15))</f>
        <v>139.33990077921194</v>
      </c>
      <c r="AF209" s="39">
        <f>L209*U209*AZ209*1/(0.0821*273.15)</f>
        <v>3.6793439154121262E-3</v>
      </c>
      <c r="AG209" s="39">
        <f>AD209-AF209</f>
        <v>0.17664958005330447</v>
      </c>
      <c r="AH209" s="42">
        <f>P209*(AZ209-S209)</f>
        <v>0.19907027186109449</v>
      </c>
      <c r="AI209">
        <f>(((X209/10^6)*(Q209/1000))/(0.082056*H209))</f>
        <v>1.5391774260636342E-7</v>
      </c>
      <c r="AJ209">
        <f>(((K209/10^6)*AZ209)*(Q209/1000))/(0.082056*H209)</f>
        <v>1.0036151809386902E-6</v>
      </c>
      <c r="AK209">
        <f>(X209/10^6)*T209*(R209/1000)</f>
        <v>2.384778359432185E-6</v>
      </c>
      <c r="AL209">
        <f>AI209+AK209</f>
        <v>2.5386961020385485E-6</v>
      </c>
      <c r="AM209" s="39">
        <f>((AL209-AJ209)/(R209/1000))*1000000</f>
        <v>1.3465622114911038</v>
      </c>
      <c r="AN209" s="39">
        <f>AM209/(T209*AZ209)</f>
        <v>43.390112848901971</v>
      </c>
      <c r="AO209" s="39">
        <f>(K209*AZ209)*T209</f>
        <v>13.640230439037113</v>
      </c>
      <c r="AP209" s="39">
        <f>AM209-AO209</f>
        <v>-12.293668227546009</v>
      </c>
      <c r="AQ209">
        <f>(((AH209/10^6)*(Q209/1000))/(0.082056*H209))</f>
        <v>4.8691007358037056E-10</v>
      </c>
      <c r="AR209">
        <f>(((M209/10^6)*AZ209)*(Q209/1000))/(0.082056*H209)</f>
        <v>7.360854757762239E-10</v>
      </c>
      <c r="AS209">
        <f>(AH209/10^6)*V209*(R209/1000)</f>
        <v>5.5121404797069146E-9</v>
      </c>
      <c r="AT209">
        <f>AQ209+AS209</f>
        <v>5.9990505532872853E-9</v>
      </c>
      <c r="AU209" s="39">
        <f>((AT209-AR209)/(R209/1000))*1000000000</f>
        <v>4.6166360329044398</v>
      </c>
      <c r="AV209" s="39">
        <f>(AU209/1000)/(V209*AZ209)</f>
        <v>0.20360001845775333</v>
      </c>
      <c r="AW209" s="39">
        <f>(M209*AZ209)*V209*1000</f>
        <v>7.3096219273339207</v>
      </c>
      <c r="AX209" s="39">
        <f>AU209-AW209</f>
        <v>-2.6929858944294809</v>
      </c>
      <c r="AY209" s="26">
        <f>VLOOKUP($E209,Water!$C$2:$G$90, 5, FALSE)</f>
        <v>709.5</v>
      </c>
      <c r="AZ209">
        <f>AY209/760</f>
        <v>0.93355263157894741</v>
      </c>
      <c r="BA209" s="3">
        <f>Assumptions!$B$3</f>
        <v>406.07</v>
      </c>
      <c r="BB209" s="3">
        <f>BA209*AZ209*T209</f>
        <v>12.601915075084431</v>
      </c>
      <c r="BC209" s="3">
        <f>Assumptions!$B$4</f>
        <v>1.8474300000000001</v>
      </c>
      <c r="BD209" s="45">
        <f>BC209*AZ209*U209*1/(0.0821*273.15)</f>
        <v>2.3908805887224225E-3</v>
      </c>
      <c r="BE209" s="3">
        <f>Assumptions!$B$2</f>
        <v>0.33054499999999998</v>
      </c>
      <c r="BF209" s="44">
        <f>BE209*AZ209*V209*1000</f>
        <v>7.4951169899478263</v>
      </c>
      <c r="BG209">
        <f>1923.6+(-125.06*F209)+(4.3773*(F209^2))+(-0.085681*(F209^3))+(0.00070284*(F209^4))</f>
        <v>450.72625461926373</v>
      </c>
      <c r="BH209">
        <f>1909.4+(-120.78*F209)+(4.1555*(F209^2))+(-0.080578*(F209^3))+(0.00065777*(F209^4))</f>
        <v>466.97827156059196</v>
      </c>
      <c r="BI209">
        <f>2141.2+(-152.56*F209)+(5.8963*(F209^2))+(-0.12411*(F209^3))+(0.0010655*(F209^4))</f>
        <v>470.6586852087994</v>
      </c>
      <c r="BJ209" s="25">
        <f>VLOOKUP(E209,Wind!$C$2:$E$109,3, FALSE)</f>
        <v>0.27777777777777779</v>
      </c>
      <c r="BK209" s="44">
        <v>1.66</v>
      </c>
      <c r="BL209">
        <f>BK209/(1-(((1.3*10^-3)^0.5)/0.41)*LN(10/1.5))</f>
        <v>1.9923982880693825</v>
      </c>
      <c r="BM209">
        <f>BK209*1.22</f>
        <v>2.0251999999999999</v>
      </c>
      <c r="BN209">
        <f>2.07+0.215*(BM209^1.7)*(24/100)</f>
        <v>2.241255750541113</v>
      </c>
      <c r="BO209">
        <f>BN209*((600/BG209)^0.67)</f>
        <v>2.7147581207241598</v>
      </c>
      <c r="BP209">
        <f>BN209*((600/BH209)^0.67)</f>
        <v>2.6510870206278581</v>
      </c>
      <c r="BQ209">
        <f>BN209*((600/BI209)^0.67)</f>
        <v>2.6371794498603043</v>
      </c>
      <c r="BR209" s="39">
        <f>BO209*(AM209-BB209)</f>
        <v>-30.555560588055911</v>
      </c>
      <c r="BS209" s="39">
        <f>BP209*(AD209-BD209)</f>
        <v>0.47172923728061938</v>
      </c>
      <c r="BT209" s="39">
        <f>BQ209*(AU209-BF209)</f>
        <v>-7.5910708267290401</v>
      </c>
      <c r="BU209">
        <f>(2.51+1.48*BM209)+(0.39*BM209*LOG10(0.0015))</f>
        <v>3.2768938069574309</v>
      </c>
      <c r="BV209">
        <f>BU209*((600/$BG209)^0.67)</f>
        <v>3.9691918564138033</v>
      </c>
      <c r="BW209">
        <f>BU209*((600/$BH209)^0.67)</f>
        <v>3.8760996541796922</v>
      </c>
      <c r="BX209">
        <f>BU209*((600/$BI209)^0.67)</f>
        <v>3.8557656818041539</v>
      </c>
      <c r="BY209" s="39">
        <f>BV209*($AM209-$BB209)</f>
        <v>-44.674654927238414</v>
      </c>
      <c r="BZ209" s="39">
        <f>BW209*($AD209-$BD209)</f>
        <v>0.68970558841060658</v>
      </c>
      <c r="CA209" s="39">
        <f>BX209*($AU209-$BF209)</f>
        <v>-11.098748089894666</v>
      </c>
      <c r="CB209" s="42">
        <f>AVERAGE(0.72,0.69,0.4,0.22)</f>
        <v>0.50750000000000006</v>
      </c>
      <c r="CC209">
        <f>CB209*((600/$BG209)^0.67)</f>
        <v>0.61471777414731876</v>
      </c>
      <c r="CD209">
        <f>CB209*((600/$BH209)^0.67)</f>
        <v>0.60030037296895178</v>
      </c>
      <c r="CE209">
        <f>CB209*((600/$BI209)^0.67)</f>
        <v>0.59715120440002367</v>
      </c>
      <c r="CF209" s="39">
        <f>CC209*($AM209-$BB209)</f>
        <v>-6.9188654595507399</v>
      </c>
      <c r="CG209" s="39">
        <f>CD209*($AD209-$BD209)</f>
        <v>0.10681627380637604</v>
      </c>
      <c r="CH209" s="39">
        <f>CE209*($AU209-$BF209)</f>
        <v>-1.718888370340991</v>
      </c>
      <c r="CI209">
        <v>32.862639018895301</v>
      </c>
      <c r="CJ209">
        <f>((BG209/BH209)^0.67)*CI209</f>
        <v>32.091888813774801</v>
      </c>
      <c r="CK209">
        <f>((BH209/BH209)^0.67)*CI209</f>
        <v>32.862639018895301</v>
      </c>
      <c r="CL209">
        <f>((BI209/BH209)^0.67)*CI209</f>
        <v>33.035945191817319</v>
      </c>
      <c r="CM209" s="39">
        <f>CJ209*($AM209-$BB209)</f>
        <v>-361.20553265823884</v>
      </c>
      <c r="CN209" s="39">
        <f>CK209*($AD209-$BD209)</f>
        <v>5.8475136873252822</v>
      </c>
      <c r="CO209" s="39">
        <f>CL209*($AU209-$BF209)</f>
        <v>-95.093339132575181</v>
      </c>
      <c r="CP209" s="27">
        <f>VLOOKUP(A209,Water!$A$2:$E$109, 5, FALSE)/1000</f>
        <v>1E-4</v>
      </c>
      <c r="CQ209">
        <f>0.64*CP209</f>
        <v>6.4000000000000011E-5</v>
      </c>
      <c r="CR209" s="19">
        <f>CQ209*1000*(2.5*10^-5)</f>
        <v>1.6000000000000004E-6</v>
      </c>
      <c r="CS209" s="18">
        <f>(-0.0000009*F209^3)+(0.0002*F209^2)-(0.0134*F209)+6.579</f>
        <v>6.3509518391999995</v>
      </c>
      <c r="CT209" s="18">
        <f>CS209-(SQRT(CP209))/(1+1.4*SQRT(CP209))</f>
        <v>6.3410899062611437</v>
      </c>
      <c r="CU209" s="18">
        <f>10^(-CT209)</f>
        <v>4.5594251841194444E-7</v>
      </c>
      <c r="CV209" s="18">
        <f>(0.000001*F209^3)+(0.00006*F209^2)-(0.014*F209)+10.625</f>
        <v>10.320911912</v>
      </c>
      <c r="CW209" s="18">
        <f>CV209-(2*SQRT(CR209))/(1+1.4*SQRT(CR209))</f>
        <v>10.318386561952368</v>
      </c>
      <c r="CX209" s="18">
        <f>10^(-CW209)</f>
        <v>4.8041154771303105E-11</v>
      </c>
      <c r="CY209">
        <f>EXP(1246.98+-61900/H209-183*LN(H209))</f>
        <v>3.9612687296006227E-2</v>
      </c>
      <c r="CZ209">
        <f>12.225*(F209^2)+15.258*F209+1125.7</f>
        <v>9656.8054000000011</v>
      </c>
      <c r="DA209" s="15">
        <f>10^(-4470.99/H209+6.0875-0.01706*H209)</f>
        <v>1.0758909226211215E-14</v>
      </c>
      <c r="DB209">
        <f>(10^-I209)</f>
        <v>6.9183097091893483E-11</v>
      </c>
      <c r="DC209">
        <f>DB209^2</f>
        <v>4.7863009232263608E-21</v>
      </c>
      <c r="DD209" s="20">
        <f>((14.6836*10^-9)*((H209/217.2056)-1)^1.997)*100*100</f>
        <v>2.0858341285346926E-5</v>
      </c>
      <c r="DE209">
        <f>CY209+CZ209*DA209/DB209</f>
        <v>1.5413768042707634</v>
      </c>
      <c r="DF209">
        <f>1+DC209*(CU209*CX209+CU209*DB209)^-1</f>
        <v>1.0000895514117081</v>
      </c>
      <c r="DG209">
        <f>(DE209*DF209/DD209)^0.5</f>
        <v>271.85289984769901</v>
      </c>
      <c r="DH209">
        <f>DD209/(BO209/60/60)</f>
        <v>2.7659933330347206E-2</v>
      </c>
      <c r="DI209" s="16">
        <f>DF209/((DF209-1)+TANH(DG209*DH209)/(DG209*DH209))</f>
        <v>7.5150504303131793</v>
      </c>
      <c r="DJ209">
        <f>$DI209*BR209</f>
        <v>-229.62657874573</v>
      </c>
      <c r="DK209">
        <f>$DI209*BY209</f>
        <v>-335.73228473503582</v>
      </c>
      <c r="DL209">
        <f>$DI209*CF209</f>
        <v>-51.995622849075779</v>
      </c>
      <c r="DM209">
        <f>$DI209*CM209</f>
        <v>-2714.4777936347991</v>
      </c>
    </row>
    <row r="210" spans="1:117" ht="15.75" x14ac:dyDescent="0.25">
      <c r="A210" s="52" t="s">
        <v>336</v>
      </c>
      <c r="B210" s="55" t="s">
        <v>339</v>
      </c>
      <c r="C210" s="62" t="s">
        <v>398</v>
      </c>
      <c r="D210" s="57">
        <v>43292</v>
      </c>
      <c r="E210" s="42" t="str">
        <f>A210&amp;D210</f>
        <v>4D43292</v>
      </c>
      <c r="F210" s="3">
        <f>VLOOKUP($E210,Water!$C$2:$E$90, 2, FALSE)</f>
        <v>21.6</v>
      </c>
      <c r="G210" s="3">
        <f>VLOOKUP($E210,Water!$C$2:$E$90, 3, FALSE)</f>
        <v>0.09</v>
      </c>
      <c r="H210" s="1">
        <f>F210+273.15</f>
        <v>294.75</v>
      </c>
      <c r="I210" s="3">
        <f>VLOOKUP($E210,Water!$C$2:$F$90, 4, FALSE)</f>
        <v>9.0500000000000007</v>
      </c>
      <c r="J210">
        <f>10^(I210*-1)</f>
        <v>8.9125093813374338E-10</v>
      </c>
      <c r="K210" s="25">
        <f>VLOOKUP($E210,Atm!$D$2:$G$100, 2, FALSE)</f>
        <v>409.10059790241718</v>
      </c>
      <c r="L210" s="25">
        <f>VLOOKUP($E210,Atm!$D$2:$G$100, 3, FALSE)</f>
        <v>1.8431201827171619</v>
      </c>
      <c r="M210" s="25">
        <f>VLOOKUP($E210,Atm!$D$2:$G$100, 4, FALSE)</f>
        <v>0.29499923482883172</v>
      </c>
      <c r="N210" s="21">
        <f>VLOOKUP($C210,Raw!$B$2:$F$353, 3, FALSE)</f>
        <v>109.0313090696194</v>
      </c>
      <c r="O210" s="21">
        <f>VLOOKUP($C210,Raw!$B$2:$F$353, 4, FALSE)</f>
        <v>627.54245710657619</v>
      </c>
      <c r="P210" s="21">
        <f>VLOOKUP($C210,Raw!$B$2:$F$353, 5, FALSE)</f>
        <v>0.28590939892288775</v>
      </c>
      <c r="Q210" s="14">
        <v>60</v>
      </c>
      <c r="R210" s="25">
        <v>1140</v>
      </c>
      <c r="S210">
        <f>EXP(24.4543-(100/H210*(67.4509))-(4.8489*LN(H210/100))-(0.000544*G210))</f>
        <v>2.5443162276341334E-2</v>
      </c>
      <c r="T210" s="8">
        <f>EXP(-58.0931+90.5069*(100/H210)+22.294*LN(H210/100)+G210*(0.027766-0.025888*(H210/100)+0.0050578*(H210/100)^2)*G210)</f>
        <v>3.733042467382159E-2</v>
      </c>
      <c r="U210" s="9">
        <f>(EXP(-67.1962+99.1624*(100/H210)+27.9015*LN(H210/100)+G210*(-0.072909+0.041674*(H210/100)-0.0064603*(H210/100)^2)*G210))</f>
        <v>3.3606531982269074E-2</v>
      </c>
      <c r="V210" s="9">
        <f>(EXP(-64.8539+100.252*(100/H210)+25.2049*LN(H210/100)+(-0.062544+0.035337*(H210/100)-0.0054699*(H210/100)^2)*G210))</f>
        <v>2.7420706671576776E-2</v>
      </c>
      <c r="W210" s="9">
        <f>(EXP(-68.8862+101.4956*(100/H210)+28.7314*LN(H210/100)+G210*(-0.076146+0.04397*(H210/100)-0.0068672*(H210/100)^2)))</f>
        <v>3.3544899479226641E-2</v>
      </c>
      <c r="X210">
        <f>N210*(AZ210-S210)</f>
        <v>98.797170843416765</v>
      </c>
      <c r="Y210">
        <f>O210*(AZ210-S210)</f>
        <v>568.63867704888014</v>
      </c>
      <c r="Z210">
        <f>((Y210/10^6)*AZ210)/(0.082056*H210)</f>
        <v>2.1902410021653316E-5</v>
      </c>
      <c r="AA210">
        <f>(((L210/10^6)*AZ210)/(0.082056*H210))</f>
        <v>7.099195955252576E-8</v>
      </c>
      <c r="AB210">
        <f>((Y210/10^6)*U210*1)/(0.082056*H210)</f>
        <v>7.9012524377106177E-7</v>
      </c>
      <c r="AC210">
        <f>(Z210*(Q210/1000))+(AB210*(R210/1000))</f>
        <v>2.2148873791982093E-6</v>
      </c>
      <c r="AD210" s="39">
        <f>((AC210-(AA210*(Q210/1000)))/(R210/1000))*1000000</f>
        <v>1.9391472470395243</v>
      </c>
      <c r="AE210" s="39">
        <f>(AD210/((U210*AZ210*1))*(0.0821*273.15))</f>
        <v>1389.0305151100176</v>
      </c>
      <c r="AF210" s="39">
        <f>L210*U210*AZ210*1/(0.0821*273.15)</f>
        <v>2.5730762495134144E-3</v>
      </c>
      <c r="AG210" s="39">
        <f>AD210-AF210</f>
        <v>1.936574170790011</v>
      </c>
      <c r="AH210" s="42">
        <f>P210*(AZ210-S210)</f>
        <v>0.2590727376581955</v>
      </c>
      <c r="AI210">
        <f>(((X210/10^6)*(Q210/1000))/(0.082056*H210))</f>
        <v>2.4509339204683092E-7</v>
      </c>
      <c r="AJ210">
        <f>(((K210/10^6)*AZ210)*(Q210/1000))/(0.082056*H210)</f>
        <v>9.4544631559685897E-7</v>
      </c>
      <c r="AK210">
        <f>(X210/10^6)*T210*(R210/1000)</f>
        <v>4.2044799923388111E-6</v>
      </c>
      <c r="AL210">
        <f>AI210+AK210</f>
        <v>4.449573384385642E-6</v>
      </c>
      <c r="AM210" s="39">
        <f>((AL210-AJ210)/(R210/1000))*1000000</f>
        <v>3.0737956743761257</v>
      </c>
      <c r="AN210" s="39">
        <f>AM210/(T210*AZ210)</f>
        <v>88.387815234866267</v>
      </c>
      <c r="AO210" s="39">
        <f>(K210*AZ210)*T210</f>
        <v>14.226979645052875</v>
      </c>
      <c r="AP210" s="39">
        <f>AM210-AO210</f>
        <v>-11.15318397067675</v>
      </c>
      <c r="AQ210">
        <f>(((AH210/10^6)*(Q210/1000))/(0.082056*H210))</f>
        <v>6.4270075263736095E-10</v>
      </c>
      <c r="AR210">
        <f>(((M210/10^6)*AZ210)*(Q210/1000))/(0.082056*H210)</f>
        <v>6.8175392825834742E-10</v>
      </c>
      <c r="AS210">
        <f>(AH210/10^6)*V210*(R210/1000)</f>
        <v>8.0985116023576253E-9</v>
      </c>
      <c r="AT210">
        <f>AQ210+AS210</f>
        <v>8.7412123549949857E-9</v>
      </c>
      <c r="AU210" s="39">
        <f>((AT210-AR210)/(R210/1000))*1000000000</f>
        <v>7.0697003743303846</v>
      </c>
      <c r="AV210" s="39">
        <f>(AU210/1000)/(V210*AZ210)</f>
        <v>0.2767596034465018</v>
      </c>
      <c r="AW210" s="39">
        <f>(M210*AZ210)*V210*1000</f>
        <v>7.5356236059201853</v>
      </c>
      <c r="AX210" s="39">
        <f>AU210-AW210</f>
        <v>-0.46592323158980076</v>
      </c>
      <c r="AY210" s="26">
        <f>VLOOKUP($E210,Water!$C$2:$G$90, 5, FALSE)</f>
        <v>708</v>
      </c>
      <c r="AZ210">
        <f>AY210/760</f>
        <v>0.93157894736842106</v>
      </c>
      <c r="BA210" s="3">
        <f>Assumptions!$B$3</f>
        <v>406.07</v>
      </c>
      <c r="BB210" s="3">
        <f>BA210*AZ210*T210</f>
        <v>14.12158685195724</v>
      </c>
      <c r="BC210" s="3">
        <f>Assumptions!$B$4</f>
        <v>1.8474300000000001</v>
      </c>
      <c r="BD210" s="45">
        <f>BC210*AZ210*U210*1/(0.0821*273.15)</f>
        <v>2.5790929426157956E-3</v>
      </c>
      <c r="BE210" s="3">
        <f>Assumptions!$B$2</f>
        <v>0.33054499999999998</v>
      </c>
      <c r="BF210" s="44">
        <f>BE210*AZ210*V210*1000</f>
        <v>8.4436242902940677</v>
      </c>
      <c r="BG210">
        <f>1923.6+(-125.06*F210)+(4.3773*(F210^2))+(-0.085681*(F210^3))+(0.00070284*(F210^4))</f>
        <v>554.10298672742374</v>
      </c>
      <c r="BH210">
        <f>1909.4+(-120.78*F210)+(4.1555*(F210^2))+(-0.080578*(F210^3))+(0.00065777*(F210^4))</f>
        <v>570.48370342707187</v>
      </c>
      <c r="BI210">
        <f>2141.2+(-152.56*F210)+(5.8963*(F210^2))+(-0.12411*(F210^3))+(0.0010655*(F210^4))</f>
        <v>578.07503534079956</v>
      </c>
      <c r="BJ210" s="25">
        <f>VLOOKUP(E210,Wind!$C$2:$E$109,3, FALSE)</f>
        <v>0.83333333333333337</v>
      </c>
      <c r="BK210" s="44">
        <v>1.66</v>
      </c>
      <c r="BL210">
        <f>BK210/(1-(((1.3*10^-3)^0.5)/0.41)*LN(10/1.5))</f>
        <v>1.9923982880693825</v>
      </c>
      <c r="BM210">
        <f>BK210*1.22</f>
        <v>2.0251999999999999</v>
      </c>
      <c r="BN210">
        <f>2.07+0.215*(BM210^1.7)*(24/100)</f>
        <v>2.241255750541113</v>
      </c>
      <c r="BO210">
        <f>BN210*((600/BG210)^0.67)</f>
        <v>2.363998113240994</v>
      </c>
      <c r="BP210">
        <f>BN210*((600/BH210)^0.67)</f>
        <v>2.3183007833939824</v>
      </c>
      <c r="BQ210">
        <f>BN210*((600/BI210)^0.67)</f>
        <v>2.297858760594254</v>
      </c>
      <c r="BR210" s="39">
        <f>BO210*(AM210-BB210)</f>
        <v>-26.116957499282254</v>
      </c>
      <c r="BS210" s="39">
        <f>BP210*(AD210-BD210)</f>
        <v>4.489547468738702</v>
      </c>
      <c r="BT210" s="39">
        <f>BQ210*(AU210-BF210)</f>
        <v>-3.157083106687113</v>
      </c>
      <c r="BU210">
        <f>(2.51+1.48*BM210)+(0.39*BM210*LOG10(0.0015))</f>
        <v>3.2768938069574309</v>
      </c>
      <c r="BV210">
        <f>BU210*((600/$BG210)^0.67)</f>
        <v>3.4563528838992101</v>
      </c>
      <c r="BW210">
        <f>BU210*((600/$BH210)^0.67)</f>
        <v>3.3895397604375037</v>
      </c>
      <c r="BX210">
        <f>BU210*((600/$BI210)^0.67)</f>
        <v>3.3596519005188221</v>
      </c>
      <c r="BY210" s="39">
        <f>BV210*($AM210-$BB210)</f>
        <v>-38.185064897348738</v>
      </c>
      <c r="BZ210" s="39">
        <f>BW210*($AD210-$BD210)</f>
        <v>6.5640747571085347</v>
      </c>
      <c r="CA210" s="39">
        <f>BX210*($AU210-$BF210)</f>
        <v>-4.6159060954356503</v>
      </c>
      <c r="CB210" s="42">
        <f>AVERAGE(0.72,0.69,0.4,0.22)</f>
        <v>0.50750000000000006</v>
      </c>
      <c r="CC210">
        <f>CB210*((600/$BG210)^0.67)</f>
        <v>0.53529323558016539</v>
      </c>
      <c r="CD210">
        <f>CB210*((600/$BH210)^0.67)</f>
        <v>0.52494573512567289</v>
      </c>
      <c r="CE210">
        <f>CB210*((600/$BI210)^0.67)</f>
        <v>0.52031693425439463</v>
      </c>
      <c r="CF210" s="39">
        <f>CC210*($AM210-$BB210)</f>
        <v>-5.9138078854614005</v>
      </c>
      <c r="CG210" s="39">
        <f>CD210*($AD210-$BD210)</f>
        <v>1.0165931932733692</v>
      </c>
      <c r="CH210" s="39">
        <f>CE210*($AU210-$BF210)</f>
        <v>-0.71487587985301615</v>
      </c>
      <c r="CI210">
        <v>33.862639018895301</v>
      </c>
      <c r="CJ210">
        <f>((BG210/BH210)^0.67)*CI210</f>
        <v>33.208056354015241</v>
      </c>
      <c r="CK210">
        <f>((BH210/BH210)^0.67)*CI210</f>
        <v>33.862639018895301</v>
      </c>
      <c r="CL210">
        <f>((BI210/BH210)^0.67)*CI210</f>
        <v>34.163885053139907</v>
      </c>
      <c r="CM210" s="39">
        <f>CJ210*($AM210-$BB210)</f>
        <v>-366.87567201250607</v>
      </c>
      <c r="CN210" s="39">
        <f>CK210*($AD210-$BD210)</f>
        <v>65.577308337672022</v>
      </c>
      <c r="CO210" s="39">
        <f>CL210*($AU210-$BF210)</f>
        <v>-46.938578736743125</v>
      </c>
      <c r="CP210" s="27">
        <f>VLOOKUP(A210,Water!$A$2:$E$109, 5, FALSE)/1000</f>
        <v>4.0000000000000003E-5</v>
      </c>
      <c r="CQ210">
        <f>0.64*CP210</f>
        <v>2.5600000000000002E-5</v>
      </c>
      <c r="CR210" s="19">
        <f>CQ210*1000*(2.5*10^-5)</f>
        <v>6.4000000000000001E-7</v>
      </c>
      <c r="CS210" s="18">
        <f>(-0.0000009*F210^3)+(0.0002*F210^2)-(0.0134*F210)+6.579</f>
        <v>6.3738020735999994</v>
      </c>
      <c r="CT210" s="18">
        <f>CS210-(SQRT(CP210))/(1+1.4*SQRT(CP210))</f>
        <v>6.3675330267863925</v>
      </c>
      <c r="CU210" s="18">
        <f>10^(-CT210)</f>
        <v>4.2900956311409412E-7</v>
      </c>
      <c r="CV210" s="18">
        <f>(0.000001*F210^3)+(0.00006*F210^2)-(0.014*F210)+10.625</f>
        <v>10.360671296</v>
      </c>
      <c r="CW210" s="18">
        <f>CV210-(2*SQRT(CR210))/(1+1.4*SQRT(CR210))</f>
        <v>10.359073085995204</v>
      </c>
      <c r="CX210" s="18">
        <f>10^(-CW210)</f>
        <v>4.3744848219196332E-11</v>
      </c>
      <c r="CY210">
        <f>EXP(1246.98+-61900/H210-183*LN(H210))</f>
        <v>2.7603257783083795E-2</v>
      </c>
      <c r="CZ210">
        <f>12.225*(F210^2)+15.258*F210+1125.7</f>
        <v>7158.9688000000006</v>
      </c>
      <c r="DA210" s="15">
        <f>10^(-4470.99/H210+6.0875-0.01706*H210)</f>
        <v>7.7680465486058062E-15</v>
      </c>
      <c r="DB210">
        <f>(10^-I210)</f>
        <v>8.9125093813374338E-10</v>
      </c>
      <c r="DC210">
        <f>DB210^2</f>
        <v>7.9432823472427765E-19</v>
      </c>
      <c r="DD210" s="20">
        <f>((14.6836*10^-9)*((H210/217.2056)-1)^1.997)*100*100</f>
        <v>1.8772985764648863E-5</v>
      </c>
      <c r="DE210">
        <f>CY210+CZ210*DA210/DB210</f>
        <v>9.0000053678597897E-2</v>
      </c>
      <c r="DF210">
        <f>1+DC210*(CU210*CX210+CU210*DB210)^-1</f>
        <v>1.0019802652802179</v>
      </c>
      <c r="DG210">
        <f>(DE210*DF210/DD210)^0.5</f>
        <v>69.308147783183827</v>
      </c>
      <c r="DH210">
        <f>DD210/(BO210/60/60)</f>
        <v>2.8588326011851722E-2</v>
      </c>
      <c r="DI210" s="16">
        <f>DF210/((DF210-1)+TANH(DG210*DH210)/(DG210*DH210))</f>
        <v>2.0538998885332624</v>
      </c>
      <c r="DJ210">
        <f>$DI210*BR210</f>
        <v>-53.641616096603776</v>
      </c>
      <c r="DK210">
        <f>$DI210*BY210</f>
        <v>-78.428300536299972</v>
      </c>
      <c r="DL210">
        <f>$DI210*CF210</f>
        <v>-12.146369356756299</v>
      </c>
      <c r="DM210">
        <f>$DI210*CM210</f>
        <v>-753.52590185205202</v>
      </c>
    </row>
    <row r="211" spans="1:117" ht="15.75" x14ac:dyDescent="0.25">
      <c r="A211" s="52" t="s">
        <v>336</v>
      </c>
      <c r="B211" s="55" t="s">
        <v>340</v>
      </c>
      <c r="C211" s="62" t="s">
        <v>399</v>
      </c>
      <c r="D211" s="57">
        <v>43292</v>
      </c>
      <c r="E211" s="42" t="str">
        <f>A211&amp;D211</f>
        <v>4D43292</v>
      </c>
      <c r="F211" s="3">
        <f>VLOOKUP($E211,Water!$C$2:$E$90, 2, FALSE)</f>
        <v>21.6</v>
      </c>
      <c r="G211" s="3">
        <f>VLOOKUP($E211,Water!$C$2:$E$90, 3, FALSE)</f>
        <v>0.09</v>
      </c>
      <c r="H211" s="1">
        <f>F211+273.15</f>
        <v>294.75</v>
      </c>
      <c r="I211" s="3">
        <f>VLOOKUP($E211,Water!$C$2:$F$90, 4, FALSE)</f>
        <v>9.0500000000000007</v>
      </c>
      <c r="J211">
        <f>10^(I211*-1)</f>
        <v>8.9125093813374338E-10</v>
      </c>
      <c r="K211" s="25">
        <f>VLOOKUP($E211,Atm!$D$2:$G$100, 2, FALSE)</f>
        <v>409.10059790241718</v>
      </c>
      <c r="L211" s="25">
        <f>VLOOKUP($E211,Atm!$D$2:$G$100, 3, FALSE)</f>
        <v>1.8431201827171619</v>
      </c>
      <c r="M211" s="25">
        <f>VLOOKUP($E211,Atm!$D$2:$G$100, 4, FALSE)</f>
        <v>0.29499923482883172</v>
      </c>
      <c r="N211" s="21">
        <f>VLOOKUP($C211,Raw!$B$2:$F$353, 3, FALSE)</f>
        <v>108.56049868896579</v>
      </c>
      <c r="O211" s="21">
        <f>VLOOKUP($C211,Raw!$B$2:$F$353, 4, FALSE)</f>
        <v>634.81548681524646</v>
      </c>
      <c r="P211" s="21">
        <f>VLOOKUP($C211,Raw!$B$2:$F$353, 5, FALSE)</f>
        <v>0.2854468891105057</v>
      </c>
      <c r="Q211" s="14">
        <v>60</v>
      </c>
      <c r="R211" s="25">
        <v>1140</v>
      </c>
      <c r="S211">
        <f>EXP(24.4543-(100/H211*(67.4509))-(4.8489*LN(H211/100))-(0.000544*G211))</f>
        <v>2.5443162276341334E-2</v>
      </c>
      <c r="T211" s="8">
        <f>EXP(-58.0931+90.5069*(100/H211)+22.294*LN(H211/100)+G211*(0.027766-0.025888*(H211/100)+0.0050578*(H211/100)^2)*G211)</f>
        <v>3.733042467382159E-2</v>
      </c>
      <c r="U211" s="9">
        <f>(EXP(-67.1962+99.1624*(100/H211)+27.9015*LN(H211/100)+G211*(-0.072909+0.041674*(H211/100)-0.0064603*(H211/100)^2)*G211))</f>
        <v>3.3606531982269074E-2</v>
      </c>
      <c r="V211" s="9">
        <f>(EXP(-64.8539+100.252*(100/H211)+25.2049*LN(H211/100)+(-0.062544+0.035337*(H211/100)-0.0054699*(H211/100)^2)*G211))</f>
        <v>2.7420706671576776E-2</v>
      </c>
      <c r="W211" s="9">
        <f>(EXP(-68.8862+101.4956*(100/H211)+28.7314*LN(H211/100)+G211*(-0.076146+0.04397*(H211/100)-0.0068672*(H211/100)^2)))</f>
        <v>3.3544899479226641E-2</v>
      </c>
      <c r="X211">
        <f>N211*(AZ211-S211)</f>
        <v>98.370552709513703</v>
      </c>
      <c r="Y211">
        <f>O211*(AZ211-S211)</f>
        <v>575.22902953394407</v>
      </c>
      <c r="Z211">
        <f>((Y211/10^6)*AZ211)/(0.082056*H211)</f>
        <v>2.215625241426757E-5</v>
      </c>
      <c r="AA211">
        <f>(((L211/10^6)*AZ211)/(0.082056*H211))</f>
        <v>7.099195955252576E-8</v>
      </c>
      <c r="AB211">
        <f>((Y211/10^6)*U211*1)/(0.082056*H211)</f>
        <v>7.9928255943383499E-7</v>
      </c>
      <c r="AC211">
        <f>(Z211*(Q211/1000))+(AB211*(R211/1000))</f>
        <v>2.240557262610626E-6</v>
      </c>
      <c r="AD211" s="39">
        <f>((AC211-(AA211*(Q211/1000)))/(R211/1000))*1000000</f>
        <v>1.9616646886293636</v>
      </c>
      <c r="AE211" s="39">
        <f>(AD211/((U211*AZ211*1))*(0.0821*273.15))</f>
        <v>1405.1599831214048</v>
      </c>
      <c r="AF211" s="39">
        <f>L211*U211*AZ211*1/(0.0821*273.15)</f>
        <v>2.5730762495134144E-3</v>
      </c>
      <c r="AG211" s="39">
        <f>AD211-AF211</f>
        <v>1.9590916123798503</v>
      </c>
      <c r="AH211" s="42">
        <f>P211*(AZ211-S211)</f>
        <v>0.25865364096623988</v>
      </c>
      <c r="AI211">
        <f>(((X211/10^6)*(Q211/1000))/(0.082056*H211))</f>
        <v>2.4403504913423163E-7</v>
      </c>
      <c r="AJ211">
        <f>(((K211/10^6)*AZ211)*(Q211/1000))/(0.082056*H211)</f>
        <v>9.4544631559685897E-7</v>
      </c>
      <c r="AK211">
        <f>(X211/10^6)*T211*(R211/1000)</f>
        <v>4.1863245391709552E-6</v>
      </c>
      <c r="AL211">
        <f>AI211+AK211</f>
        <v>4.4303595883051872E-6</v>
      </c>
      <c r="AM211" s="39">
        <f>((AL211-AJ211)/(R211/1000))*1000000</f>
        <v>3.0569414672880075</v>
      </c>
      <c r="AN211" s="39">
        <f>AM211/(T211*AZ211)</f>
        <v>87.903168010441661</v>
      </c>
      <c r="AO211" s="39">
        <f>(K211*AZ211)*T211</f>
        <v>14.226979645052875</v>
      </c>
      <c r="AP211" s="39">
        <f>AM211-AO211</f>
        <v>-11.170038177764868</v>
      </c>
      <c r="AQ211">
        <f>(((AH211/10^6)*(Q211/1000))/(0.082056*H211))</f>
        <v>6.416610687177698E-10</v>
      </c>
      <c r="AR211">
        <f>(((M211/10^6)*AZ211)*(Q211/1000))/(0.082056*H211)</f>
        <v>6.8175392825834742E-10</v>
      </c>
      <c r="AS211">
        <f>(AH211/10^6)*V211*(R211/1000)</f>
        <v>8.0854108050564818E-9</v>
      </c>
      <c r="AT211">
        <f>AQ211+AS211</f>
        <v>8.727071873774251E-9</v>
      </c>
      <c r="AU211" s="39">
        <f>((AT211-AR211)/(R211/1000))*1000000000</f>
        <v>7.0572964434350034</v>
      </c>
      <c r="AV211" s="39">
        <f>(AU211/1000)/(V211*AZ211)</f>
        <v>0.27627402317944438</v>
      </c>
      <c r="AW211" s="39">
        <f>(M211*AZ211)*V211*1000</f>
        <v>7.5356236059201853</v>
      </c>
      <c r="AX211" s="39">
        <f>AU211-AW211</f>
        <v>-0.47832716248518192</v>
      </c>
      <c r="AY211" s="26">
        <f>VLOOKUP($E211,Water!$C$2:$G$90, 5, FALSE)</f>
        <v>708</v>
      </c>
      <c r="AZ211">
        <f>AY211/760</f>
        <v>0.93157894736842106</v>
      </c>
      <c r="BA211" s="3">
        <f>Assumptions!$B$3</f>
        <v>406.07</v>
      </c>
      <c r="BB211" s="3">
        <f>BA211*AZ211*T211</f>
        <v>14.12158685195724</v>
      </c>
      <c r="BC211" s="3">
        <f>Assumptions!$B$4</f>
        <v>1.8474300000000001</v>
      </c>
      <c r="BD211" s="45">
        <f>BC211*AZ211*U211*1/(0.0821*273.15)</f>
        <v>2.5790929426157956E-3</v>
      </c>
      <c r="BE211" s="3">
        <f>Assumptions!$B$2</f>
        <v>0.33054499999999998</v>
      </c>
      <c r="BF211" s="44">
        <f>BE211*AZ211*V211*1000</f>
        <v>8.4436242902940677</v>
      </c>
      <c r="BG211">
        <f>1923.6+(-125.06*F211)+(4.3773*(F211^2))+(-0.085681*(F211^3))+(0.00070284*(F211^4))</f>
        <v>554.10298672742374</v>
      </c>
      <c r="BH211">
        <f>1909.4+(-120.78*F211)+(4.1555*(F211^2))+(-0.080578*(F211^3))+(0.00065777*(F211^4))</f>
        <v>570.48370342707187</v>
      </c>
      <c r="BI211">
        <f>2141.2+(-152.56*F211)+(5.8963*(F211^2))+(-0.12411*(F211^3))+(0.0010655*(F211^4))</f>
        <v>578.07503534079956</v>
      </c>
      <c r="BJ211" s="25">
        <f>VLOOKUP(E211,Wind!$C$2:$E$109,3, FALSE)</f>
        <v>0.83333333333333337</v>
      </c>
      <c r="BK211" s="44">
        <v>1.66</v>
      </c>
      <c r="BL211">
        <f>BK211/(1-(((1.3*10^-3)^0.5)/0.41)*LN(10/1.5))</f>
        <v>1.9923982880693825</v>
      </c>
      <c r="BM211">
        <f>BK211*1.22</f>
        <v>2.0251999999999999</v>
      </c>
      <c r="BN211">
        <f>2.07+0.215*(BM211^1.7)*(24/100)</f>
        <v>2.241255750541113</v>
      </c>
      <c r="BO211">
        <f>BN211*((600/BG211)^0.67)</f>
        <v>2.363998113240994</v>
      </c>
      <c r="BP211">
        <f>BN211*((600/BH211)^0.67)</f>
        <v>2.3183007833939824</v>
      </c>
      <c r="BQ211">
        <f>BN211*((600/BI211)^0.67)</f>
        <v>2.297858760594254</v>
      </c>
      <c r="BR211" s="39">
        <f>BO211*(AM211-BB211)</f>
        <v>-26.156800813038735</v>
      </c>
      <c r="BS211" s="39">
        <f>BP211*(AD211-BD211)</f>
        <v>4.5417496712164542</v>
      </c>
      <c r="BT211" s="39">
        <f>BQ211*(AU211-BF211)</f>
        <v>-3.1855855879608703</v>
      </c>
      <c r="BU211">
        <f>(2.51+1.48*BM211)+(0.39*BM211*LOG10(0.0015))</f>
        <v>3.2768938069574309</v>
      </c>
      <c r="BV211">
        <f>BU211*((600/$BG211)^0.67)</f>
        <v>3.4563528838992101</v>
      </c>
      <c r="BW211">
        <f>BU211*((600/$BH211)^0.67)</f>
        <v>3.3895397604375037</v>
      </c>
      <c r="BX211">
        <f>BU211*((600/$BI211)^0.67)</f>
        <v>3.3596519005188221</v>
      </c>
      <c r="BY211" s="39">
        <f>BV211*($AM211-$BB211)</f>
        <v>-38.243318984623585</v>
      </c>
      <c r="BZ211" s="39">
        <f>BW211*($AD211-$BD211)</f>
        <v>6.6403985206806233</v>
      </c>
      <c r="CA211" s="39">
        <f>BX211*($AU211-$BF211)</f>
        <v>-4.657578985442222</v>
      </c>
      <c r="CB211" s="42">
        <f>AVERAGE(0.72,0.69,0.4,0.22)</f>
        <v>0.50750000000000006</v>
      </c>
      <c r="CC211">
        <f>CB211*((600/$BG211)^0.67)</f>
        <v>0.53529323558016539</v>
      </c>
      <c r="CD211">
        <f>CB211*((600/$BH211)^0.67)</f>
        <v>0.52494573512567289</v>
      </c>
      <c r="CE211">
        <f>CB211*((600/$BI211)^0.67)</f>
        <v>0.52031693425439463</v>
      </c>
      <c r="CF211" s="39">
        <f>CC211*($AM211-$BB211)</f>
        <v>-5.9228298285067371</v>
      </c>
      <c r="CG211" s="39">
        <f>CD211*($AD211-$BD211)</f>
        <v>1.0284136282018967</v>
      </c>
      <c r="CH211" s="39">
        <f>CE211*($AU211-$BF211)</f>
        <v>-0.72132985514920422</v>
      </c>
      <c r="CI211">
        <v>34.862639018895301</v>
      </c>
      <c r="CJ211">
        <f>((BG211/BH211)^0.67)*CI211</f>
        <v>34.188725826807513</v>
      </c>
      <c r="CK211">
        <f>((BH211/BH211)^0.67)*CI211</f>
        <v>34.862639018895301</v>
      </c>
      <c r="CL211">
        <f>((BI211/BH211)^0.67)*CI211</f>
        <v>35.172781171191325</v>
      </c>
      <c r="CM211" s="39">
        <f>CJ211*($AM211-$BB211)</f>
        <v>-378.28612742730752</v>
      </c>
      <c r="CN211" s="39">
        <f>CK211*($AD211-$BD211)</f>
        <v>68.298893929544562</v>
      </c>
      <c r="CO211" s="39">
        <f>CL211*($AU211-$BF211)</f>
        <v>-48.761005989102706</v>
      </c>
      <c r="CP211" s="27">
        <f>VLOOKUP(A211,Water!$A$2:$E$109, 5, FALSE)/1000</f>
        <v>4.0000000000000003E-5</v>
      </c>
      <c r="CQ211">
        <f>0.64*CP211</f>
        <v>2.5600000000000002E-5</v>
      </c>
      <c r="CR211" s="19">
        <f>CQ211*1000*(2.5*10^-5)</f>
        <v>6.4000000000000001E-7</v>
      </c>
      <c r="CS211" s="18">
        <f>(-0.0000009*F211^3)+(0.0002*F211^2)-(0.0134*F211)+6.579</f>
        <v>6.3738020735999994</v>
      </c>
      <c r="CT211" s="18">
        <f>CS211-(SQRT(CP211))/(1+1.4*SQRT(CP211))</f>
        <v>6.3675330267863925</v>
      </c>
      <c r="CU211" s="18">
        <f>10^(-CT211)</f>
        <v>4.2900956311409412E-7</v>
      </c>
      <c r="CV211" s="18">
        <f>(0.000001*F211^3)+(0.00006*F211^2)-(0.014*F211)+10.625</f>
        <v>10.360671296</v>
      </c>
      <c r="CW211" s="18">
        <f>CV211-(2*SQRT(CR211))/(1+1.4*SQRT(CR211))</f>
        <v>10.359073085995204</v>
      </c>
      <c r="CX211" s="18">
        <f>10^(-CW211)</f>
        <v>4.3744848219196332E-11</v>
      </c>
      <c r="CY211">
        <f>EXP(1246.98+-61900/H211-183*LN(H211))</f>
        <v>2.7603257783083795E-2</v>
      </c>
      <c r="CZ211">
        <f>12.225*(F211^2)+15.258*F211+1125.7</f>
        <v>7158.9688000000006</v>
      </c>
      <c r="DA211" s="15">
        <f>10^(-4470.99/H211+6.0875-0.01706*H211)</f>
        <v>7.7680465486058062E-15</v>
      </c>
      <c r="DB211">
        <f>(10^-I211)</f>
        <v>8.9125093813374338E-10</v>
      </c>
      <c r="DC211">
        <f>DB211^2</f>
        <v>7.9432823472427765E-19</v>
      </c>
      <c r="DD211" s="20">
        <f>((14.6836*10^-9)*((H211/217.2056)-1)^1.997)*100*100</f>
        <v>1.8772985764648863E-5</v>
      </c>
      <c r="DE211">
        <f>CY211+CZ211*DA211/DB211</f>
        <v>9.0000053678597897E-2</v>
      </c>
      <c r="DF211">
        <f>1+DC211*(CU211*CX211+CU211*DB211)^-1</f>
        <v>1.0019802652802179</v>
      </c>
      <c r="DG211">
        <f>(DE211*DF211/DD211)^0.5</f>
        <v>69.308147783183827</v>
      </c>
      <c r="DH211">
        <f>DD211/(BO211/60/60)</f>
        <v>2.8588326011851722E-2</v>
      </c>
      <c r="DI211" s="16">
        <f>DF211/((DF211-1)+TANH(DG211*DH211)/(DG211*DH211))</f>
        <v>2.0538998885332624</v>
      </c>
      <c r="DJ211">
        <f>$DI211*BR211</f>
        <v>-53.723450274287011</v>
      </c>
      <c r="DK211">
        <f>$DI211*BY211</f>
        <v>-78.547948599660387</v>
      </c>
      <c r="DL211">
        <f>$DI211*CF211</f>
        <v>-12.164899524571469</v>
      </c>
      <c r="DM211">
        <f>$DI211*CM211</f>
        <v>-776.96183495662638</v>
      </c>
    </row>
    <row r="212" spans="1:117" ht="15.75" x14ac:dyDescent="0.25">
      <c r="A212" s="52" t="s">
        <v>336</v>
      </c>
      <c r="B212" s="55" t="s">
        <v>341</v>
      </c>
      <c r="C212" s="62" t="s">
        <v>400</v>
      </c>
      <c r="D212" s="57">
        <v>43292</v>
      </c>
      <c r="E212" s="42" t="str">
        <f>A212&amp;D212</f>
        <v>4D43292</v>
      </c>
      <c r="F212" s="3">
        <f>VLOOKUP($E212,Water!$C$2:$E$90, 2, FALSE)</f>
        <v>21.6</v>
      </c>
      <c r="G212" s="3">
        <f>VLOOKUP($E212,Water!$C$2:$E$90, 3, FALSE)</f>
        <v>0.09</v>
      </c>
      <c r="H212" s="1">
        <f>F212+273.15</f>
        <v>294.75</v>
      </c>
      <c r="I212" s="3">
        <f>VLOOKUP($E212,Water!$C$2:$F$90, 4, FALSE)</f>
        <v>9.0500000000000007</v>
      </c>
      <c r="J212">
        <f>10^(I212*-1)</f>
        <v>8.9125093813374338E-10</v>
      </c>
      <c r="K212" s="25">
        <f>VLOOKUP($E212,Atm!$D$2:$G$100, 2, FALSE)</f>
        <v>409.10059790241718</v>
      </c>
      <c r="L212" s="25">
        <f>VLOOKUP($E212,Atm!$D$2:$G$100, 3, FALSE)</f>
        <v>1.8431201827171619</v>
      </c>
      <c r="M212" s="25">
        <f>VLOOKUP($E212,Atm!$D$2:$G$100, 4, FALSE)</f>
        <v>0.29499923482883172</v>
      </c>
      <c r="N212" s="21">
        <f>VLOOKUP($C212,Raw!$B$2:$F$353, 3, FALSE)</f>
        <v>102.467276899146</v>
      </c>
      <c r="O212" s="21">
        <f>VLOOKUP($C212,Raw!$B$2:$F$353, 4, FALSE)</f>
        <v>695.60504075979395</v>
      </c>
      <c r="P212" s="21">
        <f>VLOOKUP($C212,Raw!$B$2:$F$353, 5, FALSE)</f>
        <v>0.29001447248761864</v>
      </c>
      <c r="Q212" s="14">
        <v>60</v>
      </c>
      <c r="R212" s="25">
        <v>1140</v>
      </c>
      <c r="S212">
        <f>EXP(24.4543-(100/H212*(67.4509))-(4.8489*LN(H212/100))-(0.000544*G212))</f>
        <v>2.5443162276341334E-2</v>
      </c>
      <c r="T212" s="8">
        <f>EXP(-58.0931+90.5069*(100/H212)+22.294*LN(H212/100)+G212*(0.027766-0.025888*(H212/100)+0.0050578*(H212/100)^2)*G212)</f>
        <v>3.733042467382159E-2</v>
      </c>
      <c r="U212" s="9">
        <f>(EXP(-67.1962+99.1624*(100/H212)+27.9015*LN(H212/100)+G212*(-0.072909+0.041674*(H212/100)-0.0064603*(H212/100)^2)*G212))</f>
        <v>3.3606531982269074E-2</v>
      </c>
      <c r="V212" s="9">
        <f>(EXP(-64.8539+100.252*(100/H212)+25.2049*LN(H212/100)+(-0.062544+0.035337*(H212/100)-0.0054699*(H212/100)^2)*G212))</f>
        <v>2.7420706671576776E-2</v>
      </c>
      <c r="W212" s="9">
        <f>(EXP(-68.8862+101.4956*(100/H212)+28.7314*LN(H212/100)+G212*(-0.076146+0.04397*(H212/100)-0.0068672*(H212/100)^2)))</f>
        <v>3.3544899479226641E-2</v>
      </c>
      <c r="X212">
        <f>N212*(AZ212-S212)</f>
        <v>92.849266399255185</v>
      </c>
      <c r="Y212">
        <f>O212*(AZ212-S212)</f>
        <v>630.31261972288405</v>
      </c>
      <c r="Z212">
        <f>((Y212/10^6)*AZ212)/(0.082056*H212)</f>
        <v>2.427792198490632E-5</v>
      </c>
      <c r="AA212">
        <f>(((L212/10^6)*AZ212)/(0.082056*H212))</f>
        <v>7.099195955252576E-8</v>
      </c>
      <c r="AB212">
        <f>((Y212/10^6)*U212*1)/(0.082056*H212)</f>
        <v>8.758213825608455E-7</v>
      </c>
      <c r="AC212">
        <f>(Z212*(Q212/1000))+(AB212*(R212/1000))</f>
        <v>2.455111695213743E-6</v>
      </c>
      <c r="AD212" s="39">
        <f>((AC212-(AA212*(Q212/1000)))/(R212/1000))*1000000</f>
        <v>2.1498703312636769</v>
      </c>
      <c r="AE212" s="39">
        <f>(AD212/((U212*AZ212*1))*(0.0821*273.15))</f>
        <v>1539.9735622005926</v>
      </c>
      <c r="AF212" s="39">
        <f>L212*U212*AZ212*1/(0.0821*273.15)</f>
        <v>2.5730762495134144E-3</v>
      </c>
      <c r="AG212" s="39">
        <f>AD212-AF212</f>
        <v>2.1472972550141636</v>
      </c>
      <c r="AH212" s="42">
        <f>P212*(AZ212-S212)</f>
        <v>0.26279249171563368</v>
      </c>
      <c r="AI212">
        <f>(((X212/10^6)*(Q212/1000))/(0.082056*H212))</f>
        <v>2.303379889988992E-7</v>
      </c>
      <c r="AJ212">
        <f>(((K212/10^6)*AZ212)*(Q212/1000))/(0.082056*H212)</f>
        <v>9.4544631559685897E-7</v>
      </c>
      <c r="AK212">
        <f>(X212/10^6)*T212*(R212/1000)</f>
        <v>3.9513569016841674E-6</v>
      </c>
      <c r="AL212">
        <f>AI212+AK212</f>
        <v>4.1816948906830669E-6</v>
      </c>
      <c r="AM212" s="39">
        <f>((AL212-AJ212)/(R212/1000))*1000000</f>
        <v>2.8388145395493054</v>
      </c>
      <c r="AN212" s="39">
        <f>AM212/(T212*AZ212)</f>
        <v>81.630869969476223</v>
      </c>
      <c r="AO212" s="39">
        <f>(K212*AZ212)*T212</f>
        <v>14.226979645052875</v>
      </c>
      <c r="AP212" s="39">
        <f>AM212-AO212</f>
        <v>-11.388165105503569</v>
      </c>
      <c r="AQ212">
        <f>(((AH212/10^6)*(Q212/1000))/(0.082056*H212))</f>
        <v>6.5192861950575968E-10</v>
      </c>
      <c r="AR212">
        <f>(((M212/10^6)*AZ212)*(Q212/1000))/(0.082056*H212)</f>
        <v>6.8175392825834742E-10</v>
      </c>
      <c r="AS212">
        <f>(AH212/10^6)*V212*(R212/1000)</f>
        <v>8.2147896471429639E-9</v>
      </c>
      <c r="AT212">
        <f>AQ212+AS212</f>
        <v>8.8667182666487234E-9</v>
      </c>
      <c r="AU212" s="39">
        <f>((AT212-AR212)/(R212/1000))*1000000000</f>
        <v>7.1797932792898038</v>
      </c>
      <c r="AV212" s="39">
        <f>(AU212/1000)/(V212*AZ212)</f>
        <v>0.28106944220989188</v>
      </c>
      <c r="AW212" s="39">
        <f>(M212*AZ212)*V212*1000</f>
        <v>7.5356236059201853</v>
      </c>
      <c r="AX212" s="39">
        <f>AU212-AW212</f>
        <v>-0.3558303266303815</v>
      </c>
      <c r="AY212" s="26">
        <f>VLOOKUP($E212,Water!$C$2:$G$90, 5, FALSE)</f>
        <v>708</v>
      </c>
      <c r="AZ212">
        <f>AY212/760</f>
        <v>0.93157894736842106</v>
      </c>
      <c r="BA212" s="3">
        <f>Assumptions!$B$3</f>
        <v>406.07</v>
      </c>
      <c r="BB212" s="3">
        <f>BA212*AZ212*T212</f>
        <v>14.12158685195724</v>
      </c>
      <c r="BC212" s="3">
        <f>Assumptions!$B$4</f>
        <v>1.8474300000000001</v>
      </c>
      <c r="BD212" s="45">
        <f>BC212*AZ212*U212*1/(0.0821*273.15)</f>
        <v>2.5790929426157956E-3</v>
      </c>
      <c r="BE212" s="3">
        <f>Assumptions!$B$2</f>
        <v>0.33054499999999998</v>
      </c>
      <c r="BF212" s="44">
        <f>BE212*AZ212*V212*1000</f>
        <v>8.4436242902940677</v>
      </c>
      <c r="BG212">
        <f>1923.6+(-125.06*F212)+(4.3773*(F212^2))+(-0.085681*(F212^3))+(0.00070284*(F212^4))</f>
        <v>554.10298672742374</v>
      </c>
      <c r="BH212">
        <f>1909.4+(-120.78*F212)+(4.1555*(F212^2))+(-0.080578*(F212^3))+(0.00065777*(F212^4))</f>
        <v>570.48370342707187</v>
      </c>
      <c r="BI212">
        <f>2141.2+(-152.56*F212)+(5.8963*(F212^2))+(-0.12411*(F212^3))+(0.0010655*(F212^4))</f>
        <v>578.07503534079956</v>
      </c>
      <c r="BJ212" s="25">
        <f>VLOOKUP(E212,Wind!$C$2:$E$109,3, FALSE)</f>
        <v>0.83333333333333337</v>
      </c>
      <c r="BK212" s="44">
        <v>1.66</v>
      </c>
      <c r="BL212">
        <f>BK212/(1-(((1.3*10^-3)^0.5)/0.41)*LN(10/1.5))</f>
        <v>1.9923982880693825</v>
      </c>
      <c r="BM212">
        <f>BK212*1.22</f>
        <v>2.0251999999999999</v>
      </c>
      <c r="BN212">
        <f>2.07+0.215*(BM212^1.7)*(24/100)</f>
        <v>2.241255750541113</v>
      </c>
      <c r="BO212">
        <f>BN212*((600/BG212)^0.67)</f>
        <v>2.363998113240994</v>
      </c>
      <c r="BP212">
        <f>BN212*((600/BH212)^0.67)</f>
        <v>2.3183007833939824</v>
      </c>
      <c r="BQ212">
        <f>BN212*((600/BI212)^0.67)</f>
        <v>2.297858760594254</v>
      </c>
      <c r="BR212" s="39">
        <f>BO212*(AM212-BB212)</f>
        <v>-26.672452458660082</v>
      </c>
      <c r="BS212" s="39">
        <f>BP212*(AD212-BD212)</f>
        <v>4.9780669599747505</v>
      </c>
      <c r="BT212" s="39">
        <f>BQ212*(AU212-BF212)</f>
        <v>-2.9041051605468406</v>
      </c>
      <c r="BU212">
        <f>(2.51+1.48*BM212)+(0.39*BM212*LOG10(0.0015))</f>
        <v>3.2768938069574309</v>
      </c>
      <c r="BV212">
        <f>BU212*((600/$BG212)^0.67)</f>
        <v>3.4563528838992101</v>
      </c>
      <c r="BW212">
        <f>BU212*((600/$BH212)^0.67)</f>
        <v>3.3895397604375037</v>
      </c>
      <c r="BX212">
        <f>BU212*((600/$BI212)^0.67)</f>
        <v>3.3596519005188221</v>
      </c>
      <c r="BY212" s="39">
        <f>BV212*($AM212-$BB212)</f>
        <v>-38.99724262036932</v>
      </c>
      <c r="BZ212" s="39">
        <f>BW212*($AD212-$BD212)</f>
        <v>7.2783290295283205</v>
      </c>
      <c r="CA212" s="39">
        <f>BX212*($AU212-$BF212)</f>
        <v>-4.2460322580550995</v>
      </c>
      <c r="CB212" s="42">
        <f>AVERAGE(0.72,0.69,0.4,0.22)</f>
        <v>0.50750000000000006</v>
      </c>
      <c r="CC212">
        <f>CB212*((600/$BG212)^0.67)</f>
        <v>0.53529323558016539</v>
      </c>
      <c r="CD212">
        <f>CB212*((600/$BH212)^0.67)</f>
        <v>0.52494573512567289</v>
      </c>
      <c r="CE212">
        <f>CB212*((600/$BI212)^0.67)</f>
        <v>0.52031693425439463</v>
      </c>
      <c r="CF212" s="39">
        <f>CC212*($AM212-$BB212)</f>
        <v>-6.0395916974231474</v>
      </c>
      <c r="CG212" s="39">
        <f>CD212*($AD212-$BD212)</f>
        <v>1.127211377629366</v>
      </c>
      <c r="CH212" s="39">
        <f>CE212*($AU212-$BF212)</f>
        <v>-0.6575926770613707</v>
      </c>
      <c r="CI212">
        <v>35.862639018895301</v>
      </c>
      <c r="CJ212">
        <f>((BG212/BH212)^0.67)*CI212</f>
        <v>35.169395299599792</v>
      </c>
      <c r="CK212">
        <f>((BH212/BH212)^0.67)*CI212</f>
        <v>35.862639018895301</v>
      </c>
      <c r="CL212">
        <f>((BI212/BH212)^0.67)*CI212</f>
        <v>36.181677289242742</v>
      </c>
      <c r="CM212" s="39">
        <f>CJ212*($AM212-$BB212)</f>
        <v>-396.80827953045429</v>
      </c>
      <c r="CN212" s="39">
        <f>CK212*($AD212-$BD212)</f>
        <v>77.007530548344903</v>
      </c>
      <c r="CO212" s="39">
        <f>CL212*($AU212-$BF212)</f>
        <v>-45.727525788293669</v>
      </c>
      <c r="CP212" s="27">
        <f>VLOOKUP(A212,Water!$A$2:$E$109, 5, FALSE)/1000</f>
        <v>4.0000000000000003E-5</v>
      </c>
      <c r="CQ212">
        <f>0.64*CP212</f>
        <v>2.5600000000000002E-5</v>
      </c>
      <c r="CR212" s="19">
        <f>CQ212*1000*(2.5*10^-5)</f>
        <v>6.4000000000000001E-7</v>
      </c>
      <c r="CS212" s="18">
        <f>(-0.0000009*F212^3)+(0.0002*F212^2)-(0.0134*F212)+6.579</f>
        <v>6.3738020735999994</v>
      </c>
      <c r="CT212" s="18">
        <f>CS212-(SQRT(CP212))/(1+1.4*SQRT(CP212))</f>
        <v>6.3675330267863925</v>
      </c>
      <c r="CU212" s="18">
        <f>10^(-CT212)</f>
        <v>4.2900956311409412E-7</v>
      </c>
      <c r="CV212" s="18">
        <f>(0.000001*F212^3)+(0.00006*F212^2)-(0.014*F212)+10.625</f>
        <v>10.360671296</v>
      </c>
      <c r="CW212" s="18">
        <f>CV212-(2*SQRT(CR212))/(1+1.4*SQRT(CR212))</f>
        <v>10.359073085995204</v>
      </c>
      <c r="CX212" s="18">
        <f>10^(-CW212)</f>
        <v>4.3744848219196332E-11</v>
      </c>
      <c r="CY212">
        <f>EXP(1246.98+-61900/H212-183*LN(H212))</f>
        <v>2.7603257783083795E-2</v>
      </c>
      <c r="CZ212">
        <f>12.225*(F212^2)+15.258*F212+1125.7</f>
        <v>7158.9688000000006</v>
      </c>
      <c r="DA212" s="15">
        <f>10^(-4470.99/H212+6.0875-0.01706*H212)</f>
        <v>7.7680465486058062E-15</v>
      </c>
      <c r="DB212">
        <f>(10^-I212)</f>
        <v>8.9125093813374338E-10</v>
      </c>
      <c r="DC212">
        <f>DB212^2</f>
        <v>7.9432823472427765E-19</v>
      </c>
      <c r="DD212" s="20">
        <f>((14.6836*10^-9)*((H212/217.2056)-1)^1.997)*100*100</f>
        <v>1.8772985764648863E-5</v>
      </c>
      <c r="DE212">
        <f>CY212+CZ212*DA212/DB212</f>
        <v>9.0000053678597897E-2</v>
      </c>
      <c r="DF212">
        <f>1+DC212*(CU212*CX212+CU212*DB212)^-1</f>
        <v>1.0019802652802179</v>
      </c>
      <c r="DG212">
        <f>(DE212*DF212/DD212)^0.5</f>
        <v>69.308147783183827</v>
      </c>
      <c r="DH212">
        <f>DD212/(BO212/60/60)</f>
        <v>2.8588326011851722E-2</v>
      </c>
      <c r="DI212" s="16">
        <f>DF212/((DF212-1)+TANH(DG212*DH212)/(DG212*DH212))</f>
        <v>2.0538998885332624</v>
      </c>
      <c r="DJ212">
        <f>$DI212*BR212</f>
        <v>-54.782547131750682</v>
      </c>
      <c r="DK212">
        <f>$DI212*BY212</f>
        <v>-80.096432271081142</v>
      </c>
      <c r="DL212">
        <f>$DI212*CF212</f>
        <v>-12.40471671412382</v>
      </c>
      <c r="DM212">
        <f>$DI212*CM212</f>
        <v>-815.0044810966757</v>
      </c>
    </row>
    <row r="213" spans="1:117" ht="15.75" x14ac:dyDescent="0.25">
      <c r="A213" s="52" t="s">
        <v>336</v>
      </c>
      <c r="B213" s="55" t="s">
        <v>342</v>
      </c>
      <c r="C213" s="62" t="s">
        <v>401</v>
      </c>
      <c r="D213" s="57">
        <v>43292</v>
      </c>
      <c r="E213" s="42" t="str">
        <f>A213&amp;D213</f>
        <v>4D43292</v>
      </c>
      <c r="F213" s="3">
        <f>VLOOKUP($E213,Water!$C$2:$E$90, 2, FALSE)</f>
        <v>21.6</v>
      </c>
      <c r="G213" s="3">
        <f>VLOOKUP($E213,Water!$C$2:$E$90, 3, FALSE)</f>
        <v>0.09</v>
      </c>
      <c r="H213" s="1">
        <f>F213+273.15</f>
        <v>294.75</v>
      </c>
      <c r="I213" s="3">
        <f>VLOOKUP($E213,Water!$C$2:$F$90, 4, FALSE)</f>
        <v>9.0500000000000007</v>
      </c>
      <c r="J213">
        <f>10^(I213*-1)</f>
        <v>8.9125093813374338E-10</v>
      </c>
      <c r="K213" s="25">
        <f>VLOOKUP($E213,Atm!$D$2:$G$100, 2, FALSE)</f>
        <v>409.10059790241718</v>
      </c>
      <c r="L213" s="25">
        <f>VLOOKUP($E213,Atm!$D$2:$G$100, 3, FALSE)</f>
        <v>1.8431201827171619</v>
      </c>
      <c r="M213" s="25">
        <f>VLOOKUP($E213,Atm!$D$2:$G$100, 4, FALSE)</f>
        <v>0.29499923482883172</v>
      </c>
      <c r="N213" s="21">
        <f>VLOOKUP($C213,Raw!$B$2:$F$353, 3, FALSE)</f>
        <v>95.086729464933512</v>
      </c>
      <c r="O213" s="21">
        <f>VLOOKUP($C213,Raw!$B$2:$F$353, 4, FALSE)</f>
        <v>693.22747607298845</v>
      </c>
      <c r="P213" s="21">
        <f>VLOOKUP($C213,Raw!$B$2:$F$353, 5, FALSE)</f>
        <v>0.28736750739571965</v>
      </c>
      <c r="Q213" s="14">
        <v>60</v>
      </c>
      <c r="R213" s="25">
        <v>1140</v>
      </c>
      <c r="S213">
        <f>EXP(24.4543-(100/H213*(67.4509))-(4.8489*LN(H213/100))-(0.000544*G213))</f>
        <v>2.5443162276341334E-2</v>
      </c>
      <c r="T213" s="8">
        <f>EXP(-58.0931+90.5069*(100/H213)+22.294*LN(H213/100)+G213*(0.027766-0.025888*(H213/100)+0.0050578*(H213/100)^2)*G213)</f>
        <v>3.733042467382159E-2</v>
      </c>
      <c r="U213" s="9">
        <f>(EXP(-67.1962+99.1624*(100/H213)+27.9015*LN(H213/100)+G213*(-0.072909+0.041674*(H213/100)-0.0064603*(H213/100)^2)*G213))</f>
        <v>3.3606531982269074E-2</v>
      </c>
      <c r="V213" s="9">
        <f>(EXP(-64.8539+100.252*(100/H213)+25.2049*LN(H213/100)+(-0.062544+0.035337*(H213/100)-0.0054699*(H213/100)^2)*G213))</f>
        <v>2.7420706671576776E-2</v>
      </c>
      <c r="W213" s="9">
        <f>(EXP(-68.8862+101.4956*(100/H213)+28.7314*LN(H213/100)+G213*(-0.076146+0.04397*(H213/100)-0.0068672*(H213/100)^2)))</f>
        <v>3.3544899479226641E-2</v>
      </c>
      <c r="X213">
        <f>N213*(AZ213-S213)</f>
        <v>86.16148825554572</v>
      </c>
      <c r="Y213">
        <f>O213*(AZ213-S213)</f>
        <v>628.15822327879835</v>
      </c>
      <c r="Z213">
        <f>((Y213/10^6)*AZ213)/(0.082056*H213)</f>
        <v>2.4194940513240607E-5</v>
      </c>
      <c r="AA213">
        <f>(((L213/10^6)*AZ213)/(0.082056*H213))</f>
        <v>7.099195955252576E-8</v>
      </c>
      <c r="AB213">
        <f>((Y213/10^6)*U213*1)/(0.082056*H213)</f>
        <v>8.7282784187452247E-7</v>
      </c>
      <c r="AC213">
        <f>(Z213*(Q213/1000))+(AB213*(R213/1000))</f>
        <v>2.446720170531392E-6</v>
      </c>
      <c r="AD213" s="39">
        <f>((AC213-(AA213*(Q213/1000)))/(R213/1000))*1000000</f>
        <v>2.142509344700211</v>
      </c>
      <c r="AE213" s="39">
        <f>(AD213/((U213*AZ213*1))*(0.0821*273.15))</f>
        <v>1534.7008141029023</v>
      </c>
      <c r="AF213" s="39">
        <f>L213*U213*AZ213*1/(0.0821*273.15)</f>
        <v>2.5730762495134144E-3</v>
      </c>
      <c r="AG213" s="39">
        <f>AD213-AF213</f>
        <v>2.1399362684506977</v>
      </c>
      <c r="AH213" s="42">
        <f>P213*(AZ213-S213)</f>
        <v>0.26039398192397445</v>
      </c>
      <c r="AI213">
        <f>(((X213/10^6)*(Q213/1000))/(0.082056*H213))</f>
        <v>2.1374712696807991E-7</v>
      </c>
      <c r="AJ213">
        <f>(((K213/10^6)*AZ213)*(Q213/1000))/(0.082056*H213)</f>
        <v>9.4544631559685897E-7</v>
      </c>
      <c r="AK213">
        <f>(X213/10^6)*T213*(R213/1000)</f>
        <v>3.6667472397031347E-6</v>
      </c>
      <c r="AL213">
        <f>AI213+AK213</f>
        <v>3.8804943666712148E-6</v>
      </c>
      <c r="AM213" s="39">
        <f>((AL213-AJ213)/(R213/1000))*1000000</f>
        <v>2.5746035535739966</v>
      </c>
      <c r="AN213" s="39">
        <f>AM213/(T213*AZ213)</f>
        <v>74.033412530751932</v>
      </c>
      <c r="AO213" s="39">
        <f>(K213*AZ213)*T213</f>
        <v>14.226979645052875</v>
      </c>
      <c r="AP213" s="39">
        <f>AM213-AO213</f>
        <v>-11.652376091478878</v>
      </c>
      <c r="AQ213">
        <f>(((AH213/10^6)*(Q213/1000))/(0.082056*H213))</f>
        <v>6.4597846024839587E-10</v>
      </c>
      <c r="AR213">
        <f>(((M213/10^6)*AZ213)*(Q213/1000))/(0.082056*H213)</f>
        <v>6.8175392825834742E-10</v>
      </c>
      <c r="AS213">
        <f>(AH213/10^6)*V213*(R213/1000)</f>
        <v>8.1398131770145322E-9</v>
      </c>
      <c r="AT213">
        <f>AQ213+AS213</f>
        <v>8.785791637262928E-9</v>
      </c>
      <c r="AU213" s="39">
        <f>((AT213-AR213)/(R213/1000))*1000000000</f>
        <v>7.1088050078987548</v>
      </c>
      <c r="AV213" s="39">
        <f>(AU213/1000)/(V213*AZ213)</f>
        <v>0.27829044383665458</v>
      </c>
      <c r="AW213" s="39">
        <f>(M213*AZ213)*V213*1000</f>
        <v>7.5356236059201853</v>
      </c>
      <c r="AX213" s="39">
        <f>AU213-AW213</f>
        <v>-0.42681859802143052</v>
      </c>
      <c r="AY213" s="26">
        <f>VLOOKUP($E213,Water!$C$2:$G$90, 5, FALSE)</f>
        <v>708</v>
      </c>
      <c r="AZ213">
        <f>AY213/760</f>
        <v>0.93157894736842106</v>
      </c>
      <c r="BA213" s="3">
        <f>Assumptions!$B$3</f>
        <v>406.07</v>
      </c>
      <c r="BB213" s="3">
        <f>BA213*AZ213*T213</f>
        <v>14.12158685195724</v>
      </c>
      <c r="BC213" s="3">
        <f>Assumptions!$B$4</f>
        <v>1.8474300000000001</v>
      </c>
      <c r="BD213" s="45">
        <f>BC213*AZ213*U213*1/(0.0821*273.15)</f>
        <v>2.5790929426157956E-3</v>
      </c>
      <c r="BE213" s="3">
        <f>Assumptions!$B$2</f>
        <v>0.33054499999999998</v>
      </c>
      <c r="BF213" s="44">
        <f>BE213*AZ213*V213*1000</f>
        <v>8.4436242902940677</v>
      </c>
      <c r="BG213">
        <f>1923.6+(-125.06*F213)+(4.3773*(F213^2))+(-0.085681*(F213^3))+(0.00070284*(F213^4))</f>
        <v>554.10298672742374</v>
      </c>
      <c r="BH213">
        <f>1909.4+(-120.78*F213)+(4.1555*(F213^2))+(-0.080578*(F213^3))+(0.00065777*(F213^4))</f>
        <v>570.48370342707187</v>
      </c>
      <c r="BI213">
        <f>2141.2+(-152.56*F213)+(5.8963*(F213^2))+(-0.12411*(F213^3))+(0.0010655*(F213^4))</f>
        <v>578.07503534079956</v>
      </c>
      <c r="BJ213" s="25">
        <f>VLOOKUP(E213,Wind!$C$2:$E$109,3, FALSE)</f>
        <v>0.83333333333333337</v>
      </c>
      <c r="BK213" s="44">
        <v>1.66</v>
      </c>
      <c r="BL213">
        <f>BK213/(1-(((1.3*10^-3)^0.5)/0.41)*LN(10/1.5))</f>
        <v>1.9923982880693825</v>
      </c>
      <c r="BM213">
        <f>BK213*1.22</f>
        <v>2.0251999999999999</v>
      </c>
      <c r="BN213">
        <f>2.07+0.215*(BM213^1.7)*(24/100)</f>
        <v>2.241255750541113</v>
      </c>
      <c r="BO213">
        <f>BN213*((600/BG213)^0.67)</f>
        <v>2.363998113240994</v>
      </c>
      <c r="BP213">
        <f>BN213*((600/BH213)^0.67)</f>
        <v>2.3183007833939824</v>
      </c>
      <c r="BQ213">
        <f>BN213*((600/BI213)^0.67)</f>
        <v>2.297858760594254</v>
      </c>
      <c r="BR213" s="39">
        <f>BO213*(AM213-BB213)</f>
        <v>-27.297046731003256</v>
      </c>
      <c r="BS213" s="39">
        <f>BP213*(AD213-BD213)</f>
        <v>4.961001979058115</v>
      </c>
      <c r="BT213" s="39">
        <f>BQ213*(AU213-BF213)</f>
        <v>-3.0672261818622051</v>
      </c>
      <c r="BU213">
        <f>(2.51+1.48*BM213)+(0.39*BM213*LOG10(0.0015))</f>
        <v>3.2768938069574309</v>
      </c>
      <c r="BV213">
        <f>BU213*((600/$BG213)^0.67)</f>
        <v>3.4563528838992101</v>
      </c>
      <c r="BW213">
        <f>BU213*((600/$BH213)^0.67)</f>
        <v>3.3895397604375037</v>
      </c>
      <c r="BX213">
        <f>BU213*((600/$BI213)^0.67)</f>
        <v>3.3596519005188221</v>
      </c>
      <c r="BY213" s="39">
        <f>BV213*($AM213-$BB213)</f>
        <v>-39.910449023702931</v>
      </c>
      <c r="BZ213" s="39">
        <f>BW213*($AD213-$BD213)</f>
        <v>7.2533786728954066</v>
      </c>
      <c r="CA213" s="39">
        <f>BX213*($AU213-$BF213)</f>
        <v>-4.4845281389485834</v>
      </c>
      <c r="CB213" s="42">
        <f>AVERAGE(0.72,0.69,0.4,0.22)</f>
        <v>0.50750000000000006</v>
      </c>
      <c r="CC213">
        <f>CB213*((600/$BG213)^0.67)</f>
        <v>0.53529323558016539</v>
      </c>
      <c r="CD213">
        <f>CB213*((600/$BH213)^0.67)</f>
        <v>0.52494573512567289</v>
      </c>
      <c r="CE213">
        <f>CB213*((600/$BI213)^0.67)</f>
        <v>0.52031693425439463</v>
      </c>
      <c r="CF213" s="39">
        <f>CC213*($AM213-$BB213)</f>
        <v>-6.1810220509816967</v>
      </c>
      <c r="CG213" s="39">
        <f>CD213*($AD213-$BD213)</f>
        <v>1.1233472591265572</v>
      </c>
      <c r="CH213" s="39">
        <f>CE213*($AU213-$BF213)</f>
        <v>-0.6945290767995802</v>
      </c>
      <c r="CI213">
        <v>36.862639018895301</v>
      </c>
      <c r="CJ213">
        <f>((BG213/BH213)^0.67)*CI213</f>
        <v>36.150064772392071</v>
      </c>
      <c r="CK213">
        <f>((BH213/BH213)^0.67)*CI213</f>
        <v>36.862639018895301</v>
      </c>
      <c r="CL213">
        <f>((BI213/BH213)^0.67)*CI213</f>
        <v>37.19057340729416</v>
      </c>
      <c r="CM213" s="39">
        <f>CJ213*($AM213-$BB213)</f>
        <v>-417.42419416228364</v>
      </c>
      <c r="CN213" s="39">
        <f>CK213*($AD213-$BD213)</f>
        <v>78.883476396153981</v>
      </c>
      <c r="CO213" s="39">
        <f>CL213*($AU213-$BF213)</f>
        <v>-49.642694507394594</v>
      </c>
      <c r="CP213" s="27">
        <f>VLOOKUP(A213,Water!$A$2:$E$109, 5, FALSE)/1000</f>
        <v>4.0000000000000003E-5</v>
      </c>
      <c r="CQ213">
        <f>0.64*CP213</f>
        <v>2.5600000000000002E-5</v>
      </c>
      <c r="CR213" s="19">
        <f>CQ213*1000*(2.5*10^-5)</f>
        <v>6.4000000000000001E-7</v>
      </c>
      <c r="CS213" s="18">
        <f>(-0.0000009*F213^3)+(0.0002*F213^2)-(0.0134*F213)+6.579</f>
        <v>6.3738020735999994</v>
      </c>
      <c r="CT213" s="18">
        <f>CS213-(SQRT(CP213))/(1+1.4*SQRT(CP213))</f>
        <v>6.3675330267863925</v>
      </c>
      <c r="CU213" s="18">
        <f>10^(-CT213)</f>
        <v>4.2900956311409412E-7</v>
      </c>
      <c r="CV213" s="18">
        <f>(0.000001*F213^3)+(0.00006*F213^2)-(0.014*F213)+10.625</f>
        <v>10.360671296</v>
      </c>
      <c r="CW213" s="18">
        <f>CV213-(2*SQRT(CR213))/(1+1.4*SQRT(CR213))</f>
        <v>10.359073085995204</v>
      </c>
      <c r="CX213" s="18">
        <f>10^(-CW213)</f>
        <v>4.3744848219196332E-11</v>
      </c>
      <c r="CY213">
        <f>EXP(1246.98+-61900/H213-183*LN(H213))</f>
        <v>2.7603257783083795E-2</v>
      </c>
      <c r="CZ213">
        <f>12.225*(F213^2)+15.258*F213+1125.7</f>
        <v>7158.9688000000006</v>
      </c>
      <c r="DA213" s="15">
        <f>10^(-4470.99/H213+6.0875-0.01706*H213)</f>
        <v>7.7680465486058062E-15</v>
      </c>
      <c r="DB213">
        <f>(10^-I213)</f>
        <v>8.9125093813374338E-10</v>
      </c>
      <c r="DC213">
        <f>DB213^2</f>
        <v>7.9432823472427765E-19</v>
      </c>
      <c r="DD213" s="20">
        <f>((14.6836*10^-9)*((H213/217.2056)-1)^1.997)*100*100</f>
        <v>1.8772985764648863E-5</v>
      </c>
      <c r="DE213">
        <f>CY213+CZ213*DA213/DB213</f>
        <v>9.0000053678597897E-2</v>
      </c>
      <c r="DF213">
        <f>1+DC213*(CU213*CX213+CU213*DB213)^-1</f>
        <v>1.0019802652802179</v>
      </c>
      <c r="DG213">
        <f>(DE213*DF213/DD213)^0.5</f>
        <v>69.308147783183827</v>
      </c>
      <c r="DH213">
        <f>DD213/(BO213/60/60)</f>
        <v>2.8588326011851722E-2</v>
      </c>
      <c r="DI213" s="16">
        <f>DF213/((DF213-1)+TANH(DG213*DH213)/(DG213*DH213))</f>
        <v>2.0538998885332624</v>
      </c>
      <c r="DJ213">
        <f>$DI213*BR213</f>
        <v>-56.065401238094843</v>
      </c>
      <c r="DK213">
        <f>$DI213*BY213</f>
        <v>-81.972066801095906</v>
      </c>
      <c r="DL213">
        <f>$DI213*CF213</f>
        <v>-12.695200501532945</v>
      </c>
      <c r="DM213">
        <f>$DI213*CM213</f>
        <v>-857.34750586100131</v>
      </c>
    </row>
    <row r="214" spans="1:117" ht="15.75" x14ac:dyDescent="0.25">
      <c r="A214" s="52" t="s">
        <v>335</v>
      </c>
      <c r="B214" s="55" t="s">
        <v>339</v>
      </c>
      <c r="C214" s="62" t="s">
        <v>403</v>
      </c>
      <c r="D214" s="57">
        <v>43292</v>
      </c>
      <c r="E214" s="42" t="str">
        <f>A214&amp;D214</f>
        <v>4C43292</v>
      </c>
      <c r="F214" s="3">
        <f>VLOOKUP($E214,Water!$C$2:$E$90, 2, FALSE)</f>
        <v>21.9</v>
      </c>
      <c r="G214" s="3">
        <f>VLOOKUP($E214,Water!$C$2:$E$90, 3, FALSE)</f>
        <v>0.13</v>
      </c>
      <c r="H214" s="1">
        <f>F214+273.15</f>
        <v>295.04999999999995</v>
      </c>
      <c r="I214" s="3">
        <f>VLOOKUP($E214,Water!$C$2:$F$90, 4, FALSE)</f>
        <v>9.99</v>
      </c>
      <c r="J214">
        <f>10^(I214*-1)</f>
        <v>1.0232929922807501E-10</v>
      </c>
      <c r="K214" s="25">
        <f>VLOOKUP($E214,Atm!$D$2:$G$100, 2, FALSE)</f>
        <v>404.94208666998719</v>
      </c>
      <c r="L214" s="25">
        <f>VLOOKUP($E214,Atm!$D$2:$G$100, 3, FALSE)</f>
        <v>1.878895038233003</v>
      </c>
      <c r="M214" s="25">
        <f>VLOOKUP($E214,Atm!$D$2:$G$100, 4, FALSE)</f>
        <v>0.29071497789181466</v>
      </c>
      <c r="N214" s="21">
        <f>VLOOKUP($C214,Raw!$B$2:$F$353, 3, FALSE)</f>
        <v>88.093742039318343</v>
      </c>
      <c r="O214" s="21">
        <f>VLOOKUP($C214,Raw!$B$2:$F$353, 4, FALSE)</f>
        <v>183.26340886687271</v>
      </c>
      <c r="P214" s="21">
        <f>VLOOKUP($C214,Raw!$B$2:$F$353, 5, FALSE)</f>
        <v>0.26141351619911929</v>
      </c>
      <c r="Q214" s="14">
        <v>60</v>
      </c>
      <c r="R214" s="25">
        <v>1140</v>
      </c>
      <c r="S214">
        <f>EXP(24.4543-(100/H214*(67.4509))-(4.8489*LN(H214/100))-(0.000544*G214))</f>
        <v>2.5913408680187534E-2</v>
      </c>
      <c r="T214" s="8">
        <f>EXP(-58.0931+90.5069*(100/H214)+22.294*LN(H214/100)+G214*(0.027766-0.025888*(H214/100)+0.0050578*(H214/100)^2)*G214)</f>
        <v>3.7011418736987454E-2</v>
      </c>
      <c r="U214" s="9">
        <f>(EXP(-67.1962+99.1624*(100/H214)+27.9015*LN(H214/100)+G214*(-0.072909+0.041674*(H214/100)-0.0064603*(H214/100)^2)*G214))</f>
        <v>3.3409583717934441E-2</v>
      </c>
      <c r="V214" s="9">
        <f>(EXP(-64.8539+100.252*(100/H214)+25.2049*LN(H214/100)+(-0.062544+0.035337*(H214/100)-0.0054699*(H214/100)^2)*G214))</f>
        <v>2.7170202912323378E-2</v>
      </c>
      <c r="W214" s="9">
        <f>(EXP(-68.8862+101.4956*(100/H214)+28.7314*LN(H214/100)+G214*(-0.076146+0.04397*(H214/100)-0.0068672*(H214/100)^2)))</f>
        <v>3.3343207879757752E-2</v>
      </c>
      <c r="X214">
        <f>N214*(AZ214-S214)</f>
        <v>79.760283775406961</v>
      </c>
      <c r="Y214">
        <f>O214*(AZ214-S214)</f>
        <v>165.92712670039853</v>
      </c>
      <c r="Z214">
        <f>((Y214/10^6)*AZ214)/(0.082056*H214)</f>
        <v>6.3827582741110521E-6</v>
      </c>
      <c r="AA214">
        <f>(((L214/10^6)*AZ214)/(0.082056*H214))</f>
        <v>7.2275902620322402E-8</v>
      </c>
      <c r="AB214">
        <f>((Y214/10^6)*U214*1)/(0.082056*H214)</f>
        <v>2.2897206223762576E-7</v>
      </c>
      <c r="AC214">
        <f>(Z214*(Q214/1000))+(AB214*(R214/1000))</f>
        <v>6.4399364739755643E-7</v>
      </c>
      <c r="AD214" s="39">
        <f>((AC214-(AA214*(Q214/1000)))/(R214/1000))*1000000</f>
        <v>0.56110271336871687</v>
      </c>
      <c r="AE214" s="39">
        <f>(AD214/((U214*AZ214*1))*(0.0821*273.15))</f>
        <v>404.40703362927832</v>
      </c>
      <c r="AF214" s="39">
        <f>L214*U214*AZ214*1/(0.0821*273.15)</f>
        <v>2.6069109002045585E-3</v>
      </c>
      <c r="AG214" s="39">
        <f>AD214-AF214</f>
        <v>0.55849580246851227</v>
      </c>
      <c r="AH214" s="42">
        <f>P214*(AZ214-S214)</f>
        <v>0.23668441993828188</v>
      </c>
      <c r="AI214">
        <f>(((X214/10^6)*(Q214/1000))/(0.082056*H214))</f>
        <v>1.9766600248401781E-7</v>
      </c>
      <c r="AJ214">
        <f>(((K214/10^6)*AZ214)*(Q214/1000))/(0.082056*H214)</f>
        <v>9.3462021754726659E-7</v>
      </c>
      <c r="AK214">
        <f>(X214/10^6)*T214*(R214/1000)</f>
        <v>3.3653270379874879E-6</v>
      </c>
      <c r="AL214">
        <f>AI214+AK214</f>
        <v>3.5629930404715057E-6</v>
      </c>
      <c r="AM214" s="39">
        <f>((AL214-AJ214)/(R214/1000))*1000000</f>
        <v>2.3055901955475786</v>
      </c>
      <c r="AN214" s="39">
        <f>AM214/(T214*AZ214)</f>
        <v>66.888185932854142</v>
      </c>
      <c r="AO214" s="39">
        <f>(K214*AZ214)*T214</f>
        <v>13.958077824507415</v>
      </c>
      <c r="AP214" s="39">
        <f>AM214-AO214</f>
        <v>-11.652487628959836</v>
      </c>
      <c r="AQ214">
        <f>(((AH214/10^6)*(Q214/1000))/(0.082056*H214))</f>
        <v>5.8656339878612759E-10</v>
      </c>
      <c r="AR214">
        <f>(((M214/10^6)*AZ214)*(Q214/1000))/(0.082056*H214)</f>
        <v>6.7098013475425361E-10</v>
      </c>
      <c r="AS214">
        <f>(AH214/10^6)*V214*(R214/1000)</f>
        <v>7.3310706361358886E-9</v>
      </c>
      <c r="AT214">
        <f>AQ214+AS214</f>
        <v>7.9176340349220163E-9</v>
      </c>
      <c r="AU214" s="39">
        <f>((AT214-AR214)/(R214/1000))*1000000000</f>
        <v>6.3567139475155825</v>
      </c>
      <c r="AV214" s="39">
        <f>(AU214/1000)/(V214*AZ214)</f>
        <v>0.25121341117450502</v>
      </c>
      <c r="AW214" s="39">
        <f>(M214*AZ214)*V214*1000</f>
        <v>7.3562631313217484</v>
      </c>
      <c r="AX214" s="39">
        <f>AU214-AW214</f>
        <v>-0.99954918380616586</v>
      </c>
      <c r="AY214" s="26">
        <f>VLOOKUP($E214,Water!$C$2:$G$90, 5, FALSE)</f>
        <v>707.8</v>
      </c>
      <c r="AZ214">
        <f>AY214/760</f>
        <v>0.9313157894736841</v>
      </c>
      <c r="BA214" s="3">
        <f>Assumptions!$B$3</f>
        <v>406.07</v>
      </c>
      <c r="BB214" s="3">
        <f>BA214*AZ214*T214</f>
        <v>13.996956228501142</v>
      </c>
      <c r="BC214" s="3">
        <f>Assumptions!$B$4</f>
        <v>1.8474300000000001</v>
      </c>
      <c r="BD214" s="45">
        <f>BC214*AZ214*U214*1/(0.0821*273.15)</f>
        <v>2.5632540968835438E-3</v>
      </c>
      <c r="BE214" s="3">
        <f>Assumptions!$B$2</f>
        <v>0.33054499999999998</v>
      </c>
      <c r="BF214" s="44">
        <f>BE214*AZ214*V214*1000</f>
        <v>8.3641235631403301</v>
      </c>
      <c r="BG214">
        <f>1923.6+(-125.06*F214)+(4.3773*(F214^2))+(-0.085681*(F214^3))+(0.00070284*(F214^4))</f>
        <v>545.90728202696391</v>
      </c>
      <c r="BH214">
        <f>1909.4+(-120.78*F214)+(4.1555*(F214^2))+(-0.080578*(F214^3))+(0.00065777*(F214^4))</f>
        <v>562.29367465681719</v>
      </c>
      <c r="BI214">
        <f>2141.2+(-152.56*F214)+(5.8963*(F214^2))+(-0.12411*(F214^3))+(0.0010655*(F214^4))</f>
        <v>569.56858537254993</v>
      </c>
      <c r="BJ214" s="25">
        <f>VLOOKUP(E214,Wind!$C$2:$E$109,3, FALSE)</f>
        <v>5.6944444444444446</v>
      </c>
      <c r="BK214" s="44">
        <v>1.66</v>
      </c>
      <c r="BL214">
        <f>BK214/(1-(((1.3*10^-3)^0.5)/0.41)*LN(10/1.5))</f>
        <v>1.9923982880693825</v>
      </c>
      <c r="BM214">
        <f>BK214*1.22</f>
        <v>2.0251999999999999</v>
      </c>
      <c r="BN214">
        <f>2.07+0.215*(BM214^1.7)*(24/100)</f>
        <v>2.241255750541113</v>
      </c>
      <c r="BO214">
        <f>BN214*((600/BG214)^0.67)</f>
        <v>2.3877183660664163</v>
      </c>
      <c r="BP214">
        <f>BN214*((600/BH214)^0.67)</f>
        <v>2.3408706255248437</v>
      </c>
      <c r="BQ214">
        <f>BN214*((600/BI214)^0.67)</f>
        <v>2.3207957263157439</v>
      </c>
      <c r="BR214" s="39">
        <f>BO214*(AM214-BB214)</f>
        <v>-27.915689401288283</v>
      </c>
      <c r="BS214" s="39">
        <f>BP214*(AD214-BD214)</f>
        <v>1.3074686134059645</v>
      </c>
      <c r="BT214" s="39">
        <f>BQ214*(AU214-BF214)</f>
        <v>-4.6587876569070445</v>
      </c>
      <c r="BU214">
        <f>(2.51+1.48*BM214)+(0.39*BM214*LOG10(0.0015))</f>
        <v>3.2768938069574309</v>
      </c>
      <c r="BV214">
        <f>BU214*((600/$BG214)^0.67)</f>
        <v>3.4910337763249517</v>
      </c>
      <c r="BW214">
        <f>BU214*((600/$BH214)^0.67)</f>
        <v>3.4225386611139523</v>
      </c>
      <c r="BX214">
        <f>BU214*((600/$BI214)^0.67)</f>
        <v>3.3931875650252032</v>
      </c>
      <c r="BY214" s="39">
        <f>BV214*($AM214-$BB214)</f>
        <v>-40.814953712419147</v>
      </c>
      <c r="BZ214" s="39">
        <f>BW214*($AD214-$BD214)</f>
        <v>1.9116228931155315</v>
      </c>
      <c r="CA214" s="39">
        <f>BX214*($AU214-$BF214)</f>
        <v>-6.811517345649917</v>
      </c>
      <c r="CB214" s="42">
        <f>AVERAGE(0.72,0.69,0.4,0.22)</f>
        <v>0.50750000000000006</v>
      </c>
      <c r="CC214">
        <f>CB214*((600/$BG214)^0.67)</f>
        <v>0.54066434430169152</v>
      </c>
      <c r="CD214">
        <f>CB214*((600/$BH214)^0.67)</f>
        <v>0.53005634995784745</v>
      </c>
      <c r="CE214">
        <f>CB214*((600/$BI214)^0.67)</f>
        <v>0.52551067892224235</v>
      </c>
      <c r="CF214" s="39">
        <f>CC214*($AM214-$BB214)</f>
        <v>-6.3211047501979074</v>
      </c>
      <c r="CG214" s="39">
        <f>CD214*($AD214-$BD214)</f>
        <v>0.29605738708905777</v>
      </c>
      <c r="CH214" s="39">
        <f>CE214*($AU214-$BF214)</f>
        <v>-1.0549151899819986</v>
      </c>
      <c r="CI214">
        <v>37.862639018895301</v>
      </c>
      <c r="CJ214">
        <f>((BG214/BH214)^0.67)*CI214</f>
        <v>37.119762842967312</v>
      </c>
      <c r="CK214">
        <f>((BH214/BH214)^0.67)*CI214</f>
        <v>37.862639018895301</v>
      </c>
      <c r="CL214">
        <f>((BI214/BH214)^0.67)*CI214</f>
        <v>38.190151110319853</v>
      </c>
      <c r="CM214" s="39">
        <f>CJ214*($AM214-$BB214)</f>
        <v>-433.98073445355982</v>
      </c>
      <c r="CN214" s="39">
        <f>CK214*($AD214-$BD214)</f>
        <v>21.147777924218399</v>
      </c>
      <c r="CO214" s="39">
        <f>CL214*($AU214-$BF214)</f>
        <v>-76.663276561018208</v>
      </c>
      <c r="CP214" s="27">
        <f>VLOOKUP(A214,Water!$A$2:$E$109, 5, FALSE)/1000</f>
        <v>1.4999999999999999E-4</v>
      </c>
      <c r="CQ214">
        <f>0.64*CP214</f>
        <v>9.5999999999999989E-5</v>
      </c>
      <c r="CR214" s="19">
        <f>CQ214*1000*(2.5*10^-5)</f>
        <v>2.3999999999999999E-6</v>
      </c>
      <c r="CS214" s="18">
        <f>(-0.0000009*F214^3)+(0.0002*F214^2)-(0.0134*F214)+6.579</f>
        <v>6.3720088868999998</v>
      </c>
      <c r="CT214" s="18">
        <f>CS214-(SQRT(CP214))/(1+1.4*SQRT(CP214))</f>
        <v>6.3599678981353867</v>
      </c>
      <c r="CU214" s="18">
        <f>10^(-CT214)</f>
        <v>4.3654809949348125E-7</v>
      </c>
      <c r="CV214" s="18">
        <f>(0.000001*F214^3)+(0.00006*F214^2)-(0.014*F214)+10.625</f>
        <v>10.357680059</v>
      </c>
      <c r="CW214" s="18">
        <f>CV214-(2*SQRT(CR214))/(1+1.4*SQRT(CR214))</f>
        <v>10.354588377779766</v>
      </c>
      <c r="CX214" s="18">
        <f>10^(-CW214)</f>
        <v>4.419891640961005E-11</v>
      </c>
      <c r="CY214">
        <f>EXP(1246.98+-61900/H214-183*LN(H214))</f>
        <v>2.8369106092595742E-2</v>
      </c>
      <c r="CZ214">
        <f>12.225*(F214^2)+15.258*F214+1125.7</f>
        <v>7323.082449999999</v>
      </c>
      <c r="DA214" s="15">
        <f>10^(-4470.99/H214+6.0875-0.01706*H214)</f>
        <v>7.9545763731175434E-15</v>
      </c>
      <c r="DB214">
        <f>(10^-I214)</f>
        <v>1.0232929922807501E-10</v>
      </c>
      <c r="DC214">
        <f>DB214^2</f>
        <v>1.0471285480508913E-20</v>
      </c>
      <c r="DD214" s="20">
        <f>((14.6836*10^-9)*((H214/217.2056)-1)^1.997)*100*100</f>
        <v>1.8918303623089213E-5</v>
      </c>
      <c r="DE214">
        <f>CY214+CZ214*DA214/DB214</f>
        <v>0.59762951415351351</v>
      </c>
      <c r="DF214">
        <f>1+DC214*(CU214*CX214+CU214*DB214)^-1</f>
        <v>1.0001636992302092</v>
      </c>
      <c r="DG214">
        <f>(DE214*DF214/DD214)^0.5</f>
        <v>177.75035094673004</v>
      </c>
      <c r="DH214">
        <f>DD214/(BO214/60/60)</f>
        <v>2.8523419684257163E-2</v>
      </c>
      <c r="DI214" s="16">
        <f>DF214/((DF214-1)+TANH(DG214*DH214)/(DG214*DH214))</f>
        <v>5.0670722683400715</v>
      </c>
      <c r="DJ214">
        <f>$DI214*BR214</f>
        <v>-141.45081561686271</v>
      </c>
      <c r="DK214">
        <f>$DI214*BY214</f>
        <v>-206.8123200897827</v>
      </c>
      <c r="DL214">
        <f>$DI214*CF214</f>
        <v>-32.029494585000513</v>
      </c>
      <c r="DM214">
        <f>$DI214*CM214</f>
        <v>-2199.0117445434894</v>
      </c>
    </row>
    <row r="215" spans="1:117" ht="15.75" x14ac:dyDescent="0.25">
      <c r="A215" s="52" t="s">
        <v>335</v>
      </c>
      <c r="B215" s="55" t="s">
        <v>340</v>
      </c>
      <c r="C215" s="62" t="s">
        <v>404</v>
      </c>
      <c r="D215" s="57">
        <v>43292</v>
      </c>
      <c r="E215" s="42" t="str">
        <f>A215&amp;D215</f>
        <v>4C43292</v>
      </c>
      <c r="F215" s="3">
        <f>VLOOKUP($E215,Water!$C$2:$E$90, 2, FALSE)</f>
        <v>21.9</v>
      </c>
      <c r="G215" s="3">
        <f>VLOOKUP($E215,Water!$C$2:$E$90, 3, FALSE)</f>
        <v>0.13</v>
      </c>
      <c r="H215" s="1">
        <f>F215+273.15</f>
        <v>295.04999999999995</v>
      </c>
      <c r="I215" s="3">
        <f>VLOOKUP($E215,Water!$C$2:$F$90, 4, FALSE)</f>
        <v>9.99</v>
      </c>
      <c r="J215">
        <f>10^(I215*-1)</f>
        <v>1.0232929922807501E-10</v>
      </c>
      <c r="K215" s="25">
        <f>VLOOKUP($E215,Atm!$D$2:$G$100, 2, FALSE)</f>
        <v>404.94208666998719</v>
      </c>
      <c r="L215" s="25">
        <f>VLOOKUP($E215,Atm!$D$2:$G$100, 3, FALSE)</f>
        <v>1.878895038233003</v>
      </c>
      <c r="M215" s="25">
        <f>VLOOKUP($E215,Atm!$D$2:$G$100, 4, FALSE)</f>
        <v>0.29071497789181466</v>
      </c>
      <c r="N215" s="21">
        <f>VLOOKUP($C215,Raw!$B$2:$F$353, 3, FALSE)</f>
        <v>191.92888547426881</v>
      </c>
      <c r="O215" s="21">
        <f>VLOOKUP($C215,Raw!$B$2:$F$353, 4, FALSE)</f>
        <v>117.95225821071161</v>
      </c>
      <c r="P215" s="21">
        <f>VLOOKUP($C215,Raw!$B$2:$F$353, 5, FALSE)</f>
        <v>0.26697100065455803</v>
      </c>
      <c r="Q215" s="14">
        <v>60</v>
      </c>
      <c r="R215" s="25">
        <v>1140</v>
      </c>
      <c r="S215">
        <f>EXP(24.4543-(100/H215*(67.4509))-(4.8489*LN(H215/100))-(0.000544*G215))</f>
        <v>2.5913408680187534E-2</v>
      </c>
      <c r="T215" s="8">
        <f>EXP(-58.0931+90.5069*(100/H215)+22.294*LN(H215/100)+G215*(0.027766-0.025888*(H215/100)+0.0050578*(H215/100)^2)*G215)</f>
        <v>3.7011418736987454E-2</v>
      </c>
      <c r="U215" s="9">
        <f>(EXP(-67.1962+99.1624*(100/H215)+27.9015*LN(H215/100)+G215*(-0.072909+0.041674*(H215/100)-0.0064603*(H215/100)^2)*G215))</f>
        <v>3.3409583717934441E-2</v>
      </c>
      <c r="V215" s="9">
        <f>(EXP(-64.8539+100.252*(100/H215)+25.2049*LN(H215/100)+(-0.062544+0.035337*(H215/100)-0.0054699*(H215/100)^2)*G215))</f>
        <v>2.7170202912323378E-2</v>
      </c>
      <c r="W215" s="9">
        <f>(EXP(-68.8862+101.4956*(100/H215)+28.7314*LN(H215/100)+G215*(-0.076146+0.04397*(H215/100)-0.0068672*(H215/100)^2)))</f>
        <v>3.3343207879757752E-2</v>
      </c>
      <c r="X215">
        <f>N215*(AZ215-S215)</f>
        <v>173.77286985144531</v>
      </c>
      <c r="Y215">
        <f>O215*(AZ215-S215)</f>
        <v>106.79425540394755</v>
      </c>
      <c r="Z215">
        <f>((Y215/10^6)*AZ215)/(0.082056*H215)</f>
        <v>4.1080800400880924E-6</v>
      </c>
      <c r="AA215">
        <f>(((L215/10^6)*AZ215)/(0.082056*H215))</f>
        <v>7.2275902620322402E-8</v>
      </c>
      <c r="AB215">
        <f>((Y215/10^6)*U215*1)/(0.082056*H215)</f>
        <v>1.4737132728831159E-7</v>
      </c>
      <c r="AC215">
        <f>(Z215*(Q215/1000))+(AB215*(R215/1000))</f>
        <v>4.1448811551396074E-7</v>
      </c>
      <c r="AD215" s="39">
        <f>((AC215-(AA215*(Q215/1000)))/(R215/1000))*1000000</f>
        <v>0.35978207136556262</v>
      </c>
      <c r="AE215" s="39">
        <f>(AD215/((U215*AZ215*1))*(0.0821*273.15))</f>
        <v>259.30796049872828</v>
      </c>
      <c r="AF215" s="39">
        <f>L215*U215*AZ215*1/(0.0821*273.15)</f>
        <v>2.6069109002045585E-3</v>
      </c>
      <c r="AG215" s="39">
        <f>AD215-AF215</f>
        <v>0.35717516046535808</v>
      </c>
      <c r="AH215" s="42">
        <f>P215*(AZ215-S215)</f>
        <v>0.24171617959545896</v>
      </c>
      <c r="AI215">
        <f>(((X215/10^6)*(Q215/1000))/(0.082056*H215))</f>
        <v>4.306527872999087E-7</v>
      </c>
      <c r="AJ215">
        <f>(((K215/10^6)*AZ215)*(Q215/1000))/(0.082056*H215)</f>
        <v>9.3462021754726659E-7</v>
      </c>
      <c r="AK215">
        <f>(X215/10^6)*T215*(R215/1000)</f>
        <v>7.3320017143678456E-6</v>
      </c>
      <c r="AL215">
        <f>AI215+AK215</f>
        <v>7.7626545016677536E-6</v>
      </c>
      <c r="AM215" s="39">
        <f>((AL215-AJ215)/(R215/1000))*1000000</f>
        <v>5.9895037580004278</v>
      </c>
      <c r="AN215" s="39">
        <f>AM215/(T215*AZ215)</f>
        <v>173.76333477836988</v>
      </c>
      <c r="AO215" s="39">
        <f>(K215*AZ215)*T215</f>
        <v>13.958077824507415</v>
      </c>
      <c r="AP215" s="39">
        <f>AM215-AO215</f>
        <v>-7.9685740665069869</v>
      </c>
      <c r="AQ215">
        <f>(((AH215/10^6)*(Q215/1000))/(0.082056*H215))</f>
        <v>5.9903336215405155E-10</v>
      </c>
      <c r="AR215">
        <f>(((M215/10^6)*AZ215)*(Q215/1000))/(0.082056*H215)</f>
        <v>6.7098013475425361E-10</v>
      </c>
      <c r="AS215">
        <f>(AH215/10^6)*V215*(R215/1000)</f>
        <v>7.4869245173522494E-9</v>
      </c>
      <c r="AT215">
        <f>AQ215+AS215</f>
        <v>8.0859578795063011E-9</v>
      </c>
      <c r="AU215" s="39">
        <f>((AT215-AR215)/(R215/1000))*1000000000</f>
        <v>6.5043664427649546</v>
      </c>
      <c r="AV215" s="39">
        <f>(AU215/1000)/(V215*AZ215)</f>
        <v>0.25704854664013649</v>
      </c>
      <c r="AW215" s="39">
        <f>(M215*AZ215)*V215*1000</f>
        <v>7.3562631313217484</v>
      </c>
      <c r="AX215" s="39">
        <f>AU215-AW215</f>
        <v>-0.85189668855679379</v>
      </c>
      <c r="AY215" s="26">
        <f>VLOOKUP($E215,Water!$C$2:$G$90, 5, FALSE)</f>
        <v>707.8</v>
      </c>
      <c r="AZ215">
        <f>AY215/760</f>
        <v>0.9313157894736841</v>
      </c>
      <c r="BA215" s="3">
        <f>Assumptions!$B$3</f>
        <v>406.07</v>
      </c>
      <c r="BB215" s="3">
        <f>BA215*AZ215*T215</f>
        <v>13.996956228501142</v>
      </c>
      <c r="BC215" s="3">
        <f>Assumptions!$B$4</f>
        <v>1.8474300000000001</v>
      </c>
      <c r="BD215" s="45">
        <f>BC215*AZ215*U215*1/(0.0821*273.15)</f>
        <v>2.5632540968835438E-3</v>
      </c>
      <c r="BE215" s="3">
        <f>Assumptions!$B$2</f>
        <v>0.33054499999999998</v>
      </c>
      <c r="BF215" s="44">
        <f>BE215*AZ215*V215*1000</f>
        <v>8.3641235631403301</v>
      </c>
      <c r="BG215">
        <f>1923.6+(-125.06*F215)+(4.3773*(F215^2))+(-0.085681*(F215^3))+(0.00070284*(F215^4))</f>
        <v>545.90728202696391</v>
      </c>
      <c r="BH215">
        <f>1909.4+(-120.78*F215)+(4.1555*(F215^2))+(-0.080578*(F215^3))+(0.00065777*(F215^4))</f>
        <v>562.29367465681719</v>
      </c>
      <c r="BI215">
        <f>2141.2+(-152.56*F215)+(5.8963*(F215^2))+(-0.12411*(F215^3))+(0.0010655*(F215^4))</f>
        <v>569.56858537254993</v>
      </c>
      <c r="BJ215" s="25">
        <f>VLOOKUP(E215,Wind!$C$2:$E$109,3, FALSE)</f>
        <v>5.6944444444444446</v>
      </c>
      <c r="BK215" s="44">
        <v>1.66</v>
      </c>
      <c r="BL215">
        <f>BK215/(1-(((1.3*10^-3)^0.5)/0.41)*LN(10/1.5))</f>
        <v>1.9923982880693825</v>
      </c>
      <c r="BM215">
        <f>BK215*1.22</f>
        <v>2.0251999999999999</v>
      </c>
      <c r="BN215">
        <f>2.07+0.215*(BM215^1.7)*(24/100)</f>
        <v>2.241255750541113</v>
      </c>
      <c r="BO215">
        <f>BN215*((600/BG215)^0.67)</f>
        <v>2.3877183660664163</v>
      </c>
      <c r="BP215">
        <f>BN215*((600/BH215)^0.67)</f>
        <v>2.3408706255248437</v>
      </c>
      <c r="BQ215">
        <f>BN215*((600/BI215)^0.67)</f>
        <v>2.3207957263157439</v>
      </c>
      <c r="BR215" s="39">
        <f>BO215*(AM215-BB215)</f>
        <v>-19.119541329218453</v>
      </c>
      <c r="BS215" s="39">
        <f>BP215*(AD215-BD215)</f>
        <v>0.83620303622897774</v>
      </c>
      <c r="BT215" s="39">
        <f>BQ215*(AU215-BF215)</f>
        <v>-4.3161163769524462</v>
      </c>
      <c r="BU215">
        <f>(2.51+1.48*BM215)+(0.39*BM215*LOG10(0.0015))</f>
        <v>3.2768938069574309</v>
      </c>
      <c r="BV215">
        <f>BU215*((600/$BG215)^0.67)</f>
        <v>3.4910337763249517</v>
      </c>
      <c r="BW215">
        <f>BU215*((600/$BH215)^0.67)</f>
        <v>3.4225386611139523</v>
      </c>
      <c r="BX215">
        <f>BU215*((600/$BI215)^0.67)</f>
        <v>3.3931875650252032</v>
      </c>
      <c r="BY215" s="39">
        <f>BV215*($AM215-$BB215)</f>
        <v>-27.954287036834675</v>
      </c>
      <c r="BZ215" s="39">
        <f>BW215*($AD215-$BD215)</f>
        <v>1.2225952125794546</v>
      </c>
      <c r="CA215" s="39">
        <f>BX215*($AU215-$BF215)</f>
        <v>-6.3105047348248045</v>
      </c>
      <c r="CB215" s="42">
        <f>AVERAGE(0.72,0.69,0.4,0.22)</f>
        <v>0.50750000000000006</v>
      </c>
      <c r="CC215">
        <f>CB215*((600/$BG215)^0.67)</f>
        <v>0.54066434430169152</v>
      </c>
      <c r="CD215">
        <f>CB215*((600/$BH215)^0.67)</f>
        <v>0.53005634995784745</v>
      </c>
      <c r="CE215">
        <f>CB215*((600/$BI215)^0.67)</f>
        <v>0.52551067892224235</v>
      </c>
      <c r="CF215" s="39">
        <f>CC215*($AM215-$BB215)</f>
        <v>-4.3293440394902287</v>
      </c>
      <c r="CG215" s="39">
        <f>CD215*($AD215-$BD215)</f>
        <v>0.18934610241769534</v>
      </c>
      <c r="CH215" s="39">
        <f>CE215*($AU215-$BF215)</f>
        <v>-0.977322226958938</v>
      </c>
      <c r="CI215">
        <v>38.862639018895301</v>
      </c>
      <c r="CJ215">
        <f>((BG215/BH215)^0.67)*CI215</f>
        <v>38.100142547204058</v>
      </c>
      <c r="CK215">
        <f>((BH215/BH215)^0.67)*CI215</f>
        <v>38.862639018895301</v>
      </c>
      <c r="CL215">
        <f>((BI215/BH215)^0.67)*CI215</f>
        <v>39.198801117290081</v>
      </c>
      <c r="CM215" s="39">
        <f>CJ215*($AM215-$BB215)</f>
        <v>-305.08508056603853</v>
      </c>
      <c r="CN215" s="39">
        <f>CK215*($AD215-$BD215)</f>
        <v>13.882465946269399</v>
      </c>
      <c r="CO215" s="39">
        <f>CL215*($AU215-$BF215)</f>
        <v>-72.900249488058449</v>
      </c>
      <c r="CP215" s="27">
        <f>VLOOKUP(A215,Water!$A$2:$E$109, 5, FALSE)/1000</f>
        <v>1.4999999999999999E-4</v>
      </c>
      <c r="CQ215">
        <f>0.64*CP215</f>
        <v>9.5999999999999989E-5</v>
      </c>
      <c r="CR215" s="19">
        <f>CQ215*1000*(2.5*10^-5)</f>
        <v>2.3999999999999999E-6</v>
      </c>
      <c r="CS215" s="18">
        <f>(-0.0000009*F215^3)+(0.0002*F215^2)-(0.0134*F215)+6.579</f>
        <v>6.3720088868999998</v>
      </c>
      <c r="CT215" s="18">
        <f>CS215-(SQRT(CP215))/(1+1.4*SQRT(CP215))</f>
        <v>6.3599678981353867</v>
      </c>
      <c r="CU215" s="18">
        <f>10^(-CT215)</f>
        <v>4.3654809949348125E-7</v>
      </c>
      <c r="CV215" s="18">
        <f>(0.000001*F215^3)+(0.00006*F215^2)-(0.014*F215)+10.625</f>
        <v>10.357680059</v>
      </c>
      <c r="CW215" s="18">
        <f>CV215-(2*SQRT(CR215))/(1+1.4*SQRT(CR215))</f>
        <v>10.354588377779766</v>
      </c>
      <c r="CX215" s="18">
        <f>10^(-CW215)</f>
        <v>4.419891640961005E-11</v>
      </c>
      <c r="CY215">
        <f>EXP(1246.98+-61900/H215-183*LN(H215))</f>
        <v>2.8369106092595742E-2</v>
      </c>
      <c r="CZ215">
        <f>12.225*(F215^2)+15.258*F215+1125.7</f>
        <v>7323.082449999999</v>
      </c>
      <c r="DA215" s="15">
        <f>10^(-4470.99/H215+6.0875-0.01706*H215)</f>
        <v>7.9545763731175434E-15</v>
      </c>
      <c r="DB215">
        <f>(10^-I215)</f>
        <v>1.0232929922807501E-10</v>
      </c>
      <c r="DC215">
        <f>DB215^2</f>
        <v>1.0471285480508913E-20</v>
      </c>
      <c r="DD215" s="20">
        <f>((14.6836*10^-9)*((H215/217.2056)-1)^1.997)*100*100</f>
        <v>1.8918303623089213E-5</v>
      </c>
      <c r="DE215">
        <f>CY215+CZ215*DA215/DB215</f>
        <v>0.59762951415351351</v>
      </c>
      <c r="DF215">
        <f>1+DC215*(CU215*CX215+CU215*DB215)^-1</f>
        <v>1.0001636992302092</v>
      </c>
      <c r="DG215">
        <f>(DE215*DF215/DD215)^0.5</f>
        <v>177.75035094673004</v>
      </c>
      <c r="DH215">
        <f>DD215/(BO215/60/60)</f>
        <v>2.8523419684257163E-2</v>
      </c>
      <c r="DI215" s="16">
        <f>DF215/((DF215-1)+TANH(DG215*DH215)/(DG215*DH215))</f>
        <v>5.0670722683400715</v>
      </c>
      <c r="DJ215">
        <f>$DI215*BR215</f>
        <v>-96.880097652664688</v>
      </c>
      <c r="DK215">
        <f>$DI215*BY215</f>
        <v>-141.64639262556332</v>
      </c>
      <c r="DL215">
        <f>$DI215*CF215</f>
        <v>-21.937099122604323</v>
      </c>
      <c r="DM215">
        <f>$DI215*CM215</f>
        <v>-1545.8881512204703</v>
      </c>
    </row>
    <row r="216" spans="1:117" ht="15.75" x14ac:dyDescent="0.25">
      <c r="A216" s="52" t="s">
        <v>335</v>
      </c>
      <c r="B216" s="55" t="s">
        <v>341</v>
      </c>
      <c r="C216" s="62" t="s">
        <v>405</v>
      </c>
      <c r="D216" s="57">
        <v>43292</v>
      </c>
      <c r="E216" s="42" t="str">
        <f>A216&amp;D216</f>
        <v>4C43292</v>
      </c>
      <c r="F216" s="3">
        <f>VLOOKUP($E216,Water!$C$2:$E$90, 2, FALSE)</f>
        <v>21.9</v>
      </c>
      <c r="G216" s="3">
        <f>VLOOKUP($E216,Water!$C$2:$E$90, 3, FALSE)</f>
        <v>0.13</v>
      </c>
      <c r="H216" s="1">
        <f>F216+273.15</f>
        <v>295.04999999999995</v>
      </c>
      <c r="I216" s="3">
        <f>VLOOKUP($E216,Water!$C$2:$F$90, 4, FALSE)</f>
        <v>9.99</v>
      </c>
      <c r="J216">
        <f>10^(I216*-1)</f>
        <v>1.0232929922807501E-10</v>
      </c>
      <c r="K216" s="25">
        <f>VLOOKUP($E216,Atm!$D$2:$G$100, 2, FALSE)</f>
        <v>404.94208666998719</v>
      </c>
      <c r="L216" s="25">
        <f>VLOOKUP($E216,Atm!$D$2:$G$100, 3, FALSE)</f>
        <v>1.878895038233003</v>
      </c>
      <c r="M216" s="25">
        <f>VLOOKUP($E216,Atm!$D$2:$G$100, 4, FALSE)</f>
        <v>0.29071497789181466</v>
      </c>
      <c r="N216" s="21">
        <f>VLOOKUP($C216,Raw!$B$2:$F$353, 3, FALSE)</f>
        <v>43.766158926588488</v>
      </c>
      <c r="O216" s="21">
        <f>VLOOKUP($C216,Raw!$B$2:$F$353, 4, FALSE)</f>
        <v>393.27135565762632</v>
      </c>
      <c r="P216" s="21">
        <f>VLOOKUP($C216,Raw!$B$2:$F$353, 5, FALSE)</f>
        <v>0.26017161550974582</v>
      </c>
      <c r="Q216" s="14">
        <v>60</v>
      </c>
      <c r="R216" s="25">
        <v>1140</v>
      </c>
      <c r="S216">
        <f>EXP(24.4543-(100/H216*(67.4509))-(4.8489*LN(H216/100))-(0.000544*G216))</f>
        <v>2.5913408680187534E-2</v>
      </c>
      <c r="T216" s="8">
        <f>EXP(-58.0931+90.5069*(100/H216)+22.294*LN(H216/100)+G216*(0.027766-0.025888*(H216/100)+0.0050578*(H216/100)^2)*G216)</f>
        <v>3.7011418736987454E-2</v>
      </c>
      <c r="U216" s="9">
        <f>(EXP(-67.1962+99.1624*(100/H216)+27.9015*LN(H216/100)+G216*(-0.072909+0.041674*(H216/100)-0.0064603*(H216/100)^2)*G216))</f>
        <v>3.3409583717934441E-2</v>
      </c>
      <c r="V216" s="9">
        <f>(EXP(-64.8539+100.252*(100/H216)+25.2049*LN(H216/100)+(-0.062544+0.035337*(H216/100)-0.0054699*(H216/100)^2)*G216))</f>
        <v>2.7170202912323378E-2</v>
      </c>
      <c r="W216" s="9">
        <f>(EXP(-68.8862+101.4956*(100/H216)+28.7314*LN(H216/100)+G216*(-0.076146+0.04397*(H216/100)-0.0068672*(H216/100)^2)))</f>
        <v>3.3343207879757752E-2</v>
      </c>
      <c r="X216">
        <f>N216*(AZ216-S216)</f>
        <v>39.625984490319759</v>
      </c>
      <c r="Y216">
        <f>O216*(AZ216-S216)</f>
        <v>356.06882171030082</v>
      </c>
      <c r="Z216">
        <f>((Y216/10^6)*AZ216)/(0.082056*H216)</f>
        <v>1.3696984110548918E-5</v>
      </c>
      <c r="AA216">
        <f>(((L216/10^6)*AZ216)/(0.082056*H216))</f>
        <v>7.2275902620322402E-8</v>
      </c>
      <c r="AB216">
        <f>((Y216/10^6)*U216*1)/(0.082056*H216)</f>
        <v>4.9135915282099105E-7</v>
      </c>
      <c r="AC216">
        <f>(Z216*(Q216/1000))+(AB216*(R216/1000))</f>
        <v>1.3819684808488647E-6</v>
      </c>
      <c r="AD216" s="39">
        <f>((AC216-(AA216*(Q216/1000)))/(R216/1000))*1000000</f>
        <v>1.2084490585014434</v>
      </c>
      <c r="AE216" s="39">
        <f>(AD216/((U216*AZ216*1))*(0.0821*273.15))</f>
        <v>870.97297410415581</v>
      </c>
      <c r="AF216" s="39">
        <f>L216*U216*AZ216*1/(0.0821*273.15)</f>
        <v>2.6069109002045585E-3</v>
      </c>
      <c r="AG216" s="39">
        <f>AD216-AF216</f>
        <v>1.2058421476012389</v>
      </c>
      <c r="AH216" s="42">
        <f>P216*(AZ216-S216)</f>
        <v>0.23556000009741407</v>
      </c>
      <c r="AI216">
        <f>(((X216/10^6)*(Q216/1000))/(0.082056*H216))</f>
        <v>9.820313541951453E-8</v>
      </c>
      <c r="AJ216">
        <f>(((K216/10^6)*AZ216)*(Q216/1000))/(0.082056*H216)</f>
        <v>9.3462021754726659E-7</v>
      </c>
      <c r="AK216">
        <f>(X216/10^6)*T216*(R216/1000)</f>
        <v>1.6719398515137181E-6</v>
      </c>
      <c r="AL216">
        <f>AI216+AK216</f>
        <v>1.7701429869332326E-6</v>
      </c>
      <c r="AM216" s="39">
        <f>((AL216-AJ216)/(R216/1000))*1000000</f>
        <v>0.73291470998768959</v>
      </c>
      <c r="AN216" s="39">
        <f>AM216/(T216*AZ216)</f>
        <v>21.26281395941545</v>
      </c>
      <c r="AO216" s="39">
        <f>(K216*AZ216)*T216</f>
        <v>13.958077824507415</v>
      </c>
      <c r="AP216" s="39">
        <f>AM216-AO216</f>
        <v>-13.225163114519725</v>
      </c>
      <c r="AQ216">
        <f>(((AH216/10^6)*(Q216/1000))/(0.082056*H216))</f>
        <v>5.8377680419872737E-10</v>
      </c>
      <c r="AR216">
        <f>(((M216/10^6)*AZ216)*(Q216/1000))/(0.082056*H216)</f>
        <v>6.7098013475425361E-10</v>
      </c>
      <c r="AS216">
        <f>(AH216/10^6)*V216*(R216/1000)</f>
        <v>7.2962428207679658E-9</v>
      </c>
      <c r="AT216">
        <f>AQ216+AS216</f>
        <v>7.8800196249666929E-9</v>
      </c>
      <c r="AU216" s="39">
        <f>((AT216-AR216)/(R216/1000))*1000000000</f>
        <v>6.3237188510635436</v>
      </c>
      <c r="AV216" s="39">
        <f>(AU216/1000)/(V216*AZ216)</f>
        <v>0.2499094653307585</v>
      </c>
      <c r="AW216" s="39">
        <f>(M216*AZ216)*V216*1000</f>
        <v>7.3562631313217484</v>
      </c>
      <c r="AX216" s="39">
        <f>AU216-AW216</f>
        <v>-1.0325442802582048</v>
      </c>
      <c r="AY216" s="26">
        <f>VLOOKUP($E216,Water!$C$2:$G$90, 5, FALSE)</f>
        <v>707.8</v>
      </c>
      <c r="AZ216">
        <f>AY216/760</f>
        <v>0.9313157894736841</v>
      </c>
      <c r="BA216" s="3">
        <f>Assumptions!$B$3</f>
        <v>406.07</v>
      </c>
      <c r="BB216" s="3">
        <f>BA216*AZ216*T216</f>
        <v>13.996956228501142</v>
      </c>
      <c r="BC216" s="3">
        <f>Assumptions!$B$4</f>
        <v>1.8474300000000001</v>
      </c>
      <c r="BD216" s="45">
        <f>BC216*AZ216*U216*1/(0.0821*273.15)</f>
        <v>2.5632540968835438E-3</v>
      </c>
      <c r="BE216" s="3">
        <f>Assumptions!$B$2</f>
        <v>0.33054499999999998</v>
      </c>
      <c r="BF216" s="44">
        <f>BE216*AZ216*V216*1000</f>
        <v>8.3641235631403301</v>
      </c>
      <c r="BG216">
        <f>1923.6+(-125.06*F216)+(4.3773*(F216^2))+(-0.085681*(F216^3))+(0.00070284*(F216^4))</f>
        <v>545.90728202696391</v>
      </c>
      <c r="BH216">
        <f>1909.4+(-120.78*F216)+(4.1555*(F216^2))+(-0.080578*(F216^3))+(0.00065777*(F216^4))</f>
        <v>562.29367465681719</v>
      </c>
      <c r="BI216">
        <f>2141.2+(-152.56*F216)+(5.8963*(F216^2))+(-0.12411*(F216^3))+(0.0010655*(F216^4))</f>
        <v>569.56858537254993</v>
      </c>
      <c r="BJ216" s="25">
        <f>VLOOKUP(E216,Wind!$C$2:$E$109,3, FALSE)</f>
        <v>5.6944444444444446</v>
      </c>
      <c r="BK216" s="44">
        <v>1.66</v>
      </c>
      <c r="BL216">
        <f>BK216/(1-(((1.3*10^-3)^0.5)/0.41)*LN(10/1.5))</f>
        <v>1.9923982880693825</v>
      </c>
      <c r="BM216">
        <f>BK216*1.22</f>
        <v>2.0251999999999999</v>
      </c>
      <c r="BN216">
        <f>2.07+0.215*(BM216^1.7)*(24/100)</f>
        <v>2.241255750541113</v>
      </c>
      <c r="BO216">
        <f>BN216*((600/BG216)^0.67)</f>
        <v>2.3877183660664163</v>
      </c>
      <c r="BP216">
        <f>BN216*((600/BH216)^0.67)</f>
        <v>2.3408706255248437</v>
      </c>
      <c r="BQ216">
        <f>BN216*((600/BI216)^0.67)</f>
        <v>2.3207957263157439</v>
      </c>
      <c r="BR216" s="39">
        <f>BO216*(AM216-BB216)</f>
        <v>-31.670795542022049</v>
      </c>
      <c r="BS216" s="39">
        <f>BP216*(AD216-BD216)</f>
        <v>2.8228226572680311</v>
      </c>
      <c r="BT216" s="39">
        <f>BQ216*(AU216-BF216)</f>
        <v>-4.7353625357423121</v>
      </c>
      <c r="BU216">
        <f>(2.51+1.48*BM216)+(0.39*BM216*LOG10(0.0015))</f>
        <v>3.2768938069574309</v>
      </c>
      <c r="BV216">
        <f>BU216*((600/$BG216)^0.67)</f>
        <v>3.4910337763249517</v>
      </c>
      <c r="BW216">
        <f>BU216*((600/$BH216)^0.67)</f>
        <v>3.4225386611139523</v>
      </c>
      <c r="BX216">
        <f>BU216*((600/$BI216)^0.67)</f>
        <v>3.3931875650252032</v>
      </c>
      <c r="BY216" s="39">
        <f>BV216*($AM216-$BB216)</f>
        <v>-46.305216951706967</v>
      </c>
      <c r="BZ216" s="39">
        <f>BW216*($AD216-$BD216)</f>
        <v>4.1271907864631032</v>
      </c>
      <c r="CA216" s="39">
        <f>BX216*($AU216-$BF216)</f>
        <v>-6.9234758966377825</v>
      </c>
      <c r="CB216" s="42">
        <f>AVERAGE(0.72,0.69,0.4,0.22)</f>
        <v>0.50750000000000006</v>
      </c>
      <c r="CC216">
        <f>CB216*((600/$BG216)^0.67)</f>
        <v>0.54066434430169152</v>
      </c>
      <c r="CD216">
        <f>CB216*((600/$BH216)^0.67)</f>
        <v>0.53005634995784745</v>
      </c>
      <c r="CE216">
        <f>CB216*((600/$BI216)^0.67)</f>
        <v>0.52551067892224235</v>
      </c>
      <c r="CF216" s="39">
        <f>CC216*($AM216-$BB216)</f>
        <v>-7.1713943103974893</v>
      </c>
      <c r="CG216" s="39">
        <f>CD216*($AD216-$BD216)</f>
        <v>0.63918742794866368</v>
      </c>
      <c r="CH216" s="39">
        <f>CE216*($AU216-$BF216)</f>
        <v>-1.0722544655196145</v>
      </c>
      <c r="CI216">
        <v>39.862639018895301</v>
      </c>
      <c r="CJ216">
        <f>((BG216/BH216)^0.67)*CI216</f>
        <v>39.080522251440804</v>
      </c>
      <c r="CK216">
        <f>((BH216/BH216)^0.67)*CI216</f>
        <v>39.862639018895301</v>
      </c>
      <c r="CL216">
        <f>((BI216/BH216)^0.67)*CI216</f>
        <v>40.207451124260302</v>
      </c>
      <c r="CM216" s="39">
        <f>CJ216*($AM216-$BB216)</f>
        <v>-518.36566970829972</v>
      </c>
      <c r="CN216" s="39">
        <f>CK216*($AD216-$BD216)</f>
        <v>48.069790518989151</v>
      </c>
      <c r="CO216" s="39">
        <f>CL216*($AU216-$BF216)</f>
        <v>-82.03947273453781</v>
      </c>
      <c r="CP216" s="27">
        <f>VLOOKUP(A216,Water!$A$2:$E$109, 5, FALSE)/1000</f>
        <v>1.4999999999999999E-4</v>
      </c>
      <c r="CQ216">
        <f>0.64*CP216</f>
        <v>9.5999999999999989E-5</v>
      </c>
      <c r="CR216" s="19">
        <f>CQ216*1000*(2.5*10^-5)</f>
        <v>2.3999999999999999E-6</v>
      </c>
      <c r="CS216" s="18">
        <f>(-0.0000009*F216^3)+(0.0002*F216^2)-(0.0134*F216)+6.579</f>
        <v>6.3720088868999998</v>
      </c>
      <c r="CT216" s="18">
        <f>CS216-(SQRT(CP216))/(1+1.4*SQRT(CP216))</f>
        <v>6.3599678981353867</v>
      </c>
      <c r="CU216" s="18">
        <f>10^(-CT216)</f>
        <v>4.3654809949348125E-7</v>
      </c>
      <c r="CV216" s="18">
        <f>(0.000001*F216^3)+(0.00006*F216^2)-(0.014*F216)+10.625</f>
        <v>10.357680059</v>
      </c>
      <c r="CW216" s="18">
        <f>CV216-(2*SQRT(CR216))/(1+1.4*SQRT(CR216))</f>
        <v>10.354588377779766</v>
      </c>
      <c r="CX216" s="18">
        <f>10^(-CW216)</f>
        <v>4.419891640961005E-11</v>
      </c>
      <c r="CY216">
        <f>EXP(1246.98+-61900/H216-183*LN(H216))</f>
        <v>2.8369106092595742E-2</v>
      </c>
      <c r="CZ216">
        <f>12.225*(F216^2)+15.258*F216+1125.7</f>
        <v>7323.082449999999</v>
      </c>
      <c r="DA216" s="15">
        <f>10^(-4470.99/H216+6.0875-0.01706*H216)</f>
        <v>7.9545763731175434E-15</v>
      </c>
      <c r="DB216">
        <f>(10^-I216)</f>
        <v>1.0232929922807501E-10</v>
      </c>
      <c r="DC216">
        <f>DB216^2</f>
        <v>1.0471285480508913E-20</v>
      </c>
      <c r="DD216" s="20">
        <f>((14.6836*10^-9)*((H216/217.2056)-1)^1.997)*100*100</f>
        <v>1.8918303623089213E-5</v>
      </c>
      <c r="DE216">
        <f>CY216+CZ216*DA216/DB216</f>
        <v>0.59762951415351351</v>
      </c>
      <c r="DF216">
        <f>1+DC216*(CU216*CX216+CU216*DB216)^-1</f>
        <v>1.0001636992302092</v>
      </c>
      <c r="DG216">
        <f>(DE216*DF216/DD216)^0.5</f>
        <v>177.75035094673004</v>
      </c>
      <c r="DH216">
        <f>DD216/(BO216/60/60)</f>
        <v>2.8523419684257163E-2</v>
      </c>
      <c r="DI216" s="16">
        <f>DF216/((DF216-1)+TANH(DG216*DH216)/(DG216*DH216))</f>
        <v>5.0670722683400715</v>
      </c>
      <c r="DJ216">
        <f>$DI216*BR216</f>
        <v>-160.47820980724828</v>
      </c>
      <c r="DK216">
        <f>$DI216*BY216</f>
        <v>-234.63188069546496</v>
      </c>
      <c r="DL216">
        <f>$DI216*CF216</f>
        <v>-36.33797323554689</v>
      </c>
      <c r="DM216">
        <f>$DI216*CM216</f>
        <v>-2626.5963098384545</v>
      </c>
    </row>
    <row r="217" spans="1:117" ht="15.75" x14ac:dyDescent="0.25">
      <c r="A217" s="52" t="s">
        <v>335</v>
      </c>
      <c r="B217" s="55" t="s">
        <v>342</v>
      </c>
      <c r="C217" s="62" t="s">
        <v>406</v>
      </c>
      <c r="D217" s="57">
        <v>43292</v>
      </c>
      <c r="E217" s="42" t="str">
        <f>A217&amp;D217</f>
        <v>4C43292</v>
      </c>
      <c r="F217" s="3">
        <f>VLOOKUP($E217,Water!$C$2:$E$90, 2, FALSE)</f>
        <v>21.9</v>
      </c>
      <c r="G217" s="3">
        <f>VLOOKUP($E217,Water!$C$2:$E$90, 3, FALSE)</f>
        <v>0.13</v>
      </c>
      <c r="H217" s="1">
        <f>F217+273.15</f>
        <v>295.04999999999995</v>
      </c>
      <c r="I217" s="3">
        <f>VLOOKUP($E217,Water!$C$2:$F$90, 4, FALSE)</f>
        <v>9.99</v>
      </c>
      <c r="J217">
        <f>10^(I217*-1)</f>
        <v>1.0232929922807501E-10</v>
      </c>
      <c r="K217" s="25">
        <f>VLOOKUP($E217,Atm!$D$2:$G$100, 2, FALSE)</f>
        <v>404.94208666998719</v>
      </c>
      <c r="L217" s="25">
        <f>VLOOKUP($E217,Atm!$D$2:$G$100, 3, FALSE)</f>
        <v>1.878895038233003</v>
      </c>
      <c r="M217" s="25">
        <f>VLOOKUP($E217,Atm!$D$2:$G$100, 4, FALSE)</f>
        <v>0.29071497789181466</v>
      </c>
      <c r="N217" s="21">
        <f>VLOOKUP($C217,Raw!$B$2:$F$353, 3, FALSE)</f>
        <v>53.871517693781463</v>
      </c>
      <c r="O217" s="21">
        <f>VLOOKUP($C217,Raw!$B$2:$F$353, 4, FALSE)</f>
        <v>394.34661350656307</v>
      </c>
      <c r="P217" s="21">
        <f>VLOOKUP($C217,Raw!$B$2:$F$353, 5, FALSE)</f>
        <v>0.259690097545488</v>
      </c>
      <c r="Q217" s="14">
        <v>60</v>
      </c>
      <c r="R217" s="25">
        <v>1140</v>
      </c>
      <c r="S217">
        <f>EXP(24.4543-(100/H217*(67.4509))-(4.8489*LN(H217/100))-(0.000544*G217))</f>
        <v>2.5913408680187534E-2</v>
      </c>
      <c r="T217" s="8">
        <f>EXP(-58.0931+90.5069*(100/H217)+22.294*LN(H217/100)+G217*(0.027766-0.025888*(H217/100)+0.0050578*(H217/100)^2)*G217)</f>
        <v>3.7011418736987454E-2</v>
      </c>
      <c r="U217" s="9">
        <f>(EXP(-67.1962+99.1624*(100/H217)+27.9015*LN(H217/100)+G217*(-0.072909+0.041674*(H217/100)-0.0064603*(H217/100)^2)*G217))</f>
        <v>3.3409583717934441E-2</v>
      </c>
      <c r="V217" s="9">
        <f>(EXP(-64.8539+100.252*(100/H217)+25.2049*LN(H217/100)+(-0.062544+0.035337*(H217/100)-0.0054699*(H217/100)^2)*G217))</f>
        <v>2.7170202912323378E-2</v>
      </c>
      <c r="W217" s="9">
        <f>(EXP(-68.8862+101.4956*(100/H217)+28.7314*LN(H217/100)+G217*(-0.076146+0.04397*(H217/100)-0.0068672*(H217/100)^2)))</f>
        <v>3.3343207879757752E-2</v>
      </c>
      <c r="X217">
        <f>N217*(AZ217-S217)</f>
        <v>48.775400376908713</v>
      </c>
      <c r="Y217">
        <f>O217*(AZ217-S217)</f>
        <v>357.04236272669505</v>
      </c>
      <c r="Z217">
        <f>((Y217/10^6)*AZ217)/(0.082056*H217)</f>
        <v>1.3734433544533252E-5</v>
      </c>
      <c r="AA217">
        <f>(((L217/10^6)*AZ217)/(0.082056*H217))</f>
        <v>7.2275902620322402E-8</v>
      </c>
      <c r="AB217">
        <f>((Y217/10^6)*U217*1)/(0.082056*H217)</f>
        <v>4.9270259616644955E-7</v>
      </c>
      <c r="AC217">
        <f>(Z217*(Q217/1000))+(AB217*(R217/1000))</f>
        <v>1.3857469723017475E-6</v>
      </c>
      <c r="AD217" s="39">
        <f>((AC217-(AA217*(Q217/1000)))/(R217/1000))*1000000</f>
        <v>1.2117635246881828</v>
      </c>
      <c r="AE217" s="39">
        <f>(AD217/((U217*AZ217*1))*(0.0821*273.15))</f>
        <v>873.36182984608661</v>
      </c>
      <c r="AF217" s="39">
        <f>L217*U217*AZ217*1/(0.0821*273.15)</f>
        <v>2.6069109002045585E-3</v>
      </c>
      <c r="AG217" s="39">
        <f>AD217-AF217</f>
        <v>1.2091566137879783</v>
      </c>
      <c r="AH217" s="42">
        <f>P217*(AZ217-S217)</f>
        <v>0.2351240325861802</v>
      </c>
      <c r="AI217">
        <f>(((X217/10^6)*(Q217/1000))/(0.082056*H217))</f>
        <v>1.2087768442761923E-7</v>
      </c>
      <c r="AJ217">
        <f>(((K217/10^6)*AZ217)*(Q217/1000))/(0.082056*H217)</f>
        <v>9.3462021754726659E-7</v>
      </c>
      <c r="AK217">
        <f>(X217/10^6)*T217*(R217/1000)</f>
        <v>2.0579813148519417E-6</v>
      </c>
      <c r="AL217">
        <f>AI217+AK217</f>
        <v>2.1788589992795611E-6</v>
      </c>
      <c r="AM217" s="39">
        <f>((AL217-AJ217)/(R217/1000))*1000000</f>
        <v>1.0914375278353461</v>
      </c>
      <c r="AN217" s="39">
        <f>AM217/(T217*AZ217)</f>
        <v>31.664029642790336</v>
      </c>
      <c r="AO217" s="39">
        <f>(K217*AZ217)*T217</f>
        <v>13.958077824507415</v>
      </c>
      <c r="AP217" s="39">
        <f>AM217-AO217</f>
        <v>-12.866640296672069</v>
      </c>
      <c r="AQ217">
        <f>(((AH217/10^6)*(Q217/1000))/(0.082056*H217))</f>
        <v>5.8269636728101082E-10</v>
      </c>
      <c r="AR217">
        <f>(((M217/10^6)*AZ217)*(Q217/1000))/(0.082056*H217)</f>
        <v>6.7098013475425361E-10</v>
      </c>
      <c r="AS217">
        <f>(AH217/10^6)*V217*(R217/1000)</f>
        <v>7.282739149420484E-9</v>
      </c>
      <c r="AT217">
        <f>AQ217+AS217</f>
        <v>7.865435516701494E-9</v>
      </c>
      <c r="AU217" s="39">
        <f>((AT217-AR217)/(R217/1000))*1000000000</f>
        <v>6.3109257736379307</v>
      </c>
      <c r="AV217" s="39">
        <f>(AU217/1000)/(V217*AZ217)</f>
        <v>0.24940389080812897</v>
      </c>
      <c r="AW217" s="39">
        <f>(M217*AZ217)*V217*1000</f>
        <v>7.3562631313217484</v>
      </c>
      <c r="AX217" s="39">
        <f>AU217-AW217</f>
        <v>-1.0453373576838176</v>
      </c>
      <c r="AY217" s="26">
        <f>VLOOKUP($E217,Water!$C$2:$G$90, 5, FALSE)</f>
        <v>707.8</v>
      </c>
      <c r="AZ217">
        <f>AY217/760</f>
        <v>0.9313157894736841</v>
      </c>
      <c r="BA217" s="3">
        <f>Assumptions!$B$3</f>
        <v>406.07</v>
      </c>
      <c r="BB217" s="3">
        <f>BA217*AZ217*T217</f>
        <v>13.996956228501142</v>
      </c>
      <c r="BC217" s="3">
        <f>Assumptions!$B$4</f>
        <v>1.8474300000000001</v>
      </c>
      <c r="BD217" s="45">
        <f>BC217*AZ217*U217*1/(0.0821*273.15)</f>
        <v>2.5632540968835438E-3</v>
      </c>
      <c r="BE217" s="3">
        <f>Assumptions!$B$2</f>
        <v>0.33054499999999998</v>
      </c>
      <c r="BF217" s="44">
        <f>BE217*AZ217*V217*1000</f>
        <v>8.3641235631403301</v>
      </c>
      <c r="BG217">
        <f>1923.6+(-125.06*F217)+(4.3773*(F217^2))+(-0.085681*(F217^3))+(0.00070284*(F217^4))</f>
        <v>545.90728202696391</v>
      </c>
      <c r="BH217">
        <f>1909.4+(-120.78*F217)+(4.1555*(F217^2))+(-0.080578*(F217^3))+(0.00065777*(F217^4))</f>
        <v>562.29367465681719</v>
      </c>
      <c r="BI217">
        <f>2141.2+(-152.56*F217)+(5.8963*(F217^2))+(-0.12411*(F217^3))+(0.0010655*(F217^4))</f>
        <v>569.56858537254993</v>
      </c>
      <c r="BJ217" s="25">
        <f>VLOOKUP(E217,Wind!$C$2:$E$109,3, FALSE)</f>
        <v>5.6944444444444446</v>
      </c>
      <c r="BK217" s="44">
        <v>1.66</v>
      </c>
      <c r="BL217">
        <f>BK217/(1-(((1.3*10^-3)^0.5)/0.41)*LN(10/1.5))</f>
        <v>1.9923982880693825</v>
      </c>
      <c r="BM217">
        <f>BK217*1.22</f>
        <v>2.0251999999999999</v>
      </c>
      <c r="BN217">
        <f>2.07+0.215*(BM217^1.7)*(24/100)</f>
        <v>2.241255750541113</v>
      </c>
      <c r="BO217">
        <f>BN217*((600/BG217)^0.67)</f>
        <v>2.3877183660664163</v>
      </c>
      <c r="BP217">
        <f>BN217*((600/BH217)^0.67)</f>
        <v>2.3408706255248437</v>
      </c>
      <c r="BQ217">
        <f>BN217*((600/BI217)^0.67)</f>
        <v>2.3207957263157439</v>
      </c>
      <c r="BR217" s="39">
        <f>BO217*(AM217-BB217)</f>
        <v>-30.814744025193313</v>
      </c>
      <c r="BS217" s="39">
        <f>BP217*(AD217-BD217)</f>
        <v>2.8305813938038646</v>
      </c>
      <c r="BT217" s="39">
        <f>BQ217*(AU217-BF217)</f>
        <v>-4.7650526551581009</v>
      </c>
      <c r="BU217">
        <f>(2.51+1.48*BM217)+(0.39*BM217*LOG10(0.0015))</f>
        <v>3.2768938069574309</v>
      </c>
      <c r="BV217">
        <f>BU217*((600/$BG217)^0.67)</f>
        <v>3.4910337763249517</v>
      </c>
      <c r="BW217">
        <f>BU217*((600/$BH217)^0.67)</f>
        <v>3.4225386611139523</v>
      </c>
      <c r="BX217">
        <f>BU217*((600/$BI217)^0.67)</f>
        <v>3.3931875650252032</v>
      </c>
      <c r="BY217" s="39">
        <f>BV217*($AM217-$BB217)</f>
        <v>-45.053601685017597</v>
      </c>
      <c r="BZ217" s="39">
        <f>BW217*($AD217-$BD217)</f>
        <v>4.1385346751281737</v>
      </c>
      <c r="CA217" s="39">
        <f>BX217*($AU217-$BF217)</f>
        <v>-6.9668852078767767</v>
      </c>
      <c r="CB217" s="42">
        <f>AVERAGE(0.72,0.69,0.4,0.22)</f>
        <v>0.50750000000000006</v>
      </c>
      <c r="CC217">
        <f>CB217*((600/$BG217)^0.67)</f>
        <v>0.54066434430169152</v>
      </c>
      <c r="CD217">
        <f>CB217*((600/$BH217)^0.67)</f>
        <v>0.53005634995784745</v>
      </c>
      <c r="CE217">
        <f>CB217*((600/$BI217)^0.67)</f>
        <v>0.52551067892224235</v>
      </c>
      <c r="CF217" s="39">
        <f>CC217*($AM217-$BB217)</f>
        <v>-6.9775538061686904</v>
      </c>
      <c r="CG217" s="39">
        <f>CD217*($AD217-$BD217)</f>
        <v>0.64094428179766549</v>
      </c>
      <c r="CH217" s="39">
        <f>CE217*($AU217-$BF217)</f>
        <v>-1.0789773643230531</v>
      </c>
      <c r="CI217">
        <v>40.862639018895301</v>
      </c>
      <c r="CJ217">
        <f>((BG217/BH217)^0.67)*CI217</f>
        <v>40.060901955677551</v>
      </c>
      <c r="CK217">
        <f>((BH217/BH217)^0.67)*CI217</f>
        <v>40.862639018895301</v>
      </c>
      <c r="CL217">
        <f>((BI217/BH217)^0.67)*CI217</f>
        <v>41.216101131230531</v>
      </c>
      <c r="CM217" s="39">
        <f>CJ217*($AM217-$BB217)</f>
        <v>-517.00671935453556</v>
      </c>
      <c r="CN217" s="39">
        <f>CK217*($AD217-$BD217)</f>
        <v>49.411114158722782</v>
      </c>
      <c r="CO217" s="39">
        <f>CL217*($AU217-$BF217)</f>
        <v>-84.624807734549861</v>
      </c>
      <c r="CP217" s="27">
        <f>VLOOKUP(A217,Water!$A$2:$E$109, 5, FALSE)/1000</f>
        <v>1.4999999999999999E-4</v>
      </c>
      <c r="CQ217">
        <f>0.64*CP217</f>
        <v>9.5999999999999989E-5</v>
      </c>
      <c r="CR217" s="19">
        <f>CQ217*1000*(2.5*10^-5)</f>
        <v>2.3999999999999999E-6</v>
      </c>
      <c r="CS217" s="18">
        <f>(-0.0000009*F217^3)+(0.0002*F217^2)-(0.0134*F217)+6.579</f>
        <v>6.3720088868999998</v>
      </c>
      <c r="CT217" s="18">
        <f>CS217-(SQRT(CP217))/(1+1.4*SQRT(CP217))</f>
        <v>6.3599678981353867</v>
      </c>
      <c r="CU217" s="18">
        <f>10^(-CT217)</f>
        <v>4.3654809949348125E-7</v>
      </c>
      <c r="CV217" s="18">
        <f>(0.000001*F217^3)+(0.00006*F217^2)-(0.014*F217)+10.625</f>
        <v>10.357680059</v>
      </c>
      <c r="CW217" s="18">
        <f>CV217-(2*SQRT(CR217))/(1+1.4*SQRT(CR217))</f>
        <v>10.354588377779766</v>
      </c>
      <c r="CX217" s="18">
        <f>10^(-CW217)</f>
        <v>4.419891640961005E-11</v>
      </c>
      <c r="CY217">
        <f>EXP(1246.98+-61900/H217-183*LN(H217))</f>
        <v>2.8369106092595742E-2</v>
      </c>
      <c r="CZ217">
        <f>12.225*(F217^2)+15.258*F217+1125.7</f>
        <v>7323.082449999999</v>
      </c>
      <c r="DA217" s="15">
        <f>10^(-4470.99/H217+6.0875-0.01706*H217)</f>
        <v>7.9545763731175434E-15</v>
      </c>
      <c r="DB217">
        <f>(10^-I217)</f>
        <v>1.0232929922807501E-10</v>
      </c>
      <c r="DC217">
        <f>DB217^2</f>
        <v>1.0471285480508913E-20</v>
      </c>
      <c r="DD217" s="20">
        <f>((14.6836*10^-9)*((H217/217.2056)-1)^1.997)*100*100</f>
        <v>1.8918303623089213E-5</v>
      </c>
      <c r="DE217">
        <f>CY217+CZ217*DA217/DB217</f>
        <v>0.59762951415351351</v>
      </c>
      <c r="DF217">
        <f>1+DC217*(CU217*CX217+CU217*DB217)^-1</f>
        <v>1.0001636992302092</v>
      </c>
      <c r="DG217">
        <f>(DE217*DF217/DD217)^0.5</f>
        <v>177.75035094673004</v>
      </c>
      <c r="DH217">
        <f>DD217/(BO217/60/60)</f>
        <v>2.8523419684257163E-2</v>
      </c>
      <c r="DI217" s="16">
        <f>DF217/((DF217-1)+TANH(DG217*DH217)/(DG217*DH217))</f>
        <v>5.0670722683400715</v>
      </c>
      <c r="DJ217">
        <f>$DI217*BR217</f>
        <v>-156.14053490605494</v>
      </c>
      <c r="DK217">
        <f>$DI217*BY217</f>
        <v>-228.28985568699218</v>
      </c>
      <c r="DL217">
        <f>$DI217*CF217</f>
        <v>-35.355769392088085</v>
      </c>
      <c r="DM217">
        <f>$DI217*CM217</f>
        <v>-2619.7104101868454</v>
      </c>
    </row>
    <row r="218" spans="1:117" ht="15.75" x14ac:dyDescent="0.25">
      <c r="A218" s="52" t="s">
        <v>329</v>
      </c>
      <c r="B218" s="55" t="s">
        <v>339</v>
      </c>
      <c r="C218" s="62" t="s">
        <v>408</v>
      </c>
      <c r="D218" s="57">
        <v>43292</v>
      </c>
      <c r="E218" s="42" t="str">
        <f>A218&amp;D218</f>
        <v>56A43292</v>
      </c>
      <c r="F218" s="3">
        <f>VLOOKUP($E218,Water!$C$2:$E$90, 2, FALSE)</f>
        <v>21.8</v>
      </c>
      <c r="G218" s="3">
        <f>VLOOKUP($E218,Water!$C$2:$E$90, 3, FALSE)</f>
        <v>2.0499999999999998</v>
      </c>
      <c r="H218" s="1">
        <f>F218+273.15</f>
        <v>294.95</v>
      </c>
      <c r="I218" s="3">
        <f>VLOOKUP($E218,Water!$C$2:$F$90, 4, FALSE)</f>
        <v>8.6199999999999992</v>
      </c>
      <c r="J218">
        <f>10^(I218*-1)</f>
        <v>2.3988329190194922E-9</v>
      </c>
      <c r="K218" s="25">
        <f>VLOOKUP($E218,Atm!$D$2:$G$100, 2, FALSE)</f>
        <v>451.60086098859171</v>
      </c>
      <c r="L218" s="25">
        <f>VLOOKUP($E218,Atm!$D$2:$G$100, 3, FALSE)</f>
        <v>1.9568631540917421</v>
      </c>
      <c r="M218" s="25">
        <f>VLOOKUP($E218,Atm!$D$2:$G$100, 4, FALSE)</f>
        <v>0.29296449160963511</v>
      </c>
      <c r="N218" s="21" t="str">
        <f>VLOOKUP($C218,Raw!$B$2:$F$353, 3, FALSE)</f>
        <v>NA</v>
      </c>
      <c r="O218" s="21" t="str">
        <f>VLOOKUP($C218,Raw!$B$2:$F$353, 4, FALSE)</f>
        <v>NA</v>
      </c>
      <c r="P218" s="21" t="str">
        <f>VLOOKUP($C218,Raw!$B$2:$F$353, 5, FALSE)</f>
        <v>NA</v>
      </c>
      <c r="Q218" s="14">
        <v>60</v>
      </c>
      <c r="R218" s="25">
        <v>1140</v>
      </c>
      <c r="S218">
        <f>EXP(24.4543-(100/H218*(67.4509))-(4.8489*LN(H218/100))-(0.000544*G218))</f>
        <v>2.5728749115768383E-2</v>
      </c>
      <c r="T218" s="8">
        <f>EXP(-58.0931+90.5069*(100/H218)+22.294*LN(H218/100)+G218*(0.027766-0.025888*(H218/100)+0.0050578*(H218/100)^2)*G218)</f>
        <v>3.6410493939558898E-2</v>
      </c>
      <c r="U218" s="9">
        <f>(EXP(-67.1962+99.1624*(100/H218)+27.9015*LN(H218/100)+G218*(-0.072909+0.041674*(H218/100)-0.0064603*(H218/100)^2)*G218))</f>
        <v>3.2617758265440736E-2</v>
      </c>
      <c r="V218" s="9">
        <f>(EXP(-64.8539+100.252*(100/H218)+25.2049*LN(H218/100)+(-0.062544+0.035337*(H218/100)-0.0054699*(H218/100)^2)*G218))</f>
        <v>2.6944043322590351E-2</v>
      </c>
      <c r="W218" s="9">
        <f>(EXP(-68.8862+101.4956*(100/H218)+28.7314*LN(H218/100)+G218*(-0.076146+0.04397*(H218/100)-0.0068672*(H218/100)^2)))</f>
        <v>3.3012185900075937E-2</v>
      </c>
      <c r="X218" t="e">
        <f>N218*(AZ218-S218)</f>
        <v>#VALUE!</v>
      </c>
      <c r="Y218" t="e">
        <f>O218*(AZ218-S218)</f>
        <v>#VALUE!</v>
      </c>
      <c r="Z218" t="e">
        <f>((Y218/10^6)*AZ218)/(0.082056*H218)</f>
        <v>#VALUE!</v>
      </c>
      <c r="AA218">
        <f>(((L218/10^6)*AZ218)/(0.082056*H218))</f>
        <v>7.4236773087647226E-8</v>
      </c>
      <c r="AB218" t="e">
        <f>((Y218/10^6)*U218*1)/(0.082056*H218)</f>
        <v>#VALUE!</v>
      </c>
      <c r="AC218" t="e">
        <f>(Z218*(Q218/1000))+(AB218*(R218/1000))</f>
        <v>#VALUE!</v>
      </c>
      <c r="AD218" s="39" t="e">
        <f>((AC218-(AA218*(Q218/1000)))/(R218/1000))*1000000</f>
        <v>#VALUE!</v>
      </c>
      <c r="AE218" s="39" t="e">
        <f>(AD218/((U218*AZ218*1))*(0.0821*273.15))</f>
        <v>#VALUE!</v>
      </c>
      <c r="AF218" s="39">
        <f>L218*U218*AZ218*1/(0.0821*273.15)</f>
        <v>2.6132898195702524E-3</v>
      </c>
      <c r="AG218" s="39" t="e">
        <f>AD218-AF218</f>
        <v>#VALUE!</v>
      </c>
      <c r="AH218" s="42" t="e">
        <f>P218*(AZ218-S218)</f>
        <v>#VALUE!</v>
      </c>
      <c r="AI218" t="e">
        <f>(((X218/10^6)*(Q218/1000))/(0.082056*H218))</f>
        <v>#VALUE!</v>
      </c>
      <c r="AJ218">
        <f>(((K218/10^6)*AZ218)*(Q218/1000))/(0.082056*H218)</f>
        <v>1.0279326044837306E-6</v>
      </c>
      <c r="AK218" t="e">
        <f>(X218/10^6)*T218*(R218/1000)</f>
        <v>#VALUE!</v>
      </c>
      <c r="AL218" t="e">
        <f>AI218+AK218</f>
        <v>#VALUE!</v>
      </c>
      <c r="AM218" s="39" t="e">
        <f>((AL218-AJ218)/(R218/1000))*1000000</f>
        <v>#VALUE!</v>
      </c>
      <c r="AN218" s="39" t="e">
        <f>AM218/(T218*AZ218)</f>
        <v>#VALUE!</v>
      </c>
      <c r="AO218" s="39">
        <f>(K218*AZ218)*T218</f>
        <v>15.097279823132386</v>
      </c>
      <c r="AP218" s="39" t="e">
        <f>AM218-AO218</f>
        <v>#VALUE!</v>
      </c>
      <c r="AQ218" t="e">
        <f>(((AH218/10^6)*(Q218/1000))/(0.082056*H218))</f>
        <v>#VALUE!</v>
      </c>
      <c r="AR218">
        <f>(((M218/10^6)*AZ218)*(Q218/1000))/(0.082056*H218)</f>
        <v>6.6684494848461284E-10</v>
      </c>
      <c r="AS218" t="e">
        <f>(AH218/10^6)*V218*(R218/1000)</f>
        <v>#VALUE!</v>
      </c>
      <c r="AT218" t="e">
        <f>AQ218+AS218</f>
        <v>#VALUE!</v>
      </c>
      <c r="AU218" s="39" t="e">
        <f>((AT218-AR218)/(R218/1000))*1000000000</f>
        <v>#VALUE!</v>
      </c>
      <c r="AV218" s="39" t="e">
        <f>(AU218/1000)/(V218*AZ218)</f>
        <v>#VALUE!</v>
      </c>
      <c r="AW218" s="39">
        <f>(M218*AZ218)*V218*1000</f>
        <v>7.2476151871563976</v>
      </c>
      <c r="AX218" s="39" t="e">
        <f>AU218-AW218</f>
        <v>#VALUE!</v>
      </c>
      <c r="AY218" s="26">
        <f>VLOOKUP($E218,Water!$C$2:$G$90, 5, FALSE)</f>
        <v>697.8</v>
      </c>
      <c r="AZ218">
        <f>AY218/760</f>
        <v>0.91815789473684206</v>
      </c>
      <c r="BA218" s="3">
        <f>Assumptions!$B$3</f>
        <v>406.07</v>
      </c>
      <c r="BB218" s="3">
        <f>BA218*AZ218*T218</f>
        <v>13.575156620293152</v>
      </c>
      <c r="BC218" s="3">
        <f>Assumptions!$B$4</f>
        <v>1.8474300000000001</v>
      </c>
      <c r="BD218" s="45">
        <f>BC218*AZ218*U218*1/(0.0821*273.15)</f>
        <v>2.4671474861559634E-3</v>
      </c>
      <c r="BE218" s="3">
        <f>Assumptions!$B$2</f>
        <v>0.33054499999999998</v>
      </c>
      <c r="BF218" s="44">
        <f>BE218*AZ218*V218*1000</f>
        <v>8.1773151035339389</v>
      </c>
      <c r="BG218">
        <f>1923.6+(-125.06*F218)+(4.3773*(F218^2))+(-0.085681*(F218^3))+(0.00070284*(F218^4))</f>
        <v>548.62357701158385</v>
      </c>
      <c r="BH218">
        <f>1909.4+(-120.78*F218)+(4.1555*(F218^2))+(-0.080578*(F218^3))+(0.00065777*(F218^4))</f>
        <v>565.00841160155244</v>
      </c>
      <c r="BI218">
        <f>2141.2+(-152.56*F218)+(5.8963*(F218^2))+(-0.12411*(F218^3))+(0.0010655*(F218^4))</f>
        <v>572.38765135279982</v>
      </c>
      <c r="BJ218" s="25">
        <f>VLOOKUP(E218,Wind!$C$2:$E$109,3, FALSE)</f>
        <v>8.1111111111111107</v>
      </c>
      <c r="BK218" s="44">
        <v>1.66</v>
      </c>
      <c r="BL218">
        <f>BK218/(1-(((1.3*10^-3)^0.5)/0.41)*LN(10/1.5))</f>
        <v>1.9923982880693825</v>
      </c>
      <c r="BM218">
        <f>BK218*1.22</f>
        <v>2.0251999999999999</v>
      </c>
      <c r="BN218">
        <f>2.07+0.215*(BM218^1.7)*(24/100)</f>
        <v>2.241255750541113</v>
      </c>
      <c r="BO218">
        <f>BN218*((600/BG218)^0.67)</f>
        <v>2.3797912395049967</v>
      </c>
      <c r="BP218">
        <f>BN218*((600/BH218)^0.67)</f>
        <v>2.3333289133092827</v>
      </c>
      <c r="BQ218">
        <f>BN218*((600/BI218)^0.67)</f>
        <v>2.3131312893259408</v>
      </c>
      <c r="BR218" s="39" t="e">
        <f>BO218*(AM218-BB218)</f>
        <v>#VALUE!</v>
      </c>
      <c r="BS218" s="39" t="e">
        <f>BP218*(AD218-BD218)</f>
        <v>#VALUE!</v>
      </c>
      <c r="BT218" s="39" t="e">
        <f>BQ218*(AU218-BF218)</f>
        <v>#VALUE!</v>
      </c>
      <c r="BU218">
        <f>(2.51+1.48*BM218)+(0.39*BM218*LOG10(0.0015))</f>
        <v>3.2768938069574309</v>
      </c>
      <c r="BV218">
        <f>BU218*((600/$BG218)^0.67)</f>
        <v>3.4794436880765169</v>
      </c>
      <c r="BW218">
        <f>BU218*((600/$BH218)^0.67)</f>
        <v>3.4115120792314251</v>
      </c>
      <c r="BX218">
        <f>BU218*((600/$BI218)^0.67)</f>
        <v>3.3819815497814556</v>
      </c>
      <c r="BY218" s="39" t="e">
        <f>BV218*($AM218-$BB218)</f>
        <v>#VALUE!</v>
      </c>
      <c r="BZ218" s="39" t="e">
        <f>BW218*($AD218-$BD218)</f>
        <v>#VALUE!</v>
      </c>
      <c r="CA218" s="39" t="e">
        <f>BX218*($AU218-$BF218)</f>
        <v>#VALUE!</v>
      </c>
      <c r="CB218" s="42">
        <f>AVERAGE(0.72,0.69,0.4,0.22)</f>
        <v>0.50750000000000006</v>
      </c>
      <c r="CC218">
        <f>CB218*((600/$BG218)^0.67)</f>
        <v>0.53886936096302118</v>
      </c>
      <c r="CD218">
        <f>CB218*((600/$BH218)^0.67)</f>
        <v>0.52834863813224564</v>
      </c>
      <c r="CE218">
        <f>CB218*((600/$BI218)^0.67)</f>
        <v>0.52377517784371264</v>
      </c>
      <c r="CF218" s="39" t="e">
        <f>CC218*($AM218-$BB218)</f>
        <v>#VALUE!</v>
      </c>
      <c r="CG218" s="39" t="e">
        <f>CD218*($AD218-$BD218)</f>
        <v>#VALUE!</v>
      </c>
      <c r="CH218" s="39" t="e">
        <f>CE218*($AU218-$BF218)</f>
        <v>#VALUE!</v>
      </c>
      <c r="CI218">
        <v>41.862639018895301</v>
      </c>
      <c r="CJ218">
        <f>((BG218/BH218)^0.67)*CI218</f>
        <v>41.045325484320763</v>
      </c>
      <c r="CK218">
        <f>((BH218/BH218)^0.67)*CI218</f>
        <v>41.862639018895301</v>
      </c>
      <c r="CL218">
        <f>((BI218/BH218)^0.67)*CI218</f>
        <v>42.228172028524178</v>
      </c>
      <c r="CM218" s="39" t="e">
        <f>CJ218*($AM218-$BB218)</f>
        <v>#VALUE!</v>
      </c>
      <c r="CN218" s="39" t="e">
        <f>CK218*($AD218-$BD218)</f>
        <v>#VALUE!</v>
      </c>
      <c r="CO218" s="39" t="e">
        <f>CL218*($AU218-$BF218)</f>
        <v>#VALUE!</v>
      </c>
      <c r="CP218" s="27">
        <f>VLOOKUP(A218,Water!$A$2:$E$109, 5, FALSE)/1000</f>
        <v>8.0000000000000004E-4</v>
      </c>
      <c r="CQ218">
        <f>0.64*CP218</f>
        <v>5.1200000000000009E-4</v>
      </c>
      <c r="CR218" s="19">
        <f>CQ218*1000*(2.5*10^-5)</f>
        <v>1.2800000000000003E-5</v>
      </c>
      <c r="CS218" s="18">
        <f>(-0.0000009*F218^3)+(0.0002*F218^2)-(0.0134*F218)+6.579</f>
        <v>6.3726037911999995</v>
      </c>
      <c r="CT218" s="18">
        <f>CS218-(SQRT(CP218))/(1+1.4*SQRT(CP218))</f>
        <v>6.3453968594836061</v>
      </c>
      <c r="CU218" s="18">
        <f>10^(-CT218)</f>
        <v>4.5144322577935859E-7</v>
      </c>
      <c r="CV218" s="18">
        <f>(0.000001*F218^3)+(0.00006*F218^2)-(0.014*F218)+10.625</f>
        <v>10.358674632</v>
      </c>
      <c r="CW218" s="18">
        <f>CV218-(2*SQRT(CR218))/(1+1.4*SQRT(CR218))</f>
        <v>10.351554875851559</v>
      </c>
      <c r="CX218" s="18">
        <f>10^(-CW218)</f>
        <v>4.4508721978467231E-11</v>
      </c>
      <c r="CY218">
        <f>EXP(1246.98+-61900/H218-183*LN(H218))</f>
        <v>2.8112256352104199E-2</v>
      </c>
      <c r="CZ218">
        <f>12.225*(F218^2)+15.258*F218+1125.7</f>
        <v>7268.1333999999997</v>
      </c>
      <c r="DA218" s="15">
        <f>10^(-4470.99/H218+6.0875-0.01706*H218)</f>
        <v>7.8919706804238646E-15</v>
      </c>
      <c r="DB218">
        <f>(10^-I218)</f>
        <v>2.3988329190194922E-9</v>
      </c>
      <c r="DC218">
        <f>DB218^2</f>
        <v>5.7543993733715778E-18</v>
      </c>
      <c r="DD218" s="20">
        <f>((14.6836*10^-9)*((H218/217.2056)-1)^1.997)*100*100</f>
        <v>1.8869802178103005E-5</v>
      </c>
      <c r="DE218">
        <f>CY218+CZ218*DA218/DB218</f>
        <v>5.2023840706072008E-2</v>
      </c>
      <c r="DF218">
        <f>1+DC218*(CU218*CX218+CU218*DB218)^-1</f>
        <v>1.0052169018122306</v>
      </c>
      <c r="DG218">
        <f>(DE218*DF218/DD218)^0.5</f>
        <v>52.64382334476926</v>
      </c>
      <c r="DH218">
        <f>DD218/(BO218/60/60)</f>
        <v>2.8545061732095763E-2</v>
      </c>
      <c r="DI218" s="16">
        <f>DF218/((DF218-1)+TANH(DG218*DH218)/(DG218*DH218))</f>
        <v>1.6536360928950484</v>
      </c>
      <c r="DJ218" t="e">
        <f>$DI218*BR218</f>
        <v>#VALUE!</v>
      </c>
      <c r="DK218" t="e">
        <f>$DI218*BY218</f>
        <v>#VALUE!</v>
      </c>
      <c r="DL218" t="e">
        <f>$DI218*CF218</f>
        <v>#VALUE!</v>
      </c>
      <c r="DM218" t="e">
        <f>$DI218*CM218</f>
        <v>#VALUE!</v>
      </c>
    </row>
    <row r="219" spans="1:117" ht="15.75" x14ac:dyDescent="0.25">
      <c r="A219" s="52" t="s">
        <v>329</v>
      </c>
      <c r="B219" s="55" t="s">
        <v>340</v>
      </c>
      <c r="C219" s="62" t="s">
        <v>409</v>
      </c>
      <c r="D219" s="57">
        <v>43292</v>
      </c>
      <c r="E219" s="42" t="str">
        <f>A219&amp;D219</f>
        <v>56A43292</v>
      </c>
      <c r="F219" s="3">
        <f>VLOOKUP($E219,Water!$C$2:$E$90, 2, FALSE)</f>
        <v>21.8</v>
      </c>
      <c r="G219" s="3">
        <f>VLOOKUP($E219,Water!$C$2:$E$90, 3, FALSE)</f>
        <v>2.0499999999999998</v>
      </c>
      <c r="H219" s="1">
        <f>F219+273.15</f>
        <v>294.95</v>
      </c>
      <c r="I219" s="3">
        <f>VLOOKUP($E219,Water!$C$2:$F$90, 4, FALSE)</f>
        <v>8.6199999999999992</v>
      </c>
      <c r="J219">
        <f>10^(I219*-1)</f>
        <v>2.3988329190194922E-9</v>
      </c>
      <c r="K219" s="25">
        <f>VLOOKUP($E219,Atm!$D$2:$G$100, 2, FALSE)</f>
        <v>451.60086098859171</v>
      </c>
      <c r="L219" s="25">
        <f>VLOOKUP($E219,Atm!$D$2:$G$100, 3, FALSE)</f>
        <v>1.9568631540917421</v>
      </c>
      <c r="M219" s="25">
        <f>VLOOKUP($E219,Atm!$D$2:$G$100, 4, FALSE)</f>
        <v>0.29296449160963511</v>
      </c>
      <c r="N219" s="21">
        <f>VLOOKUP($C219,Raw!$B$2:$F$353, 3, FALSE)</f>
        <v>382.70869129938609</v>
      </c>
      <c r="O219" s="21">
        <f>VLOOKUP($C219,Raw!$B$2:$F$353, 4, FALSE)</f>
        <v>8.8194848942412865</v>
      </c>
      <c r="P219" s="21">
        <f>VLOOKUP($C219,Raw!$B$2:$F$353, 5, FALSE)</f>
        <v>0.28655509923847411</v>
      </c>
      <c r="Q219" s="14">
        <v>60</v>
      </c>
      <c r="R219" s="25">
        <v>1140</v>
      </c>
      <c r="S219">
        <f>EXP(24.4543-(100/H219*(67.4509))-(4.8489*LN(H219/100))-(0.000544*G219))</f>
        <v>2.5728749115768383E-2</v>
      </c>
      <c r="T219" s="8">
        <f>EXP(-58.0931+90.5069*(100/H219)+22.294*LN(H219/100)+G219*(0.027766-0.025888*(H219/100)+0.0050578*(H219/100)^2)*G219)</f>
        <v>3.6410493939558898E-2</v>
      </c>
      <c r="U219" s="9">
        <f>(EXP(-67.1962+99.1624*(100/H219)+27.9015*LN(H219/100)+G219*(-0.072909+0.041674*(H219/100)-0.0064603*(H219/100)^2)*G219))</f>
        <v>3.2617758265440736E-2</v>
      </c>
      <c r="V219" s="9">
        <f>(EXP(-64.8539+100.252*(100/H219)+25.2049*LN(H219/100)+(-0.062544+0.035337*(H219/100)-0.0054699*(H219/100)^2)*G219))</f>
        <v>2.6944043322590351E-2</v>
      </c>
      <c r="W219" s="9">
        <f>(EXP(-68.8862+101.4956*(100/H219)+28.7314*LN(H219/100)+G219*(-0.076146+0.04397*(H219/100)-0.0068672*(H219/100)^2)))</f>
        <v>3.3012185900075937E-2</v>
      </c>
      <c r="X219">
        <f>N219*(AZ219-S219)</f>
        <v>341.54039039807037</v>
      </c>
      <c r="Y219">
        <f>O219*(AZ219-S219)</f>
        <v>7.8707653689857162</v>
      </c>
      <c r="Z219">
        <f>((Y219/10^6)*AZ219)/(0.082056*H219)</f>
        <v>2.9859023177055092E-7</v>
      </c>
      <c r="AA219">
        <f>(((L219/10^6)*AZ219)/(0.082056*H219))</f>
        <v>7.4236773087647226E-8</v>
      </c>
      <c r="AB219">
        <f>((Y219/10^6)*U219*1)/(0.082056*H219)</f>
        <v>1.0607482717452643E-8</v>
      </c>
      <c r="AC219">
        <f>(Z219*(Q219/1000))+(AB219*(R219/1000))</f>
        <v>3.0007944204129066E-8</v>
      </c>
      <c r="AD219" s="39">
        <f>((AC219-(AA219*(Q219/1000)))/(R219/1000))*1000000</f>
        <v>2.2415559490237047E-2</v>
      </c>
      <c r="AE219" s="39">
        <f>(AD219/((U219*AZ219*1))*(0.0821*273.15))</f>
        <v>16.785043172903681</v>
      </c>
      <c r="AF219" s="39">
        <f>L219*U219*AZ219*1/(0.0821*273.15)</f>
        <v>2.6132898195702524E-3</v>
      </c>
      <c r="AG219" s="39">
        <f>AD219-AF219</f>
        <v>1.9802269670666794E-2</v>
      </c>
      <c r="AH219" s="42">
        <f>P219*(AZ219-S219)</f>
        <v>0.25573012238675341</v>
      </c>
      <c r="AI219">
        <f>(((X219/10^6)*(Q219/1000))/(0.082056*H219))</f>
        <v>8.4670978334693866E-7</v>
      </c>
      <c r="AJ219">
        <f>(((K219/10^6)*AZ219)*(Q219/1000))/(0.082056*H219)</f>
        <v>1.0279326044837306E-6</v>
      </c>
      <c r="AK219">
        <f>(X219/10^6)*T219*(R219/1000)</f>
        <v>1.4176645918762012E-5</v>
      </c>
      <c r="AL219">
        <f>AI219+AK219</f>
        <v>1.502335570210895E-5</v>
      </c>
      <c r="AM219" s="39">
        <f>((AL219-AJ219)/(R219/1000))*1000000</f>
        <v>12.276686927741421</v>
      </c>
      <c r="AN219" s="39">
        <f>AM219/(T219*AZ219)</f>
        <v>367.22922616566507</v>
      </c>
      <c r="AO219" s="39">
        <f>(K219*AZ219)*T219</f>
        <v>15.097279823132386</v>
      </c>
      <c r="AP219" s="39">
        <f>AM219-AO219</f>
        <v>-2.8205928953909645</v>
      </c>
      <c r="AQ219">
        <f>(((AH219/10^6)*(Q219/1000))/(0.082056*H219))</f>
        <v>6.3397830127501505E-10</v>
      </c>
      <c r="AR219">
        <f>(((M219/10^6)*AZ219)*(Q219/1000))/(0.082056*H219)</f>
        <v>6.6684494848461284E-10</v>
      </c>
      <c r="AS219">
        <f>(AH219/10^6)*V219*(R219/1000)</f>
        <v>7.8550599859872188E-9</v>
      </c>
      <c r="AT219">
        <f>AQ219+AS219</f>
        <v>8.4890382872622339E-9</v>
      </c>
      <c r="AU219" s="39">
        <f>((AT219-AR219)/(R219/1000))*1000000000</f>
        <v>6.8615731041908958</v>
      </c>
      <c r="AV219" s="39">
        <f>(AU219/1000)/(V219*AZ219)</f>
        <v>0.27735982446666468</v>
      </c>
      <c r="AW219" s="39">
        <f>(M219*AZ219)*V219*1000</f>
        <v>7.2476151871563976</v>
      </c>
      <c r="AX219" s="39">
        <f>AU219-AW219</f>
        <v>-0.3860420829655018</v>
      </c>
      <c r="AY219" s="26">
        <f>VLOOKUP($E219,Water!$C$2:$G$90, 5, FALSE)</f>
        <v>697.8</v>
      </c>
      <c r="AZ219">
        <f>AY219/760</f>
        <v>0.91815789473684206</v>
      </c>
      <c r="BA219" s="3">
        <f>Assumptions!$B$3</f>
        <v>406.07</v>
      </c>
      <c r="BB219" s="3">
        <f>BA219*AZ219*T219</f>
        <v>13.575156620293152</v>
      </c>
      <c r="BC219" s="3">
        <f>Assumptions!$B$4</f>
        <v>1.8474300000000001</v>
      </c>
      <c r="BD219" s="45">
        <f>BC219*AZ219*U219*1/(0.0821*273.15)</f>
        <v>2.4671474861559634E-3</v>
      </c>
      <c r="BE219" s="3">
        <f>Assumptions!$B$2</f>
        <v>0.33054499999999998</v>
      </c>
      <c r="BF219" s="44">
        <f>BE219*AZ219*V219*1000</f>
        <v>8.1773151035339389</v>
      </c>
      <c r="BG219">
        <f>1923.6+(-125.06*F219)+(4.3773*(F219^2))+(-0.085681*(F219^3))+(0.00070284*(F219^4))</f>
        <v>548.62357701158385</v>
      </c>
      <c r="BH219">
        <f>1909.4+(-120.78*F219)+(4.1555*(F219^2))+(-0.080578*(F219^3))+(0.00065777*(F219^4))</f>
        <v>565.00841160155244</v>
      </c>
      <c r="BI219">
        <f>2141.2+(-152.56*F219)+(5.8963*(F219^2))+(-0.12411*(F219^3))+(0.0010655*(F219^4))</f>
        <v>572.38765135279982</v>
      </c>
      <c r="BJ219" s="25">
        <f>VLOOKUP(E219,Wind!$C$2:$E$109,3, FALSE)</f>
        <v>8.1111111111111107</v>
      </c>
      <c r="BK219" s="44">
        <v>1.66</v>
      </c>
      <c r="BL219">
        <f>BK219/(1-(((1.3*10^-3)^0.5)/0.41)*LN(10/1.5))</f>
        <v>1.9923982880693825</v>
      </c>
      <c r="BM219">
        <f>BK219*1.22</f>
        <v>2.0251999999999999</v>
      </c>
      <c r="BN219">
        <f>2.07+0.215*(BM219^1.7)*(24/100)</f>
        <v>2.241255750541113</v>
      </c>
      <c r="BO219">
        <f>BN219*((600/BG219)^0.67)</f>
        <v>2.3797912395049967</v>
      </c>
      <c r="BP219">
        <f>BN219*((600/BH219)^0.67)</f>
        <v>2.3333289133092827</v>
      </c>
      <c r="BQ219">
        <f>BN219*((600/BI219)^0.67)</f>
        <v>2.3131312893259408</v>
      </c>
      <c r="BR219" s="39">
        <f>BO219*(AM219-BB219)</f>
        <v>-3.0900867990973548</v>
      </c>
      <c r="BS219" s="39">
        <f>BP219*(AD219-BD219)</f>
        <v>4.6546206503728371E-2</v>
      </c>
      <c r="BT219" s="39">
        <f>BQ219*(AU219-BF219)</f>
        <v>-3.0434839873606645</v>
      </c>
      <c r="BU219">
        <f>(2.51+1.48*BM219)+(0.39*BM219*LOG10(0.0015))</f>
        <v>3.2768938069574309</v>
      </c>
      <c r="BV219">
        <f>BU219*((600/$BG219)^0.67)</f>
        <v>3.4794436880765169</v>
      </c>
      <c r="BW219">
        <f>BU219*((600/$BH219)^0.67)</f>
        <v>3.4115120792314251</v>
      </c>
      <c r="BX219">
        <f>BU219*((600/$BI219)^0.67)</f>
        <v>3.3819815497814556</v>
      </c>
      <c r="BY219" s="39">
        <f>BV219*($AM219-$BB219)</f>
        <v>-4.5179521759077739</v>
      </c>
      <c r="BZ219" s="39">
        <f>BW219*($AD219-$BD219)</f>
        <v>6.8054248513407786E-2</v>
      </c>
      <c r="CA219" s="39">
        <f>BX219*($AU219-$BF219)</f>
        <v>-4.4498151660507359</v>
      </c>
      <c r="CB219" s="42">
        <f>AVERAGE(0.72,0.69,0.4,0.22)</f>
        <v>0.50750000000000006</v>
      </c>
      <c r="CC219">
        <f>CB219*((600/$BG219)^0.67)</f>
        <v>0.53886936096302118</v>
      </c>
      <c r="CD219">
        <f>CB219*((600/$BH219)^0.67)</f>
        <v>0.52834863813224564</v>
      </c>
      <c r="CE219">
        <f>CB219*((600/$BI219)^0.67)</f>
        <v>0.52377517784371264</v>
      </c>
      <c r="CF219" s="39">
        <f>CC219*($AM219-$BB219)</f>
        <v>-0.69970553345520159</v>
      </c>
      <c r="CG219" s="39">
        <f>CD219*($AD219-$BD219)</f>
        <v>1.0539716315257183E-2</v>
      </c>
      <c r="CH219" s="39">
        <f>CE219*($AU219-$BF219)</f>
        <v>-0.68915299970234445</v>
      </c>
      <c r="CI219">
        <v>42.862639018895301</v>
      </c>
      <c r="CJ219">
        <f>((BG219/BH219)^0.67)*CI219</f>
        <v>42.025801786012934</v>
      </c>
      <c r="CK219">
        <f>((BH219/BH219)^0.67)*CI219</f>
        <v>42.862639018895301</v>
      </c>
      <c r="CL219">
        <f>((BI219/BH219)^0.67)*CI219</f>
        <v>43.236903752519495</v>
      </c>
      <c r="CM219" s="39">
        <f>CJ219*($AM219-$BB219)</f>
        <v>-54.569229924324183</v>
      </c>
      <c r="CN219" s="39">
        <f>CK219*($AD219-$BD219)</f>
        <v>0.85504158273112529</v>
      </c>
      <c r="CO219" s="39">
        <f>CL219*($AU219-$BF219)</f>
        <v>-56.888610188742717</v>
      </c>
      <c r="CP219" s="27">
        <f>VLOOKUP(A219,Water!$A$2:$E$109, 5, FALSE)/1000</f>
        <v>8.0000000000000004E-4</v>
      </c>
      <c r="CQ219">
        <f>0.64*CP219</f>
        <v>5.1200000000000009E-4</v>
      </c>
      <c r="CR219" s="19">
        <f>CQ219*1000*(2.5*10^-5)</f>
        <v>1.2800000000000003E-5</v>
      </c>
      <c r="CS219" s="18">
        <f>(-0.0000009*F219^3)+(0.0002*F219^2)-(0.0134*F219)+6.579</f>
        <v>6.3726037911999995</v>
      </c>
      <c r="CT219" s="18">
        <f>CS219-(SQRT(CP219))/(1+1.4*SQRT(CP219))</f>
        <v>6.3453968594836061</v>
      </c>
      <c r="CU219" s="18">
        <f>10^(-CT219)</f>
        <v>4.5144322577935859E-7</v>
      </c>
      <c r="CV219" s="18">
        <f>(0.000001*F219^3)+(0.00006*F219^2)-(0.014*F219)+10.625</f>
        <v>10.358674632</v>
      </c>
      <c r="CW219" s="18">
        <f>CV219-(2*SQRT(CR219))/(1+1.4*SQRT(CR219))</f>
        <v>10.351554875851559</v>
      </c>
      <c r="CX219" s="18">
        <f>10^(-CW219)</f>
        <v>4.4508721978467231E-11</v>
      </c>
      <c r="CY219">
        <f>EXP(1246.98+-61900/H219-183*LN(H219))</f>
        <v>2.8112256352104199E-2</v>
      </c>
      <c r="CZ219">
        <f>12.225*(F219^2)+15.258*F219+1125.7</f>
        <v>7268.1333999999997</v>
      </c>
      <c r="DA219" s="15">
        <f>10^(-4470.99/H219+6.0875-0.01706*H219)</f>
        <v>7.8919706804238646E-15</v>
      </c>
      <c r="DB219">
        <f>(10^-I219)</f>
        <v>2.3988329190194922E-9</v>
      </c>
      <c r="DC219">
        <f>DB219^2</f>
        <v>5.7543993733715778E-18</v>
      </c>
      <c r="DD219" s="20">
        <f>((14.6836*10^-9)*((H219/217.2056)-1)^1.997)*100*100</f>
        <v>1.8869802178103005E-5</v>
      </c>
      <c r="DE219">
        <f>CY219+CZ219*DA219/DB219</f>
        <v>5.2023840706072008E-2</v>
      </c>
      <c r="DF219">
        <f>1+DC219*(CU219*CX219+CU219*DB219)^-1</f>
        <v>1.0052169018122306</v>
      </c>
      <c r="DG219">
        <f>(DE219*DF219/DD219)^0.5</f>
        <v>52.64382334476926</v>
      </c>
      <c r="DH219">
        <f>DD219/(BO219/60/60)</f>
        <v>2.8545061732095763E-2</v>
      </c>
      <c r="DI219" s="16">
        <f>DF219/((DF219-1)+TANH(DG219*DH219)/(DG219*DH219))</f>
        <v>1.6536360928950484</v>
      </c>
      <c r="DJ219">
        <f>$DI219*BR219</f>
        <v>-5.1098790611659162</v>
      </c>
      <c r="DK219">
        <f>$DI219*BY219</f>
        <v>-7.4710487840548137</v>
      </c>
      <c r="DL219">
        <f>$DI219*CF219</f>
        <v>-1.1570583245199051</v>
      </c>
      <c r="DM219">
        <f>$DI219*CM219</f>
        <v>-90.237648164351</v>
      </c>
    </row>
    <row r="220" spans="1:117" ht="15.75" x14ac:dyDescent="0.25">
      <c r="A220" s="52" t="s">
        <v>329</v>
      </c>
      <c r="B220" s="55" t="s">
        <v>341</v>
      </c>
      <c r="C220" s="62" t="s">
        <v>410</v>
      </c>
      <c r="D220" s="57">
        <v>43292</v>
      </c>
      <c r="E220" s="42" t="str">
        <f>A220&amp;D220</f>
        <v>56A43292</v>
      </c>
      <c r="F220" s="3">
        <f>VLOOKUP($E220,Water!$C$2:$E$90, 2, FALSE)</f>
        <v>21.8</v>
      </c>
      <c r="G220" s="3">
        <f>VLOOKUP($E220,Water!$C$2:$E$90, 3, FALSE)</f>
        <v>2.0499999999999998</v>
      </c>
      <c r="H220" s="1">
        <f>F220+273.15</f>
        <v>294.95</v>
      </c>
      <c r="I220" s="3">
        <f>VLOOKUP($E220,Water!$C$2:$F$90, 4, FALSE)</f>
        <v>8.6199999999999992</v>
      </c>
      <c r="J220">
        <f>10^(I220*-1)</f>
        <v>2.3988329190194922E-9</v>
      </c>
      <c r="K220" s="25">
        <f>VLOOKUP($E220,Atm!$D$2:$G$100, 2, FALSE)</f>
        <v>451.60086098859171</v>
      </c>
      <c r="L220" s="25">
        <f>VLOOKUP($E220,Atm!$D$2:$G$100, 3, FALSE)</f>
        <v>1.9568631540917421</v>
      </c>
      <c r="M220" s="25">
        <f>VLOOKUP($E220,Atm!$D$2:$G$100, 4, FALSE)</f>
        <v>0.29296449160963511</v>
      </c>
      <c r="N220" s="21" t="str">
        <f>VLOOKUP($C220,Raw!$B$2:$F$353, 3, FALSE)</f>
        <v>NA</v>
      </c>
      <c r="O220" s="21" t="str">
        <f>VLOOKUP($C220,Raw!$B$2:$F$353, 4, FALSE)</f>
        <v>NA</v>
      </c>
      <c r="P220" s="21" t="str">
        <f>VLOOKUP($C220,Raw!$B$2:$F$353, 5, FALSE)</f>
        <v>NA</v>
      </c>
      <c r="Q220" s="14">
        <v>60</v>
      </c>
      <c r="R220" s="25">
        <v>1140</v>
      </c>
      <c r="S220">
        <f>EXP(24.4543-(100/H220*(67.4509))-(4.8489*LN(H220/100))-(0.000544*G220))</f>
        <v>2.5728749115768383E-2</v>
      </c>
      <c r="T220" s="8">
        <f>EXP(-58.0931+90.5069*(100/H220)+22.294*LN(H220/100)+G220*(0.027766-0.025888*(H220/100)+0.0050578*(H220/100)^2)*G220)</f>
        <v>3.6410493939558898E-2</v>
      </c>
      <c r="U220" s="9">
        <f>(EXP(-67.1962+99.1624*(100/H220)+27.9015*LN(H220/100)+G220*(-0.072909+0.041674*(H220/100)-0.0064603*(H220/100)^2)*G220))</f>
        <v>3.2617758265440736E-2</v>
      </c>
      <c r="V220" s="9">
        <f>(EXP(-64.8539+100.252*(100/H220)+25.2049*LN(H220/100)+(-0.062544+0.035337*(H220/100)-0.0054699*(H220/100)^2)*G220))</f>
        <v>2.6944043322590351E-2</v>
      </c>
      <c r="W220" s="9">
        <f>(EXP(-68.8862+101.4956*(100/H220)+28.7314*LN(H220/100)+G220*(-0.076146+0.04397*(H220/100)-0.0068672*(H220/100)^2)))</f>
        <v>3.3012185900075937E-2</v>
      </c>
      <c r="X220" t="e">
        <f>N220*(AZ220-S220)</f>
        <v>#VALUE!</v>
      </c>
      <c r="Y220" t="e">
        <f>O220*(AZ220-S220)</f>
        <v>#VALUE!</v>
      </c>
      <c r="Z220" t="e">
        <f>((Y220/10^6)*AZ220)/(0.082056*H220)</f>
        <v>#VALUE!</v>
      </c>
      <c r="AA220">
        <f>(((L220/10^6)*AZ220)/(0.082056*H220))</f>
        <v>7.4236773087647226E-8</v>
      </c>
      <c r="AB220" t="e">
        <f>((Y220/10^6)*U220*1)/(0.082056*H220)</f>
        <v>#VALUE!</v>
      </c>
      <c r="AC220" t="e">
        <f>(Z220*(Q220/1000))+(AB220*(R220/1000))</f>
        <v>#VALUE!</v>
      </c>
      <c r="AD220" s="39" t="e">
        <f>((AC220-(AA220*(Q220/1000)))/(R220/1000))*1000000</f>
        <v>#VALUE!</v>
      </c>
      <c r="AE220" s="39" t="e">
        <f>(AD220/((U220*AZ220*1))*(0.0821*273.15))</f>
        <v>#VALUE!</v>
      </c>
      <c r="AF220" s="39">
        <f>L220*U220*AZ220*1/(0.0821*273.15)</f>
        <v>2.6132898195702524E-3</v>
      </c>
      <c r="AG220" s="39" t="e">
        <f>AD220-AF220</f>
        <v>#VALUE!</v>
      </c>
      <c r="AH220" s="42" t="e">
        <f>P220*(AZ220-S220)</f>
        <v>#VALUE!</v>
      </c>
      <c r="AI220" t="e">
        <f>(((X220/10^6)*(Q220/1000))/(0.082056*H220))</f>
        <v>#VALUE!</v>
      </c>
      <c r="AJ220">
        <f>(((K220/10^6)*AZ220)*(Q220/1000))/(0.082056*H220)</f>
        <v>1.0279326044837306E-6</v>
      </c>
      <c r="AK220" t="e">
        <f>(X220/10^6)*T220*(R220/1000)</f>
        <v>#VALUE!</v>
      </c>
      <c r="AL220" t="e">
        <f>AI220+AK220</f>
        <v>#VALUE!</v>
      </c>
      <c r="AM220" s="39" t="e">
        <f>((AL220-AJ220)/(R220/1000))*1000000</f>
        <v>#VALUE!</v>
      </c>
      <c r="AN220" s="39" t="e">
        <f>AM220/(T220*AZ220)</f>
        <v>#VALUE!</v>
      </c>
      <c r="AO220" s="39">
        <f>(K220*AZ220)*T220</f>
        <v>15.097279823132386</v>
      </c>
      <c r="AP220" s="39" t="e">
        <f>AM220-AO220</f>
        <v>#VALUE!</v>
      </c>
      <c r="AQ220" t="e">
        <f>(((AH220/10^6)*(Q220/1000))/(0.082056*H220))</f>
        <v>#VALUE!</v>
      </c>
      <c r="AR220">
        <f>(((M220/10^6)*AZ220)*(Q220/1000))/(0.082056*H220)</f>
        <v>6.6684494848461284E-10</v>
      </c>
      <c r="AS220" t="e">
        <f>(AH220/10^6)*V220*(R220/1000)</f>
        <v>#VALUE!</v>
      </c>
      <c r="AT220" t="e">
        <f>AQ220+AS220</f>
        <v>#VALUE!</v>
      </c>
      <c r="AU220" s="39" t="e">
        <f>((AT220-AR220)/(R220/1000))*1000000000</f>
        <v>#VALUE!</v>
      </c>
      <c r="AV220" s="39" t="e">
        <f>(AU220/1000)/(V220*AZ220)</f>
        <v>#VALUE!</v>
      </c>
      <c r="AW220" s="39">
        <f>(M220*AZ220)*V220*1000</f>
        <v>7.2476151871563976</v>
      </c>
      <c r="AX220" s="39" t="e">
        <f>AU220-AW220</f>
        <v>#VALUE!</v>
      </c>
      <c r="AY220" s="26">
        <f>VLOOKUP($E220,Water!$C$2:$G$90, 5, FALSE)</f>
        <v>697.8</v>
      </c>
      <c r="AZ220">
        <f>AY220/760</f>
        <v>0.91815789473684206</v>
      </c>
      <c r="BA220" s="3">
        <f>Assumptions!$B$3</f>
        <v>406.07</v>
      </c>
      <c r="BB220" s="3">
        <f>BA220*AZ220*T220</f>
        <v>13.575156620293152</v>
      </c>
      <c r="BC220" s="3">
        <f>Assumptions!$B$4</f>
        <v>1.8474300000000001</v>
      </c>
      <c r="BD220" s="45">
        <f>BC220*AZ220*U220*1/(0.0821*273.15)</f>
        <v>2.4671474861559634E-3</v>
      </c>
      <c r="BE220" s="3">
        <f>Assumptions!$B$2</f>
        <v>0.33054499999999998</v>
      </c>
      <c r="BF220" s="44">
        <f>BE220*AZ220*V220*1000</f>
        <v>8.1773151035339389</v>
      </c>
      <c r="BG220">
        <f>1923.6+(-125.06*F220)+(4.3773*(F220^2))+(-0.085681*(F220^3))+(0.00070284*(F220^4))</f>
        <v>548.62357701158385</v>
      </c>
      <c r="BH220">
        <f>1909.4+(-120.78*F220)+(4.1555*(F220^2))+(-0.080578*(F220^3))+(0.00065777*(F220^4))</f>
        <v>565.00841160155244</v>
      </c>
      <c r="BI220">
        <f>2141.2+(-152.56*F220)+(5.8963*(F220^2))+(-0.12411*(F220^3))+(0.0010655*(F220^4))</f>
        <v>572.38765135279982</v>
      </c>
      <c r="BJ220" s="25">
        <f>VLOOKUP(E220,Wind!$C$2:$E$109,3, FALSE)</f>
        <v>8.1111111111111107</v>
      </c>
      <c r="BK220" s="44">
        <v>1.66</v>
      </c>
      <c r="BL220">
        <f>BK220/(1-(((1.3*10^-3)^0.5)/0.41)*LN(10/1.5))</f>
        <v>1.9923982880693825</v>
      </c>
      <c r="BM220">
        <f>BK220*1.22</f>
        <v>2.0251999999999999</v>
      </c>
      <c r="BN220">
        <f>2.07+0.215*(BM220^1.7)*(24/100)</f>
        <v>2.241255750541113</v>
      </c>
      <c r="BO220">
        <f>BN220*((600/BG220)^0.67)</f>
        <v>2.3797912395049967</v>
      </c>
      <c r="BP220">
        <f>BN220*((600/BH220)^0.67)</f>
        <v>2.3333289133092827</v>
      </c>
      <c r="BQ220">
        <f>BN220*((600/BI220)^0.67)</f>
        <v>2.3131312893259408</v>
      </c>
      <c r="BR220" s="39" t="e">
        <f>BO220*(AM220-BB220)</f>
        <v>#VALUE!</v>
      </c>
      <c r="BS220" s="39" t="e">
        <f>BP220*(AD220-BD220)</f>
        <v>#VALUE!</v>
      </c>
      <c r="BT220" s="39" t="e">
        <f>BQ220*(AU220-BF220)</f>
        <v>#VALUE!</v>
      </c>
      <c r="BU220">
        <f>(2.51+1.48*BM220)+(0.39*BM220*LOG10(0.0015))</f>
        <v>3.2768938069574309</v>
      </c>
      <c r="BV220">
        <f>BU220*((600/$BG220)^0.67)</f>
        <v>3.4794436880765169</v>
      </c>
      <c r="BW220">
        <f>BU220*((600/$BH220)^0.67)</f>
        <v>3.4115120792314251</v>
      </c>
      <c r="BX220">
        <f>BU220*((600/$BI220)^0.67)</f>
        <v>3.3819815497814556</v>
      </c>
      <c r="BY220" s="39" t="e">
        <f>BV220*($AM220-$BB220)</f>
        <v>#VALUE!</v>
      </c>
      <c r="BZ220" s="39" t="e">
        <f>BW220*($AD220-$BD220)</f>
        <v>#VALUE!</v>
      </c>
      <c r="CA220" s="39" t="e">
        <f>BX220*($AU220-$BF220)</f>
        <v>#VALUE!</v>
      </c>
      <c r="CB220" s="42">
        <f>AVERAGE(0.72,0.69,0.4,0.22)</f>
        <v>0.50750000000000006</v>
      </c>
      <c r="CC220">
        <f>CB220*((600/$BG220)^0.67)</f>
        <v>0.53886936096302118</v>
      </c>
      <c r="CD220">
        <f>CB220*((600/$BH220)^0.67)</f>
        <v>0.52834863813224564</v>
      </c>
      <c r="CE220">
        <f>CB220*((600/$BI220)^0.67)</f>
        <v>0.52377517784371264</v>
      </c>
      <c r="CF220" s="39" t="e">
        <f>CC220*($AM220-$BB220)</f>
        <v>#VALUE!</v>
      </c>
      <c r="CG220" s="39" t="e">
        <f>CD220*($AD220-$BD220)</f>
        <v>#VALUE!</v>
      </c>
      <c r="CH220" s="39" t="e">
        <f>CE220*($AU220-$BF220)</f>
        <v>#VALUE!</v>
      </c>
      <c r="CI220">
        <v>43.862639018895301</v>
      </c>
      <c r="CJ220">
        <f>((BG220/BH220)^0.67)*CI220</f>
        <v>43.006278087705105</v>
      </c>
      <c r="CK220">
        <f>((BH220/BH220)^0.67)*CI220</f>
        <v>43.862639018895301</v>
      </c>
      <c r="CL220">
        <f>((BI220/BH220)^0.67)*CI220</f>
        <v>44.245635476514821</v>
      </c>
      <c r="CM220" s="39" t="e">
        <f>CJ220*($AM220-$BB220)</f>
        <v>#VALUE!</v>
      </c>
      <c r="CN220" s="39" t="e">
        <f>CK220*($AD220-$BD220)</f>
        <v>#VALUE!</v>
      </c>
      <c r="CO220" s="39" t="e">
        <f>CL220*($AU220-$BF220)</f>
        <v>#VALUE!</v>
      </c>
      <c r="CP220" s="27">
        <f>VLOOKUP(A220,Water!$A$2:$E$109, 5, FALSE)/1000</f>
        <v>8.0000000000000004E-4</v>
      </c>
      <c r="CQ220">
        <f>0.64*CP220</f>
        <v>5.1200000000000009E-4</v>
      </c>
      <c r="CR220" s="19">
        <f>CQ220*1000*(2.5*10^-5)</f>
        <v>1.2800000000000003E-5</v>
      </c>
      <c r="CS220" s="18">
        <f>(-0.0000009*F220^3)+(0.0002*F220^2)-(0.0134*F220)+6.579</f>
        <v>6.3726037911999995</v>
      </c>
      <c r="CT220" s="18">
        <f>CS220-(SQRT(CP220))/(1+1.4*SQRT(CP220))</f>
        <v>6.3453968594836061</v>
      </c>
      <c r="CU220" s="18">
        <f>10^(-CT220)</f>
        <v>4.5144322577935859E-7</v>
      </c>
      <c r="CV220" s="18">
        <f>(0.000001*F220^3)+(0.00006*F220^2)-(0.014*F220)+10.625</f>
        <v>10.358674632</v>
      </c>
      <c r="CW220" s="18">
        <f>CV220-(2*SQRT(CR220))/(1+1.4*SQRT(CR220))</f>
        <v>10.351554875851559</v>
      </c>
      <c r="CX220" s="18">
        <f>10^(-CW220)</f>
        <v>4.4508721978467231E-11</v>
      </c>
      <c r="CY220">
        <f>EXP(1246.98+-61900/H220-183*LN(H220))</f>
        <v>2.8112256352104199E-2</v>
      </c>
      <c r="CZ220">
        <f>12.225*(F220^2)+15.258*F220+1125.7</f>
        <v>7268.1333999999997</v>
      </c>
      <c r="DA220" s="15">
        <f>10^(-4470.99/H220+6.0875-0.01706*H220)</f>
        <v>7.8919706804238646E-15</v>
      </c>
      <c r="DB220">
        <f>(10^-I220)</f>
        <v>2.3988329190194922E-9</v>
      </c>
      <c r="DC220">
        <f>DB220^2</f>
        <v>5.7543993733715778E-18</v>
      </c>
      <c r="DD220" s="20">
        <f>((14.6836*10^-9)*((H220/217.2056)-1)^1.997)*100*100</f>
        <v>1.8869802178103005E-5</v>
      </c>
      <c r="DE220">
        <f>CY220+CZ220*DA220/DB220</f>
        <v>5.2023840706072008E-2</v>
      </c>
      <c r="DF220">
        <f>1+DC220*(CU220*CX220+CU220*DB220)^-1</f>
        <v>1.0052169018122306</v>
      </c>
      <c r="DG220">
        <f>(DE220*DF220/DD220)^0.5</f>
        <v>52.64382334476926</v>
      </c>
      <c r="DH220">
        <f>DD220/(BO220/60/60)</f>
        <v>2.8545061732095763E-2</v>
      </c>
      <c r="DI220" s="16">
        <f>DF220/((DF220-1)+TANH(DG220*DH220)/(DG220*DH220))</f>
        <v>1.6536360928950484</v>
      </c>
      <c r="DJ220" t="e">
        <f>$DI220*BR220</f>
        <v>#VALUE!</v>
      </c>
      <c r="DK220" t="e">
        <f>$DI220*BY220</f>
        <v>#VALUE!</v>
      </c>
      <c r="DL220" t="e">
        <f>$DI220*CF220</f>
        <v>#VALUE!</v>
      </c>
      <c r="DM220" t="e">
        <f>$DI220*CM220</f>
        <v>#VALUE!</v>
      </c>
    </row>
    <row r="221" spans="1:117" ht="15.75" x14ac:dyDescent="0.25">
      <c r="A221" s="52" t="s">
        <v>329</v>
      </c>
      <c r="B221" s="55" t="s">
        <v>342</v>
      </c>
      <c r="C221" s="62" t="s">
        <v>411</v>
      </c>
      <c r="D221" s="57">
        <v>43292</v>
      </c>
      <c r="E221" s="42" t="str">
        <f>A221&amp;D221</f>
        <v>56A43292</v>
      </c>
      <c r="F221" s="3">
        <f>VLOOKUP($E221,Water!$C$2:$E$90, 2, FALSE)</f>
        <v>21.8</v>
      </c>
      <c r="G221" s="3">
        <f>VLOOKUP($E221,Water!$C$2:$E$90, 3, FALSE)</f>
        <v>2.0499999999999998</v>
      </c>
      <c r="H221" s="1">
        <f>F221+273.15</f>
        <v>294.95</v>
      </c>
      <c r="I221" s="3">
        <f>VLOOKUP($E221,Water!$C$2:$F$90, 4, FALSE)</f>
        <v>8.6199999999999992</v>
      </c>
      <c r="J221">
        <f>10^(I221*-1)</f>
        <v>2.3988329190194922E-9</v>
      </c>
      <c r="K221" s="25">
        <f>VLOOKUP($E221,Atm!$D$2:$G$100, 2, FALSE)</f>
        <v>451.60086098859171</v>
      </c>
      <c r="L221" s="25">
        <f>VLOOKUP($E221,Atm!$D$2:$G$100, 3, FALSE)</f>
        <v>1.9568631540917421</v>
      </c>
      <c r="M221" s="25">
        <f>VLOOKUP($E221,Atm!$D$2:$G$100, 4, FALSE)</f>
        <v>0.29296449160963511</v>
      </c>
      <c r="N221" s="21">
        <f>VLOOKUP($C221,Raw!$B$2:$F$353, 3, FALSE)</f>
        <v>368.94981250323713</v>
      </c>
      <c r="O221" s="21">
        <f>VLOOKUP($C221,Raw!$B$2:$F$353, 4, FALSE)</f>
        <v>21.782637077026049</v>
      </c>
      <c r="P221" s="21">
        <f>VLOOKUP($C221,Raw!$B$2:$F$353, 5, FALSE)</f>
        <v>0.30802327716098399</v>
      </c>
      <c r="Q221" s="14">
        <v>60</v>
      </c>
      <c r="R221" s="25">
        <v>1140</v>
      </c>
      <c r="S221">
        <f>EXP(24.4543-(100/H221*(67.4509))-(4.8489*LN(H221/100))-(0.000544*G221))</f>
        <v>2.5728749115768383E-2</v>
      </c>
      <c r="T221" s="8">
        <f>EXP(-58.0931+90.5069*(100/H221)+22.294*LN(H221/100)+G221*(0.027766-0.025888*(H221/100)+0.0050578*(H221/100)^2)*G221)</f>
        <v>3.6410493939558898E-2</v>
      </c>
      <c r="U221" s="9">
        <f>(EXP(-67.1962+99.1624*(100/H221)+27.9015*LN(H221/100)+G221*(-0.072909+0.041674*(H221/100)-0.0064603*(H221/100)^2)*G221))</f>
        <v>3.2617758265440736E-2</v>
      </c>
      <c r="V221" s="9">
        <f>(EXP(-64.8539+100.252*(100/H221)+25.2049*LN(H221/100)+(-0.062544+0.035337*(H221/100)-0.0054699*(H221/100)^2)*G221))</f>
        <v>2.6944043322590351E-2</v>
      </c>
      <c r="W221" s="9">
        <f>(EXP(-68.8862+101.4956*(100/H221)+28.7314*LN(H221/100)+G221*(-0.076146+0.04397*(H221/100)-0.0068672*(H221/100)^2)))</f>
        <v>3.3012185900075937E-2</v>
      </c>
      <c r="X221">
        <f>N221*(AZ221-S221)</f>
        <v>329.26156594931922</v>
      </c>
      <c r="Y221">
        <f>O221*(AZ221-S221)</f>
        <v>19.439460196024278</v>
      </c>
      <c r="Z221">
        <f>((Y221/10^6)*AZ221)/(0.082056*H221)</f>
        <v>7.3746740670193426E-7</v>
      </c>
      <c r="AA221">
        <f>(((L221/10^6)*AZ221)/(0.082056*H221))</f>
        <v>7.4236773087647226E-8</v>
      </c>
      <c r="AB221">
        <f>((Y221/10^6)*U221*1)/(0.082056*H221)</f>
        <v>2.6198689504640765E-8</v>
      </c>
      <c r="AC221">
        <f>(Z221*(Q221/1000))+(AB221*(R221/1000))</f>
        <v>7.4114550437406525E-8</v>
      </c>
      <c r="AD221" s="39">
        <f>((AC221-(AA221*(Q221/1000)))/(R221/1000))*1000000</f>
        <v>6.1105564958024307E-2</v>
      </c>
      <c r="AE221" s="39">
        <f>(AD221/((U221*AZ221*1))*(0.0821*273.15))</f>
        <v>45.756589139424676</v>
      </c>
      <c r="AF221" s="39">
        <f>L221*U221*AZ221*1/(0.0821*273.15)</f>
        <v>2.6132898195702524E-3</v>
      </c>
      <c r="AG221" s="39">
        <f>AD221-AF221</f>
        <v>5.8492275138454057E-2</v>
      </c>
      <c r="AH221" s="42">
        <f>P221*(AZ221-S221)</f>
        <v>0.27488895006818009</v>
      </c>
      <c r="AI221">
        <f>(((X221/10^6)*(Q221/1000))/(0.082056*H221))</f>
        <v>8.1626945745564431E-7</v>
      </c>
      <c r="AJ221">
        <f>(((K221/10^6)*AZ221)*(Q221/1000))/(0.082056*H221)</f>
        <v>1.0279326044837306E-6</v>
      </c>
      <c r="AK221">
        <f>(X221/10^6)*T221*(R221/1000)</f>
        <v>1.366697692674119E-5</v>
      </c>
      <c r="AL221">
        <f>AI221+AK221</f>
        <v>1.4483246384196835E-5</v>
      </c>
      <c r="AM221" s="39">
        <f>((AL221-AJ221)/(R221/1000))*1000000</f>
        <v>11.802906824309742</v>
      </c>
      <c r="AN221" s="39">
        <f>AM221/(T221*AZ221)</f>
        <v>353.05716966703829</v>
      </c>
      <c r="AO221" s="39">
        <f>(K221*AZ221)*T221</f>
        <v>15.097279823132386</v>
      </c>
      <c r="AP221" s="39">
        <f>AM221-AO221</f>
        <v>-3.2943729988226433</v>
      </c>
      <c r="AQ221">
        <f>(((AH221/10^6)*(Q221/1000))/(0.082056*H221))</f>
        <v>6.8147478277875519E-10</v>
      </c>
      <c r="AR221">
        <f>(((M221/10^6)*AZ221)*(Q221/1000))/(0.082056*H221)</f>
        <v>6.6684494848461284E-10</v>
      </c>
      <c r="AS221">
        <f>(AH221/10^6)*V221*(R221/1000)</f>
        <v>8.4435465486737991E-9</v>
      </c>
      <c r="AT221">
        <f>AQ221+AS221</f>
        <v>9.1250213314525543E-9</v>
      </c>
      <c r="AU221" s="39">
        <f>((AT221-AR221)/(R221/1000))*1000000000</f>
        <v>7.4194529675157384</v>
      </c>
      <c r="AV221" s="39">
        <f>(AU221/1000)/(V221*AZ221)</f>
        <v>0.29991055133580752</v>
      </c>
      <c r="AW221" s="39">
        <f>(M221*AZ221)*V221*1000</f>
        <v>7.2476151871563976</v>
      </c>
      <c r="AX221" s="39">
        <f>AU221-AW221</f>
        <v>0.17183778035934072</v>
      </c>
      <c r="AY221" s="26">
        <f>VLOOKUP($E221,Water!$C$2:$G$90, 5, FALSE)</f>
        <v>697.8</v>
      </c>
      <c r="AZ221">
        <f>AY221/760</f>
        <v>0.91815789473684206</v>
      </c>
      <c r="BA221" s="3">
        <f>Assumptions!$B$3</f>
        <v>406.07</v>
      </c>
      <c r="BB221" s="3">
        <f>BA221*AZ221*T221</f>
        <v>13.575156620293152</v>
      </c>
      <c r="BC221" s="3">
        <f>Assumptions!$B$4</f>
        <v>1.8474300000000001</v>
      </c>
      <c r="BD221" s="45">
        <f>BC221*AZ221*U221*1/(0.0821*273.15)</f>
        <v>2.4671474861559634E-3</v>
      </c>
      <c r="BE221" s="3">
        <f>Assumptions!$B$2</f>
        <v>0.33054499999999998</v>
      </c>
      <c r="BF221" s="44">
        <f>BE221*AZ221*V221*1000</f>
        <v>8.1773151035339389</v>
      </c>
      <c r="BG221">
        <f>1923.6+(-125.06*F221)+(4.3773*(F221^2))+(-0.085681*(F221^3))+(0.00070284*(F221^4))</f>
        <v>548.62357701158385</v>
      </c>
      <c r="BH221">
        <f>1909.4+(-120.78*F221)+(4.1555*(F221^2))+(-0.080578*(F221^3))+(0.00065777*(F221^4))</f>
        <v>565.00841160155244</v>
      </c>
      <c r="BI221">
        <f>2141.2+(-152.56*F221)+(5.8963*(F221^2))+(-0.12411*(F221^3))+(0.0010655*(F221^4))</f>
        <v>572.38765135279982</v>
      </c>
      <c r="BJ221" s="25">
        <f>VLOOKUP(E221,Wind!$C$2:$E$109,3, FALSE)</f>
        <v>8.1111111111111107</v>
      </c>
      <c r="BK221" s="44">
        <v>1.66</v>
      </c>
      <c r="BL221">
        <f>BK221/(1-(((1.3*10^-3)^0.5)/0.41)*LN(10/1.5))</f>
        <v>1.9923982880693825</v>
      </c>
      <c r="BM221">
        <f>BK221*1.22</f>
        <v>2.0251999999999999</v>
      </c>
      <c r="BN221">
        <f>2.07+0.215*(BM221^1.7)*(24/100)</f>
        <v>2.241255750541113</v>
      </c>
      <c r="BO221">
        <f>BN221*((600/BG221)^0.67)</f>
        <v>2.3797912395049967</v>
      </c>
      <c r="BP221">
        <f>BN221*((600/BH221)^0.67)</f>
        <v>2.3333289133092827</v>
      </c>
      <c r="BQ221">
        <f>BN221*((600/BI221)^0.67)</f>
        <v>2.3131312893259408</v>
      </c>
      <c r="BR221" s="39">
        <f>BO221*(AM221-BB221)</f>
        <v>-4.2175845386958351</v>
      </c>
      <c r="BS221" s="39">
        <f>BP221*(AD221-BD221)</f>
        <v>0.13682271491781062</v>
      </c>
      <c r="BT221" s="39">
        <f>BQ221*(AU221-BF221)</f>
        <v>-1.7530346198190916</v>
      </c>
      <c r="BU221">
        <f>(2.51+1.48*BM221)+(0.39*BM221*LOG10(0.0015))</f>
        <v>3.2768938069574309</v>
      </c>
      <c r="BV221">
        <f>BU221*((600/$BG221)^0.67)</f>
        <v>3.4794436880765169</v>
      </c>
      <c r="BW221">
        <f>BU221*((600/$BH221)^0.67)</f>
        <v>3.4115120792314251</v>
      </c>
      <c r="BX221">
        <f>BU221*((600/$BI221)^0.67)</f>
        <v>3.3819815497814556</v>
      </c>
      <c r="BY221" s="39">
        <f>BV221*($AM221-$BB221)</f>
        <v>-6.1664433663293687</v>
      </c>
      <c r="BZ221" s="39">
        <f>BW221*($AD221-$BD221)</f>
        <v>0.20004566951229388</v>
      </c>
      <c r="CA221" s="39">
        <f>BX221*($AU221-$BF221)</f>
        <v>-2.5630757612915183</v>
      </c>
      <c r="CB221" s="42">
        <f>AVERAGE(0.72,0.69,0.4,0.22)</f>
        <v>0.50750000000000006</v>
      </c>
      <c r="CC221">
        <f>CB221*((600/$BG221)^0.67)</f>
        <v>0.53886936096302118</v>
      </c>
      <c r="CD221">
        <f>CB221*((600/$BH221)^0.67)</f>
        <v>0.52834863813224564</v>
      </c>
      <c r="CE221">
        <f>CB221*((600/$BI221)^0.67)</f>
        <v>0.52377517784371264</v>
      </c>
      <c r="CF221" s="39">
        <f>CC221*($AM221-$BB221)</f>
        <v>-0.95501111502842451</v>
      </c>
      <c r="CG221" s="39">
        <f>CD221*($AD221-$BD221)</f>
        <v>3.0981528013491716E-2</v>
      </c>
      <c r="CH221" s="39">
        <f>CE221*($AU221-$BF221)</f>
        <v>-0.3969493750739489</v>
      </c>
      <c r="CI221">
        <v>44.862639018895301</v>
      </c>
      <c r="CJ221">
        <f>((BG221/BH221)^0.67)*CI221</f>
        <v>43.986754389397277</v>
      </c>
      <c r="CK221">
        <f>((BH221/BH221)^0.67)*CI221</f>
        <v>44.862639018895301</v>
      </c>
      <c r="CL221">
        <f>((BI221/BH221)^0.67)*CI221</f>
        <v>45.254367200510146</v>
      </c>
      <c r="CM221" s="39">
        <f>CJ221*($AM221-$BB221)</f>
        <v>-77.955516492581665</v>
      </c>
      <c r="CN221" s="39">
        <f>CK221*($AD221-$BD221)</f>
        <v>2.6306741556797126</v>
      </c>
      <c r="CO221" s="39">
        <f>CL221*($AU221-$BF221)</f>
        <v>-34.296571390730612</v>
      </c>
      <c r="CP221" s="27">
        <f>VLOOKUP(A221,Water!$A$2:$E$109, 5, FALSE)/1000</f>
        <v>8.0000000000000004E-4</v>
      </c>
      <c r="CQ221">
        <f>0.64*CP221</f>
        <v>5.1200000000000009E-4</v>
      </c>
      <c r="CR221" s="19">
        <f>CQ221*1000*(2.5*10^-5)</f>
        <v>1.2800000000000003E-5</v>
      </c>
      <c r="CS221" s="18">
        <f>(-0.0000009*F221^3)+(0.0002*F221^2)-(0.0134*F221)+6.579</f>
        <v>6.3726037911999995</v>
      </c>
      <c r="CT221" s="18">
        <f>CS221-(SQRT(CP221))/(1+1.4*SQRT(CP221))</f>
        <v>6.3453968594836061</v>
      </c>
      <c r="CU221" s="18">
        <f>10^(-CT221)</f>
        <v>4.5144322577935859E-7</v>
      </c>
      <c r="CV221" s="18">
        <f>(0.000001*F221^3)+(0.00006*F221^2)-(0.014*F221)+10.625</f>
        <v>10.358674632</v>
      </c>
      <c r="CW221" s="18">
        <f>CV221-(2*SQRT(CR221))/(1+1.4*SQRT(CR221))</f>
        <v>10.351554875851559</v>
      </c>
      <c r="CX221" s="18">
        <f>10^(-CW221)</f>
        <v>4.4508721978467231E-11</v>
      </c>
      <c r="CY221">
        <f>EXP(1246.98+-61900/H221-183*LN(H221))</f>
        <v>2.8112256352104199E-2</v>
      </c>
      <c r="CZ221">
        <f>12.225*(F221^2)+15.258*F221+1125.7</f>
        <v>7268.1333999999997</v>
      </c>
      <c r="DA221" s="15">
        <f>10^(-4470.99/H221+6.0875-0.01706*H221)</f>
        <v>7.8919706804238646E-15</v>
      </c>
      <c r="DB221">
        <f>(10^-I221)</f>
        <v>2.3988329190194922E-9</v>
      </c>
      <c r="DC221">
        <f>DB221^2</f>
        <v>5.7543993733715778E-18</v>
      </c>
      <c r="DD221" s="20">
        <f>((14.6836*10^-9)*((H221/217.2056)-1)^1.997)*100*100</f>
        <v>1.8869802178103005E-5</v>
      </c>
      <c r="DE221">
        <f>CY221+CZ221*DA221/DB221</f>
        <v>5.2023840706072008E-2</v>
      </c>
      <c r="DF221">
        <f>1+DC221*(CU221*CX221+CU221*DB221)^-1</f>
        <v>1.0052169018122306</v>
      </c>
      <c r="DG221">
        <f>(DE221*DF221/DD221)^0.5</f>
        <v>52.64382334476926</v>
      </c>
      <c r="DH221">
        <f>DD221/(BO221/60/60)</f>
        <v>2.8545061732095763E-2</v>
      </c>
      <c r="DI221" s="16">
        <f>DF221/((DF221-1)+TANH(DG221*DH221)/(DG221*DH221))</f>
        <v>1.6536360928950484</v>
      </c>
      <c r="DJ221">
        <f>$DI221*BR221</f>
        <v>-6.9743500180235456</v>
      </c>
      <c r="DK221">
        <f>$DI221*BY221</f>
        <v>-10.197053315355488</v>
      </c>
      <c r="DL221">
        <f>$DI221*CF221</f>
        <v>-1.5792408489269476</v>
      </c>
      <c r="DM221">
        <f>$DI221*CM221</f>
        <v>-128.91005571240825</v>
      </c>
    </row>
    <row r="222" spans="1:117" ht="15.75" x14ac:dyDescent="0.25">
      <c r="A222" s="52" t="s">
        <v>328</v>
      </c>
      <c r="B222" s="55" t="s">
        <v>339</v>
      </c>
      <c r="C222" s="62" t="s">
        <v>413</v>
      </c>
      <c r="D222" s="57">
        <v>43292</v>
      </c>
      <c r="E222" s="42" t="str">
        <f>A222&amp;D222</f>
        <v>56B43292</v>
      </c>
      <c r="F222" s="3">
        <f>VLOOKUP($E222,Water!$C$2:$E$90, 2, FALSE)</f>
        <v>22.2</v>
      </c>
      <c r="G222" s="3">
        <f>VLOOKUP($E222,Water!$C$2:$E$90, 3, FALSE)</f>
        <v>2.1</v>
      </c>
      <c r="H222" s="1">
        <f>F222+273.15</f>
        <v>295.34999999999997</v>
      </c>
      <c r="I222" s="3">
        <f>VLOOKUP($E222,Water!$C$2:$F$90, 4, FALSE)</f>
        <v>8.49</v>
      </c>
      <c r="J222">
        <f>10^(I222*-1)</f>
        <v>3.2359365692962808E-9</v>
      </c>
      <c r="K222" s="25">
        <f>VLOOKUP($E222,Atm!$D$2:$G$100, 2, FALSE)</f>
        <v>429.8335630517937</v>
      </c>
      <c r="L222" s="25">
        <f>VLOOKUP($E222,Atm!$D$2:$G$100, 3, FALSE)</f>
        <v>1.9517338622489251</v>
      </c>
      <c r="M222" s="25">
        <f>VLOOKUP($E222,Atm!$D$2:$G$100, 4, FALSE)</f>
        <v>0.28662844238837965</v>
      </c>
      <c r="N222" s="21">
        <f>VLOOKUP($C222,Raw!$B$2:$F$353, 3, FALSE)</f>
        <v>733.78663440325624</v>
      </c>
      <c r="O222" s="21">
        <f>VLOOKUP($C222,Raw!$B$2:$F$353, 4, FALSE)</f>
        <v>42.189590791446399</v>
      </c>
      <c r="P222" s="21">
        <f>VLOOKUP($C222,Raw!$B$2:$F$353, 5, FALSE)</f>
        <v>0.25465889186372848</v>
      </c>
      <c r="Q222" s="14">
        <v>60</v>
      </c>
      <c r="R222" s="25">
        <v>1140</v>
      </c>
      <c r="S222">
        <f>EXP(24.4543-(100/H222*(67.4509))-(4.8489*LN(H222/100))-(0.000544*G222))</f>
        <v>2.6363536941290969E-2</v>
      </c>
      <c r="T222" s="8">
        <f>EXP(-58.0931+90.5069*(100/H222)+22.294*LN(H222/100)+G222*(0.027766-0.025888*(H222/100)+0.0050578*(H222/100)^2)*G222)</f>
        <v>3.596802042421627E-2</v>
      </c>
      <c r="U222" s="9">
        <f>(EXP(-67.1962+99.1624*(100/H222)+27.9015*LN(H222/100)+G222*(-0.072909+0.041674*(H222/100)-0.0064603*(H222/100)^2)*G222))</f>
        <v>3.2327394744845639E-2</v>
      </c>
      <c r="V222" s="9">
        <f>(EXP(-64.8539+100.252*(100/H222)+25.2049*LN(H222/100)+(-0.062544+0.035337*(H222/100)-0.0054699*(H222/100)^2)*G222))</f>
        <v>2.6618824000092946E-2</v>
      </c>
      <c r="W222" s="9">
        <f>(EXP(-68.8862+101.4956*(100/H222)+28.7314*LN(H222/100)+G222*(-0.076146+0.04397*(H222/100)-0.0068672*(H222/100)^2)))</f>
        <v>3.2750881619238281E-2</v>
      </c>
      <c r="X222">
        <f>N222*(AZ222-S222)</f>
        <v>655.15918737019308</v>
      </c>
      <c r="Y222">
        <f>O222*(AZ222-S222)</f>
        <v>37.668849121084982</v>
      </c>
      <c r="Z222">
        <f>((Y222/10^6)*AZ222)/(0.082056*H222)</f>
        <v>1.4287295359069852E-6</v>
      </c>
      <c r="AA222">
        <f>(((L222/10^6)*AZ222)/(0.082056*H222))</f>
        <v>7.4026679346144479E-8</v>
      </c>
      <c r="AB222">
        <f>((Y222/10^6)*U222*1)/(0.082056*H222)</f>
        <v>5.0246491275512123E-8</v>
      </c>
      <c r="AC222">
        <f>(Z222*(Q222/1000))+(AB222*(R222/1000))</f>
        <v>1.4300477220850293E-7</v>
      </c>
      <c r="AD222" s="39">
        <f>((AC222-(AA222*(Q222/1000)))/(R222/1000))*1000000</f>
        <v>0.12154664162081953</v>
      </c>
      <c r="AE222" s="39">
        <f>(AD222/((U222*AZ222*1))*(0.0821*273.15))</f>
        <v>91.727937858722996</v>
      </c>
      <c r="AF222" s="39">
        <f>L222*U222*AZ222*1/(0.0821*273.15)</f>
        <v>2.5861989469267094E-3</v>
      </c>
      <c r="AG222" s="39">
        <f>AD222-AF222</f>
        <v>0.11896044267389282</v>
      </c>
      <c r="AH222" s="42">
        <f>P222*(AZ222-S222)</f>
        <v>0.22737142491797593</v>
      </c>
      <c r="AI222">
        <f>(((X222/10^6)*(Q222/1000))/(0.082056*H222))</f>
        <v>1.6219996951138695E-6</v>
      </c>
      <c r="AJ222">
        <f>(((K222/10^6)*AZ222)*(Q222/1000))/(0.082056*H222)</f>
        <v>9.7818105100400264E-7</v>
      </c>
      <c r="AK222">
        <f>(X222/10^6)*T222*(R222/1000)</f>
        <v>2.6863848096986197E-5</v>
      </c>
      <c r="AL222">
        <f>AI222+AK222</f>
        <v>2.8485847792100068E-5</v>
      </c>
      <c r="AM222" s="39">
        <f>((AL222-AJ222)/(R222/1000))*1000000</f>
        <v>24.129532229031639</v>
      </c>
      <c r="AN222" s="39">
        <f>AM222/(T222*AZ222)</f>
        <v>729.8227173992675</v>
      </c>
      <c r="AO222" s="39">
        <f>(K222*AZ222)*T222</f>
        <v>14.211235914575781</v>
      </c>
      <c r="AP222" s="39">
        <f>AM222-AO222</f>
        <v>9.9182963144558585</v>
      </c>
      <c r="AQ222">
        <f>(((AH222/10^6)*(Q222/1000))/(0.082056*H222))</f>
        <v>5.6291110466589134E-10</v>
      </c>
      <c r="AR222">
        <f>(((M222/10^6)*AZ222)*(Q222/1000))/(0.082056*H222)</f>
        <v>6.5228622221229625E-10</v>
      </c>
      <c r="AS222">
        <f>(AH222/10^6)*V222*(R222/1000)</f>
        <v>6.8996903344978217E-9</v>
      </c>
      <c r="AT222">
        <f>AQ222+AS222</f>
        <v>7.4626014391637138E-9</v>
      </c>
      <c r="AU222" s="39">
        <f>((AT222-AR222)/(R222/1000))*1000000000</f>
        <v>5.9739607166240516</v>
      </c>
      <c r="AV222" s="39">
        <f>(AU222/1000)/(V222*AZ222)</f>
        <v>0.24415100071087775</v>
      </c>
      <c r="AW222" s="39">
        <f>(M222*AZ222)*V222*1000</f>
        <v>7.0133116395579487</v>
      </c>
      <c r="AX222" s="39">
        <f>AU222-AW222</f>
        <v>-1.0393509229338971</v>
      </c>
      <c r="AY222" s="26">
        <f>VLOOKUP($E222,Water!$C$2:$G$90, 5, FALSE)</f>
        <v>698.6</v>
      </c>
      <c r="AZ222">
        <f>AY222/760</f>
        <v>0.91921052631578948</v>
      </c>
      <c r="BA222" s="3">
        <f>Assumptions!$B$3</f>
        <v>406.07</v>
      </c>
      <c r="BB222" s="3">
        <f>BA222*AZ222*T222</f>
        <v>13.425560644589375</v>
      </c>
      <c r="BC222" s="3">
        <f>Assumptions!$B$4</f>
        <v>1.8474300000000001</v>
      </c>
      <c r="BD222" s="45">
        <f>BC222*AZ222*U222*1/(0.0821*273.15)</f>
        <v>2.4479882287923565E-3</v>
      </c>
      <c r="BE222" s="3">
        <f>Assumptions!$B$2</f>
        <v>0.33054499999999998</v>
      </c>
      <c r="BF222" s="44">
        <f>BE222*AZ222*V222*1000</f>
        <v>8.0878752875351978</v>
      </c>
      <c r="BG222">
        <f>1923.6+(-125.06*F222)+(4.3773*(F222^2))+(-0.085681*(F222^3))+(0.00070284*(F222^4))</f>
        <v>537.85029542630423</v>
      </c>
      <c r="BH222">
        <f>1909.4+(-120.78*F222)+(4.1555*(F222^2))+(-0.080578*(F222^3))+(0.00065777*(F222^4))</f>
        <v>554.23944202971234</v>
      </c>
      <c r="BI222">
        <f>2141.2+(-152.56*F222)+(5.8963*(F222^2))+(-0.12411*(F222^3))+(0.0010655*(F222^4))</f>
        <v>561.2076682167999</v>
      </c>
      <c r="BJ222" s="25">
        <f>VLOOKUP(E222,Wind!$C$2:$E$109,3, FALSE)</f>
        <v>1.1111111111111112</v>
      </c>
      <c r="BK222" s="44">
        <v>1.66</v>
      </c>
      <c r="BL222">
        <f>BK222/(1-(((1.3*10^-3)^0.5)/0.41)*LN(10/1.5))</f>
        <v>1.9923982880693825</v>
      </c>
      <c r="BM222">
        <f>BK222*1.22</f>
        <v>2.0251999999999999</v>
      </c>
      <c r="BN222">
        <f>2.07+0.215*(BM222^1.7)*(24/100)</f>
        <v>2.241255750541113</v>
      </c>
      <c r="BO222">
        <f>BN222*((600/BG222)^0.67)</f>
        <v>2.4116240649189633</v>
      </c>
      <c r="BP222">
        <f>BN222*((600/BH222)^0.67)</f>
        <v>2.3636081420188941</v>
      </c>
      <c r="BQ222">
        <f>BN222*((600/BI222)^0.67)</f>
        <v>2.3439046735246336</v>
      </c>
      <c r="BR222" s="39">
        <f>BO222*(AM222-BB222)</f>
        <v>25.81395546324973</v>
      </c>
      <c r="BS222" s="39">
        <f>BP222*(AD222-BD222)</f>
        <v>0.28150254686088161</v>
      </c>
      <c r="BT222" s="39">
        <f>BQ222*(AU222-BF222)</f>
        <v>-4.954814242190456</v>
      </c>
      <c r="BU222">
        <f>(2.51+1.48*BM222)+(0.39*BM222*LOG10(0.0015))</f>
        <v>3.2768938069574309</v>
      </c>
      <c r="BV222">
        <f>BU222*((600/$BG222)^0.67)</f>
        <v>3.5259858055621267</v>
      </c>
      <c r="BW222">
        <f>BU222*((600/$BH222)^0.67)</f>
        <v>3.4557827150185356</v>
      </c>
      <c r="BX222">
        <f>BU222*((600/$BI222)^0.67)</f>
        <v>3.4269746801171936</v>
      </c>
      <c r="BY222" s="39">
        <f>BV222*($AM222-$BB222)</f>
        <v>37.742051869883774</v>
      </c>
      <c r="BZ222" s="39">
        <f>BW222*($AD222-$BD222)</f>
        <v>0.41157906777415121</v>
      </c>
      <c r="CA222" s="39">
        <f>BX222*($AU222-$BF222)</f>
        <v>-7.2443317104432996</v>
      </c>
      <c r="CB222" s="42">
        <f>AVERAGE(0.72,0.69,0.4,0.22)</f>
        <v>0.50750000000000006</v>
      </c>
      <c r="CC222">
        <f>CB222*((600/$BG222)^0.67)</f>
        <v>0.54607744459813845</v>
      </c>
      <c r="CD222">
        <f>CB222*((600/$BH222)^0.67)</f>
        <v>0.53520493222827537</v>
      </c>
      <c r="CE222">
        <f>CB222*((600/$BI222)^0.67)</f>
        <v>0.5307433663144242</v>
      </c>
      <c r="CF222" s="39">
        <f>CC222*($AM222-$BB222)</f>
        <v>5.8451974498833188</v>
      </c>
      <c r="CG222" s="39">
        <f>CD222*($AD222-$BD222)</f>
        <v>6.3742186717158755E-2</v>
      </c>
      <c r="CH222" s="39">
        <f>CE222*($AU222-$BF222)</f>
        <v>-1.1219461354664932</v>
      </c>
      <c r="CI222">
        <v>45.862639018895301</v>
      </c>
      <c r="CJ222">
        <f>((BG222/BH222)^0.67)*CI222</f>
        <v>44.949504599995322</v>
      </c>
      <c r="CK222">
        <f>((BH222/BH222)^0.67)*CI222</f>
        <v>45.862639018895301</v>
      </c>
      <c r="CL222">
        <f>((BI222/BH222)^0.67)*CI222</f>
        <v>46.248172216204715</v>
      </c>
      <c r="CM222" s="39">
        <f>CJ222*($AM222-$BB222)</f>
        <v>481.1382199731068</v>
      </c>
      <c r="CN222" s="39">
        <f>CK222*($AD222-$BD222)</f>
        <v>5.4621785481550722</v>
      </c>
      <c r="CO222" s="39">
        <f>CL222*($AU222-$BF222)</f>
        <v>-97.764685125843187</v>
      </c>
      <c r="CP222" s="27">
        <f>VLOOKUP(A222,Water!$A$2:$E$109, 5, FALSE)/1000</f>
        <v>7.0999999999999991E-4</v>
      </c>
      <c r="CQ222">
        <f>0.64*CP222</f>
        <v>4.5439999999999993E-4</v>
      </c>
      <c r="CR222" s="19">
        <f>CQ222*1000*(2.5*10^-5)</f>
        <v>1.1359999999999998E-5</v>
      </c>
      <c r="CS222" s="18">
        <f>(-0.0000009*F222^3)+(0.0002*F222^2)-(0.0134*F222)+6.579</f>
        <v>6.3702410567999994</v>
      </c>
      <c r="CT222" s="18">
        <f>CS222-(SQRT(CP222))/(1+1.4*SQRT(CP222))</f>
        <v>6.3445534847858358</v>
      </c>
      <c r="CU222" s="18">
        <f>10^(-CT222)</f>
        <v>4.5232075412202934E-7</v>
      </c>
      <c r="CV222" s="18">
        <f>(0.000001*F222^3)+(0.00006*F222^2)-(0.014*F222)+10.625</f>
        <v>10.354711448</v>
      </c>
      <c r="CW222" s="18">
        <f>CV222-(2*SQRT(CR222))/(1+1.4*SQRT(CR222))</f>
        <v>10.348002186795732</v>
      </c>
      <c r="CX222" s="18">
        <f>10^(-CW222)</f>
        <v>4.4874313037867344E-11</v>
      </c>
      <c r="CY222">
        <f>EXP(1246.98+-61900/H222-183*LN(H222))</f>
        <v>2.9149072152470215E-2</v>
      </c>
      <c r="CZ222">
        <f>12.225*(F222^2)+15.258*F222+1125.7</f>
        <v>7489.3965999999991</v>
      </c>
      <c r="DA222" s="15">
        <f>10^(-4470.99/H222+6.0875-0.01706*H222)</f>
        <v>8.1449975945682967E-15</v>
      </c>
      <c r="DB222">
        <f>(10^-I222)</f>
        <v>3.2359365692962808E-9</v>
      </c>
      <c r="DC222">
        <f>DB222^2</f>
        <v>1.0471285480508983E-17</v>
      </c>
      <c r="DD222" s="20">
        <f>((14.6836*10^-9)*((H222/217.2056)-1)^1.997)*100*100</f>
        <v>1.9064180908209046E-5</v>
      </c>
      <c r="DE222">
        <f>CY222+CZ222*DA222/DB222</f>
        <v>4.8000219566967858E-2</v>
      </c>
      <c r="DF222">
        <f>1+DC222*(CU222*CX222+CU222*DB222)^-1</f>
        <v>1.0070562228453379</v>
      </c>
      <c r="DG222">
        <f>(DE222*DF222/DD222)^0.5</f>
        <v>50.354628404605258</v>
      </c>
      <c r="DH222">
        <f>DD222/(BO222/60/60)</f>
        <v>2.8458436896489813E-2</v>
      </c>
      <c r="DI222" s="16">
        <f>DF222/((DF222-1)+TANH(DG222*DH222)/(DG222*DH222))</f>
        <v>1.5992185743095428</v>
      </c>
      <c r="DJ222">
        <f>$DI222*BR222</f>
        <v>41.282157053228268</v>
      </c>
      <c r="DK222">
        <f>$DI222*BY222</f>
        <v>60.357790382872345</v>
      </c>
      <c r="DL222">
        <f>$DI222*CF222</f>
        <v>9.347748332360176</v>
      </c>
      <c r="DM222">
        <f>$DI222*CM222</f>
        <v>769.44517819122302</v>
      </c>
    </row>
    <row r="223" spans="1:117" ht="15.75" x14ac:dyDescent="0.25">
      <c r="A223" s="52" t="s">
        <v>328</v>
      </c>
      <c r="B223" s="55" t="s">
        <v>340</v>
      </c>
      <c r="C223" s="62" t="s">
        <v>414</v>
      </c>
      <c r="D223" s="57">
        <v>43292</v>
      </c>
      <c r="E223" s="42" t="str">
        <f>A223&amp;D223</f>
        <v>56B43292</v>
      </c>
      <c r="F223" s="3">
        <f>VLOOKUP($E223,Water!$C$2:$E$90, 2, FALSE)</f>
        <v>22.2</v>
      </c>
      <c r="G223" s="3">
        <f>VLOOKUP($E223,Water!$C$2:$E$90, 3, FALSE)</f>
        <v>2.1</v>
      </c>
      <c r="H223" s="1">
        <f>F223+273.15</f>
        <v>295.34999999999997</v>
      </c>
      <c r="I223" s="3">
        <f>VLOOKUP($E223,Water!$C$2:$F$90, 4, FALSE)</f>
        <v>8.49</v>
      </c>
      <c r="J223">
        <f>10^(I223*-1)</f>
        <v>3.2359365692962808E-9</v>
      </c>
      <c r="K223" s="25">
        <f>VLOOKUP($E223,Atm!$D$2:$G$100, 2, FALSE)</f>
        <v>429.8335630517937</v>
      </c>
      <c r="L223" s="25">
        <f>VLOOKUP($E223,Atm!$D$2:$G$100, 3, FALSE)</f>
        <v>1.9517338622489251</v>
      </c>
      <c r="M223" s="25">
        <f>VLOOKUP($E223,Atm!$D$2:$G$100, 4, FALSE)</f>
        <v>0.28662844238837965</v>
      </c>
      <c r="N223" s="21">
        <f>VLOOKUP($C223,Raw!$B$2:$F$353, 3, FALSE)</f>
        <v>830.56252629106928</v>
      </c>
      <c r="O223" s="21">
        <f>VLOOKUP($C223,Raw!$B$2:$F$353, 4, FALSE)</f>
        <v>55.619488870258138</v>
      </c>
      <c r="P223" s="21">
        <f>VLOOKUP($C223,Raw!$B$2:$F$353, 5, FALSE)</f>
        <v>0.25015238916634147</v>
      </c>
      <c r="Q223" s="14">
        <v>60</v>
      </c>
      <c r="R223" s="25">
        <v>1140</v>
      </c>
      <c r="S223">
        <f>EXP(24.4543-(100/H223*(67.4509))-(4.8489*LN(H223/100))-(0.000544*G223))</f>
        <v>2.6363536941290969E-2</v>
      </c>
      <c r="T223" s="8">
        <f>EXP(-58.0931+90.5069*(100/H223)+22.294*LN(H223/100)+G223*(0.027766-0.025888*(H223/100)+0.0050578*(H223/100)^2)*G223)</f>
        <v>3.596802042421627E-2</v>
      </c>
      <c r="U223" s="9">
        <f>(EXP(-67.1962+99.1624*(100/H223)+27.9015*LN(H223/100)+G223*(-0.072909+0.041674*(H223/100)-0.0064603*(H223/100)^2)*G223))</f>
        <v>3.2327394744845639E-2</v>
      </c>
      <c r="V223" s="9">
        <f>(EXP(-64.8539+100.252*(100/H223)+25.2049*LN(H223/100)+(-0.062544+0.035337*(H223/100)-0.0054699*(H223/100)^2)*G223))</f>
        <v>2.6618824000092946E-2</v>
      </c>
      <c r="W223" s="9">
        <f>(EXP(-68.8862+101.4956*(100/H223)+28.7314*LN(H223/100)+G223*(-0.076146+0.04397*(H223/100)-0.0068672*(H223/100)^2)))</f>
        <v>3.2750881619238281E-2</v>
      </c>
      <c r="X223">
        <f>N223*(AZ223-S223)</f>
        <v>741.56525108625897</v>
      </c>
      <c r="Y223">
        <f>O223*(AZ223-S223)</f>
        <v>49.659693188358403</v>
      </c>
      <c r="Z223">
        <f>((Y223/10^6)*AZ223)/(0.082056*H223)</f>
        <v>1.8835263635005101E-6</v>
      </c>
      <c r="AA223">
        <f>(((L223/10^6)*AZ223)/(0.082056*H223))</f>
        <v>7.4026679346144479E-8</v>
      </c>
      <c r="AB223">
        <f>((Y223/10^6)*U223*1)/(0.082056*H223)</f>
        <v>6.6241082452842115E-8</v>
      </c>
      <c r="AC223">
        <f>(Z223*(Q223/1000))+(AB223*(R223/1000))</f>
        <v>1.885264158062706E-7</v>
      </c>
      <c r="AD223" s="39">
        <f>((AC223-(AA223*(Q223/1000)))/(R223/1000))*1000000</f>
        <v>0.16147790793465086</v>
      </c>
      <c r="AE223" s="39">
        <f>(AD223/((U223*AZ223*1))*(0.0821*273.15))</f>
        <v>121.86297627863966</v>
      </c>
      <c r="AF223" s="39">
        <f>L223*U223*AZ223*1/(0.0821*273.15)</f>
        <v>2.5861989469267094E-3</v>
      </c>
      <c r="AG223" s="39">
        <f>AD223-AF223</f>
        <v>0.15889170898772415</v>
      </c>
      <c r="AH223" s="42">
        <f>P223*(AZ223-S223)</f>
        <v>0.22334780755200589</v>
      </c>
      <c r="AI223">
        <f>(((X223/10^6)*(Q223/1000))/(0.082056*H223))</f>
        <v>1.8359181010603888E-6</v>
      </c>
      <c r="AJ223">
        <f>(((K223/10^6)*AZ223)*(Q223/1000))/(0.082056*H223)</f>
        <v>9.7818105100400264E-7</v>
      </c>
      <c r="AK223">
        <f>(X223/10^6)*T223*(R223/1000)</f>
        <v>3.0406802870533975E-5</v>
      </c>
      <c r="AL223">
        <f>AI223+AK223</f>
        <v>3.2242720971594363E-5</v>
      </c>
      <c r="AM223" s="39">
        <f>((AL223-AJ223)/(R223/1000))*1000000</f>
        <v>27.42503501806172</v>
      </c>
      <c r="AN223" s="39">
        <f>AM223/(T223*AZ223)</f>
        <v>829.4986157075258</v>
      </c>
      <c r="AO223" s="39">
        <f>(K223*AZ223)*T223</f>
        <v>14.211235914575781</v>
      </c>
      <c r="AP223" s="39">
        <f>AM223-AO223</f>
        <v>13.21379910348594</v>
      </c>
      <c r="AQ223">
        <f>(((AH223/10^6)*(Q223/1000))/(0.082056*H223))</f>
        <v>5.5294969945831917E-10</v>
      </c>
      <c r="AR223">
        <f>(((M223/10^6)*AZ223)*(Q223/1000))/(0.082056*H223)</f>
        <v>6.5228622221229625E-10</v>
      </c>
      <c r="AS223">
        <f>(AH223/10^6)*V223*(R223/1000)</f>
        <v>6.7775918172381604E-9</v>
      </c>
      <c r="AT223">
        <f>AQ223+AS223</f>
        <v>7.3305415166964792E-9</v>
      </c>
      <c r="AU223" s="39">
        <f>((AT223-AR223)/(R223/1000))*1000000000</f>
        <v>5.8581186793720912</v>
      </c>
      <c r="AV223" s="39">
        <f>(AU223/1000)/(V223*AZ223)</f>
        <v>0.23941662921748172</v>
      </c>
      <c r="AW223" s="39">
        <f>(M223*AZ223)*V223*1000</f>
        <v>7.0133116395579487</v>
      </c>
      <c r="AX223" s="39">
        <f>AU223-AW223</f>
        <v>-1.1551929601858575</v>
      </c>
      <c r="AY223" s="26">
        <f>VLOOKUP($E223,Water!$C$2:$G$90, 5, FALSE)</f>
        <v>698.6</v>
      </c>
      <c r="AZ223">
        <f>AY223/760</f>
        <v>0.91921052631578948</v>
      </c>
      <c r="BA223" s="3">
        <f>Assumptions!$B$3</f>
        <v>406.07</v>
      </c>
      <c r="BB223" s="3">
        <f>BA223*AZ223*T223</f>
        <v>13.425560644589375</v>
      </c>
      <c r="BC223" s="3">
        <f>Assumptions!$B$4</f>
        <v>1.8474300000000001</v>
      </c>
      <c r="BD223" s="45">
        <f>BC223*AZ223*U223*1/(0.0821*273.15)</f>
        <v>2.4479882287923565E-3</v>
      </c>
      <c r="BE223" s="3">
        <f>Assumptions!$B$2</f>
        <v>0.33054499999999998</v>
      </c>
      <c r="BF223" s="44">
        <f>BE223*AZ223*V223*1000</f>
        <v>8.0878752875351978</v>
      </c>
      <c r="BG223">
        <f>1923.6+(-125.06*F223)+(4.3773*(F223^2))+(-0.085681*(F223^3))+(0.00070284*(F223^4))</f>
        <v>537.85029542630423</v>
      </c>
      <c r="BH223">
        <f>1909.4+(-120.78*F223)+(4.1555*(F223^2))+(-0.080578*(F223^3))+(0.00065777*(F223^4))</f>
        <v>554.23944202971234</v>
      </c>
      <c r="BI223">
        <f>2141.2+(-152.56*F223)+(5.8963*(F223^2))+(-0.12411*(F223^3))+(0.0010655*(F223^4))</f>
        <v>561.2076682167999</v>
      </c>
      <c r="BJ223" s="25">
        <f>VLOOKUP(E223,Wind!$C$2:$E$109,3, FALSE)</f>
        <v>1.1111111111111112</v>
      </c>
      <c r="BK223" s="44">
        <v>1.66</v>
      </c>
      <c r="BL223">
        <f>BK223/(1-(((1.3*10^-3)^0.5)/0.41)*LN(10/1.5))</f>
        <v>1.9923982880693825</v>
      </c>
      <c r="BM223">
        <f>BK223*1.22</f>
        <v>2.0251999999999999</v>
      </c>
      <c r="BN223">
        <f>2.07+0.215*(BM223^1.7)*(24/100)</f>
        <v>2.241255750541113</v>
      </c>
      <c r="BO223">
        <f>BN223*((600/BG223)^0.67)</f>
        <v>2.4116240649189633</v>
      </c>
      <c r="BP223">
        <f>BN223*((600/BH223)^0.67)</f>
        <v>2.3636081420188941</v>
      </c>
      <c r="BQ223">
        <f>BN223*((600/BI223)^0.67)</f>
        <v>2.3439046735246336</v>
      </c>
      <c r="BR223" s="39">
        <f>BO223*(AM223-BB223)</f>
        <v>33.761469295282232</v>
      </c>
      <c r="BS223" s="39">
        <f>BP223*(AD223-BD223)</f>
        <v>0.37588441304137815</v>
      </c>
      <c r="BT223" s="39">
        <f>BQ223*(AU223-BF223)</f>
        <v>-5.226336934695941</v>
      </c>
      <c r="BU223">
        <f>(2.51+1.48*BM223)+(0.39*BM223*LOG10(0.0015))</f>
        <v>3.2768938069574309</v>
      </c>
      <c r="BV223">
        <f>BU223*((600/$BG223)^0.67)</f>
        <v>3.5259858055621267</v>
      </c>
      <c r="BW223">
        <f>BU223*((600/$BH223)^0.67)</f>
        <v>3.4557827150185356</v>
      </c>
      <c r="BX223">
        <f>BU223*((600/$BI223)^0.67)</f>
        <v>3.4269746801171936</v>
      </c>
      <c r="BY223" s="39">
        <f>BV223*($AM223-$BB223)</f>
        <v>49.36194792619424</v>
      </c>
      <c r="BZ223" s="39">
        <f>BW223*($AD223-$BD223)</f>
        <v>0.54957284769029147</v>
      </c>
      <c r="CA223" s="39">
        <f>BX223*($AU223-$BF223)</f>
        <v>-7.6413194389989609</v>
      </c>
      <c r="CB223" s="42">
        <f>AVERAGE(0.72,0.69,0.4,0.22)</f>
        <v>0.50750000000000006</v>
      </c>
      <c r="CC223">
        <f>CB223*((600/$BG223)^0.67)</f>
        <v>0.54607744459813845</v>
      </c>
      <c r="CD223">
        <f>CB223*((600/$BH223)^0.67)</f>
        <v>0.53520493222827537</v>
      </c>
      <c r="CE223">
        <f>CB223*((600/$BI223)^0.67)</f>
        <v>0.5307433663144242</v>
      </c>
      <c r="CF223" s="39">
        <f>CC223*($AM223-$BB223)</f>
        <v>7.6447971915829038</v>
      </c>
      <c r="CG223" s="39">
        <f>CD223*($AD223-$BD223)</f>
        <v>8.511359739844207E-2</v>
      </c>
      <c r="CH223" s="39">
        <f>CE223*($AU223-$BF223)</f>
        <v>-1.1834285282783197</v>
      </c>
      <c r="CI223">
        <v>46.862639018895301</v>
      </c>
      <c r="CJ223">
        <f>((BG223/BH223)^0.67)*CI223</f>
        <v>45.929594397738455</v>
      </c>
      <c r="CK223">
        <f>((BH223/BH223)^0.67)*CI223</f>
        <v>46.862639018895301</v>
      </c>
      <c r="CL223">
        <f>((BI223/BH223)^0.67)*CI223</f>
        <v>47.256578474666</v>
      </c>
      <c r="CM223" s="39">
        <f>CJ223*($AM223-$BB223)</f>
        <v>642.99017975511856</v>
      </c>
      <c r="CN223" s="39">
        <f>CK223*($AD223-$BD223)</f>
        <v>7.4525617203795518</v>
      </c>
      <c r="CO223" s="39">
        <f>CL223*($AU223-$BF223)</f>
        <v>-105.37066813306494</v>
      </c>
      <c r="CP223" s="27">
        <f>VLOOKUP(A223,Water!$A$2:$E$109, 5, FALSE)/1000</f>
        <v>7.0999999999999991E-4</v>
      </c>
      <c r="CQ223">
        <f>0.64*CP223</f>
        <v>4.5439999999999993E-4</v>
      </c>
      <c r="CR223" s="19">
        <f>CQ223*1000*(2.5*10^-5)</f>
        <v>1.1359999999999998E-5</v>
      </c>
      <c r="CS223" s="18">
        <f>(-0.0000009*F223^3)+(0.0002*F223^2)-(0.0134*F223)+6.579</f>
        <v>6.3702410567999994</v>
      </c>
      <c r="CT223" s="18">
        <f>CS223-(SQRT(CP223))/(1+1.4*SQRT(CP223))</f>
        <v>6.3445534847858358</v>
      </c>
      <c r="CU223" s="18">
        <f>10^(-CT223)</f>
        <v>4.5232075412202934E-7</v>
      </c>
      <c r="CV223" s="18">
        <f>(0.000001*F223^3)+(0.00006*F223^2)-(0.014*F223)+10.625</f>
        <v>10.354711448</v>
      </c>
      <c r="CW223" s="18">
        <f>CV223-(2*SQRT(CR223))/(1+1.4*SQRT(CR223))</f>
        <v>10.348002186795732</v>
      </c>
      <c r="CX223" s="18">
        <f>10^(-CW223)</f>
        <v>4.4874313037867344E-11</v>
      </c>
      <c r="CY223">
        <f>EXP(1246.98+-61900/H223-183*LN(H223))</f>
        <v>2.9149072152470215E-2</v>
      </c>
      <c r="CZ223">
        <f>12.225*(F223^2)+15.258*F223+1125.7</f>
        <v>7489.3965999999991</v>
      </c>
      <c r="DA223" s="15">
        <f>10^(-4470.99/H223+6.0875-0.01706*H223)</f>
        <v>8.1449975945682967E-15</v>
      </c>
      <c r="DB223">
        <f>(10^-I223)</f>
        <v>3.2359365692962808E-9</v>
      </c>
      <c r="DC223">
        <f>DB223^2</f>
        <v>1.0471285480508983E-17</v>
      </c>
      <c r="DD223" s="20">
        <f>((14.6836*10^-9)*((H223/217.2056)-1)^1.997)*100*100</f>
        <v>1.9064180908209046E-5</v>
      </c>
      <c r="DE223">
        <f>CY223+CZ223*DA223/DB223</f>
        <v>4.8000219566967858E-2</v>
      </c>
      <c r="DF223">
        <f>1+DC223*(CU223*CX223+CU223*DB223)^-1</f>
        <v>1.0070562228453379</v>
      </c>
      <c r="DG223">
        <f>(DE223*DF223/DD223)^0.5</f>
        <v>50.354628404605258</v>
      </c>
      <c r="DH223">
        <f>DD223/(BO223/60/60)</f>
        <v>2.8458436896489813E-2</v>
      </c>
      <c r="DI223" s="16">
        <f>DF223/((DF223-1)+TANH(DG223*DH223)/(DG223*DH223))</f>
        <v>1.5992185743095428</v>
      </c>
      <c r="DJ223">
        <f>$DI223*BR223</f>
        <v>53.991968792996659</v>
      </c>
      <c r="DK223">
        <f>$DI223*BY223</f>
        <v>78.940543987670253</v>
      </c>
      <c r="DL223">
        <f>$DI223*CF223</f>
        <v>12.225701665608808</v>
      </c>
      <c r="DM223">
        <f>$DI223*CM223</f>
        <v>1028.2818385630173</v>
      </c>
    </row>
    <row r="224" spans="1:117" ht="15.75" x14ac:dyDescent="0.25">
      <c r="A224" s="52" t="s">
        <v>328</v>
      </c>
      <c r="B224" s="55" t="s">
        <v>341</v>
      </c>
      <c r="C224" s="62" t="s">
        <v>415</v>
      </c>
      <c r="D224" s="57">
        <v>43292</v>
      </c>
      <c r="E224" s="42" t="str">
        <f>A224&amp;D224</f>
        <v>56B43292</v>
      </c>
      <c r="F224" s="3">
        <f>VLOOKUP($E224,Water!$C$2:$E$90, 2, FALSE)</f>
        <v>22.2</v>
      </c>
      <c r="G224" s="3">
        <f>VLOOKUP($E224,Water!$C$2:$E$90, 3, FALSE)</f>
        <v>2.1</v>
      </c>
      <c r="H224" s="1">
        <f>F224+273.15</f>
        <v>295.34999999999997</v>
      </c>
      <c r="I224" s="3">
        <f>VLOOKUP($E224,Water!$C$2:$F$90, 4, FALSE)</f>
        <v>8.49</v>
      </c>
      <c r="J224">
        <f>10^(I224*-1)</f>
        <v>3.2359365692962808E-9</v>
      </c>
      <c r="K224" s="25">
        <f>VLOOKUP($E224,Atm!$D$2:$G$100, 2, FALSE)</f>
        <v>429.8335630517937</v>
      </c>
      <c r="L224" s="25">
        <f>VLOOKUP($E224,Atm!$D$2:$G$100, 3, FALSE)</f>
        <v>1.9517338622489251</v>
      </c>
      <c r="M224" s="25">
        <f>VLOOKUP($E224,Atm!$D$2:$G$100, 4, FALSE)</f>
        <v>0.28662844238837965</v>
      </c>
      <c r="N224" s="21">
        <f>VLOOKUP($C224,Raw!$B$2:$F$353, 3, FALSE)</f>
        <v>803.39386214884871</v>
      </c>
      <c r="O224" s="21">
        <f>VLOOKUP($C224,Raw!$B$2:$F$353, 4, FALSE)</f>
        <v>55.364941300454952</v>
      </c>
      <c r="P224" s="21">
        <f>VLOOKUP($C224,Raw!$B$2:$F$353, 5, FALSE)</f>
        <v>0.2463974425496874</v>
      </c>
      <c r="Q224" s="14">
        <v>60</v>
      </c>
      <c r="R224" s="25">
        <v>1140</v>
      </c>
      <c r="S224">
        <f>EXP(24.4543-(100/H224*(67.4509))-(4.8489*LN(H224/100))-(0.000544*G224))</f>
        <v>2.6363536941290969E-2</v>
      </c>
      <c r="T224" s="8">
        <f>EXP(-58.0931+90.5069*(100/H224)+22.294*LN(H224/100)+G224*(0.027766-0.025888*(H224/100)+0.0050578*(H224/100)^2)*G224)</f>
        <v>3.596802042421627E-2</v>
      </c>
      <c r="U224" s="9">
        <f>(EXP(-67.1962+99.1624*(100/H224)+27.9015*LN(H224/100)+G224*(-0.072909+0.041674*(H224/100)-0.0064603*(H224/100)^2)*G224))</f>
        <v>3.2327394744845639E-2</v>
      </c>
      <c r="V224" s="9">
        <f>(EXP(-64.8539+100.252*(100/H224)+25.2049*LN(H224/100)+(-0.062544+0.035337*(H224/100)-0.0054699*(H224/100)^2)*G224))</f>
        <v>2.6618824000092946E-2</v>
      </c>
      <c r="W224" s="9">
        <f>(EXP(-68.8862+101.4956*(100/H224)+28.7314*LN(H224/100)+G224*(-0.076146+0.04397*(H224/100)-0.0068672*(H224/100)^2)))</f>
        <v>3.2750881619238281E-2</v>
      </c>
      <c r="X224">
        <f>N224*(AZ224-S224)</f>
        <v>717.30779110155038</v>
      </c>
      <c r="Y224">
        <f>O224*(AZ224-S224)</f>
        <v>49.432421157007035</v>
      </c>
      <c r="Z224">
        <f>((Y224/10^6)*AZ224)/(0.082056*H224)</f>
        <v>1.8749062364869791E-6</v>
      </c>
      <c r="AA224">
        <f>(((L224/10^6)*AZ224)/(0.082056*H224))</f>
        <v>7.4026679346144479E-8</v>
      </c>
      <c r="AB224">
        <f>((Y224/10^6)*U224*1)/(0.082056*H224)</f>
        <v>6.5937924209176196E-8</v>
      </c>
      <c r="AC224">
        <f>(Z224*(Q224/1000))+(AB224*(R224/1000))</f>
        <v>1.8766360778767961E-7</v>
      </c>
      <c r="AD224" s="39">
        <f>((AC224-(AA224*(Q224/1000)))/(R224/1000))*1000000</f>
        <v>0.16072105879553594</v>
      </c>
      <c r="AE224" s="39">
        <f>(AD224/((U224*AZ224*1))*(0.0821*273.15))</f>
        <v>121.29180286014457</v>
      </c>
      <c r="AF224" s="39">
        <f>L224*U224*AZ224*1/(0.0821*273.15)</f>
        <v>2.5861989469267094E-3</v>
      </c>
      <c r="AG224" s="39">
        <f>AD224-AF224</f>
        <v>0.15813485984860923</v>
      </c>
      <c r="AH224" s="42">
        <f>P224*(AZ224-S224)</f>
        <v>0.21999521477006434</v>
      </c>
      <c r="AI224">
        <f>(((X224/10^6)*(Q224/1000))/(0.082056*H224))</f>
        <v>1.7758630893045935E-6</v>
      </c>
      <c r="AJ224">
        <f>(((K224/10^6)*AZ224)*(Q224/1000))/(0.082056*H224)</f>
        <v>9.7818105100400264E-7</v>
      </c>
      <c r="AK224">
        <f>(X224/10^6)*T224*(R224/1000)</f>
        <v>2.9412161060100622E-5</v>
      </c>
      <c r="AL224">
        <f>AI224+AK224</f>
        <v>3.1188024149405213E-5</v>
      </c>
      <c r="AM224" s="39">
        <f>((AL224-AJ224)/(R224/1000))*1000000</f>
        <v>26.499862367018611</v>
      </c>
      <c r="AN224" s="39">
        <f>AM224/(T224*AZ224)</f>
        <v>801.51580974847036</v>
      </c>
      <c r="AO224" s="39">
        <f>(K224*AZ224)*T224</f>
        <v>14.211235914575781</v>
      </c>
      <c r="AP224" s="39">
        <f>AM224-AO224</f>
        <v>12.288626452442831</v>
      </c>
      <c r="AQ224">
        <f>(((AH224/10^6)*(Q224/1000))/(0.082056*H224))</f>
        <v>5.4464957244342083E-10</v>
      </c>
      <c r="AR224">
        <f>(((M224/10^6)*AZ224)*(Q224/1000))/(0.082056*H224)</f>
        <v>6.5228622221229625E-10</v>
      </c>
      <c r="AS224">
        <f>(AH224/10^6)*V224*(R224/1000)</f>
        <v>6.6758558492227688E-9</v>
      </c>
      <c r="AT224">
        <f>AQ224+AS224</f>
        <v>7.2205054216661897E-9</v>
      </c>
      <c r="AU224" s="39">
        <f>((AT224-AR224)/(R224/1000))*1000000000</f>
        <v>5.7615957889946436</v>
      </c>
      <c r="AV224" s="39">
        <f>(AU224/1000)/(V224*AZ224)</f>
        <v>0.23547181581896345</v>
      </c>
      <c r="AW224" s="39">
        <f>(M224*AZ224)*V224*1000</f>
        <v>7.0133116395579487</v>
      </c>
      <c r="AX224" s="39">
        <f>AU224-AW224</f>
        <v>-1.251715850563305</v>
      </c>
      <c r="AY224" s="26">
        <f>VLOOKUP($E224,Water!$C$2:$G$90, 5, FALSE)</f>
        <v>698.6</v>
      </c>
      <c r="AZ224">
        <f>AY224/760</f>
        <v>0.91921052631578948</v>
      </c>
      <c r="BA224" s="3">
        <f>Assumptions!$B$3</f>
        <v>406.07</v>
      </c>
      <c r="BB224" s="3">
        <f>BA224*AZ224*T224</f>
        <v>13.425560644589375</v>
      </c>
      <c r="BC224" s="3">
        <f>Assumptions!$B$4</f>
        <v>1.8474300000000001</v>
      </c>
      <c r="BD224" s="45">
        <f>BC224*AZ224*U224*1/(0.0821*273.15)</f>
        <v>2.4479882287923565E-3</v>
      </c>
      <c r="BE224" s="3">
        <f>Assumptions!$B$2</f>
        <v>0.33054499999999998</v>
      </c>
      <c r="BF224" s="44">
        <f>BE224*AZ224*V224*1000</f>
        <v>8.0878752875351978</v>
      </c>
      <c r="BG224">
        <f>1923.6+(-125.06*F224)+(4.3773*(F224^2))+(-0.085681*(F224^3))+(0.00070284*(F224^4))</f>
        <v>537.85029542630423</v>
      </c>
      <c r="BH224">
        <f>1909.4+(-120.78*F224)+(4.1555*(F224^2))+(-0.080578*(F224^3))+(0.00065777*(F224^4))</f>
        <v>554.23944202971234</v>
      </c>
      <c r="BI224">
        <f>2141.2+(-152.56*F224)+(5.8963*(F224^2))+(-0.12411*(F224^3))+(0.0010655*(F224^4))</f>
        <v>561.2076682167999</v>
      </c>
      <c r="BJ224" s="25">
        <f>VLOOKUP(E224,Wind!$C$2:$E$109,3, FALSE)</f>
        <v>1.1111111111111112</v>
      </c>
      <c r="BK224" s="44">
        <v>1.66</v>
      </c>
      <c r="BL224">
        <f>BK224/(1-(((1.3*10^-3)^0.5)/0.41)*LN(10/1.5))</f>
        <v>1.9923982880693825</v>
      </c>
      <c r="BM224">
        <f>BK224*1.22</f>
        <v>2.0251999999999999</v>
      </c>
      <c r="BN224">
        <f>2.07+0.215*(BM224^1.7)*(24/100)</f>
        <v>2.241255750541113</v>
      </c>
      <c r="BO224">
        <f>BN224*((600/BG224)^0.67)</f>
        <v>2.4116240649189633</v>
      </c>
      <c r="BP224">
        <f>BN224*((600/BH224)^0.67)</f>
        <v>2.3636081420188941</v>
      </c>
      <c r="BQ224">
        <f>BN224*((600/BI224)^0.67)</f>
        <v>2.3439046735246336</v>
      </c>
      <c r="BR224" s="39">
        <f>BO224*(AM224-BB224)</f>
        <v>31.530300665821798</v>
      </c>
      <c r="BS224" s="39">
        <f>BP224*(AD224-BD224)</f>
        <v>0.37409551825388615</v>
      </c>
      <c r="BT224" s="39">
        <f>BQ224*(AU224-BF224)</f>
        <v>-5.4525773885537463</v>
      </c>
      <c r="BU224">
        <f>(2.51+1.48*BM224)+(0.39*BM224*LOG10(0.0015))</f>
        <v>3.2768938069574309</v>
      </c>
      <c r="BV224">
        <f>BU224*((600/$BG224)^0.67)</f>
        <v>3.5259858055621267</v>
      </c>
      <c r="BW224">
        <f>BU224*((600/$BH224)^0.67)</f>
        <v>3.4557827150185356</v>
      </c>
      <c r="BX224">
        <f>BU224*((600/$BI224)^0.67)</f>
        <v>3.4269746801171936</v>
      </c>
      <c r="BY224" s="39">
        <f>BV224*($AM224-$BB224)</f>
        <v>46.09980229092195</v>
      </c>
      <c r="BZ224" s="39">
        <f>BW224*($AD224-$BD224)</f>
        <v>0.54695734151746145</v>
      </c>
      <c r="CA224" s="39">
        <f>BX224*($AU224-$BF224)</f>
        <v>-7.9721009403742009</v>
      </c>
      <c r="CB224" s="42">
        <f>AVERAGE(0.72,0.69,0.4,0.22)</f>
        <v>0.50750000000000006</v>
      </c>
      <c r="CC224">
        <f>CB224*((600/$BG224)^0.67)</f>
        <v>0.54607744459813845</v>
      </c>
      <c r="CD224">
        <f>CB224*((600/$BH224)^0.67)</f>
        <v>0.53520493222827537</v>
      </c>
      <c r="CE224">
        <f>CB224*((600/$BI224)^0.67)</f>
        <v>0.5307433663144242</v>
      </c>
      <c r="CF224" s="39">
        <f>CC224*($AM224-$BB224)</f>
        <v>7.1395812744891973</v>
      </c>
      <c r="CG224" s="39">
        <f>CD224*($AD224-$BD224)</f>
        <v>8.4708528006235045E-2</v>
      </c>
      <c r="CH224" s="39">
        <f>CE224*($AU224-$BF224)</f>
        <v>-1.2346574120436444</v>
      </c>
      <c r="CI224">
        <v>47.862639018895301</v>
      </c>
      <c r="CJ224">
        <f>((BG224/BH224)^0.67)*CI224</f>
        <v>46.909684195481582</v>
      </c>
      <c r="CK224">
        <f>((BH224/BH224)^0.67)*CI224</f>
        <v>47.862639018895301</v>
      </c>
      <c r="CL224">
        <f>((BI224/BH224)^0.67)*CI224</f>
        <v>48.264984733127285</v>
      </c>
      <c r="CM224" s="39">
        <f>CJ224*($AM224-$BB224)</f>
        <v>613.31136487559638</v>
      </c>
      <c r="CN224" s="39">
        <f>CK224*($AD224-$BD224)</f>
        <v>7.5753668429481911</v>
      </c>
      <c r="CO224" s="39">
        <f>CL224*($AU224-$BF224)</f>
        <v>-112.27784448204685</v>
      </c>
      <c r="CP224" s="27">
        <f>VLOOKUP(A224,Water!$A$2:$E$109, 5, FALSE)/1000</f>
        <v>7.0999999999999991E-4</v>
      </c>
      <c r="CQ224">
        <f>0.64*CP224</f>
        <v>4.5439999999999993E-4</v>
      </c>
      <c r="CR224" s="19">
        <f>CQ224*1000*(2.5*10^-5)</f>
        <v>1.1359999999999998E-5</v>
      </c>
      <c r="CS224" s="18">
        <f>(-0.0000009*F224^3)+(0.0002*F224^2)-(0.0134*F224)+6.579</f>
        <v>6.3702410567999994</v>
      </c>
      <c r="CT224" s="18">
        <f>CS224-(SQRT(CP224))/(1+1.4*SQRT(CP224))</f>
        <v>6.3445534847858358</v>
      </c>
      <c r="CU224" s="18">
        <f>10^(-CT224)</f>
        <v>4.5232075412202934E-7</v>
      </c>
      <c r="CV224" s="18">
        <f>(0.000001*F224^3)+(0.00006*F224^2)-(0.014*F224)+10.625</f>
        <v>10.354711448</v>
      </c>
      <c r="CW224" s="18">
        <f>CV224-(2*SQRT(CR224))/(1+1.4*SQRT(CR224))</f>
        <v>10.348002186795732</v>
      </c>
      <c r="CX224" s="18">
        <f>10^(-CW224)</f>
        <v>4.4874313037867344E-11</v>
      </c>
      <c r="CY224">
        <f>EXP(1246.98+-61900/H224-183*LN(H224))</f>
        <v>2.9149072152470215E-2</v>
      </c>
      <c r="CZ224">
        <f>12.225*(F224^2)+15.258*F224+1125.7</f>
        <v>7489.3965999999991</v>
      </c>
      <c r="DA224" s="15">
        <f>10^(-4470.99/H224+6.0875-0.01706*H224)</f>
        <v>8.1449975945682967E-15</v>
      </c>
      <c r="DB224">
        <f>(10^-I224)</f>
        <v>3.2359365692962808E-9</v>
      </c>
      <c r="DC224">
        <f>DB224^2</f>
        <v>1.0471285480508983E-17</v>
      </c>
      <c r="DD224" s="20">
        <f>((14.6836*10^-9)*((H224/217.2056)-1)^1.997)*100*100</f>
        <v>1.9064180908209046E-5</v>
      </c>
      <c r="DE224">
        <f>CY224+CZ224*DA224/DB224</f>
        <v>4.8000219566967858E-2</v>
      </c>
      <c r="DF224">
        <f>1+DC224*(CU224*CX224+CU224*DB224)^-1</f>
        <v>1.0070562228453379</v>
      </c>
      <c r="DG224">
        <f>(DE224*DF224/DD224)^0.5</f>
        <v>50.354628404605258</v>
      </c>
      <c r="DH224">
        <f>DD224/(BO224/60/60)</f>
        <v>2.8458436896489813E-2</v>
      </c>
      <c r="DI224" s="16">
        <f>DF224/((DF224-1)+TANH(DG224*DH224)/(DG224*DH224))</f>
        <v>1.5992185743095428</v>
      </c>
      <c r="DJ224">
        <f>$DI224*BR224</f>
        <v>50.423842478346764</v>
      </c>
      <c r="DK224">
        <f>$DI224*BY224</f>
        <v>73.72366009564</v>
      </c>
      <c r="DL224">
        <f>$DI224*CF224</f>
        <v>11.417750986955722</v>
      </c>
      <c r="DM224">
        <f>$DI224*CM224</f>
        <v>980.81892654419107</v>
      </c>
    </row>
    <row r="225" spans="1:117" ht="15.75" x14ac:dyDescent="0.25">
      <c r="A225" s="52" t="s">
        <v>328</v>
      </c>
      <c r="B225" s="55" t="s">
        <v>342</v>
      </c>
      <c r="C225" s="62" t="s">
        <v>416</v>
      </c>
      <c r="D225" s="57">
        <v>43292</v>
      </c>
      <c r="E225" s="42" t="str">
        <f>A225&amp;D225</f>
        <v>56B43292</v>
      </c>
      <c r="F225" s="3">
        <f>VLOOKUP($E225,Water!$C$2:$E$90, 2, FALSE)</f>
        <v>22.2</v>
      </c>
      <c r="G225" s="3">
        <f>VLOOKUP($E225,Water!$C$2:$E$90, 3, FALSE)</f>
        <v>2.1</v>
      </c>
      <c r="H225" s="1">
        <f>F225+273.15</f>
        <v>295.34999999999997</v>
      </c>
      <c r="I225" s="3">
        <f>VLOOKUP($E225,Water!$C$2:$F$90, 4, FALSE)</f>
        <v>8.49</v>
      </c>
      <c r="J225">
        <f>10^(I225*-1)</f>
        <v>3.2359365692962808E-9</v>
      </c>
      <c r="K225" s="25">
        <f>VLOOKUP($E225,Atm!$D$2:$G$100, 2, FALSE)</f>
        <v>429.8335630517937</v>
      </c>
      <c r="L225" s="25">
        <f>VLOOKUP($E225,Atm!$D$2:$G$100, 3, FALSE)</f>
        <v>1.9517338622489251</v>
      </c>
      <c r="M225" s="25">
        <f>VLOOKUP($E225,Atm!$D$2:$G$100, 4, FALSE)</f>
        <v>0.28662844238837965</v>
      </c>
      <c r="N225" s="21">
        <f>VLOOKUP($C225,Raw!$B$2:$F$353, 3, FALSE)</f>
        <v>804.7567046773321</v>
      </c>
      <c r="O225" s="21">
        <f>VLOOKUP($C225,Raw!$B$2:$F$353, 4, FALSE)</f>
        <v>55.528715929426554</v>
      </c>
      <c r="P225" s="21">
        <f>VLOOKUP($C225,Raw!$B$2:$F$353, 5, FALSE)</f>
        <v>0.25101676976296078</v>
      </c>
      <c r="Q225" s="14">
        <v>60</v>
      </c>
      <c r="R225" s="25">
        <v>1140</v>
      </c>
      <c r="S225">
        <f>EXP(24.4543-(100/H225*(67.4509))-(4.8489*LN(H225/100))-(0.000544*G225))</f>
        <v>2.6363536941290969E-2</v>
      </c>
      <c r="T225" s="8">
        <f>EXP(-58.0931+90.5069*(100/H225)+22.294*LN(H225/100)+G225*(0.027766-0.025888*(H225/100)+0.0050578*(H225/100)^2)*G225)</f>
        <v>3.596802042421627E-2</v>
      </c>
      <c r="U225" s="9">
        <f>(EXP(-67.1962+99.1624*(100/H225)+27.9015*LN(H225/100)+G225*(-0.072909+0.041674*(H225/100)-0.0064603*(H225/100)^2)*G225))</f>
        <v>3.2327394744845639E-2</v>
      </c>
      <c r="V225" s="9">
        <f>(EXP(-64.8539+100.252*(100/H225)+25.2049*LN(H225/100)+(-0.062544+0.035337*(H225/100)-0.0054699*(H225/100)^2)*G225))</f>
        <v>2.6618824000092946E-2</v>
      </c>
      <c r="W225" s="9">
        <f>(EXP(-68.8862+101.4956*(100/H225)+28.7314*LN(H225/100)+G225*(-0.076146+0.04397*(H225/100)-0.0068672*(H225/100)^2)))</f>
        <v>3.2750881619238281E-2</v>
      </c>
      <c r="X225">
        <f>N225*(AZ225-S225)</f>
        <v>718.52460095009837</v>
      </c>
      <c r="Y225">
        <f>O225*(AZ225-S225)</f>
        <v>49.578646841420252</v>
      </c>
      <c r="Z225">
        <f>((Y225/10^6)*AZ225)/(0.082056*H225)</f>
        <v>1.8804523829476216E-6</v>
      </c>
      <c r="AA225">
        <f>(((L225/10^6)*AZ225)/(0.082056*H225))</f>
        <v>7.4026679346144479E-8</v>
      </c>
      <c r="AB225">
        <f>((Y225/10^6)*U225*1)/(0.082056*H225)</f>
        <v>6.6132974701759781E-8</v>
      </c>
      <c r="AC225">
        <f>(Z225*(Q225/1000))+(AB225*(R225/1000))</f>
        <v>1.8821873413686344E-7</v>
      </c>
      <c r="AD225" s="39">
        <f>((AC225-(AA225*(Q225/1000)))/(R225/1000))*1000000</f>
        <v>0.16120801173341648</v>
      </c>
      <c r="AE225" s="39">
        <f>(AD225/((U225*AZ225*1))*(0.0821*273.15))</f>
        <v>121.65929297118666</v>
      </c>
      <c r="AF225" s="39">
        <f>L225*U225*AZ225*1/(0.0821*273.15)</f>
        <v>2.5861989469267094E-3</v>
      </c>
      <c r="AG225" s="39">
        <f>AD225-AF225</f>
        <v>0.15862181278648976</v>
      </c>
      <c r="AH225" s="42">
        <f>P225*(AZ225-S225)</f>
        <v>0.22411956716537118</v>
      </c>
      <c r="AI225">
        <f>(((X225/10^6)*(Q225/1000))/(0.082056*H225))</f>
        <v>1.7788755864829949E-6</v>
      </c>
      <c r="AJ225">
        <f>(((K225/10^6)*AZ225)*(Q225/1000))/(0.082056*H225)</f>
        <v>9.7818105100400264E-7</v>
      </c>
      <c r="AK225">
        <f>(X225/10^6)*T225*(R225/1000)</f>
        <v>2.9462054575393477E-5</v>
      </c>
      <c r="AL225">
        <f>AI225+AK225</f>
        <v>3.124093016187647E-5</v>
      </c>
      <c r="AM225" s="39">
        <f>((AL225-AJ225)/(R225/1000))*1000000</f>
        <v>26.546271149888131</v>
      </c>
      <c r="AN225" s="39">
        <f>AM225/(T225*AZ225)</f>
        <v>802.91949149843288</v>
      </c>
      <c r="AO225" s="39">
        <f>(K225*AZ225)*T225</f>
        <v>14.211235914575781</v>
      </c>
      <c r="AP225" s="39">
        <f>AM225-AO225</f>
        <v>12.33503523531235</v>
      </c>
      <c r="AQ225">
        <f>(((AH225/10^6)*(Q225/1000))/(0.082056*H225))</f>
        <v>5.5486037076036456E-10</v>
      </c>
      <c r="AR225">
        <f>(((M225/10^6)*AZ225)*(Q225/1000))/(0.082056*H225)</f>
        <v>6.5228622221229625E-10</v>
      </c>
      <c r="AS225">
        <f>(AH225/10^6)*V225*(R225/1000)</f>
        <v>6.8010112172213083E-9</v>
      </c>
      <c r="AT225">
        <f>AQ225+AS225</f>
        <v>7.3558715879816731E-9</v>
      </c>
      <c r="AU225" s="39">
        <f>((AT225-AR225)/(R225/1000))*1000000000</f>
        <v>5.880338040148577</v>
      </c>
      <c r="AV225" s="39">
        <f>(AU225/1000)/(V225*AZ225)</f>
        <v>0.24032471673697925</v>
      </c>
      <c r="AW225" s="39">
        <f>(M225*AZ225)*V225*1000</f>
        <v>7.0133116395579487</v>
      </c>
      <c r="AX225" s="39">
        <f>AU225-AW225</f>
        <v>-1.1329735994093717</v>
      </c>
      <c r="AY225" s="26">
        <f>VLOOKUP($E225,Water!$C$2:$G$90, 5, FALSE)</f>
        <v>698.6</v>
      </c>
      <c r="AZ225">
        <f>AY225/760</f>
        <v>0.91921052631578948</v>
      </c>
      <c r="BA225" s="3">
        <f>Assumptions!$B$3</f>
        <v>406.07</v>
      </c>
      <c r="BB225" s="3">
        <f>BA225*AZ225*T225</f>
        <v>13.425560644589375</v>
      </c>
      <c r="BC225" s="3">
        <f>Assumptions!$B$4</f>
        <v>1.8474300000000001</v>
      </c>
      <c r="BD225" s="45">
        <f>BC225*AZ225*U225*1/(0.0821*273.15)</f>
        <v>2.4479882287923565E-3</v>
      </c>
      <c r="BE225" s="3">
        <f>Assumptions!$B$2</f>
        <v>0.33054499999999998</v>
      </c>
      <c r="BF225" s="44">
        <f>BE225*AZ225*V225*1000</f>
        <v>8.0878752875351978</v>
      </c>
      <c r="BG225">
        <f>1923.6+(-125.06*F225)+(4.3773*(F225^2))+(-0.085681*(F225^3))+(0.00070284*(F225^4))</f>
        <v>537.85029542630423</v>
      </c>
      <c r="BH225">
        <f>1909.4+(-120.78*F225)+(4.1555*(F225^2))+(-0.080578*(F225^3))+(0.00065777*(F225^4))</f>
        <v>554.23944202971234</v>
      </c>
      <c r="BI225">
        <f>2141.2+(-152.56*F225)+(5.8963*(F225^2))+(-0.12411*(F225^3))+(0.0010655*(F225^4))</f>
        <v>561.2076682167999</v>
      </c>
      <c r="BJ225" s="25">
        <f>VLOOKUP(E225,Wind!$C$2:$E$109,3, FALSE)</f>
        <v>1.1111111111111112</v>
      </c>
      <c r="BK225" s="44">
        <v>1.66</v>
      </c>
      <c r="BL225">
        <f>BK225/(1-(((1.3*10^-3)^0.5)/0.41)*LN(10/1.5))</f>
        <v>1.9923982880693825</v>
      </c>
      <c r="BM225">
        <f>BK225*1.22</f>
        <v>2.0251999999999999</v>
      </c>
      <c r="BN225">
        <f>2.07+0.215*(BM225^1.7)*(24/100)</f>
        <v>2.241255750541113</v>
      </c>
      <c r="BO225">
        <f>BN225*((600/BG225)^0.67)</f>
        <v>2.4116240649189633</v>
      </c>
      <c r="BP225">
        <f>BN225*((600/BH225)^0.67)</f>
        <v>2.3636081420188941</v>
      </c>
      <c r="BQ225">
        <f>BN225*((600/BI225)^0.67)</f>
        <v>2.3439046735246336</v>
      </c>
      <c r="BR225" s="39">
        <f>BO225*(AM225-BB225)</f>
        <v>31.642221203413531</v>
      </c>
      <c r="BS225" s="39">
        <f>BP225*(AD225-BD225)</f>
        <v>0.37524648418264056</v>
      </c>
      <c r="BT225" s="39">
        <f>BQ225*(AU225-BF225)</f>
        <v>-5.1742568711292058</v>
      </c>
      <c r="BU225">
        <f>(2.51+1.48*BM225)+(0.39*BM225*LOG10(0.0015))</f>
        <v>3.2768938069574309</v>
      </c>
      <c r="BV225">
        <f>BU225*((600/$BG225)^0.67)</f>
        <v>3.5259858055621267</v>
      </c>
      <c r="BW225">
        <f>BU225*((600/$BH225)^0.67)</f>
        <v>3.4557827150185356</v>
      </c>
      <c r="BX225">
        <f>BU225*((600/$BI225)^0.67)</f>
        <v>3.4269746801171936</v>
      </c>
      <c r="BY225" s="39">
        <f>BV225*($AM225-$BB225)</f>
        <v>46.263439000573293</v>
      </c>
      <c r="BZ225" s="39">
        <f>BW225*($AD225-$BD225)</f>
        <v>0.54864014506321646</v>
      </c>
      <c r="CA225" s="39">
        <f>BX225*($AU225-$BF225)</f>
        <v>-7.5651742522095553</v>
      </c>
      <c r="CB225" s="42">
        <f>AVERAGE(0.72,0.69,0.4,0.22)</f>
        <v>0.50750000000000006</v>
      </c>
      <c r="CC225">
        <f>CB225*((600/$BG225)^0.67)</f>
        <v>0.54607744459813845</v>
      </c>
      <c r="CD225">
        <f>CB225*((600/$BH225)^0.67)</f>
        <v>0.53520493222827537</v>
      </c>
      <c r="CE225">
        <f>CB225*((600/$BI225)^0.67)</f>
        <v>0.5307433663144242</v>
      </c>
      <c r="CF225" s="39">
        <f>CC225*($AM225-$BB225)</f>
        <v>7.1649240640454952</v>
      </c>
      <c r="CG225" s="39">
        <f>CD225*($AD225-$BD225)</f>
        <v>8.4969147620351751E-2</v>
      </c>
      <c r="CH225" s="39">
        <f>CE225*($AU225-$BF225)</f>
        <v>-1.171635749942453</v>
      </c>
      <c r="CI225">
        <v>48.862639018895301</v>
      </c>
      <c r="CJ225">
        <f>((BG225/BH225)^0.67)*CI225</f>
        <v>47.889773993224715</v>
      </c>
      <c r="CK225">
        <f>((BH225/BH225)^0.67)*CI225</f>
        <v>48.862639018895301</v>
      </c>
      <c r="CL225">
        <f>((BI225/BH225)^0.67)*CI225</f>
        <v>49.27339099158857</v>
      </c>
      <c r="CM225" s="39">
        <f>CJ225*($AM225-$BB225)</f>
        <v>628.34786072928671</v>
      </c>
      <c r="CN225" s="39">
        <f>CK225*($AD225-$BD225)</f>
        <v>7.757433719137782</v>
      </c>
      <c r="CO225" s="39">
        <f>CL225*($AU225-$BF225)</f>
        <v>-108.77284591897615</v>
      </c>
      <c r="CP225" s="27">
        <f>VLOOKUP(A225,Water!$A$2:$E$109, 5, FALSE)/1000</f>
        <v>7.0999999999999991E-4</v>
      </c>
      <c r="CQ225">
        <f>0.64*CP225</f>
        <v>4.5439999999999993E-4</v>
      </c>
      <c r="CR225" s="19">
        <f>CQ225*1000*(2.5*10^-5)</f>
        <v>1.1359999999999998E-5</v>
      </c>
      <c r="CS225" s="18">
        <f>(-0.0000009*F225^3)+(0.0002*F225^2)-(0.0134*F225)+6.579</f>
        <v>6.3702410567999994</v>
      </c>
      <c r="CT225" s="18">
        <f>CS225-(SQRT(CP225))/(1+1.4*SQRT(CP225))</f>
        <v>6.3445534847858358</v>
      </c>
      <c r="CU225" s="18">
        <f>10^(-CT225)</f>
        <v>4.5232075412202934E-7</v>
      </c>
      <c r="CV225" s="18">
        <f>(0.000001*F225^3)+(0.00006*F225^2)-(0.014*F225)+10.625</f>
        <v>10.354711448</v>
      </c>
      <c r="CW225" s="18">
        <f>CV225-(2*SQRT(CR225))/(1+1.4*SQRT(CR225))</f>
        <v>10.348002186795732</v>
      </c>
      <c r="CX225" s="18">
        <f>10^(-CW225)</f>
        <v>4.4874313037867344E-11</v>
      </c>
      <c r="CY225">
        <f>EXP(1246.98+-61900/H225-183*LN(H225))</f>
        <v>2.9149072152470215E-2</v>
      </c>
      <c r="CZ225">
        <f>12.225*(F225^2)+15.258*F225+1125.7</f>
        <v>7489.3965999999991</v>
      </c>
      <c r="DA225" s="15">
        <f>10^(-4470.99/H225+6.0875-0.01706*H225)</f>
        <v>8.1449975945682967E-15</v>
      </c>
      <c r="DB225">
        <f>(10^-I225)</f>
        <v>3.2359365692962808E-9</v>
      </c>
      <c r="DC225">
        <f>DB225^2</f>
        <v>1.0471285480508983E-17</v>
      </c>
      <c r="DD225" s="20">
        <f>((14.6836*10^-9)*((H225/217.2056)-1)^1.997)*100*100</f>
        <v>1.9064180908209046E-5</v>
      </c>
      <c r="DE225">
        <f>CY225+CZ225*DA225/DB225</f>
        <v>4.8000219566967858E-2</v>
      </c>
      <c r="DF225">
        <f>1+DC225*(CU225*CX225+CU225*DB225)^-1</f>
        <v>1.0070562228453379</v>
      </c>
      <c r="DG225">
        <f>(DE225*DF225/DD225)^0.5</f>
        <v>50.354628404605258</v>
      </c>
      <c r="DH225">
        <f>DD225/(BO225/60/60)</f>
        <v>2.8458436896489813E-2</v>
      </c>
      <c r="DI225" s="16">
        <f>DF225/((DF225-1)+TANH(DG225*DH225)/(DG225*DH225))</f>
        <v>1.5992185743095428</v>
      </c>
      <c r="DJ225">
        <f>$DI225*BR225</f>
        <v>50.602827880910176</v>
      </c>
      <c r="DK225">
        <f>$DI225*BY225</f>
        <v>73.985350961153316</v>
      </c>
      <c r="DL225">
        <f>$DI225*CF225</f>
        <v>11.458279646738973</v>
      </c>
      <c r="DM225">
        <f>$DI225*CM225</f>
        <v>1004.8655700059411</v>
      </c>
    </row>
    <row r="226" spans="1:117" ht="15.75" x14ac:dyDescent="0.25">
      <c r="A226" s="52" t="s">
        <v>333</v>
      </c>
      <c r="B226" s="55" t="s">
        <v>339</v>
      </c>
      <c r="C226" s="62" t="s">
        <v>418</v>
      </c>
      <c r="D226" s="57">
        <v>43291</v>
      </c>
      <c r="E226" s="42" t="str">
        <f>A226&amp;D226</f>
        <v>61C43291</v>
      </c>
      <c r="F226" s="3">
        <f>VLOOKUP($E226,Water!$C$2:$E$90, 2, FALSE)</f>
        <v>22.4</v>
      </c>
      <c r="G226" s="3">
        <f>VLOOKUP($E226,Water!$C$2:$E$90, 3, FALSE)</f>
        <v>0.24</v>
      </c>
      <c r="H226" s="1">
        <f>F226+273.15</f>
        <v>295.54999999999995</v>
      </c>
      <c r="I226" s="3">
        <f>VLOOKUP($E226,Water!$C$2:$F$90, 4, FALSE)</f>
        <v>10.14</v>
      </c>
      <c r="J226">
        <f>10^(I226*-1)</f>
        <v>7.2443596007498811E-11</v>
      </c>
      <c r="K226" s="25">
        <v>439.52751160265137</v>
      </c>
      <c r="L226" s="25">
        <v>2.8430237635924795</v>
      </c>
      <c r="M226" s="25">
        <v>0.32236441181786135</v>
      </c>
      <c r="N226" s="21">
        <f>VLOOKUP($C226,Raw!$B$2:$F$353, 3, FALSE)</f>
        <v>118.40432938954289</v>
      </c>
      <c r="O226" s="21">
        <f>VLOOKUP($C226,Raw!$B$2:$F$353, 4, FALSE)</f>
        <v>302.23073873882589</v>
      </c>
      <c r="P226" s="21">
        <f>VLOOKUP($C226,Raw!$B$2:$F$353, 5, FALSE)</f>
        <v>0.27515175281074361</v>
      </c>
      <c r="Q226" s="14">
        <v>60</v>
      </c>
      <c r="R226" s="25">
        <v>1140</v>
      </c>
      <c r="S226">
        <f>EXP(24.4543-(100/H226*(67.4509))-(4.8489*LN(H226/100))-(0.000544*G226))</f>
        <v>2.6713409096005534E-2</v>
      </c>
      <c r="T226" s="8">
        <f>EXP(-58.0931+90.5069*(100/H226)+22.294*LN(H226/100)+G226*(0.027766-0.025888*(H226/100)+0.0050578*(H226/100)^2)*G226)</f>
        <v>3.6484739671426986E-2</v>
      </c>
      <c r="U226" s="9">
        <f>(EXP(-67.1962+99.1624*(100/H226)+27.9015*LN(H226/100)+G226*(-0.072909+0.041674*(H226/100)-0.0064603*(H226/100)^2)*G226))</f>
        <v>3.3081581705865351E-2</v>
      </c>
      <c r="V226" s="9">
        <f>(EXP(-64.8539+100.252*(100/H226)+25.2049*LN(H226/100)+(-0.062544+0.035337*(H226/100)-0.0054699*(H226/100)^2)*G226))</f>
        <v>2.6753617218692991E-2</v>
      </c>
      <c r="W226" s="9">
        <f>(EXP(-68.8862+101.4956*(100/H226)+28.7314*LN(H226/100)+G226*(-0.076146+0.04397*(H226/100)-0.0068672*(H226/100)^2)))</f>
        <v>3.3004005822779646E-2</v>
      </c>
      <c r="X226">
        <f>N226*(AZ226-S226)</f>
        <v>105.51972747625939</v>
      </c>
      <c r="Y226">
        <f>O226*(AZ226-S226)</f>
        <v>269.34239103495145</v>
      </c>
      <c r="Z226">
        <f>((Y226/10^6)*AZ226)/(0.082056*H226)</f>
        <v>1.0194273584850157E-5</v>
      </c>
      <c r="AA226">
        <f>(((L226/10^6)*AZ226)/(0.082056*H226))</f>
        <v>1.0760490371725834E-7</v>
      </c>
      <c r="AB226">
        <f>((Y226/10^6)*U226*1)/(0.082056*H226)</f>
        <v>3.6740889885631548E-7</v>
      </c>
      <c r="AC226">
        <f>(Z226*(Q226/1000))+(AB226*(R226/1000))</f>
        <v>1.0305025597872091E-6</v>
      </c>
      <c r="AD226" s="39">
        <f>((AC226-(AA226*(Q226/1000)))/(R226/1000))*1000000</f>
        <v>0.89828619786331021</v>
      </c>
      <c r="AE226" s="39">
        <f>(AD226/((U226*AZ226*1))*(0.0821*273.15))</f>
        <v>663.40683723397069</v>
      </c>
      <c r="AF226" s="39">
        <f>L226*U226*AZ226*1/(0.0821*273.15)</f>
        <v>3.8495970552257577E-3</v>
      </c>
      <c r="AG226" s="39">
        <f>AD226-AF226</f>
        <v>0.8944366008080844</v>
      </c>
      <c r="AH226" s="42">
        <f>P226*(AZ226-S226)</f>
        <v>0.24521010440154514</v>
      </c>
      <c r="AI226">
        <f>(((X226/10^6)*(Q226/1000))/(0.082056*H226))</f>
        <v>2.6106196649407323E-7</v>
      </c>
      <c r="AJ226">
        <f>(((K226/10^6)*AZ226)*(Q226/1000))/(0.082056*H226)</f>
        <v>9.9813408891088209E-7</v>
      </c>
      <c r="AK226">
        <f>(X226/10^6)*T226*(R226/1000)</f>
        <v>4.3888401573752188E-6</v>
      </c>
      <c r="AL226">
        <f>AI226+AK226</f>
        <v>4.6499021238692916E-6</v>
      </c>
      <c r="AM226" s="39">
        <f>((AL226-AJ226)/(R226/1000))*1000000</f>
        <v>3.2033052938231665</v>
      </c>
      <c r="AN226" s="39">
        <f>AM226/(T226*AZ226)</f>
        <v>95.652031900959869</v>
      </c>
      <c r="AO226" s="39">
        <f>(K226*AZ226)*T226</f>
        <v>14.71940299350366</v>
      </c>
      <c r="AP226" s="39">
        <f>AM226-AO226</f>
        <v>-11.516097699680493</v>
      </c>
      <c r="AQ226">
        <f>(((AH226/10^6)*(Q226/1000))/(0.082056*H226))</f>
        <v>6.0666411476173443E-10</v>
      </c>
      <c r="AR226">
        <f>(((M226/10^6)*AZ226)*(Q226/1000))/(0.082056*H226)</f>
        <v>7.3206545663971688E-10</v>
      </c>
      <c r="AS226">
        <f>(AH226/10^6)*V226*(R226/1000)</f>
        <v>7.4786932892987398E-9</v>
      </c>
      <c r="AT226">
        <f>AQ226+AS226</f>
        <v>8.0853574040604748E-9</v>
      </c>
      <c r="AU226" s="39">
        <f>((AT226-AR226)/(R226/1000))*1000000000</f>
        <v>6.4502560942287346</v>
      </c>
      <c r="AV226" s="39">
        <f>(AU226/1000)/(V226*AZ226)</f>
        <v>0.26266461411858866</v>
      </c>
      <c r="AW226" s="39">
        <f>(M226*AZ226)*V226*1000</f>
        <v>7.9163042911895163</v>
      </c>
      <c r="AX226" s="39">
        <f>AU226-AW226</f>
        <v>-1.4660481969607817</v>
      </c>
      <c r="AY226" s="26">
        <f>VLOOKUP($E226,Water!$C$2:$G$90, 5, FALSE)</f>
        <v>697.6</v>
      </c>
      <c r="AZ226">
        <f>AY226/760</f>
        <v>0.91789473684210532</v>
      </c>
      <c r="BA226" s="3">
        <f>Assumptions!$B$3</f>
        <v>406.07</v>
      </c>
      <c r="BB226" s="3">
        <f>BA226*AZ226*T226</f>
        <v>13.598939351435982</v>
      </c>
      <c r="BC226" s="3">
        <f>Assumptions!$B$4</f>
        <v>1.8474300000000001</v>
      </c>
      <c r="BD226" s="45">
        <f>BC226*AZ226*U226*1/(0.0821*273.15)</f>
        <v>2.5015130646495504E-3</v>
      </c>
      <c r="BE226" s="3">
        <f>Assumptions!$B$2</f>
        <v>0.33054499999999998</v>
      </c>
      <c r="BF226" s="44">
        <f>BE226*AZ226*V226*1000</f>
        <v>8.1171950314716899</v>
      </c>
      <c r="BG226">
        <f>1923.6+(-125.06*F226)+(4.3773*(F226^2))+(-0.085681*(F226^3))+(0.00070284*(F226^4))</f>
        <v>532.55413577318382</v>
      </c>
      <c r="BH226">
        <f>1909.4+(-120.78*F226)+(4.1555*(F226^2))+(-0.080578*(F226^3))+(0.00065777*(F226^4))</f>
        <v>548.94358563635228</v>
      </c>
      <c r="BI226">
        <f>2141.2+(-152.56*F226)+(5.8963*(F226^2))+(-0.12411*(F226^3))+(0.0010655*(F226^4))</f>
        <v>555.71215585279992</v>
      </c>
      <c r="BJ226" s="25">
        <f>VLOOKUP(E226,Wind!$C$2:$E$109,3, FALSE)</f>
        <v>1.9722222222222221</v>
      </c>
      <c r="BK226" s="44">
        <v>1.66</v>
      </c>
      <c r="BL226">
        <f>BK226/(1-(((1.3*10^-3)^0.5)/0.41)*LN(10/1.5))</f>
        <v>1.9923982880693825</v>
      </c>
      <c r="BM226">
        <f>BK226*1.22</f>
        <v>2.0251999999999999</v>
      </c>
      <c r="BN226">
        <f>2.07+0.215*(BM226^1.7)*(24/100)</f>
        <v>2.241255750541113</v>
      </c>
      <c r="BO226">
        <f>BN226*((600/BG226)^0.67)</f>
        <v>2.4276665494645262</v>
      </c>
      <c r="BP226">
        <f>BN226*((600/BH226)^0.67)</f>
        <v>2.3788616538456253</v>
      </c>
      <c r="BQ226">
        <f>BN226*((600/BI226)^0.67)</f>
        <v>2.3594095001386743</v>
      </c>
      <c r="BR226" s="39">
        <f>BO226*(AM226-BB226)</f>
        <v>-25.237133062140813</v>
      </c>
      <c r="BS226" s="39">
        <f>BP226*(AD226-BD226)</f>
        <v>2.1309478367697241</v>
      </c>
      <c r="BT226" s="39">
        <f>BQ226*(AU226-BF226)</f>
        <v>-3.9329915646820943</v>
      </c>
      <c r="BU226">
        <f>(2.51+1.48*BM226)+(0.39*BM226*LOG10(0.0015))</f>
        <v>3.2768938069574309</v>
      </c>
      <c r="BV226">
        <f>BU226*((600/$BG226)^0.67)</f>
        <v>3.5494411913398873</v>
      </c>
      <c r="BW226">
        <f>BU226*((600/$BH226)^0.67)</f>
        <v>3.4780845600566579</v>
      </c>
      <c r="BX226">
        <f>BU226*((600/$BI226)^0.67)</f>
        <v>3.4496439673224719</v>
      </c>
      <c r="BY226" s="39">
        <f>BV226*($AM226-$BB226)</f>
        <v>-36.898691734186741</v>
      </c>
      <c r="BZ226" s="39">
        <f>BW226*($AD226-$BD226)</f>
        <v>3.1156148813334417</v>
      </c>
      <c r="CA226" s="39">
        <f>BX226*($AU226-$BF226)</f>
        <v>-5.7503458487550931</v>
      </c>
      <c r="CB226" s="42">
        <f>AVERAGE(0.72,0.69,0.4,0.22)</f>
        <v>0.50750000000000006</v>
      </c>
      <c r="CC226">
        <f>CB226*((600/$BG226)^0.67)</f>
        <v>0.54971003356301129</v>
      </c>
      <c r="CD226">
        <f>CB226*((600/$BH226)^0.67)</f>
        <v>0.53865886971407873</v>
      </c>
      <c r="CE226">
        <f>CB226*((600/$BI226)^0.67)</f>
        <v>0.53425421040471865</v>
      </c>
      <c r="CF226" s="39">
        <f>CC226*($AM226-$BB226)</f>
        <v>-5.714584346719124</v>
      </c>
      <c r="CG226" s="39">
        <f>CD226*($AD226-$BD226)</f>
        <v>0.48252236582082886</v>
      </c>
      <c r="CH226" s="39">
        <f>CE226*($AU226-$BF226)</f>
        <v>-0.89056914570961598</v>
      </c>
      <c r="CI226">
        <v>49.862639018895301</v>
      </c>
      <c r="CJ226">
        <f>((BG226/BH226)^0.67)*CI226</f>
        <v>48.860219270130024</v>
      </c>
      <c r="CK226">
        <f>((BH226/BH226)^0.67)*CI226</f>
        <v>49.862639018895301</v>
      </c>
      <c r="CL226">
        <f>((BI226/BH226)^0.67)*CI226</f>
        <v>50.273731590308941</v>
      </c>
      <c r="CM226" s="39">
        <f>CJ226*($AM226-$BB226)</f>
        <v>-507.93295950699365</v>
      </c>
      <c r="CN226" s="39">
        <f>CK226*($AD226-$BD226)</f>
        <v>44.666188376770528</v>
      </c>
      <c r="CO226" s="39">
        <f>CL226*($AU226-$BF226)</f>
        <v>-83.803240708387179</v>
      </c>
      <c r="CP226" s="27">
        <f>VLOOKUP(A226,Water!$A$2:$E$109, 5, FALSE)/1000</f>
        <v>2.0999999999999998E-4</v>
      </c>
      <c r="CQ226">
        <f>0.64*CP226</f>
        <v>1.3439999999999999E-4</v>
      </c>
      <c r="CR226" s="19">
        <f>CQ226*1000*(2.5*10^-5)</f>
        <v>3.36E-6</v>
      </c>
      <c r="CS226" s="18">
        <f>(-0.0000009*F226^3)+(0.0002*F226^2)-(0.0134*F226)+6.579</f>
        <v>6.3690765184</v>
      </c>
      <c r="CT226" s="18">
        <f>CS226-(SQRT(CP226))/(1+1.4*SQRT(CP226))</f>
        <v>6.3548732956073088</v>
      </c>
      <c r="CU226" s="18">
        <f>10^(-CT226)</f>
        <v>4.4169929328612876E-7</v>
      </c>
      <c r="CV226" s="18">
        <f>(0.000001*F226^3)+(0.00006*F226^2)-(0.014*F226)+10.625</f>
        <v>10.352745024000001</v>
      </c>
      <c r="CW226" s="18">
        <f>CV226-(2*SQRT(CR226))/(1+1.4*SQRT(CR226))</f>
        <v>10.349088347362626</v>
      </c>
      <c r="CX226" s="18">
        <f>10^(-CW226)</f>
        <v>4.4762223632183904E-11</v>
      </c>
      <c r="CY226">
        <f>EXP(1246.98+-61900/H226-183*LN(H226))</f>
        <v>2.9676907565234247E-2</v>
      </c>
      <c r="CZ226">
        <f>12.225*(F226^2)+15.258*F226+1125.7</f>
        <v>7601.4951999999985</v>
      </c>
      <c r="DA226" s="15">
        <f>10^(-4470.99/H226+6.0875-0.01706*H226)</f>
        <v>8.2741401037449041E-15</v>
      </c>
      <c r="DB226">
        <f>(10^-I226)</f>
        <v>7.2443596007498811E-11</v>
      </c>
      <c r="DC226">
        <f>DB226^2</f>
        <v>5.2480746024976979E-21</v>
      </c>
      <c r="DD226" s="20">
        <f>((14.6836*10^-9)*((H226/217.2056)-1)^1.997)*100*100</f>
        <v>1.9161743221033059E-5</v>
      </c>
      <c r="DE226">
        <f>CY226+CZ226*DA226/DB226</f>
        <v>0.89788113470263198</v>
      </c>
      <c r="DF226">
        <f>1+DC226*(CU226*CX226+CU226*DB226)^-1</f>
        <v>1.0001013734248809</v>
      </c>
      <c r="DG226">
        <f>(DE226*DF226/DD226)^0.5</f>
        <v>216.47807989061337</v>
      </c>
      <c r="DH226">
        <f>DD226/(BO226/60/60)</f>
        <v>2.8415053793501632E-2</v>
      </c>
      <c r="DI226" s="16">
        <f>DF226/((DF226-1)+TANH(DG226*DH226)/(DG226*DH226))</f>
        <v>6.1480819165636058</v>
      </c>
      <c r="DJ226">
        <f>$DI226*BR226</f>
        <v>-155.15996140525743</v>
      </c>
      <c r="DK226">
        <f>$DI226*BY226</f>
        <v>-226.85617939580851</v>
      </c>
      <c r="DL226">
        <f>$DI226*CF226</f>
        <v>-35.133732682741289</v>
      </c>
      <c r="DM226">
        <f>$DI226*CM226</f>
        <v>-3122.8134431715821</v>
      </c>
    </row>
    <row r="227" spans="1:117" ht="15.75" x14ac:dyDescent="0.25">
      <c r="A227" s="52" t="s">
        <v>333</v>
      </c>
      <c r="B227" s="55" t="s">
        <v>340</v>
      </c>
      <c r="C227" s="69" t="s">
        <v>496</v>
      </c>
      <c r="D227" s="57">
        <v>43291</v>
      </c>
      <c r="E227" s="42" t="str">
        <f>A227&amp;D227</f>
        <v>61C43291</v>
      </c>
      <c r="F227" s="3">
        <f>VLOOKUP($E227,Water!$C$2:$E$90, 2, FALSE)</f>
        <v>22.4</v>
      </c>
      <c r="G227" s="3">
        <f>VLOOKUP($E227,Water!$C$2:$E$90, 3, FALSE)</f>
        <v>0.24</v>
      </c>
      <c r="H227" s="1">
        <f>F227+273.15</f>
        <v>295.54999999999995</v>
      </c>
      <c r="I227" s="3">
        <f>VLOOKUP($E227,Water!$C$2:$F$90, 4, FALSE)</f>
        <v>10.14</v>
      </c>
      <c r="J227">
        <f>10^(I227*-1)</f>
        <v>7.2443596007498811E-11</v>
      </c>
      <c r="K227" s="25">
        <v>439.52751160265137</v>
      </c>
      <c r="L227" s="25">
        <v>2.8430237635924795</v>
      </c>
      <c r="M227" s="25">
        <v>0.32236441181786135</v>
      </c>
      <c r="N227" s="21">
        <f>VLOOKUP($C227,Raw!$B$2:$F$353, 3, FALSE)</f>
        <v>150.51400000000001</v>
      </c>
      <c r="O227" s="21">
        <f>VLOOKUP($C227,Raw!$B$2:$F$353, 4, FALSE)</f>
        <v>313.61399999999998</v>
      </c>
      <c r="P227" s="21">
        <f>VLOOKUP($C227,Raw!$B$2:$F$353, 5, FALSE)</f>
        <v>0.28599999999999998</v>
      </c>
      <c r="Q227" s="14">
        <v>60</v>
      </c>
      <c r="R227" s="25">
        <v>1140</v>
      </c>
      <c r="S227">
        <f>EXP(24.4543-(100/H227*(67.4509))-(4.8489*LN(H227/100))-(0.000544*G227))</f>
        <v>2.6713409096005534E-2</v>
      </c>
      <c r="T227" s="8">
        <f>EXP(-58.0931+90.5069*(100/H227)+22.294*LN(H227/100)+G227*(0.027766-0.025888*(H227/100)+0.0050578*(H227/100)^2)*G227)</f>
        <v>3.6484739671426986E-2</v>
      </c>
      <c r="U227" s="9">
        <f>(EXP(-67.1962+99.1624*(100/H227)+27.9015*LN(H227/100)+G227*(-0.072909+0.041674*(H227/100)-0.0064603*(H227/100)^2)*G227))</f>
        <v>3.3081581705865351E-2</v>
      </c>
      <c r="V227" s="9">
        <f>(EXP(-64.8539+100.252*(100/H227)+25.2049*LN(H227/100)+(-0.062544+0.035337*(H227/100)-0.0054699*(H227/100)^2)*G227))</f>
        <v>2.6753617218692991E-2</v>
      </c>
      <c r="W227" s="9">
        <f>(EXP(-68.8862+101.4956*(100/H227)+28.7314*LN(H227/100)+G227*(-0.076146+0.04397*(H227/100)-0.0068672*(H227/100)^2)))</f>
        <v>3.3004005822779646E-2</v>
      </c>
      <c r="X227">
        <f>N227*(AZ227-S227)</f>
        <v>134.13526636437646</v>
      </c>
      <c r="Y227">
        <f>O227*(AZ227-S227)</f>
        <v>279.48694091976535</v>
      </c>
      <c r="Z227">
        <f>((Y227/10^6)*AZ227)/(0.082056*H227)</f>
        <v>1.0578232146009338E-5</v>
      </c>
      <c r="AA227">
        <f>(((L227/10^6)*AZ227)/(0.082056*H227))</f>
        <v>1.0760490371725834E-7</v>
      </c>
      <c r="AB227">
        <f>((Y227/10^6)*U227*1)/(0.082056*H227)</f>
        <v>3.8124703955244072E-7</v>
      </c>
      <c r="AC227">
        <f>(Z227*(Q227/1000))+(AB227*(R227/1000))</f>
        <v>1.0693155538503426E-6</v>
      </c>
      <c r="AD227" s="39">
        <f>((AC227-(AA227*(Q227/1000)))/(R227/1000))*1000000</f>
        <v>0.9323326838836028</v>
      </c>
      <c r="AE227" s="39">
        <f>(AD227/((U227*AZ227*1))*(0.0821*273.15))</f>
        <v>688.55101919221318</v>
      </c>
      <c r="AF227" s="39">
        <f>L227*U227*AZ227*1/(0.0821*273.15)</f>
        <v>3.8495970552257577E-3</v>
      </c>
      <c r="AG227" s="39">
        <f>AD227-AF227</f>
        <v>0.92848308682837699</v>
      </c>
      <c r="AH227" s="42">
        <f>P227*(AZ227-S227)</f>
        <v>0.25487785973538452</v>
      </c>
      <c r="AI227">
        <f>(((X227/10^6)*(Q227/1000))/(0.082056*H227))</f>
        <v>3.3185848040755181E-7</v>
      </c>
      <c r="AJ227">
        <f>(((K227/10^6)*AZ227)*(Q227/1000))/(0.082056*H227)</f>
        <v>9.9813408891088209E-7</v>
      </c>
      <c r="AK227">
        <f>(X227/10^6)*T227*(R227/1000)</f>
        <v>5.5790349124304408E-6</v>
      </c>
      <c r="AL227">
        <f>AI227+AK227</f>
        <v>5.9108933928379928E-6</v>
      </c>
      <c r="AM227" s="39">
        <f>((AL227-AJ227)/(R227/1000))*1000000</f>
        <v>4.3094379859009742</v>
      </c>
      <c r="AN227" s="39">
        <f>AM227/(T227*AZ227)</f>
        <v>128.68161536068797</v>
      </c>
      <c r="AO227" s="39">
        <f>(K227*AZ227)*T227</f>
        <v>14.71940299350366</v>
      </c>
      <c r="AP227" s="39">
        <f>AM227-AO227</f>
        <v>-10.409965007602686</v>
      </c>
      <c r="AQ227">
        <f>(((AH227/10^6)*(Q227/1000))/(0.082056*H227))</f>
        <v>6.3058270590483153E-10</v>
      </c>
      <c r="AR227">
        <f>(((M227/10^6)*AZ227)*(Q227/1000))/(0.082056*H227)</f>
        <v>7.3206545663971688E-10</v>
      </c>
      <c r="AS227">
        <f>(AH227/10^6)*V227*(R227/1000)</f>
        <v>7.7735513544434264E-9</v>
      </c>
      <c r="AT227">
        <f>AQ227+AS227</f>
        <v>8.4041340603482587E-9</v>
      </c>
      <c r="AU227" s="39">
        <f>((AT227-AR227)/(R227/1000))*1000000000</f>
        <v>6.729884740095212</v>
      </c>
      <c r="AV227" s="39">
        <f>(AU227/1000)/(V227*AZ227)</f>
        <v>0.2740515341555681</v>
      </c>
      <c r="AW227" s="39">
        <f>(M227*AZ227)*V227*1000</f>
        <v>7.9163042911895163</v>
      </c>
      <c r="AX227" s="39">
        <f>AU227-AW227</f>
        <v>-1.1864195510943043</v>
      </c>
      <c r="AY227" s="26">
        <f>VLOOKUP($E227,Water!$C$2:$G$90, 5, FALSE)</f>
        <v>697.6</v>
      </c>
      <c r="AZ227">
        <f>AY227/760</f>
        <v>0.91789473684210532</v>
      </c>
      <c r="BA227" s="3">
        <f>Assumptions!$B$3</f>
        <v>406.07</v>
      </c>
      <c r="BB227" s="3">
        <f>BA227*AZ227*T227</f>
        <v>13.598939351435982</v>
      </c>
      <c r="BC227" s="3">
        <f>Assumptions!$B$4</f>
        <v>1.8474300000000001</v>
      </c>
      <c r="BD227" s="45">
        <f>BC227*AZ227*U227*1/(0.0821*273.15)</f>
        <v>2.5015130646495504E-3</v>
      </c>
      <c r="BE227" s="3">
        <f>Assumptions!$B$2</f>
        <v>0.33054499999999998</v>
      </c>
      <c r="BF227" s="44">
        <f>BE227*AZ227*V227*1000</f>
        <v>8.1171950314716899</v>
      </c>
      <c r="BG227">
        <f>1923.6+(-125.06*F227)+(4.3773*(F227^2))+(-0.085681*(F227^3))+(0.00070284*(F227^4))</f>
        <v>532.55413577318382</v>
      </c>
      <c r="BH227">
        <f>1909.4+(-120.78*F227)+(4.1555*(F227^2))+(-0.080578*(F227^3))+(0.00065777*(F227^4))</f>
        <v>548.94358563635228</v>
      </c>
      <c r="BI227">
        <f>2141.2+(-152.56*F227)+(5.8963*(F227^2))+(-0.12411*(F227^3))+(0.0010655*(F227^4))</f>
        <v>555.71215585279992</v>
      </c>
      <c r="BJ227" s="25">
        <f>VLOOKUP(E227,Wind!$C$2:$E$109,3, FALSE)</f>
        <v>1.9722222222222221</v>
      </c>
      <c r="BK227" s="44">
        <v>1.66</v>
      </c>
      <c r="BL227">
        <f>BK227/(1-(((1.3*10^-3)^0.5)/0.41)*LN(10/1.5))</f>
        <v>1.9923982880693825</v>
      </c>
      <c r="BM227">
        <f>BK227*1.22</f>
        <v>2.0251999999999999</v>
      </c>
      <c r="BN227">
        <f>2.07+0.215*(BM227^1.7)*(24/100)</f>
        <v>2.241255750541113</v>
      </c>
      <c r="BO227">
        <f>BN227*((600/BG227)^0.67)</f>
        <v>2.4276665494645262</v>
      </c>
      <c r="BP227">
        <f>BN227*((600/BH227)^0.67)</f>
        <v>2.3788616538456253</v>
      </c>
      <c r="BQ227">
        <f>BN227*((600/BI227)^0.67)</f>
        <v>2.3594095001386743</v>
      </c>
      <c r="BR227" s="39">
        <f>BO227*(AM227-BB227)</f>
        <v>-22.551811726314376</v>
      </c>
      <c r="BS227" s="39">
        <f>BP227*(AD227-BD227)</f>
        <v>2.2119397168115893</v>
      </c>
      <c r="BT227" s="39">
        <f>BQ227*(AU227-BF227)</f>
        <v>-3.2732330811138142</v>
      </c>
      <c r="BU227">
        <f>(2.51+1.48*BM227)+(0.39*BM227*LOG10(0.0015))</f>
        <v>3.2768938069574309</v>
      </c>
      <c r="BV227">
        <f>BU227*((600/$BG227)^0.67)</f>
        <v>3.5494411913398873</v>
      </c>
      <c r="BW227">
        <f>BU227*((600/$BH227)^0.67)</f>
        <v>3.4780845600566579</v>
      </c>
      <c r="BX227">
        <f>BU227*((600/$BI227)^0.67)</f>
        <v>3.4496439673224719</v>
      </c>
      <c r="BY227" s="39">
        <f>BV227*($AM227-$BB227)</f>
        <v>-32.97253879383809</v>
      </c>
      <c r="BZ227" s="39">
        <f>BW227*($AD227-$BD227)</f>
        <v>3.2340314386848061</v>
      </c>
      <c r="CA227" s="39">
        <f>BX227*($AU227-$BF227)</f>
        <v>-4.7857265774512481</v>
      </c>
      <c r="CB227" s="42">
        <f>AVERAGE(0.72,0.69,0.4,0.22)</f>
        <v>0.50750000000000006</v>
      </c>
      <c r="CC227">
        <f>CB227*((600/$BG227)^0.67)</f>
        <v>0.54971003356301129</v>
      </c>
      <c r="CD227">
        <f>CB227*((600/$BH227)^0.67)</f>
        <v>0.53865886971407873</v>
      </c>
      <c r="CE227">
        <f>CB227*((600/$BI227)^0.67)</f>
        <v>0.53425421040471865</v>
      </c>
      <c r="CF227" s="39">
        <f>CC227*($AM227-$BB227)</f>
        <v>-5.1065321074318888</v>
      </c>
      <c r="CG227" s="39">
        <f>CD227*($AD227-$BD227)</f>
        <v>0.50086180749825582</v>
      </c>
      <c r="CH227" s="39">
        <f>CE227*($AU227-$BF227)</f>
        <v>-0.74117636430568035</v>
      </c>
      <c r="CI227">
        <v>50.862639018895301</v>
      </c>
      <c r="CJ227">
        <f>((BG227/BH227)^0.67)*CI227</f>
        <v>49.840115646084264</v>
      </c>
      <c r="CK227">
        <f>((BH227/BH227)^0.67)*CI227</f>
        <v>50.862639018895301</v>
      </c>
      <c r="CL227">
        <f>((BI227/BH227)^0.67)*CI227</f>
        <v>51.281976091191815</v>
      </c>
      <c r="CM227" s="39">
        <f>CJ227*($AM227-$BB227)</f>
        <v>-462.98982235272251</v>
      </c>
      <c r="CN227" s="39">
        <f>CK227*($AD227-$BD227)</f>
        <v>47.293667189881198</v>
      </c>
      <c r="CO227" s="39">
        <f>CL227*($AU227-$BF227)</f>
        <v>-71.144013193432883</v>
      </c>
      <c r="CP227" s="27">
        <f>VLOOKUP(A227,Water!$A$2:$E$109, 5, FALSE)/1000</f>
        <v>2.0999999999999998E-4</v>
      </c>
      <c r="CQ227">
        <f>0.64*CP227</f>
        <v>1.3439999999999999E-4</v>
      </c>
      <c r="CR227" s="19">
        <f>CQ227*1000*(2.5*10^-5)</f>
        <v>3.36E-6</v>
      </c>
      <c r="CS227" s="18">
        <f>(-0.0000009*F227^3)+(0.0002*F227^2)-(0.0134*F227)+6.579</f>
        <v>6.3690765184</v>
      </c>
      <c r="CT227" s="18">
        <f>CS227-(SQRT(CP227))/(1+1.4*SQRT(CP227))</f>
        <v>6.3548732956073088</v>
      </c>
      <c r="CU227" s="18">
        <f>10^(-CT227)</f>
        <v>4.4169929328612876E-7</v>
      </c>
      <c r="CV227" s="18">
        <f>(0.000001*F227^3)+(0.00006*F227^2)-(0.014*F227)+10.625</f>
        <v>10.352745024000001</v>
      </c>
      <c r="CW227" s="18">
        <f>CV227-(2*SQRT(CR227))/(1+1.4*SQRT(CR227))</f>
        <v>10.349088347362626</v>
      </c>
      <c r="CX227" s="18">
        <f>10^(-CW227)</f>
        <v>4.4762223632183904E-11</v>
      </c>
      <c r="CY227">
        <f>EXP(1246.98+-61900/H227-183*LN(H227))</f>
        <v>2.9676907565234247E-2</v>
      </c>
      <c r="CZ227">
        <f>12.225*(F227^2)+15.258*F227+1125.7</f>
        <v>7601.4951999999985</v>
      </c>
      <c r="DA227" s="15">
        <f>10^(-4470.99/H227+6.0875-0.01706*H227)</f>
        <v>8.2741401037449041E-15</v>
      </c>
      <c r="DB227">
        <f>(10^-I227)</f>
        <v>7.2443596007498811E-11</v>
      </c>
      <c r="DC227">
        <f>DB227^2</f>
        <v>5.2480746024976979E-21</v>
      </c>
      <c r="DD227" s="20">
        <f>((14.6836*10^-9)*((H227/217.2056)-1)^1.997)*100*100</f>
        <v>1.9161743221033059E-5</v>
      </c>
      <c r="DE227">
        <f>CY227+CZ227*DA227/DB227</f>
        <v>0.89788113470263198</v>
      </c>
      <c r="DF227">
        <f>1+DC227*(CU227*CX227+CU227*DB227)^-1</f>
        <v>1.0001013734248809</v>
      </c>
      <c r="DG227">
        <f>(DE227*DF227/DD227)^0.5</f>
        <v>216.47807989061337</v>
      </c>
      <c r="DH227">
        <f>DD227/(BO227/60/60)</f>
        <v>2.8415053793501632E-2</v>
      </c>
      <c r="DI227" s="16">
        <f>DF227/((DF227-1)+TANH(DG227*DH227)/(DG227*DH227))</f>
        <v>6.1480819165636058</v>
      </c>
      <c r="DJ227">
        <f>$DI227*BR227</f>
        <v>-138.6503858603005</v>
      </c>
      <c r="DK227">
        <f>$DI227*BY227</f>
        <v>-202.71786950158793</v>
      </c>
      <c r="DL227">
        <f>$DI227*CF227</f>
        <v>-31.395377706053434</v>
      </c>
      <c r="DM227">
        <f>$DI227*CM227</f>
        <v>-2846.4993543597698</v>
      </c>
    </row>
    <row r="228" spans="1:117" ht="15.75" x14ac:dyDescent="0.25">
      <c r="A228" s="52" t="s">
        <v>333</v>
      </c>
      <c r="B228" s="55" t="s">
        <v>341</v>
      </c>
      <c r="C228" s="69" t="s">
        <v>497</v>
      </c>
      <c r="D228" s="57">
        <v>43291</v>
      </c>
      <c r="E228" s="42" t="str">
        <f>A228&amp;D228</f>
        <v>61C43291</v>
      </c>
      <c r="F228" s="3">
        <f>VLOOKUP($E228,Water!$C$2:$E$90, 2, FALSE)</f>
        <v>22.4</v>
      </c>
      <c r="G228" s="3">
        <f>VLOOKUP($E228,Water!$C$2:$E$90, 3, FALSE)</f>
        <v>0.24</v>
      </c>
      <c r="H228" s="1">
        <f>F228+273.15</f>
        <v>295.54999999999995</v>
      </c>
      <c r="I228" s="3">
        <f>VLOOKUP($E228,Water!$C$2:$F$90, 4, FALSE)</f>
        <v>10.14</v>
      </c>
      <c r="J228">
        <f>10^(I228*-1)</f>
        <v>7.2443596007498811E-11</v>
      </c>
      <c r="K228" s="25">
        <v>439.52751160265137</v>
      </c>
      <c r="L228" s="25">
        <v>2.8430237635924795</v>
      </c>
      <c r="M228" s="25">
        <v>0.32236441181786135</v>
      </c>
      <c r="N228" s="21">
        <f>VLOOKUP($C228,Raw!$B$2:$F$353, 3, FALSE)</f>
        <v>76.046999999999997</v>
      </c>
      <c r="O228" s="21">
        <f>VLOOKUP($C228,Raw!$B$2:$F$353, 4, FALSE)</f>
        <v>258.08600000000001</v>
      </c>
      <c r="P228" s="21">
        <f>VLOOKUP($C228,Raw!$B$2:$F$353, 5, FALSE)</f>
        <v>0.29399999999999998</v>
      </c>
      <c r="Q228" s="14">
        <v>60</v>
      </c>
      <c r="R228" s="25">
        <v>1140</v>
      </c>
      <c r="S228">
        <f>EXP(24.4543-(100/H228*(67.4509))-(4.8489*LN(H228/100))-(0.000544*G228))</f>
        <v>2.6713409096005534E-2</v>
      </c>
      <c r="T228" s="8">
        <f>EXP(-58.0931+90.5069*(100/H228)+22.294*LN(H228/100)+G228*(0.027766-0.025888*(H228/100)+0.0050578*(H228/100)^2)*G228)</f>
        <v>3.6484739671426986E-2</v>
      </c>
      <c r="U228" s="9">
        <f>(EXP(-67.1962+99.1624*(100/H228)+27.9015*LN(H228/100)+G228*(-0.072909+0.041674*(H228/100)-0.0064603*(H228/100)^2)*G228))</f>
        <v>3.3081581705865351E-2</v>
      </c>
      <c r="V228" s="9">
        <f>(EXP(-64.8539+100.252*(100/H228)+25.2049*LN(H228/100)+(-0.062544+0.035337*(H228/100)-0.0054699*(H228/100)^2)*G228))</f>
        <v>2.6753617218692991E-2</v>
      </c>
      <c r="W228" s="9">
        <f>(EXP(-68.8862+101.4956*(100/H228)+28.7314*LN(H228/100)+G228*(-0.076146+0.04397*(H228/100)-0.0068672*(H228/100)^2)))</f>
        <v>3.3004005822779646E-2</v>
      </c>
      <c r="X228">
        <f>N228*(AZ228-S228)</f>
        <v>67.771666431107647</v>
      </c>
      <c r="Y228">
        <f>O228*(AZ228-S228)</f>
        <v>230.00142415267993</v>
      </c>
      <c r="Z228">
        <f>((Y228/10^6)*AZ228)/(0.082056*H228)</f>
        <v>8.7052670532405007E-6</v>
      </c>
      <c r="AA228">
        <f>(((L228/10^6)*AZ228)/(0.082056*H228))</f>
        <v>1.0760490371725834E-7</v>
      </c>
      <c r="AB228">
        <f>((Y228/10^6)*U228*1)/(0.082056*H228)</f>
        <v>3.1374404028497205E-7</v>
      </c>
      <c r="AC228">
        <f>(Z228*(Q228/1000))+(AB228*(R228/1000))</f>
        <v>8.7998422911929814E-7</v>
      </c>
      <c r="AD228" s="39">
        <f>((AC228-(AA228*(Q228/1000)))/(R228/1000))*1000000</f>
        <v>0.76625257447040585</v>
      </c>
      <c r="AE228" s="39">
        <f>(AD228/((U228*AZ228*1))*(0.0821*273.15))</f>
        <v>565.89670214342073</v>
      </c>
      <c r="AF228" s="39">
        <f>L228*U228*AZ228*1/(0.0821*273.15)</f>
        <v>3.8495970552257577E-3</v>
      </c>
      <c r="AG228" s="39">
        <f>AD228-AF228</f>
        <v>0.76240297741518004</v>
      </c>
      <c r="AH228" s="42">
        <f>P228*(AZ228-S228)</f>
        <v>0.26200731035735331</v>
      </c>
      <c r="AI228">
        <f>(((X228/10^6)*(Q228/1000))/(0.082056*H228))</f>
        <v>1.676710595662403E-7</v>
      </c>
      <c r="AJ228">
        <f>(((K228/10^6)*AZ228)*(Q228/1000))/(0.082056*H228)</f>
        <v>9.9813408891088209E-7</v>
      </c>
      <c r="AK228">
        <f>(X228/10^6)*T228*(R228/1000)</f>
        <v>2.8188000317950343E-6</v>
      </c>
      <c r="AL228">
        <f>AI228+AK228</f>
        <v>2.9864710913612743E-6</v>
      </c>
      <c r="AM228" s="39">
        <f>((AL228-AJ228)/(R228/1000))*1000000</f>
        <v>1.7441552653073618</v>
      </c>
      <c r="AN228" s="39">
        <f>AM228/(T228*AZ228)</f>
        <v>52.081203561553693</v>
      </c>
      <c r="AO228" s="39">
        <f>(K228*AZ228)*T228</f>
        <v>14.71940299350366</v>
      </c>
      <c r="AP228" s="39">
        <f>AM228-AO228</f>
        <v>-12.975247728196299</v>
      </c>
      <c r="AQ228">
        <f>(((AH228/10^6)*(Q228/1000))/(0.082056*H228))</f>
        <v>6.482213829930784E-10</v>
      </c>
      <c r="AR228">
        <f>(((M228/10^6)*AZ228)*(Q228/1000))/(0.082056*H228)</f>
        <v>7.3206545663971688E-10</v>
      </c>
      <c r="AS228">
        <f>(AH228/10^6)*V228*(R228/1000)</f>
        <v>7.9909933503719142E-9</v>
      </c>
      <c r="AT228">
        <f>AQ228+AS228</f>
        <v>8.6392147333649928E-9</v>
      </c>
      <c r="AU228" s="39">
        <f>((AT228-AR228)/(R228/1000))*1000000000</f>
        <v>6.936095856776558</v>
      </c>
      <c r="AV228" s="39">
        <f>(AU228/1000)/(V228*AZ228)</f>
        <v>0.28244877646638605</v>
      </c>
      <c r="AW228" s="39">
        <f>(M228*AZ228)*V228*1000</f>
        <v>7.9163042911895163</v>
      </c>
      <c r="AX228" s="39">
        <f>AU228-AW228</f>
        <v>-0.98020843441295824</v>
      </c>
      <c r="AY228" s="26">
        <f>VLOOKUP($E228,Water!$C$2:$G$90, 5, FALSE)</f>
        <v>697.6</v>
      </c>
      <c r="AZ228">
        <f>AY228/760</f>
        <v>0.91789473684210532</v>
      </c>
      <c r="BA228" s="3">
        <f>Assumptions!$B$3</f>
        <v>406.07</v>
      </c>
      <c r="BB228" s="3">
        <f>BA228*AZ228*T228</f>
        <v>13.598939351435982</v>
      </c>
      <c r="BC228" s="3">
        <f>Assumptions!$B$4</f>
        <v>1.8474300000000001</v>
      </c>
      <c r="BD228" s="45">
        <f>BC228*AZ228*U228*1/(0.0821*273.15)</f>
        <v>2.5015130646495504E-3</v>
      </c>
      <c r="BE228" s="3">
        <f>Assumptions!$B$2</f>
        <v>0.33054499999999998</v>
      </c>
      <c r="BF228" s="44">
        <f>BE228*AZ228*V228*1000</f>
        <v>8.1171950314716899</v>
      </c>
      <c r="BG228">
        <f>1923.6+(-125.06*F228)+(4.3773*(F228^2))+(-0.085681*(F228^3))+(0.00070284*(F228^4))</f>
        <v>532.55413577318382</v>
      </c>
      <c r="BH228">
        <f>1909.4+(-120.78*F228)+(4.1555*(F228^2))+(-0.080578*(F228^3))+(0.00065777*(F228^4))</f>
        <v>548.94358563635228</v>
      </c>
      <c r="BI228">
        <f>2141.2+(-152.56*F228)+(5.8963*(F228^2))+(-0.12411*(F228^3))+(0.0010655*(F228^4))</f>
        <v>555.71215585279992</v>
      </c>
      <c r="BJ228" s="25">
        <f>VLOOKUP(E228,Wind!$C$2:$E$109,3, FALSE)</f>
        <v>1.9722222222222221</v>
      </c>
      <c r="BK228" s="44">
        <v>1.66</v>
      </c>
      <c r="BL228">
        <f>BK228/(1-(((1.3*10^-3)^0.5)/0.41)*LN(10/1.5))</f>
        <v>1.9923982880693825</v>
      </c>
      <c r="BM228">
        <f>BK228*1.22</f>
        <v>2.0251999999999999</v>
      </c>
      <c r="BN228">
        <f>2.07+0.215*(BM228^1.7)*(24/100)</f>
        <v>2.241255750541113</v>
      </c>
      <c r="BO228">
        <f>BN228*((600/BG228)^0.67)</f>
        <v>2.4276665494645262</v>
      </c>
      <c r="BP228">
        <f>BN228*((600/BH228)^0.67)</f>
        <v>2.3788616538456253</v>
      </c>
      <c r="BQ228">
        <f>BN228*((600/BI228)^0.67)</f>
        <v>2.3594095001386743</v>
      </c>
      <c r="BR228" s="39">
        <f>BO228*(AM228-BB228)</f>
        <v>-28.779462777018846</v>
      </c>
      <c r="BS228" s="39">
        <f>BP228*(AD228-BD228)</f>
        <v>1.8168581130620491</v>
      </c>
      <c r="BT228" s="39">
        <f>BQ228*(AU228-BF228)</f>
        <v>-2.7866966133816415</v>
      </c>
      <c r="BU228">
        <f>(2.51+1.48*BM228)+(0.39*BM228*LOG10(0.0015))</f>
        <v>3.2768938069574309</v>
      </c>
      <c r="BV228">
        <f>BU228*((600/$BG228)^0.67)</f>
        <v>3.5494411913398873</v>
      </c>
      <c r="BW228">
        <f>BU228*((600/$BH228)^0.67)</f>
        <v>3.4780845600566579</v>
      </c>
      <c r="BX228">
        <f>BU228*((600/$BI228)^0.67)</f>
        <v>3.4496439673224719</v>
      </c>
      <c r="BY228" s="39">
        <f>BV228*($AM228-$BB228)</f>
        <v>-42.077858949745512</v>
      </c>
      <c r="BZ228" s="39">
        <f>BW228*($AD228-$BD228)</f>
        <v>2.6563907744022455</v>
      </c>
      <c r="CA228" s="39">
        <f>BX228*($AU228-$BF228)</f>
        <v>-4.0743716427966117</v>
      </c>
      <c r="CB228" s="42">
        <f>AVERAGE(0.72,0.69,0.4,0.22)</f>
        <v>0.50750000000000006</v>
      </c>
      <c r="CC228">
        <f>CB228*((600/$BG228)^0.67)</f>
        <v>0.54971003356301129</v>
      </c>
      <c r="CD228">
        <f>CB228*((600/$BH228)^0.67)</f>
        <v>0.53865886971407873</v>
      </c>
      <c r="CE228">
        <f>CB228*((600/$BI228)^0.67)</f>
        <v>0.53425421040471865</v>
      </c>
      <c r="CF228" s="39">
        <f>CC228*($AM228-$BB228)</f>
        <v>-6.5166937578680164</v>
      </c>
      <c r="CG228" s="39">
        <f>CD228*($AD228-$BD228)</f>
        <v>0.41140128347975263</v>
      </c>
      <c r="CH228" s="39">
        <f>CE228*($AU228-$BF228)</f>
        <v>-0.63100720698641255</v>
      </c>
      <c r="CI228">
        <v>51.862639018895301</v>
      </c>
      <c r="CJ228">
        <f>((BG228/BH228)^0.67)*CI228</f>
        <v>50.820012022038505</v>
      </c>
      <c r="CK228">
        <f>((BH228/BH228)^0.67)*CI228</f>
        <v>51.862639018895301</v>
      </c>
      <c r="CL228">
        <f>((BI228/BH228)^0.67)*CI228</f>
        <v>52.290220592074689</v>
      </c>
      <c r="CM228" s="39">
        <f>CJ228*($AM228-$BB228)</f>
        <v>-602.46026977572728</v>
      </c>
      <c r="CN228" s="39">
        <f>CK228*($AD228-$BD228)</f>
        <v>39.610145597984882</v>
      </c>
      <c r="CO228" s="39">
        <f>CL228*($AU228-$BF228)</f>
        <v>-61.759936385925805</v>
      </c>
      <c r="CP228" s="27">
        <f>VLOOKUP(A228,Water!$A$2:$E$109, 5, FALSE)/1000</f>
        <v>2.0999999999999998E-4</v>
      </c>
      <c r="CQ228">
        <f>0.64*CP228</f>
        <v>1.3439999999999999E-4</v>
      </c>
      <c r="CR228" s="19">
        <f>CQ228*1000*(2.5*10^-5)</f>
        <v>3.36E-6</v>
      </c>
      <c r="CS228" s="18">
        <f>(-0.0000009*F228^3)+(0.0002*F228^2)-(0.0134*F228)+6.579</f>
        <v>6.3690765184</v>
      </c>
      <c r="CT228" s="18">
        <f>CS228-(SQRT(CP228))/(1+1.4*SQRT(CP228))</f>
        <v>6.3548732956073088</v>
      </c>
      <c r="CU228" s="18">
        <f>10^(-CT228)</f>
        <v>4.4169929328612876E-7</v>
      </c>
      <c r="CV228" s="18">
        <f>(0.000001*F228^3)+(0.00006*F228^2)-(0.014*F228)+10.625</f>
        <v>10.352745024000001</v>
      </c>
      <c r="CW228" s="18">
        <f>CV228-(2*SQRT(CR228))/(1+1.4*SQRT(CR228))</f>
        <v>10.349088347362626</v>
      </c>
      <c r="CX228" s="18">
        <f>10^(-CW228)</f>
        <v>4.4762223632183904E-11</v>
      </c>
      <c r="CY228">
        <f>EXP(1246.98+-61900/H228-183*LN(H228))</f>
        <v>2.9676907565234247E-2</v>
      </c>
      <c r="CZ228">
        <f>12.225*(F228^2)+15.258*F228+1125.7</f>
        <v>7601.4951999999985</v>
      </c>
      <c r="DA228" s="15">
        <f>10^(-4470.99/H228+6.0875-0.01706*H228)</f>
        <v>8.2741401037449041E-15</v>
      </c>
      <c r="DB228">
        <f>(10^-I228)</f>
        <v>7.2443596007498811E-11</v>
      </c>
      <c r="DC228">
        <f>DB228^2</f>
        <v>5.2480746024976979E-21</v>
      </c>
      <c r="DD228" s="20">
        <f>((14.6836*10^-9)*((H228/217.2056)-1)^1.997)*100*100</f>
        <v>1.9161743221033059E-5</v>
      </c>
      <c r="DE228">
        <f>CY228+CZ228*DA228/DB228</f>
        <v>0.89788113470263198</v>
      </c>
      <c r="DF228">
        <f>1+DC228*(CU228*CX228+CU228*DB228)^-1</f>
        <v>1.0001013734248809</v>
      </c>
      <c r="DG228">
        <f>(DE228*DF228/DD228)^0.5</f>
        <v>216.47807989061337</v>
      </c>
      <c r="DH228">
        <f>DD228/(BO228/60/60)</f>
        <v>2.8415053793501632E-2</v>
      </c>
      <c r="DI228" s="16">
        <f>DF228/((DF228-1)+TANH(DG228*DH228)/(DG228*DH228))</f>
        <v>6.1480819165636058</v>
      </c>
      <c r="DJ228">
        <f>$DI228*BR228</f>
        <v>-176.93849466780497</v>
      </c>
      <c r="DK228">
        <f>$DI228*BY228</f>
        <v>-258.69812369664447</v>
      </c>
      <c r="DL228">
        <f>$DI228*CF228</f>
        <v>-40.065167048531279</v>
      </c>
      <c r="DM228">
        <f>$DI228*CM228</f>
        <v>-3703.9750900561803</v>
      </c>
    </row>
    <row r="229" spans="1:117" ht="15.75" x14ac:dyDescent="0.25">
      <c r="A229" s="52" t="s">
        <v>333</v>
      </c>
      <c r="B229" s="55" t="s">
        <v>342</v>
      </c>
      <c r="C229" s="69" t="s">
        <v>498</v>
      </c>
      <c r="D229" s="57">
        <v>43291</v>
      </c>
      <c r="E229" s="42" t="str">
        <f>A229&amp;D229</f>
        <v>61C43291</v>
      </c>
      <c r="F229" s="3">
        <f>VLOOKUP($E229,Water!$C$2:$E$90, 2, FALSE)</f>
        <v>22.4</v>
      </c>
      <c r="G229" s="3">
        <f>VLOOKUP($E229,Water!$C$2:$E$90, 3, FALSE)</f>
        <v>0.24</v>
      </c>
      <c r="H229" s="1">
        <f>F229+273.15</f>
        <v>295.54999999999995</v>
      </c>
      <c r="I229" s="3">
        <f>VLOOKUP($E229,Water!$C$2:$F$90, 4, FALSE)</f>
        <v>10.14</v>
      </c>
      <c r="J229">
        <f>10^(I229*-1)</f>
        <v>7.2443596007498811E-11</v>
      </c>
      <c r="K229" s="25">
        <v>439.52751160265137</v>
      </c>
      <c r="L229" s="25">
        <v>2.8430237635924795</v>
      </c>
      <c r="M229" s="25">
        <v>0.32236441181786135</v>
      </c>
      <c r="N229" s="21" t="str">
        <f>VLOOKUP($C229,Raw!$B$2:$F$353, 3, FALSE)</f>
        <v>NA</v>
      </c>
      <c r="O229" s="21" t="str">
        <f>VLOOKUP($C229,Raw!$B$2:$F$353, 4, FALSE)</f>
        <v>NA</v>
      </c>
      <c r="P229" s="21" t="str">
        <f>VLOOKUP($C229,Raw!$B$2:$F$353, 5, FALSE)</f>
        <v>NA</v>
      </c>
      <c r="Q229" s="14">
        <v>60</v>
      </c>
      <c r="R229" s="25">
        <v>1140</v>
      </c>
      <c r="S229">
        <f>EXP(24.4543-(100/H229*(67.4509))-(4.8489*LN(H229/100))-(0.000544*G229))</f>
        <v>2.6713409096005534E-2</v>
      </c>
      <c r="T229" s="8">
        <f>EXP(-58.0931+90.5069*(100/H229)+22.294*LN(H229/100)+G229*(0.027766-0.025888*(H229/100)+0.0050578*(H229/100)^2)*G229)</f>
        <v>3.6484739671426986E-2</v>
      </c>
      <c r="U229" s="9">
        <f>(EXP(-67.1962+99.1624*(100/H229)+27.9015*LN(H229/100)+G229*(-0.072909+0.041674*(H229/100)-0.0064603*(H229/100)^2)*G229))</f>
        <v>3.3081581705865351E-2</v>
      </c>
      <c r="V229" s="9">
        <f>(EXP(-64.8539+100.252*(100/H229)+25.2049*LN(H229/100)+(-0.062544+0.035337*(H229/100)-0.0054699*(H229/100)^2)*G229))</f>
        <v>2.6753617218692991E-2</v>
      </c>
      <c r="W229" s="9">
        <f>(EXP(-68.8862+101.4956*(100/H229)+28.7314*LN(H229/100)+G229*(-0.076146+0.04397*(H229/100)-0.0068672*(H229/100)^2)))</f>
        <v>3.3004005822779646E-2</v>
      </c>
      <c r="X229" t="e">
        <f>N229*(AZ229-S229)</f>
        <v>#VALUE!</v>
      </c>
      <c r="Y229" t="e">
        <f>O229*(AZ229-S229)</f>
        <v>#VALUE!</v>
      </c>
      <c r="Z229" t="e">
        <f>((Y229/10^6)*AZ229)/(0.082056*H229)</f>
        <v>#VALUE!</v>
      </c>
      <c r="AA229">
        <f>(((L229/10^6)*AZ229)/(0.082056*H229))</f>
        <v>1.0760490371725834E-7</v>
      </c>
      <c r="AB229" t="e">
        <f>((Y229/10^6)*U229*1)/(0.082056*H229)</f>
        <v>#VALUE!</v>
      </c>
      <c r="AC229" t="e">
        <f>(Z229*(Q229/1000))+(AB229*(R229/1000))</f>
        <v>#VALUE!</v>
      </c>
      <c r="AD229" s="39" t="e">
        <f>((AC229-(AA229*(Q229/1000)))/(R229/1000))*1000000</f>
        <v>#VALUE!</v>
      </c>
      <c r="AE229" s="39" t="e">
        <f>(AD229/((U229*AZ229*1))*(0.0821*273.15))</f>
        <v>#VALUE!</v>
      </c>
      <c r="AF229" s="39">
        <f>L229*U229*AZ229*1/(0.0821*273.15)</f>
        <v>3.8495970552257577E-3</v>
      </c>
      <c r="AG229" s="39" t="e">
        <f>AD229-AF229</f>
        <v>#VALUE!</v>
      </c>
      <c r="AH229" s="42" t="e">
        <f>P229*(AZ229-S229)</f>
        <v>#VALUE!</v>
      </c>
      <c r="AI229" t="e">
        <f>(((X229/10^6)*(Q229/1000))/(0.082056*H229))</f>
        <v>#VALUE!</v>
      </c>
      <c r="AJ229">
        <f>(((K229/10^6)*AZ229)*(Q229/1000))/(0.082056*H229)</f>
        <v>9.9813408891088209E-7</v>
      </c>
      <c r="AK229" t="e">
        <f>(X229/10^6)*T229*(R229/1000)</f>
        <v>#VALUE!</v>
      </c>
      <c r="AL229" t="e">
        <f>AI229+AK229</f>
        <v>#VALUE!</v>
      </c>
      <c r="AM229" s="39" t="e">
        <f>((AL229-AJ229)/(R229/1000))*1000000</f>
        <v>#VALUE!</v>
      </c>
      <c r="AN229" s="39" t="e">
        <f>AM229/(T229*AZ229)</f>
        <v>#VALUE!</v>
      </c>
      <c r="AO229" s="39">
        <f>(K229*AZ229)*T229</f>
        <v>14.71940299350366</v>
      </c>
      <c r="AP229" s="39" t="e">
        <f>AM229-AO229</f>
        <v>#VALUE!</v>
      </c>
      <c r="AQ229" t="e">
        <f>(((AH229/10^6)*(Q229/1000))/(0.082056*H229))</f>
        <v>#VALUE!</v>
      </c>
      <c r="AR229">
        <f>(((M229/10^6)*AZ229)*(Q229/1000))/(0.082056*H229)</f>
        <v>7.3206545663971688E-10</v>
      </c>
      <c r="AS229" t="e">
        <f>(AH229/10^6)*V229*(R229/1000)</f>
        <v>#VALUE!</v>
      </c>
      <c r="AT229" t="e">
        <f>AQ229+AS229</f>
        <v>#VALUE!</v>
      </c>
      <c r="AU229" s="39" t="e">
        <f>((AT229-AR229)/(R229/1000))*1000000000</f>
        <v>#VALUE!</v>
      </c>
      <c r="AV229" s="39" t="e">
        <f>(AU229/1000)/(V229*AZ229)</f>
        <v>#VALUE!</v>
      </c>
      <c r="AW229" s="39">
        <f>(M229*AZ229)*V229*1000</f>
        <v>7.9163042911895163</v>
      </c>
      <c r="AX229" s="39" t="e">
        <f>AU229-AW229</f>
        <v>#VALUE!</v>
      </c>
      <c r="AY229" s="26">
        <f>VLOOKUP($E229,Water!$C$2:$G$90, 5, FALSE)</f>
        <v>697.6</v>
      </c>
      <c r="AZ229">
        <f>AY229/760</f>
        <v>0.91789473684210532</v>
      </c>
      <c r="BA229" s="3">
        <f>Assumptions!$B$3</f>
        <v>406.07</v>
      </c>
      <c r="BB229" s="3">
        <f>BA229*AZ229*T229</f>
        <v>13.598939351435982</v>
      </c>
      <c r="BC229" s="3">
        <f>Assumptions!$B$4</f>
        <v>1.8474300000000001</v>
      </c>
      <c r="BD229" s="45">
        <f>BC229*AZ229*U229*1/(0.0821*273.15)</f>
        <v>2.5015130646495504E-3</v>
      </c>
      <c r="BE229" s="3">
        <f>Assumptions!$B$2</f>
        <v>0.33054499999999998</v>
      </c>
      <c r="BF229" s="44">
        <f>BE229*AZ229*V229*1000</f>
        <v>8.1171950314716899</v>
      </c>
      <c r="BG229">
        <f>1923.6+(-125.06*F229)+(4.3773*(F229^2))+(-0.085681*(F229^3))+(0.00070284*(F229^4))</f>
        <v>532.55413577318382</v>
      </c>
      <c r="BH229">
        <f>1909.4+(-120.78*F229)+(4.1555*(F229^2))+(-0.080578*(F229^3))+(0.00065777*(F229^4))</f>
        <v>548.94358563635228</v>
      </c>
      <c r="BI229">
        <f>2141.2+(-152.56*F229)+(5.8963*(F229^2))+(-0.12411*(F229^3))+(0.0010655*(F229^4))</f>
        <v>555.71215585279992</v>
      </c>
      <c r="BJ229" s="25">
        <f>VLOOKUP(E229,Wind!$C$2:$E$109,3, FALSE)</f>
        <v>1.9722222222222221</v>
      </c>
      <c r="BK229" s="44">
        <v>1.66</v>
      </c>
      <c r="BL229">
        <f>BK229/(1-(((1.3*10^-3)^0.5)/0.41)*LN(10/1.5))</f>
        <v>1.9923982880693825</v>
      </c>
      <c r="BM229">
        <f>BK229*1.22</f>
        <v>2.0251999999999999</v>
      </c>
      <c r="BN229">
        <f>2.07+0.215*(BM229^1.7)*(24/100)</f>
        <v>2.241255750541113</v>
      </c>
      <c r="BO229">
        <f>BN229*((600/BG229)^0.67)</f>
        <v>2.4276665494645262</v>
      </c>
      <c r="BP229">
        <f>BN229*((600/BH229)^0.67)</f>
        <v>2.3788616538456253</v>
      </c>
      <c r="BQ229">
        <f>BN229*((600/BI229)^0.67)</f>
        <v>2.3594095001386743</v>
      </c>
      <c r="BR229" s="39" t="e">
        <f>BO229*(AM229-BB229)</f>
        <v>#VALUE!</v>
      </c>
      <c r="BS229" s="39" t="e">
        <f>BP229*(AD229-BD229)</f>
        <v>#VALUE!</v>
      </c>
      <c r="BT229" s="39" t="e">
        <f>BQ229*(AU229-BF229)</f>
        <v>#VALUE!</v>
      </c>
      <c r="BU229">
        <f>(2.51+1.48*BM229)+(0.39*BM229*LOG10(0.0015))</f>
        <v>3.2768938069574309</v>
      </c>
      <c r="BV229">
        <f>BU229*((600/$BG229)^0.67)</f>
        <v>3.5494411913398873</v>
      </c>
      <c r="BW229">
        <f>BU229*((600/$BH229)^0.67)</f>
        <v>3.4780845600566579</v>
      </c>
      <c r="BX229">
        <f>BU229*((600/$BI229)^0.67)</f>
        <v>3.4496439673224719</v>
      </c>
      <c r="BY229" s="39" t="e">
        <f>BV229*($AM229-$BB229)</f>
        <v>#VALUE!</v>
      </c>
      <c r="BZ229" s="39" t="e">
        <f>BW229*($AD229-$BD229)</f>
        <v>#VALUE!</v>
      </c>
      <c r="CA229" s="39" t="e">
        <f>BX229*($AU229-$BF229)</f>
        <v>#VALUE!</v>
      </c>
      <c r="CB229" s="42">
        <f>AVERAGE(0.72,0.69,0.4,0.22)</f>
        <v>0.50750000000000006</v>
      </c>
      <c r="CC229">
        <f>CB229*((600/$BG229)^0.67)</f>
        <v>0.54971003356301129</v>
      </c>
      <c r="CD229">
        <f>CB229*((600/$BH229)^0.67)</f>
        <v>0.53865886971407873</v>
      </c>
      <c r="CE229">
        <f>CB229*((600/$BI229)^0.67)</f>
        <v>0.53425421040471865</v>
      </c>
      <c r="CF229" s="39" t="e">
        <f>CC229*($AM229-$BB229)</f>
        <v>#VALUE!</v>
      </c>
      <c r="CG229" s="39" t="e">
        <f>CD229*($AD229-$BD229)</f>
        <v>#VALUE!</v>
      </c>
      <c r="CH229" s="39" t="e">
        <f>CE229*($AU229-$BF229)</f>
        <v>#VALUE!</v>
      </c>
      <c r="CI229">
        <v>52.862639018895301</v>
      </c>
      <c r="CJ229">
        <f>((BG229/BH229)^0.67)*CI229</f>
        <v>51.799908397992745</v>
      </c>
      <c r="CK229">
        <f>((BH229/BH229)^0.67)*CI229</f>
        <v>52.862639018895301</v>
      </c>
      <c r="CL229">
        <f>((BI229/BH229)^0.67)*CI229</f>
        <v>53.298465092957564</v>
      </c>
      <c r="CM229" s="39" t="e">
        <f>CJ229*($AM229-$BB229)</f>
        <v>#VALUE!</v>
      </c>
      <c r="CN229" s="39" t="e">
        <f>CK229*($AD229-$BD229)</f>
        <v>#VALUE!</v>
      </c>
      <c r="CO229" s="39" t="e">
        <f>CL229*($AU229-$BF229)</f>
        <v>#VALUE!</v>
      </c>
      <c r="CP229" s="27">
        <f>VLOOKUP(A229,Water!$A$2:$E$109, 5, FALSE)/1000</f>
        <v>2.0999999999999998E-4</v>
      </c>
      <c r="CQ229">
        <f>0.64*CP229</f>
        <v>1.3439999999999999E-4</v>
      </c>
      <c r="CR229" s="19">
        <f>CQ229*1000*(2.5*10^-5)</f>
        <v>3.36E-6</v>
      </c>
      <c r="CS229" s="18">
        <f>(-0.0000009*F229^3)+(0.0002*F229^2)-(0.0134*F229)+6.579</f>
        <v>6.3690765184</v>
      </c>
      <c r="CT229" s="18">
        <f>CS229-(SQRT(CP229))/(1+1.4*SQRT(CP229))</f>
        <v>6.3548732956073088</v>
      </c>
      <c r="CU229" s="18">
        <f>10^(-CT229)</f>
        <v>4.4169929328612876E-7</v>
      </c>
      <c r="CV229" s="18">
        <f>(0.000001*F229^3)+(0.00006*F229^2)-(0.014*F229)+10.625</f>
        <v>10.352745024000001</v>
      </c>
      <c r="CW229" s="18">
        <f>CV229-(2*SQRT(CR229))/(1+1.4*SQRT(CR229))</f>
        <v>10.349088347362626</v>
      </c>
      <c r="CX229" s="18">
        <f>10^(-CW229)</f>
        <v>4.4762223632183904E-11</v>
      </c>
      <c r="CY229">
        <f>EXP(1246.98+-61900/H229-183*LN(H229))</f>
        <v>2.9676907565234247E-2</v>
      </c>
      <c r="CZ229">
        <f>12.225*(F229^2)+15.258*F229+1125.7</f>
        <v>7601.4951999999985</v>
      </c>
      <c r="DA229" s="15">
        <f>10^(-4470.99/H229+6.0875-0.01706*H229)</f>
        <v>8.2741401037449041E-15</v>
      </c>
      <c r="DB229">
        <f>(10^-I229)</f>
        <v>7.2443596007498811E-11</v>
      </c>
      <c r="DC229">
        <f>DB229^2</f>
        <v>5.2480746024976979E-21</v>
      </c>
      <c r="DD229" s="20">
        <f>((14.6836*10^-9)*((H229/217.2056)-1)^1.997)*100*100</f>
        <v>1.9161743221033059E-5</v>
      </c>
      <c r="DE229">
        <f>CY229+CZ229*DA229/DB229</f>
        <v>0.89788113470263198</v>
      </c>
      <c r="DF229">
        <f>1+DC229*(CU229*CX229+CU229*DB229)^-1</f>
        <v>1.0001013734248809</v>
      </c>
      <c r="DG229">
        <f>(DE229*DF229/DD229)^0.5</f>
        <v>216.47807989061337</v>
      </c>
      <c r="DH229">
        <f>DD229/(BO229/60/60)</f>
        <v>2.8415053793501632E-2</v>
      </c>
      <c r="DI229" s="16">
        <f>DF229/((DF229-1)+TANH(DG229*DH229)/(DG229*DH229))</f>
        <v>6.1480819165636058</v>
      </c>
      <c r="DJ229" t="e">
        <f>$DI229*BR229</f>
        <v>#VALUE!</v>
      </c>
      <c r="DK229" t="e">
        <f>$DI229*BY229</f>
        <v>#VALUE!</v>
      </c>
      <c r="DL229" t="e">
        <f>$DI229*CF229</f>
        <v>#VALUE!</v>
      </c>
      <c r="DM229" t="e">
        <f>$DI229*CM229</f>
        <v>#VALUE!</v>
      </c>
    </row>
    <row r="230" spans="1:117" ht="15.75" x14ac:dyDescent="0.25">
      <c r="A230" s="52" t="s">
        <v>334</v>
      </c>
      <c r="B230" s="55" t="s">
        <v>339</v>
      </c>
      <c r="C230" s="69" t="s">
        <v>499</v>
      </c>
      <c r="D230" s="57">
        <v>43291</v>
      </c>
      <c r="E230" s="42" t="str">
        <f>A230&amp;D230</f>
        <v>61B43291</v>
      </c>
      <c r="F230" s="3">
        <f>VLOOKUP($E230,Water!$C$2:$E$90, 2, FALSE)</f>
        <v>22.4</v>
      </c>
      <c r="G230" s="3">
        <f>VLOOKUP($E230,Water!$C$2:$E$90, 3, FALSE)</f>
        <v>2.48</v>
      </c>
      <c r="H230" s="1">
        <f>F230+273.15</f>
        <v>295.54999999999995</v>
      </c>
      <c r="I230" s="3">
        <f>VLOOKUP($E230,Water!$C$2:$F$90, 4, FALSE)</f>
        <v>7.88</v>
      </c>
      <c r="J230">
        <f>10^(I230*-1)</f>
        <v>1.3182567385564031E-8</v>
      </c>
      <c r="K230" s="25">
        <f>VLOOKUP($E230,Atm!$D$2:$G$100, 2, FALSE)</f>
        <v>446.6942226149701</v>
      </c>
      <c r="L230" s="25">
        <f>VLOOKUP($E230,Atm!$D$2:$G$100, 3, FALSE)</f>
        <v>1.9916207046913219</v>
      </c>
      <c r="M230" s="25">
        <f>VLOOKUP($E230,Atm!$D$2:$G$100, 4, FALSE)</f>
        <v>0.29069914177366074</v>
      </c>
      <c r="N230" s="21" t="str">
        <f>VLOOKUP($C230,Raw!$B$2:$F$353, 3, FALSE)</f>
        <v>NA</v>
      </c>
      <c r="O230" s="21" t="str">
        <f>VLOOKUP($C230,Raw!$B$2:$F$353, 4, FALSE)</f>
        <v>NA</v>
      </c>
      <c r="P230" s="21" t="str">
        <f>VLOOKUP($C230,Raw!$B$2:$F$353, 5, FALSE)</f>
        <v>NA</v>
      </c>
      <c r="Q230" s="14">
        <v>60</v>
      </c>
      <c r="R230" s="25">
        <v>1140</v>
      </c>
      <c r="S230">
        <f>EXP(24.4543-(100/H230*(67.4509))-(4.8489*LN(H230/100))-(0.000544*G230))</f>
        <v>2.6680877029380604E-2</v>
      </c>
      <c r="T230" s="8">
        <f>EXP(-58.0931+90.5069*(100/H230)+22.294*LN(H230/100)+G230*(0.027766-0.025888*(H230/100)+0.0050578*(H230/100)^2)*G230)</f>
        <v>3.5483689250933155E-2</v>
      </c>
      <c r="U230" s="9">
        <f>(EXP(-67.1962+99.1624*(100/H230)+27.9015*LN(H230/100)+G230*(-0.072909+0.041674*(H230/100)-0.0064603*(H230/100)^2)*G230))</f>
        <v>3.1860640203513903E-2</v>
      </c>
      <c r="V230" s="9">
        <f>(EXP(-64.8539+100.252*(100/H230)+25.2049*LN(H230/100)+(-0.062544+0.035337*(H230/100)-0.0054699*(H230/100)^2)*G230))</f>
        <v>2.6403256789895784E-2</v>
      </c>
      <c r="W230" s="9">
        <f>(EXP(-68.8862+101.4956*(100/H230)+28.7314*LN(H230/100)+G230*(-0.076146+0.04397*(H230/100)-0.0068672*(H230/100)^2)))</f>
        <v>3.2550453298977995E-2</v>
      </c>
      <c r="X230" t="e">
        <f>N230*(AZ230-S230)</f>
        <v>#VALUE!</v>
      </c>
      <c r="Y230" t="e">
        <f>O230*(AZ230-S230)</f>
        <v>#VALUE!</v>
      </c>
      <c r="Z230" t="e">
        <f>((Y230/10^6)*AZ230)/(0.082056*H230)</f>
        <v>#VALUE!</v>
      </c>
      <c r="AA230">
        <f>(((L230/10^6)*AZ230)/(0.082056*H230))</f>
        <v>7.5380359782433023E-8</v>
      </c>
      <c r="AB230" t="e">
        <f>((Y230/10^6)*U230*1)/(0.082056*H230)</f>
        <v>#VALUE!</v>
      </c>
      <c r="AC230" t="e">
        <f>(Z230*(Q230/1000))+(AB230*(R230/1000))</f>
        <v>#VALUE!</v>
      </c>
      <c r="AD230" s="39" t="e">
        <f>((AC230-(AA230*(Q230/1000)))/(R230/1000))*1000000</f>
        <v>#VALUE!</v>
      </c>
      <c r="AE230" s="39" t="e">
        <f>(AD230/((U230*AZ230*1))*(0.0821*273.15))</f>
        <v>#VALUE!</v>
      </c>
      <c r="AF230" s="39">
        <f>L230*U230*AZ230*1/(0.0821*273.15)</f>
        <v>2.5972254413536545E-3</v>
      </c>
      <c r="AG230" s="39" t="e">
        <f>AD230-AF230</f>
        <v>#VALUE!</v>
      </c>
      <c r="AH230" s="42" t="e">
        <f>P230*(AZ230-S230)</f>
        <v>#VALUE!</v>
      </c>
      <c r="AI230" t="e">
        <f>(((X230/10^6)*(Q230/1000))/(0.082056*H230))</f>
        <v>#VALUE!</v>
      </c>
      <c r="AJ230">
        <f>(((K230/10^6)*AZ230)*(Q230/1000))/(0.082056*H230)</f>
        <v>1.0144091533333234E-6</v>
      </c>
      <c r="AK230" t="e">
        <f>(X230/10^6)*T230*(R230/1000)</f>
        <v>#VALUE!</v>
      </c>
      <c r="AL230" t="e">
        <f>AI230+AK230</f>
        <v>#VALUE!</v>
      </c>
      <c r="AM230" s="39" t="e">
        <f>((AL230-AJ230)/(R230/1000))*1000000</f>
        <v>#VALUE!</v>
      </c>
      <c r="AN230" s="39" t="e">
        <f>AM230/(T230*AZ230)</f>
        <v>#VALUE!</v>
      </c>
      <c r="AO230" s="39">
        <f>(K230*AZ230)*T230</f>
        <v>14.548961089808728</v>
      </c>
      <c r="AP230" s="39" t="e">
        <f>AM230-AO230</f>
        <v>#VALUE!</v>
      </c>
      <c r="AQ230" t="e">
        <f>(((AH230/10^6)*(Q230/1000))/(0.082056*H230))</f>
        <v>#VALUE!</v>
      </c>
      <c r="AR230">
        <f>(((M230/10^6)*AZ230)*(Q230/1000))/(0.082056*H230)</f>
        <v>6.601559978883423E-10</v>
      </c>
      <c r="AS230" t="e">
        <f>(AH230/10^6)*V230*(R230/1000)</f>
        <v>#VALUE!</v>
      </c>
      <c r="AT230" t="e">
        <f>AQ230+AS230</f>
        <v>#VALUE!</v>
      </c>
      <c r="AU230" s="39" t="e">
        <f>((AT230-AR230)/(R230/1000))*1000000000</f>
        <v>#VALUE!</v>
      </c>
      <c r="AV230" s="39" t="e">
        <f>(AU230/1000)/(V230*AZ230)</f>
        <v>#VALUE!</v>
      </c>
      <c r="AW230" s="39">
        <f>(M230*AZ230)*V230*1000</f>
        <v>7.0452130162938875</v>
      </c>
      <c r="AX230" s="39" t="e">
        <f>AU230-AW230</f>
        <v>#VALUE!</v>
      </c>
      <c r="AY230" s="26">
        <v>697.6</v>
      </c>
      <c r="AZ230">
        <f>AY230/760</f>
        <v>0.91789473684210532</v>
      </c>
      <c r="BA230" s="3">
        <f>Assumptions!$B$3</f>
        <v>406.07</v>
      </c>
      <c r="BB230" s="3">
        <f>BA230*AZ230*T230</f>
        <v>13.225818312924467</v>
      </c>
      <c r="BC230" s="3">
        <f>Assumptions!$B$4</f>
        <v>1.8474300000000001</v>
      </c>
      <c r="BD230" s="45">
        <f>BC230*AZ230*U230*1/(0.0821*273.15)</f>
        <v>2.4091897547648994E-3</v>
      </c>
      <c r="BE230" s="3">
        <f>Assumptions!$B$2</f>
        <v>0.33054499999999998</v>
      </c>
      <c r="BF230" s="44">
        <f>BE230*AZ230*V230*1000</f>
        <v>8.0108937448602529</v>
      </c>
      <c r="BG230">
        <f>1923.6+(-125.06*F230)+(4.3773*(F230^2))+(-0.085681*(F230^3))+(0.00070284*(F230^4))</f>
        <v>532.55413577318382</v>
      </c>
      <c r="BH230">
        <f>1909.4+(-120.78*F230)+(4.1555*(F230^2))+(-0.080578*(F230^3))+(0.00065777*(F230^4))</f>
        <v>548.94358563635228</v>
      </c>
      <c r="BI230">
        <f>2141.2+(-152.56*F230)+(5.8963*(F230^2))+(-0.12411*(F230^3))+(0.0010655*(F230^4))</f>
        <v>555.71215585279992</v>
      </c>
      <c r="BJ230" s="25">
        <f>VLOOKUP(E230,Wind!$C$2:$E$109,3, FALSE)</f>
        <v>1.6111111111111112</v>
      </c>
      <c r="BK230" s="44">
        <v>1.66</v>
      </c>
      <c r="BL230">
        <f>BK230/(1-(((1.3*10^-3)^0.5)/0.41)*LN(10/1.5))</f>
        <v>1.9923982880693825</v>
      </c>
      <c r="BM230">
        <f>BK230*1.22</f>
        <v>2.0251999999999999</v>
      </c>
      <c r="BN230">
        <f>2.07+0.215*(BM230^1.7)*(24/100)</f>
        <v>2.241255750541113</v>
      </c>
      <c r="BO230">
        <f>BN230*((600/BG230)^0.67)</f>
        <v>2.4276665494645262</v>
      </c>
      <c r="BP230">
        <f>BN230*((600/BH230)^0.67)</f>
        <v>2.3788616538456253</v>
      </c>
      <c r="BQ230">
        <f>BN230*((600/BI230)^0.67)</f>
        <v>2.3594095001386743</v>
      </c>
      <c r="BR230" s="39" t="e">
        <f>BO230*(AM230-BB230)</f>
        <v>#VALUE!</v>
      </c>
      <c r="BS230" s="39" t="e">
        <f>BP230*(AD230-BD230)</f>
        <v>#VALUE!</v>
      </c>
      <c r="BT230" s="39" t="e">
        <f>BQ230*(AU230-BF230)</f>
        <v>#VALUE!</v>
      </c>
      <c r="BU230">
        <f>(2.51+1.48*BM230)+(0.39*BM230*LOG10(0.0015))</f>
        <v>3.2768938069574309</v>
      </c>
      <c r="BV230">
        <f>BU230*((600/$BG230)^0.67)</f>
        <v>3.5494411913398873</v>
      </c>
      <c r="BW230">
        <f>BU230*((600/$BH230)^0.67)</f>
        <v>3.4780845600566579</v>
      </c>
      <c r="BX230">
        <f>BU230*((600/$BI230)^0.67)</f>
        <v>3.4496439673224719</v>
      </c>
      <c r="BY230" s="39" t="e">
        <f>BV230*($AM230-$BB230)</f>
        <v>#VALUE!</v>
      </c>
      <c r="BZ230" s="39" t="e">
        <f>BW230*($AD230-$BD230)</f>
        <v>#VALUE!</v>
      </c>
      <c r="CA230" s="39" t="e">
        <f>BX230*($AU230-$BF230)</f>
        <v>#VALUE!</v>
      </c>
      <c r="CB230" s="42">
        <f>AVERAGE(0.72,0.69,0.4,0.22)</f>
        <v>0.50750000000000006</v>
      </c>
      <c r="CC230">
        <f>CB230*((600/$BG230)^0.67)</f>
        <v>0.54971003356301129</v>
      </c>
      <c r="CD230">
        <f>CB230*((600/$BH230)^0.67)</f>
        <v>0.53865886971407873</v>
      </c>
      <c r="CE230">
        <f>CB230*((600/$BI230)^0.67)</f>
        <v>0.53425421040471865</v>
      </c>
      <c r="CF230" s="39" t="e">
        <f>CC230*($AM230-$BB230)</f>
        <v>#VALUE!</v>
      </c>
      <c r="CG230" s="39" t="e">
        <f>CD230*($AD230-$BD230)</f>
        <v>#VALUE!</v>
      </c>
      <c r="CH230" s="39" t="e">
        <f>CE230*($AU230-$BF230)</f>
        <v>#VALUE!</v>
      </c>
      <c r="CI230">
        <v>53.862639018895301</v>
      </c>
      <c r="CJ230">
        <f>((BG230/BH230)^0.67)*CI230</f>
        <v>52.779804773946985</v>
      </c>
      <c r="CK230">
        <f>((BH230/BH230)^0.67)*CI230</f>
        <v>53.862639018895301</v>
      </c>
      <c r="CL230">
        <f>((BI230/BH230)^0.67)*CI230</f>
        <v>54.306709593840438</v>
      </c>
      <c r="CM230" s="39" t="e">
        <f>CJ230*($AM230-$BB230)</f>
        <v>#VALUE!</v>
      </c>
      <c r="CN230" s="39" t="e">
        <f>CK230*($AD230-$BD230)</f>
        <v>#VALUE!</v>
      </c>
      <c r="CO230" s="39" t="e">
        <f>CL230*($AU230-$BF230)</f>
        <v>#VALUE!</v>
      </c>
      <c r="CP230" s="27">
        <f>VLOOKUP(A230,Water!$A$2:$E$109, 5, FALSE)/1000</f>
        <v>1.1000000000000001E-3</v>
      </c>
      <c r="CQ230">
        <f>0.64*CP230</f>
        <v>7.0400000000000009E-4</v>
      </c>
      <c r="CR230" s="19">
        <f>CQ230*1000*(2.5*10^-5)</f>
        <v>1.7600000000000004E-5</v>
      </c>
      <c r="CS230" s="18">
        <f>(-0.0000009*F230^3)+(0.0002*F230^2)-(0.0134*F230)+6.579</f>
        <v>6.3690765184</v>
      </c>
      <c r="CT230" s="18">
        <f>CS230-(SQRT(CP230))/(1+1.4*SQRT(CP230))</f>
        <v>6.3373819369789022</v>
      </c>
      <c r="CU230" s="18">
        <f>10^(-CT230)</f>
        <v>4.5985198237179989E-7</v>
      </c>
      <c r="CV230" s="18">
        <f>(0.000001*F230^3)+(0.00006*F230^2)-(0.014*F230)+10.625</f>
        <v>10.352745024000001</v>
      </c>
      <c r="CW230" s="18">
        <f>CV230-(2*SQRT(CR230))/(1+1.4*SQRT(CR230))</f>
        <v>10.344403545466996</v>
      </c>
      <c r="CX230" s="18">
        <f>10^(-CW230)</f>
        <v>4.5247694393659052E-11</v>
      </c>
      <c r="CY230">
        <f>EXP(1246.98+-61900/H230-183*LN(H230))</f>
        <v>2.9676907565234247E-2</v>
      </c>
      <c r="CZ230">
        <f>12.225*(F230^2)+15.258*F230+1125.7</f>
        <v>7601.4951999999985</v>
      </c>
      <c r="DA230" s="15">
        <f>10^(-4470.99/H230+6.0875-0.01706*H230)</f>
        <v>8.2741401037449041E-15</v>
      </c>
      <c r="DB230">
        <f>(10^-I230)</f>
        <v>1.3182567385564031E-8</v>
      </c>
      <c r="DC230">
        <f>DB230^2</f>
        <v>1.7378008287493651E-16</v>
      </c>
      <c r="DD230" s="20">
        <f>((14.6836*10^-9)*((H230/217.2056)-1)^1.997)*100*100</f>
        <v>1.9161743221033059E-5</v>
      </c>
      <c r="DE230">
        <f>CY230+CZ230*DA230/DB230</f>
        <v>3.4448044661913937E-2</v>
      </c>
      <c r="DF230">
        <f>1+DC230*(CU230*CX230+CU230*DB230)^-1</f>
        <v>1.0285689199377364</v>
      </c>
      <c r="DG230">
        <f>(DE230*DF230/DD230)^0.5</f>
        <v>43.001289417765733</v>
      </c>
      <c r="DH230">
        <f>DD230/(BO230/60/60)</f>
        <v>2.8415053793501632E-2</v>
      </c>
      <c r="DI230" s="16">
        <f>DF230/((DF230-1)+TANH(DG230*DH230)/(DG230*DH230))</f>
        <v>1.436141629768404</v>
      </c>
      <c r="DJ230" t="e">
        <f>$DI230*BR230</f>
        <v>#VALUE!</v>
      </c>
      <c r="DK230" t="e">
        <f>$DI230*BY230</f>
        <v>#VALUE!</v>
      </c>
      <c r="DL230" t="e">
        <f>$DI230*CF230</f>
        <v>#VALUE!</v>
      </c>
      <c r="DM230" t="e">
        <f>$DI230*CM230</f>
        <v>#VALUE!</v>
      </c>
    </row>
    <row r="231" spans="1:117" ht="15.75" x14ac:dyDescent="0.25">
      <c r="A231" s="52" t="s">
        <v>334</v>
      </c>
      <c r="B231" s="55" t="s">
        <v>340</v>
      </c>
      <c r="C231" s="69" t="s">
        <v>420</v>
      </c>
      <c r="D231" s="57">
        <v>43291</v>
      </c>
      <c r="E231" s="42" t="str">
        <f>A231&amp;D231</f>
        <v>61B43291</v>
      </c>
      <c r="F231" s="3">
        <f>VLOOKUP($E231,Water!$C$2:$E$90, 2, FALSE)</f>
        <v>22.4</v>
      </c>
      <c r="G231" s="3">
        <f>VLOOKUP($E231,Water!$C$2:$E$90, 3, FALSE)</f>
        <v>2.48</v>
      </c>
      <c r="H231" s="1">
        <f>F231+273.15</f>
        <v>295.54999999999995</v>
      </c>
      <c r="I231" s="3">
        <f>VLOOKUP($E231,Water!$C$2:$F$90, 4, FALSE)</f>
        <v>7.88</v>
      </c>
      <c r="J231">
        <f>10^(I231*-1)</f>
        <v>1.3182567385564031E-8</v>
      </c>
      <c r="K231" s="25">
        <f>VLOOKUP($E231,Atm!$D$2:$G$100, 2, FALSE)</f>
        <v>446.6942226149701</v>
      </c>
      <c r="L231" s="25">
        <f>VLOOKUP($E231,Atm!$D$2:$G$100, 3, FALSE)</f>
        <v>1.9916207046913219</v>
      </c>
      <c r="M231" s="25">
        <f>VLOOKUP($E231,Atm!$D$2:$G$100, 4, FALSE)</f>
        <v>0.29069914177366074</v>
      </c>
      <c r="N231" s="21">
        <f>VLOOKUP($C231,Raw!$B$2:$F$353, 3, FALSE)</f>
        <v>1308.2240075884649</v>
      </c>
      <c r="O231" s="21">
        <f>VLOOKUP($C231,Raw!$B$2:$F$353, 4, FALSE)</f>
        <v>73.667667023622769</v>
      </c>
      <c r="P231" s="21">
        <f>VLOOKUP($C231,Raw!$B$2:$F$353, 5, FALSE)</f>
        <v>0.6047396704156085</v>
      </c>
      <c r="Q231" s="14">
        <v>60</v>
      </c>
      <c r="R231" s="25">
        <v>1140</v>
      </c>
      <c r="S231">
        <f>EXP(24.4543-(100/H231*(67.4509))-(4.8489*LN(H231/100))-(0.000544*G231))</f>
        <v>2.6680877029380604E-2</v>
      </c>
      <c r="T231" s="8">
        <f>EXP(-58.0931+90.5069*(100/H231)+22.294*LN(H231/100)+G231*(0.027766-0.025888*(H231/100)+0.0050578*(H231/100)^2)*G231)</f>
        <v>3.5483689250933155E-2</v>
      </c>
      <c r="U231" s="9">
        <f>(EXP(-67.1962+99.1624*(100/H231)+27.9015*LN(H231/100)+G231*(-0.072909+0.041674*(H231/100)-0.0064603*(H231/100)^2)*G231))</f>
        <v>3.1860640203513903E-2</v>
      </c>
      <c r="V231" s="9">
        <f>(EXP(-64.8539+100.252*(100/H231)+25.2049*LN(H231/100)+(-0.062544+0.035337*(H231/100)-0.0054699*(H231/100)^2)*G231))</f>
        <v>2.6403256789895784E-2</v>
      </c>
      <c r="W231" s="9">
        <f>(EXP(-68.8862+101.4956*(100/H231)+28.7314*LN(H231/100)+G231*(-0.076146+0.04397*(H231/100)-0.0068672*(H231/100)^2)))</f>
        <v>3.2550453298977995E-2</v>
      </c>
      <c r="X231">
        <f>N231*(AZ231-S231)</f>
        <v>1165.9073673025871</v>
      </c>
      <c r="Y231">
        <f>O231*(AZ231-S231)</f>
        <v>65.65364587152142</v>
      </c>
      <c r="Z231">
        <f>((Y231/10^6)*AZ231)/(0.082056*H231)</f>
        <v>2.4849086149617879E-6</v>
      </c>
      <c r="AA231">
        <f>(((L231/10^6)*AZ231)/(0.082056*H231))</f>
        <v>7.5380359782433023E-8</v>
      </c>
      <c r="AB231">
        <f>((Y231/10^6)*U231*1)/(0.082056*H231)</f>
        <v>8.6252569213204238E-8</v>
      </c>
      <c r="AC231">
        <f>(Z231*(Q231/1000))+(AB231*(R231/1000))</f>
        <v>2.4742244580076007E-7</v>
      </c>
      <c r="AD231" s="39">
        <f>((AC231-(AA231*(Q231/1000)))/(R231/1000))*1000000</f>
        <v>0.21306984580159133</v>
      </c>
      <c r="AE231" s="39">
        <f>(AD231/((U231*AZ231*1))*(0.0821*273.15))</f>
        <v>163.38755569199506</v>
      </c>
      <c r="AF231" s="39">
        <f>L231*U231*AZ231*1/(0.0821*273.15)</f>
        <v>2.5972254413536545E-3</v>
      </c>
      <c r="AG231" s="39">
        <f>AD231-AF231</f>
        <v>0.21047262036023767</v>
      </c>
      <c r="AH231" s="42">
        <f>P231*(AZ231-S231)</f>
        <v>0.53895237585296951</v>
      </c>
      <c r="AI231">
        <f>(((X231/10^6)*(Q231/1000))/(0.082056*H231))</f>
        <v>2.884522897639415E-6</v>
      </c>
      <c r="AJ231">
        <f>(((K231/10^6)*AZ231)*(Q231/1000))/(0.082056*H231)</f>
        <v>1.0144091533333234E-6</v>
      </c>
      <c r="AK231">
        <f>(X231/10^6)*T231*(R231/1000)</f>
        <v>4.7162591977081978E-5</v>
      </c>
      <c r="AL231">
        <f>AI231+AK231</f>
        <v>5.0047114874721393E-5</v>
      </c>
      <c r="AM231" s="39">
        <f>((AL231-AJ231)/(R231/1000))*1000000</f>
        <v>43.011145369638662</v>
      </c>
      <c r="AN231" s="39">
        <f>AM231/(T231*AZ231)</f>
        <v>1320.5637176477458</v>
      </c>
      <c r="AO231" s="39">
        <f>(K231*AZ231)*T231</f>
        <v>14.548961089808728</v>
      </c>
      <c r="AP231" s="39">
        <f>AM231-AO231</f>
        <v>28.462184279829934</v>
      </c>
      <c r="AQ231">
        <f>(((AH231/10^6)*(Q231/1000))/(0.082056*H231))</f>
        <v>1.3333996443317654E-9</v>
      </c>
      <c r="AR231">
        <f>(((M231/10^6)*AZ231)*(Q231/1000))/(0.082056*H231)</f>
        <v>6.601559978883423E-10</v>
      </c>
      <c r="AS231">
        <f>(AH231/10^6)*V231*(R231/1000)</f>
        <v>1.6222311693974234E-8</v>
      </c>
      <c r="AT231">
        <f>AQ231+AS231</f>
        <v>1.7555711338306E-8</v>
      </c>
      <c r="AU231" s="39">
        <f>((AT231-AR231)/(R231/1000))*1000000000</f>
        <v>14.820662579313737</v>
      </c>
      <c r="AV231" s="39">
        <f>(AU231/1000)/(V231*AZ231)</f>
        <v>0.61152925857022689</v>
      </c>
      <c r="AW231" s="39">
        <f>(M231*AZ231)*V231*1000</f>
        <v>7.0452130162938875</v>
      </c>
      <c r="AX231" s="39">
        <f>AU231-AW231</f>
        <v>7.7754495630198495</v>
      </c>
      <c r="AY231" s="26">
        <v>697.6</v>
      </c>
      <c r="AZ231">
        <f>AY231/760</f>
        <v>0.91789473684210532</v>
      </c>
      <c r="BA231" s="3">
        <f>Assumptions!$B$3</f>
        <v>406.07</v>
      </c>
      <c r="BB231" s="3">
        <f>BA231*AZ231*T231</f>
        <v>13.225818312924467</v>
      </c>
      <c r="BC231" s="3">
        <f>Assumptions!$B$4</f>
        <v>1.8474300000000001</v>
      </c>
      <c r="BD231" s="45">
        <f>BC231*AZ231*U231*1/(0.0821*273.15)</f>
        <v>2.4091897547648994E-3</v>
      </c>
      <c r="BE231" s="3">
        <f>Assumptions!$B$2</f>
        <v>0.33054499999999998</v>
      </c>
      <c r="BF231" s="44">
        <f>BE231*AZ231*V231*1000</f>
        <v>8.0108937448602529</v>
      </c>
      <c r="BG231">
        <f>1923.6+(-125.06*F231)+(4.3773*(F231^2))+(-0.085681*(F231^3))+(0.00070284*(F231^4))</f>
        <v>532.55413577318382</v>
      </c>
      <c r="BH231">
        <f>1909.4+(-120.78*F231)+(4.1555*(F231^2))+(-0.080578*(F231^3))+(0.00065777*(F231^4))</f>
        <v>548.94358563635228</v>
      </c>
      <c r="BI231">
        <f>2141.2+(-152.56*F231)+(5.8963*(F231^2))+(-0.12411*(F231^3))+(0.0010655*(F231^4))</f>
        <v>555.71215585279992</v>
      </c>
      <c r="BJ231" s="25">
        <f>VLOOKUP(E231,Wind!$C$2:$E$109,3, FALSE)</f>
        <v>1.6111111111111112</v>
      </c>
      <c r="BK231" s="44">
        <v>1.66</v>
      </c>
      <c r="BL231">
        <f>BK231/(1-(((1.3*10^-3)^0.5)/0.41)*LN(10/1.5))</f>
        <v>1.9923982880693825</v>
      </c>
      <c r="BM231">
        <f>BK231*1.22</f>
        <v>2.0251999999999999</v>
      </c>
      <c r="BN231">
        <f>2.07+0.215*(BM231^1.7)*(24/100)</f>
        <v>2.241255750541113</v>
      </c>
      <c r="BO231">
        <f>BN231*((600/BG231)^0.67)</f>
        <v>2.4276665494645262</v>
      </c>
      <c r="BP231">
        <f>BN231*((600/BH231)^0.67)</f>
        <v>2.3788616538456253</v>
      </c>
      <c r="BQ231">
        <f>BN231*((600/BI231)^0.67)</f>
        <v>2.3594095001386743</v>
      </c>
      <c r="BR231" s="39">
        <f>BO231*(AM231-BB231)</f>
        <v>72.308842160445735</v>
      </c>
      <c r="BS231" s="39">
        <f>BP231*(AD231-BD231)</f>
        <v>0.501132556643758</v>
      </c>
      <c r="BT231" s="39">
        <f>BQ231*(AU231-BF231)</f>
        <v>16.067033281757819</v>
      </c>
      <c r="BU231">
        <f>(2.51+1.48*BM231)+(0.39*BM231*LOG10(0.0015))</f>
        <v>3.2768938069574309</v>
      </c>
      <c r="BV231">
        <f>BU231*((600/$BG231)^0.67)</f>
        <v>3.5494411913398873</v>
      </c>
      <c r="BW231">
        <f>BU231*((600/$BH231)^0.67)</f>
        <v>3.4780845600566579</v>
      </c>
      <c r="BX231">
        <f>BU231*((600/$BI231)^0.67)</f>
        <v>3.4496439673224719</v>
      </c>
      <c r="BY231" s="39">
        <f>BV231*($AM231-$BB231)</f>
        <v>105.72126675263181</v>
      </c>
      <c r="BZ231" s="39">
        <f>BW231*($AD231-$BD231)</f>
        <v>0.73269557520787321</v>
      </c>
      <c r="CA231" s="39">
        <f>BX231*($AU231-$BF231)</f>
        <v>23.491277978633043</v>
      </c>
      <c r="CB231" s="42">
        <f>AVERAGE(0.72,0.69,0.4,0.22)</f>
        <v>0.50750000000000006</v>
      </c>
      <c r="CC231">
        <f>CB231*((600/$BG231)^0.67)</f>
        <v>0.54971003356301129</v>
      </c>
      <c r="CD231">
        <f>CB231*((600/$BH231)^0.67)</f>
        <v>0.53865886971407873</v>
      </c>
      <c r="CE231">
        <f>CB231*((600/$BI231)^0.67)</f>
        <v>0.53425421040471865</v>
      </c>
      <c r="CF231" s="39">
        <f>CC231*($AM231-$BB231)</f>
        <v>16.373293136031627</v>
      </c>
      <c r="CG231" s="39">
        <f>CD231*($AD231-$BD231)</f>
        <v>0.11347423087940983</v>
      </c>
      <c r="CH231" s="39">
        <f>CE231*($AU231-$BF231)</f>
        <v>3.6381476716896075</v>
      </c>
      <c r="CI231">
        <v>54.862639018895301</v>
      </c>
      <c r="CJ231">
        <f>((BG231/BH231)^0.67)*CI231</f>
        <v>53.759701149901225</v>
      </c>
      <c r="CK231">
        <f>((BH231/BH231)^0.67)*CI231</f>
        <v>54.862639018895301</v>
      </c>
      <c r="CL231">
        <f>((BI231/BH231)^0.67)*CI231</f>
        <v>55.314954094723305</v>
      </c>
      <c r="CM231" s="39">
        <f>CJ231*($AM231-$BB231)</f>
        <v>1601.2502812210221</v>
      </c>
      <c r="CN231" s="39">
        <f>CK231*($AD231-$BD231)</f>
        <v>11.557399528180703</v>
      </c>
      <c r="CO231" s="39">
        <f>CL231*($AU231-$BF231)</f>
        <v>376.68205047347192</v>
      </c>
      <c r="CP231" s="27">
        <f>VLOOKUP(A231,Water!$A$2:$E$109, 5, FALSE)/1000</f>
        <v>1.1000000000000001E-3</v>
      </c>
      <c r="CQ231">
        <f>0.64*CP231</f>
        <v>7.0400000000000009E-4</v>
      </c>
      <c r="CR231" s="19">
        <f>CQ231*1000*(2.5*10^-5)</f>
        <v>1.7600000000000004E-5</v>
      </c>
      <c r="CS231" s="18">
        <f>(-0.0000009*F231^3)+(0.0002*F231^2)-(0.0134*F231)+6.579</f>
        <v>6.3690765184</v>
      </c>
      <c r="CT231" s="18">
        <f>CS231-(SQRT(CP231))/(1+1.4*SQRT(CP231))</f>
        <v>6.3373819369789022</v>
      </c>
      <c r="CU231" s="18">
        <f>10^(-CT231)</f>
        <v>4.5985198237179989E-7</v>
      </c>
      <c r="CV231" s="18">
        <f>(0.000001*F231^3)+(0.00006*F231^2)-(0.014*F231)+10.625</f>
        <v>10.352745024000001</v>
      </c>
      <c r="CW231" s="18">
        <f>CV231-(2*SQRT(CR231))/(1+1.4*SQRT(CR231))</f>
        <v>10.344403545466996</v>
      </c>
      <c r="CX231" s="18">
        <f>10^(-CW231)</f>
        <v>4.5247694393659052E-11</v>
      </c>
      <c r="CY231">
        <f>EXP(1246.98+-61900/H231-183*LN(H231))</f>
        <v>2.9676907565234247E-2</v>
      </c>
      <c r="CZ231">
        <f>12.225*(F231^2)+15.258*F231+1125.7</f>
        <v>7601.4951999999985</v>
      </c>
      <c r="DA231" s="15">
        <f>10^(-4470.99/H231+6.0875-0.01706*H231)</f>
        <v>8.2741401037449041E-15</v>
      </c>
      <c r="DB231">
        <f>(10^-I231)</f>
        <v>1.3182567385564031E-8</v>
      </c>
      <c r="DC231">
        <f>DB231^2</f>
        <v>1.7378008287493651E-16</v>
      </c>
      <c r="DD231" s="20">
        <f>((14.6836*10^-9)*((H231/217.2056)-1)^1.997)*100*100</f>
        <v>1.9161743221033059E-5</v>
      </c>
      <c r="DE231">
        <f>CY231+CZ231*DA231/DB231</f>
        <v>3.4448044661913937E-2</v>
      </c>
      <c r="DF231">
        <f>1+DC231*(CU231*CX231+CU231*DB231)^-1</f>
        <v>1.0285689199377364</v>
      </c>
      <c r="DG231">
        <f>(DE231*DF231/DD231)^0.5</f>
        <v>43.001289417765733</v>
      </c>
      <c r="DH231">
        <f>DD231/(BO231/60/60)</f>
        <v>2.8415053793501632E-2</v>
      </c>
      <c r="DI231" s="16">
        <f>DF231/((DF231-1)+TANH(DG231*DH231)/(DG231*DH231))</f>
        <v>1.436141629768404</v>
      </c>
      <c r="DJ231">
        <f>$DI231*BR231</f>
        <v>103.84573842696882</v>
      </c>
      <c r="DK231">
        <f>$DI231*BY231</f>
        <v>151.83071233530481</v>
      </c>
      <c r="DL231">
        <f>$DI231*CF231</f>
        <v>23.514367889056285</v>
      </c>
      <c r="DM231">
        <f>$DI231*CM231</f>
        <v>2299.6221885398741</v>
      </c>
    </row>
    <row r="232" spans="1:117" ht="15.75" x14ac:dyDescent="0.25">
      <c r="A232" s="52" t="s">
        <v>334</v>
      </c>
      <c r="B232" s="55" t="s">
        <v>341</v>
      </c>
      <c r="C232" s="69" t="s">
        <v>421</v>
      </c>
      <c r="D232" s="57">
        <v>43291</v>
      </c>
      <c r="E232" s="42" t="str">
        <f>A232&amp;D232</f>
        <v>61B43291</v>
      </c>
      <c r="F232" s="3">
        <f>VLOOKUP($E232,Water!$C$2:$E$90, 2, FALSE)</f>
        <v>22.4</v>
      </c>
      <c r="G232" s="3">
        <f>VLOOKUP($E232,Water!$C$2:$E$90, 3, FALSE)</f>
        <v>2.48</v>
      </c>
      <c r="H232" s="1">
        <f>F232+273.15</f>
        <v>295.54999999999995</v>
      </c>
      <c r="I232" s="3">
        <f>VLOOKUP($E232,Water!$C$2:$F$90, 4, FALSE)</f>
        <v>7.88</v>
      </c>
      <c r="J232">
        <f>10^(I232*-1)</f>
        <v>1.3182567385564031E-8</v>
      </c>
      <c r="K232" s="25">
        <f>VLOOKUP($E232,Atm!$D$2:$G$100, 2, FALSE)</f>
        <v>446.6942226149701</v>
      </c>
      <c r="L232" s="25">
        <f>VLOOKUP($E232,Atm!$D$2:$G$100, 3, FALSE)</f>
        <v>1.9916207046913219</v>
      </c>
      <c r="M232" s="25">
        <f>VLOOKUP($E232,Atm!$D$2:$G$100, 4, FALSE)</f>
        <v>0.29069914177366074</v>
      </c>
      <c r="N232" s="21">
        <f>VLOOKUP($C232,Raw!$B$2:$F$353, 3, FALSE)</f>
        <v>1276.4941790172111</v>
      </c>
      <c r="O232" s="21">
        <f>VLOOKUP($C232,Raw!$B$2:$F$353, 4, FALSE)</f>
        <v>66.908864676182773</v>
      </c>
      <c r="P232" s="21">
        <f>VLOOKUP($C232,Raw!$B$2:$F$353, 5, FALSE)</f>
        <v>0.6050679689211268</v>
      </c>
      <c r="Q232" s="14">
        <v>60</v>
      </c>
      <c r="R232" s="25">
        <v>1140</v>
      </c>
      <c r="S232">
        <f>EXP(24.4543-(100/H232*(67.4509))-(4.8489*LN(H232/100))-(0.000544*G232))</f>
        <v>2.6680877029380604E-2</v>
      </c>
      <c r="T232" s="8">
        <f>EXP(-58.0931+90.5069*(100/H232)+22.294*LN(H232/100)+G232*(0.027766-0.025888*(H232/100)+0.0050578*(H232/100)^2)*G232)</f>
        <v>3.5483689250933155E-2</v>
      </c>
      <c r="U232" s="9">
        <f>(EXP(-67.1962+99.1624*(100/H232)+27.9015*LN(H232/100)+G232*(-0.072909+0.041674*(H232/100)-0.0064603*(H232/100)^2)*G232))</f>
        <v>3.1860640203513903E-2</v>
      </c>
      <c r="V232" s="9">
        <f>(EXP(-64.8539+100.252*(100/H232)+25.2049*LN(H232/100)+(-0.062544+0.035337*(H232/100)-0.0054699*(H232/100)^2)*G232))</f>
        <v>2.6403256789895784E-2</v>
      </c>
      <c r="W232" s="9">
        <f>(EXP(-68.8862+101.4956*(100/H232)+28.7314*LN(H232/100)+G232*(-0.076146+0.04397*(H232/100)-0.0068672*(H232/100)^2)))</f>
        <v>3.2550453298977995E-2</v>
      </c>
      <c r="X232">
        <f>N232*(AZ232-S232)</f>
        <v>1137.629304310404</v>
      </c>
      <c r="Y232">
        <f>O232*(AZ232-S232)</f>
        <v>59.630107543748124</v>
      </c>
      <c r="Z232">
        <f>((Y232/10^6)*AZ232)/(0.082056*H232)</f>
        <v>2.2569252016334961E-6</v>
      </c>
      <c r="AA232">
        <f>(((L232/10^6)*AZ232)/(0.082056*H232))</f>
        <v>7.5380359782433023E-8</v>
      </c>
      <c r="AB232">
        <f>((Y232/10^6)*U232*1)/(0.082056*H232)</f>
        <v>7.8339137298983352E-8</v>
      </c>
      <c r="AC232">
        <f>(Z232*(Q232/1000))+(AB232*(R232/1000))</f>
        <v>2.2472212861885077E-7</v>
      </c>
      <c r="AD232" s="39">
        <f>((AC232-(AA232*(Q232/1000)))/(R232/1000))*1000000</f>
        <v>0.19315728687009193</v>
      </c>
      <c r="AE232" s="39">
        <f>(AD232/((U232*AZ232*1))*(0.0821*273.15))</f>
        <v>148.11808234558785</v>
      </c>
      <c r="AF232" s="39">
        <f>L232*U232*AZ232*1/(0.0821*273.15)</f>
        <v>2.5972254413536545E-3</v>
      </c>
      <c r="AG232" s="39">
        <f>AD232-AF232</f>
        <v>0.19056006142873827</v>
      </c>
      <c r="AH232" s="42">
        <f>P232*(AZ232-S232)</f>
        <v>0.53924496003124323</v>
      </c>
      <c r="AI232">
        <f>(((X232/10^6)*(Q232/1000))/(0.082056*H232))</f>
        <v>2.8145613187958423E-6</v>
      </c>
      <c r="AJ232">
        <f>(((K232/10^6)*AZ232)*(Q232/1000))/(0.082056*H232)</f>
        <v>1.0144091533333234E-6</v>
      </c>
      <c r="AK232">
        <f>(X232/10^6)*T232*(R232/1000)</f>
        <v>4.6018704577272433E-5</v>
      </c>
      <c r="AL232">
        <f>AI232+AK232</f>
        <v>4.8833265896068277E-5</v>
      </c>
      <c r="AM232" s="39">
        <f>((AL232-AJ232)/(R232/1000))*1000000</f>
        <v>41.946365563802594</v>
      </c>
      <c r="AN232" s="39">
        <f>AM232/(T232*AZ232)</f>
        <v>1287.8719684095661</v>
      </c>
      <c r="AO232" s="39">
        <f>(K232*AZ232)*T232</f>
        <v>14.548961089808728</v>
      </c>
      <c r="AP232" s="39">
        <f>AM232-AO232</f>
        <v>27.397404473993866</v>
      </c>
      <c r="AQ232">
        <f>(((AH232/10^6)*(Q232/1000))/(0.082056*H232))</f>
        <v>1.3341235146711992E-9</v>
      </c>
      <c r="AR232">
        <f>(((M232/10^6)*AZ232)*(Q232/1000))/(0.082056*H232)</f>
        <v>6.601559978883423E-10</v>
      </c>
      <c r="AS232">
        <f>(AH232/10^6)*V232*(R232/1000)</f>
        <v>1.6231118393692681E-8</v>
      </c>
      <c r="AT232">
        <f>AQ232+AS232</f>
        <v>1.7565241908363879E-8</v>
      </c>
      <c r="AU232" s="39">
        <f>((AT232-AR232)/(R232/1000))*1000000000</f>
        <v>14.829022728487315</v>
      </c>
      <c r="AV232" s="39">
        <f>(AU232/1000)/(V232*AZ232)</f>
        <v>0.61187421452602797</v>
      </c>
      <c r="AW232" s="39">
        <f>(M232*AZ232)*V232*1000</f>
        <v>7.0452130162938875</v>
      </c>
      <c r="AX232" s="39">
        <f>AU232-AW232</f>
        <v>7.7838097121934275</v>
      </c>
      <c r="AY232" s="26">
        <v>697.6</v>
      </c>
      <c r="AZ232">
        <f>AY232/760</f>
        <v>0.91789473684210532</v>
      </c>
      <c r="BA232" s="3">
        <f>Assumptions!$B$3</f>
        <v>406.07</v>
      </c>
      <c r="BB232" s="3">
        <f>BA232*AZ232*T232</f>
        <v>13.225818312924467</v>
      </c>
      <c r="BC232" s="3">
        <f>Assumptions!$B$4</f>
        <v>1.8474300000000001</v>
      </c>
      <c r="BD232" s="45">
        <f>BC232*AZ232*U232*1/(0.0821*273.15)</f>
        <v>2.4091897547648994E-3</v>
      </c>
      <c r="BE232" s="3">
        <f>Assumptions!$B$2</f>
        <v>0.33054499999999998</v>
      </c>
      <c r="BF232" s="44">
        <f>BE232*AZ232*V232*1000</f>
        <v>8.0108937448602529</v>
      </c>
      <c r="BG232">
        <f>1923.6+(-125.06*F232)+(4.3773*(F232^2))+(-0.085681*(F232^3))+(0.00070284*(F232^4))</f>
        <v>532.55413577318382</v>
      </c>
      <c r="BH232">
        <f>1909.4+(-120.78*F232)+(4.1555*(F232^2))+(-0.080578*(F232^3))+(0.00065777*(F232^4))</f>
        <v>548.94358563635228</v>
      </c>
      <c r="BI232">
        <f>2141.2+(-152.56*F232)+(5.8963*(F232^2))+(-0.12411*(F232^3))+(0.0010655*(F232^4))</f>
        <v>555.71215585279992</v>
      </c>
      <c r="BJ232" s="25">
        <f>VLOOKUP(E232,Wind!$C$2:$E$109,3, FALSE)</f>
        <v>1.6111111111111112</v>
      </c>
      <c r="BK232" s="44">
        <v>1.66</v>
      </c>
      <c r="BL232">
        <f>BK232/(1-(((1.3*10^-3)^0.5)/0.41)*LN(10/1.5))</f>
        <v>1.9923982880693825</v>
      </c>
      <c r="BM232">
        <f>BK232*1.22</f>
        <v>2.0251999999999999</v>
      </c>
      <c r="BN232">
        <f>2.07+0.215*(BM232^1.7)*(24/100)</f>
        <v>2.241255750541113</v>
      </c>
      <c r="BO232">
        <f>BN232*((600/BG232)^0.67)</f>
        <v>2.4276665494645262</v>
      </c>
      <c r="BP232">
        <f>BN232*((600/BH232)^0.67)</f>
        <v>2.3788616538456253</v>
      </c>
      <c r="BQ232">
        <f>BN232*((600/BI232)^0.67)</f>
        <v>2.3594095001386743</v>
      </c>
      <c r="BR232" s="39">
        <f>BO232*(AM232-BB232)</f>
        <v>69.723911843272191</v>
      </c>
      <c r="BS232" s="39">
        <f>BP232*(AD232-BD232)</f>
        <v>0.45376333377167283</v>
      </c>
      <c r="BT232" s="39">
        <f>BQ232*(AU232-BF232)</f>
        <v>16.086758297140534</v>
      </c>
      <c r="BU232">
        <f>(2.51+1.48*BM232)+(0.39*BM232*LOG10(0.0015))</f>
        <v>3.2768938069574309</v>
      </c>
      <c r="BV232">
        <f>BU232*((600/$BG232)^0.67)</f>
        <v>3.5494411913398873</v>
      </c>
      <c r="BW232">
        <f>BU232*((600/$BH232)^0.67)</f>
        <v>3.4780845600566579</v>
      </c>
      <c r="BX232">
        <f>BU232*((600/$BI232)^0.67)</f>
        <v>3.4496439673224719</v>
      </c>
      <c r="BY232" s="39">
        <f>BV232*($AM232-$BB232)</f>
        <v>101.94189345009039</v>
      </c>
      <c r="BZ232" s="39">
        <f>BW232*($AD232-$BD232)</f>
        <v>0.66343801143700687</v>
      </c>
      <c r="CA232" s="39">
        <f>BX232*($AU232-$BF232)</f>
        <v>23.520117516795594</v>
      </c>
      <c r="CB232" s="42">
        <f>AVERAGE(0.72,0.69,0.4,0.22)</f>
        <v>0.50750000000000006</v>
      </c>
      <c r="CC232">
        <f>CB232*((600/$BG232)^0.67)</f>
        <v>0.54971003356301129</v>
      </c>
      <c r="CD232">
        <f>CB232*((600/$BH232)^0.67)</f>
        <v>0.53865886971407873</v>
      </c>
      <c r="CE232">
        <f>CB232*((600/$BI232)^0.67)</f>
        <v>0.53425421040471865</v>
      </c>
      <c r="CF232" s="39">
        <f>CC232*($AM232-$BB232)</f>
        <v>15.787972993228268</v>
      </c>
      <c r="CG232" s="39">
        <f>CD232*($AD232-$BD232)</f>
        <v>0.10274815439225338</v>
      </c>
      <c r="CH232" s="39">
        <f>CE232*($AU232-$BF232)</f>
        <v>3.6426141165852028</v>
      </c>
      <c r="CI232">
        <v>55.862639018895301</v>
      </c>
      <c r="CJ232">
        <f>((BG232/BH232)^0.67)*CI232</f>
        <v>54.739597525855466</v>
      </c>
      <c r="CK232">
        <f>((BH232/BH232)^0.67)*CI232</f>
        <v>55.862639018895301</v>
      </c>
      <c r="CL232">
        <f>((BI232/BH232)^0.67)*CI232</f>
        <v>56.323198595606179</v>
      </c>
      <c r="CM232" s="39">
        <f>CJ232*($AM232-$BB232)</f>
        <v>1572.1511972353833</v>
      </c>
      <c r="CN232" s="39">
        <f>CK232*($AD232-$BD232)</f>
        <v>10.655692092694698</v>
      </c>
      <c r="CO232" s="39">
        <f>CL232*($AU232-$BF232)</f>
        <v>384.01883279528556</v>
      </c>
      <c r="CP232" s="27">
        <f>VLOOKUP(A232,Water!$A$2:$E$109, 5, FALSE)/1000</f>
        <v>1.1000000000000001E-3</v>
      </c>
      <c r="CQ232">
        <f>0.64*CP232</f>
        <v>7.0400000000000009E-4</v>
      </c>
      <c r="CR232" s="19">
        <f>CQ232*1000*(2.5*10^-5)</f>
        <v>1.7600000000000004E-5</v>
      </c>
      <c r="CS232" s="18">
        <f>(-0.0000009*F232^3)+(0.0002*F232^2)-(0.0134*F232)+6.579</f>
        <v>6.3690765184</v>
      </c>
      <c r="CT232" s="18">
        <f>CS232-(SQRT(CP232))/(1+1.4*SQRT(CP232))</f>
        <v>6.3373819369789022</v>
      </c>
      <c r="CU232" s="18">
        <f>10^(-CT232)</f>
        <v>4.5985198237179989E-7</v>
      </c>
      <c r="CV232" s="18">
        <f>(0.000001*F232^3)+(0.00006*F232^2)-(0.014*F232)+10.625</f>
        <v>10.352745024000001</v>
      </c>
      <c r="CW232" s="18">
        <f>CV232-(2*SQRT(CR232))/(1+1.4*SQRT(CR232))</f>
        <v>10.344403545466996</v>
      </c>
      <c r="CX232" s="18">
        <f>10^(-CW232)</f>
        <v>4.5247694393659052E-11</v>
      </c>
      <c r="CY232">
        <f>EXP(1246.98+-61900/H232-183*LN(H232))</f>
        <v>2.9676907565234247E-2</v>
      </c>
      <c r="CZ232">
        <f>12.225*(F232^2)+15.258*F232+1125.7</f>
        <v>7601.4951999999985</v>
      </c>
      <c r="DA232" s="15">
        <f>10^(-4470.99/H232+6.0875-0.01706*H232)</f>
        <v>8.2741401037449041E-15</v>
      </c>
      <c r="DB232">
        <f>(10^-I232)</f>
        <v>1.3182567385564031E-8</v>
      </c>
      <c r="DC232">
        <f>DB232^2</f>
        <v>1.7378008287493651E-16</v>
      </c>
      <c r="DD232" s="20">
        <f>((14.6836*10^-9)*((H232/217.2056)-1)^1.997)*100*100</f>
        <v>1.9161743221033059E-5</v>
      </c>
      <c r="DE232">
        <f>CY232+CZ232*DA232/DB232</f>
        <v>3.4448044661913937E-2</v>
      </c>
      <c r="DF232">
        <f>1+DC232*(CU232*CX232+CU232*DB232)^-1</f>
        <v>1.0285689199377364</v>
      </c>
      <c r="DG232">
        <f>(DE232*DF232/DD232)^0.5</f>
        <v>43.001289417765733</v>
      </c>
      <c r="DH232">
        <f>DD232/(BO232/60/60)</f>
        <v>2.8415053793501632E-2</v>
      </c>
      <c r="DI232" s="16">
        <f>DF232/((DF232-1)+TANH(DG232*DH232)/(DG232*DH232))</f>
        <v>1.436141629768404</v>
      </c>
      <c r="DJ232">
        <f>$DI232*BR232</f>
        <v>100.13341238842546</v>
      </c>
      <c r="DK232">
        <f>$DI232*BY232</f>
        <v>146.4029970010898</v>
      </c>
      <c r="DL232">
        <f>$DI232*CF232</f>
        <v>22.67376526523439</v>
      </c>
      <c r="DM232">
        <f>$DI232*CM232</f>
        <v>2257.8317826399707</v>
      </c>
    </row>
    <row r="233" spans="1:117" ht="15.75" x14ac:dyDescent="0.25">
      <c r="A233" s="52" t="s">
        <v>334</v>
      </c>
      <c r="B233" s="55" t="s">
        <v>342</v>
      </c>
      <c r="C233" s="69" t="s">
        <v>500</v>
      </c>
      <c r="D233" s="57">
        <v>43291</v>
      </c>
      <c r="E233" s="42" t="str">
        <f>A233&amp;D233</f>
        <v>61B43291</v>
      </c>
      <c r="F233" s="3">
        <f>VLOOKUP($E233,Water!$C$2:$E$90, 2, FALSE)</f>
        <v>22.4</v>
      </c>
      <c r="G233" s="3">
        <f>VLOOKUP($E233,Water!$C$2:$E$90, 3, FALSE)</f>
        <v>2.48</v>
      </c>
      <c r="H233" s="1">
        <f>F233+273.15</f>
        <v>295.54999999999995</v>
      </c>
      <c r="I233" s="3">
        <f>VLOOKUP($E233,Water!$C$2:$F$90, 4, FALSE)</f>
        <v>7.88</v>
      </c>
      <c r="J233">
        <f>10^(I233*-1)</f>
        <v>1.3182567385564031E-8</v>
      </c>
      <c r="K233" s="25">
        <f>VLOOKUP($E233,Atm!$D$2:$G$100, 2, FALSE)</f>
        <v>446.6942226149701</v>
      </c>
      <c r="L233" s="25">
        <f>VLOOKUP($E233,Atm!$D$2:$G$100, 3, FALSE)</f>
        <v>1.9916207046913219</v>
      </c>
      <c r="M233" s="25">
        <f>VLOOKUP($E233,Atm!$D$2:$G$100, 4, FALSE)</f>
        <v>0.29069914177366074</v>
      </c>
      <c r="N233" s="21">
        <f>VLOOKUP($C233,Raw!$B$2:$F$353, 3, FALSE)</f>
        <v>1165.395</v>
      </c>
      <c r="O233" s="21">
        <f>VLOOKUP($C233,Raw!$B$2:$F$353, 4, FALSE)</f>
        <v>60.697000000000003</v>
      </c>
      <c r="P233" s="21">
        <f>VLOOKUP($C233,Raw!$B$2:$F$353, 5, FALSE)</f>
        <v>0.61099999999999999</v>
      </c>
      <c r="Q233" s="14">
        <v>60</v>
      </c>
      <c r="R233" s="25">
        <v>1140</v>
      </c>
      <c r="S233">
        <f>EXP(24.4543-(100/H233*(67.4509))-(4.8489*LN(H233/100))-(0.000544*G233))</f>
        <v>2.6680877029380604E-2</v>
      </c>
      <c r="T233" s="8">
        <f>EXP(-58.0931+90.5069*(100/H233)+22.294*LN(H233/100)+G233*(0.027766-0.025888*(H233/100)+0.0050578*(H233/100)^2)*G233)</f>
        <v>3.5483689250933155E-2</v>
      </c>
      <c r="U233" s="9">
        <f>(EXP(-67.1962+99.1624*(100/H233)+27.9015*LN(H233/100)+G233*(-0.072909+0.041674*(H233/100)-0.0064603*(H233/100)^2)*G233))</f>
        <v>3.1860640203513903E-2</v>
      </c>
      <c r="V233" s="9">
        <f>(EXP(-64.8539+100.252*(100/H233)+25.2049*LN(H233/100)+(-0.062544+0.035337*(H233/100)-0.0054699*(H233/100)^2)*G233))</f>
        <v>2.6403256789895784E-2</v>
      </c>
      <c r="W233" s="9">
        <f>(EXP(-68.8862+101.4956*(100/H233)+28.7314*LN(H233/100)+G233*(-0.076146+0.04397*(H233/100)-0.0068672*(H233/100)^2)))</f>
        <v>3.2550453298977995E-2</v>
      </c>
      <c r="X233">
        <f>N233*(AZ233-S233)</f>
        <v>1038.6161761564504</v>
      </c>
      <c r="Y233">
        <f>O233*(AZ233-S233)</f>
        <v>54.094007649052955</v>
      </c>
      <c r="Z233">
        <f>((Y233/10^6)*AZ233)/(0.082056*H233)</f>
        <v>2.0473907250784884E-6</v>
      </c>
      <c r="AA233">
        <f>(((L233/10^6)*AZ233)/(0.082056*H233))</f>
        <v>7.5380359782433023E-8</v>
      </c>
      <c r="AB233">
        <f>((Y233/10^6)*U233*1)/(0.082056*H233)</f>
        <v>7.1066078308887969E-8</v>
      </c>
      <c r="AC233">
        <f>(Z233*(Q233/1000))+(AB233*(R233/1000))</f>
        <v>2.0385877277684157E-7</v>
      </c>
      <c r="AD233" s="39">
        <f>((AC233-(AA233*(Q233/1000)))/(R233/1000))*1000000</f>
        <v>0.17485609753499615</v>
      </c>
      <c r="AE233" s="39">
        <f>(AD233/((U233*AZ233*1))*(0.0821*273.15))</f>
        <v>134.08424954081761</v>
      </c>
      <c r="AF233" s="39">
        <f>L233*U233*AZ233*1/(0.0821*273.15)</f>
        <v>2.5972254413536545E-3</v>
      </c>
      <c r="AG233" s="39">
        <f>AD233-AF233</f>
        <v>0.17225887209364249</v>
      </c>
      <c r="AH233" s="42">
        <f>P233*(AZ233-S233)</f>
        <v>0.54453166834557476</v>
      </c>
      <c r="AI233">
        <f>(((X233/10^6)*(Q233/1000))/(0.082056*H233))</f>
        <v>2.5695970589097804E-6</v>
      </c>
      <c r="AJ233">
        <f>(((K233/10^6)*AZ233)*(Q233/1000))/(0.082056*H233)</f>
        <v>1.0144091533333234E-6</v>
      </c>
      <c r="AK233">
        <f>(X233/10^6)*T233*(R233/1000)</f>
        <v>4.2013484356129836E-5</v>
      </c>
      <c r="AL233">
        <f>AI233+AK233</f>
        <v>4.4583081415039617E-5</v>
      </c>
      <c r="AM233" s="39">
        <f>((AL233-AJ233)/(R233/1000))*1000000</f>
        <v>38.218133562900263</v>
      </c>
      <c r="AN233" s="39">
        <f>AM233/(T233*AZ233)</f>
        <v>1173.4047095385606</v>
      </c>
      <c r="AO233" s="39">
        <f>(K233*AZ233)*T233</f>
        <v>14.548961089808728</v>
      </c>
      <c r="AP233" s="39">
        <f>AM233-AO233</f>
        <v>23.669172473091535</v>
      </c>
      <c r="AQ233">
        <f>(((AH233/10^6)*(Q233/1000))/(0.082056*H233))</f>
        <v>1.3472031397027408E-9</v>
      </c>
      <c r="AR233">
        <f>(((M233/10^6)*AZ233)*(Q233/1000))/(0.082056*H233)</f>
        <v>6.601559978883423E-10</v>
      </c>
      <c r="AS233">
        <f>(AH233/10^6)*V233*(R233/1000)</f>
        <v>1.6390246795296776E-8</v>
      </c>
      <c r="AT233">
        <f>AQ233+AS233</f>
        <v>1.7737449934999515E-8</v>
      </c>
      <c r="AU233" s="39">
        <f>((AT233-AR233)/(R233/1000))*1000000000</f>
        <v>14.980082400974716</v>
      </c>
      <c r="AV233" s="39">
        <f>(AU233/1000)/(V233*AZ233)</f>
        <v>0.61810722934717499</v>
      </c>
      <c r="AW233" s="39">
        <f>(M233*AZ233)*V233*1000</f>
        <v>7.0452130162938875</v>
      </c>
      <c r="AX233" s="39">
        <f>AU233-AW233</f>
        <v>7.9348693846808285</v>
      </c>
      <c r="AY233" s="26">
        <v>697.6</v>
      </c>
      <c r="AZ233">
        <f>AY233/760</f>
        <v>0.91789473684210532</v>
      </c>
      <c r="BA233" s="3">
        <f>Assumptions!$B$3</f>
        <v>406.07</v>
      </c>
      <c r="BB233" s="3">
        <f>BA233*AZ233*T233</f>
        <v>13.225818312924467</v>
      </c>
      <c r="BC233" s="3">
        <f>Assumptions!$B$4</f>
        <v>1.8474300000000001</v>
      </c>
      <c r="BD233" s="45">
        <f>BC233*AZ233*U233*1/(0.0821*273.15)</f>
        <v>2.4091897547648994E-3</v>
      </c>
      <c r="BE233" s="3">
        <f>Assumptions!$B$2</f>
        <v>0.33054499999999998</v>
      </c>
      <c r="BF233" s="44">
        <f>BE233*AZ233*V233*1000</f>
        <v>8.0108937448602529</v>
      </c>
      <c r="BG233">
        <f>1923.6+(-125.06*F233)+(4.3773*(F233^2))+(-0.085681*(F233^3))+(0.00070284*(F233^4))</f>
        <v>532.55413577318382</v>
      </c>
      <c r="BH233">
        <f>1909.4+(-120.78*F233)+(4.1555*(F233^2))+(-0.080578*(F233^3))+(0.00065777*(F233^4))</f>
        <v>548.94358563635228</v>
      </c>
      <c r="BI233">
        <f>2141.2+(-152.56*F233)+(5.8963*(F233^2))+(-0.12411*(F233^3))+(0.0010655*(F233^4))</f>
        <v>555.71215585279992</v>
      </c>
      <c r="BJ233" s="25">
        <f>VLOOKUP(E233,Wind!$C$2:$E$109,3, FALSE)</f>
        <v>1.6111111111111112</v>
      </c>
      <c r="BK233" s="44">
        <v>1.66</v>
      </c>
      <c r="BL233">
        <f>BK233/(1-(((1.3*10^-3)^0.5)/0.41)*LN(10/1.5))</f>
        <v>1.9923982880693825</v>
      </c>
      <c r="BM233">
        <f>BK233*1.22</f>
        <v>2.0251999999999999</v>
      </c>
      <c r="BN233">
        <f>2.07+0.215*(BM233^1.7)*(24/100)</f>
        <v>2.241255750541113</v>
      </c>
      <c r="BO233">
        <f>BN233*((600/BG233)^0.67)</f>
        <v>2.4276665494645262</v>
      </c>
      <c r="BP233">
        <f>BN233*((600/BH233)^0.67)</f>
        <v>2.3788616538456253</v>
      </c>
      <c r="BQ233">
        <f>BN233*((600/BI233)^0.67)</f>
        <v>2.3594095001386743</v>
      </c>
      <c r="BR233" s="39">
        <f>BO233*(AM233-BB233)</f>
        <v>60.673007726038399</v>
      </c>
      <c r="BS233" s="39">
        <f>BP233*(AD233-BD233)</f>
        <v>0.41022733624264496</v>
      </c>
      <c r="BT233" s="39">
        <f>BQ233*(AU233-BF233)</f>
        <v>16.443169923495145</v>
      </c>
      <c r="BU233">
        <f>(2.51+1.48*BM233)+(0.39*BM233*LOG10(0.0015))</f>
        <v>3.2768938069574309</v>
      </c>
      <c r="BV233">
        <f>BU233*((600/$BG233)^0.67)</f>
        <v>3.5494411913398873</v>
      </c>
      <c r="BW233">
        <f>BU233*((600/$BH233)^0.67)</f>
        <v>3.4780845600566579</v>
      </c>
      <c r="BX233">
        <f>BU233*((600/$BI233)^0.67)</f>
        <v>3.4496439673224719</v>
      </c>
      <c r="BY233" s="39">
        <f>BV233*($AM233-$BB233)</f>
        <v>88.70875321521612</v>
      </c>
      <c r="BZ233" s="39">
        <f>BW233*($AD233-$BD233)</f>
        <v>0.59978492737993672</v>
      </c>
      <c r="CA233" s="39">
        <f>BX233*($AU233-$BF233)</f>
        <v>24.041219604697464</v>
      </c>
      <c r="CB233" s="42">
        <f>AVERAGE(0.72,0.69,0.4,0.22)</f>
        <v>0.50750000000000006</v>
      </c>
      <c r="CC233">
        <f>CB233*((600/$BG233)^0.67)</f>
        <v>0.54971003356301129</v>
      </c>
      <c r="CD233">
        <f>CB233*((600/$BH233)^0.67)</f>
        <v>0.53865886971407873</v>
      </c>
      <c r="CE233">
        <f>CB233*((600/$BI233)^0.67)</f>
        <v>0.53425421040471865</v>
      </c>
      <c r="CF233" s="39">
        <f>CC233*($AM233-$BB233)</f>
        <v>13.738526454881553</v>
      </c>
      <c r="CG233" s="39">
        <f>CD233*($AD233-$BD233)</f>
        <v>9.2890056430587328E-2</v>
      </c>
      <c r="CH233" s="39">
        <f>CE233*($AU233-$BF233)</f>
        <v>3.7233183826339546</v>
      </c>
      <c r="CI233">
        <v>56.862639018895301</v>
      </c>
      <c r="CJ233">
        <f>((BG233/BH233)^0.67)*CI233</f>
        <v>55.719493901809706</v>
      </c>
      <c r="CK233">
        <f>((BH233/BH233)^0.67)*CI233</f>
        <v>56.862639018895301</v>
      </c>
      <c r="CL233">
        <f>((BI233/BH233)^0.67)*CI233</f>
        <v>57.331443096489053</v>
      </c>
      <c r="CM233" s="39">
        <f>CJ233*($AM233-$BB233)</f>
        <v>1392.5591571631321</v>
      </c>
      <c r="CN233" s="39">
        <f>CK233*($AD233-$BD233)</f>
        <v>9.8057862670320173</v>
      </c>
      <c r="CO233" s="39">
        <f>CL233*($AU233-$BF233)</f>
        <v>399.55364286672335</v>
      </c>
      <c r="CP233" s="27">
        <f>VLOOKUP(A233,Water!$A$2:$E$109, 5, FALSE)/1000</f>
        <v>1.1000000000000001E-3</v>
      </c>
      <c r="CQ233">
        <f>0.64*CP233</f>
        <v>7.0400000000000009E-4</v>
      </c>
      <c r="CR233" s="19">
        <f>CQ233*1000*(2.5*10^-5)</f>
        <v>1.7600000000000004E-5</v>
      </c>
      <c r="CS233" s="18">
        <f>(-0.0000009*F233^3)+(0.0002*F233^2)-(0.0134*F233)+6.579</f>
        <v>6.3690765184</v>
      </c>
      <c r="CT233" s="18">
        <f>CS233-(SQRT(CP233))/(1+1.4*SQRT(CP233))</f>
        <v>6.3373819369789022</v>
      </c>
      <c r="CU233" s="18">
        <f>10^(-CT233)</f>
        <v>4.5985198237179989E-7</v>
      </c>
      <c r="CV233" s="18">
        <f>(0.000001*F233^3)+(0.00006*F233^2)-(0.014*F233)+10.625</f>
        <v>10.352745024000001</v>
      </c>
      <c r="CW233" s="18">
        <f>CV233-(2*SQRT(CR233))/(1+1.4*SQRT(CR233))</f>
        <v>10.344403545466996</v>
      </c>
      <c r="CX233" s="18">
        <f>10^(-CW233)</f>
        <v>4.5247694393659052E-11</v>
      </c>
      <c r="CY233">
        <f>EXP(1246.98+-61900/H233-183*LN(H233))</f>
        <v>2.9676907565234247E-2</v>
      </c>
      <c r="CZ233">
        <f>12.225*(F233^2)+15.258*F233+1125.7</f>
        <v>7601.4951999999985</v>
      </c>
      <c r="DA233" s="15">
        <f>10^(-4470.99/H233+6.0875-0.01706*H233)</f>
        <v>8.2741401037449041E-15</v>
      </c>
      <c r="DB233">
        <f>(10^-I233)</f>
        <v>1.3182567385564031E-8</v>
      </c>
      <c r="DC233">
        <f>DB233^2</f>
        <v>1.7378008287493651E-16</v>
      </c>
      <c r="DD233" s="20">
        <f>((14.6836*10^-9)*((H233/217.2056)-1)^1.997)*100*100</f>
        <v>1.9161743221033059E-5</v>
      </c>
      <c r="DE233">
        <f>CY233+CZ233*DA233/DB233</f>
        <v>3.4448044661913937E-2</v>
      </c>
      <c r="DF233">
        <f>1+DC233*(CU233*CX233+CU233*DB233)^-1</f>
        <v>1.0285689199377364</v>
      </c>
      <c r="DG233">
        <f>(DE233*DF233/DD233)^0.5</f>
        <v>43.001289417765733</v>
      </c>
      <c r="DH233">
        <f>DD233/(BO233/60/60)</f>
        <v>2.8415053793501632E-2</v>
      </c>
      <c r="DI233" s="16">
        <f>DF233/((DF233-1)+TANH(DG233*DH233)/(DG233*DH233))</f>
        <v>1.436141629768404</v>
      </c>
      <c r="DJ233">
        <f>$DI233*BR233</f>
        <v>87.135032198623747</v>
      </c>
      <c r="DK233">
        <f>$DI233*BY233</f>
        <v>127.39833341722363</v>
      </c>
      <c r="DL233">
        <f>$DI233*CF233</f>
        <v>19.730469773529926</v>
      </c>
      <c r="DM233">
        <f>$DI233*CM233</f>
        <v>1999.9121775171757</v>
      </c>
    </row>
    <row r="234" spans="1:117" ht="15.75" x14ac:dyDescent="0.25">
      <c r="A234" s="52" t="s">
        <v>331</v>
      </c>
      <c r="B234" s="55" t="s">
        <v>339</v>
      </c>
      <c r="C234" s="62" t="s">
        <v>423</v>
      </c>
      <c r="D234" s="57">
        <v>43291</v>
      </c>
      <c r="E234" s="42" t="str">
        <f>A234&amp;D234</f>
        <v>62C43291</v>
      </c>
      <c r="F234" s="3">
        <f>VLOOKUP($E234,Water!$C$2:$E$90, 2, FALSE)</f>
        <v>21.9</v>
      </c>
      <c r="G234" s="3">
        <f>VLOOKUP($E234,Water!$C$2:$E$90, 3, FALSE)</f>
        <v>0.25</v>
      </c>
      <c r="H234" s="1">
        <f>F234+273.15</f>
        <v>295.04999999999995</v>
      </c>
      <c r="I234" s="3">
        <f>VLOOKUP($E234,Water!$C$2:$F$90, 4, FALSE)</f>
        <v>8.7200000000000006</v>
      </c>
      <c r="J234">
        <f>10^(I234*-1)</f>
        <v>1.9054607179632436E-9</v>
      </c>
      <c r="K234" s="25">
        <f>VLOOKUP($E234,Atm!$D$2:$G$100, 2, FALSE)</f>
        <v>446.35194289063088</v>
      </c>
      <c r="L234" s="25">
        <f>VLOOKUP($E234,Atm!$D$2:$G$100, 3, FALSE)</f>
        <v>1.9634491096744711</v>
      </c>
      <c r="M234" s="25">
        <f>VLOOKUP($E234,Atm!$D$2:$G$100, 4, FALSE)</f>
        <v>0.2896388262464169</v>
      </c>
      <c r="N234" s="21">
        <f>VLOOKUP($C234,Raw!$B$2:$F$353, 3, FALSE)</f>
        <v>503.3655612037158</v>
      </c>
      <c r="O234" s="21">
        <f>VLOOKUP($C234,Raw!$B$2:$F$353, 4, FALSE)</f>
        <v>2208.5932994672039</v>
      </c>
      <c r="P234" s="21">
        <f>VLOOKUP($C234,Raw!$B$2:$F$353, 5, FALSE)</f>
        <v>0.29870666285657271</v>
      </c>
      <c r="Q234" s="14">
        <v>60</v>
      </c>
      <c r="R234" s="25">
        <v>1140</v>
      </c>
      <c r="S234">
        <f>EXP(24.4543-(100/H234*(67.4509))-(4.8489*LN(H234/100))-(0.000544*G234))</f>
        <v>2.5911717108082412E-2</v>
      </c>
      <c r="T234" s="8">
        <f>EXP(-58.0931+90.5069*(100/H234)+22.294*LN(H234/100)+G234*(0.027766-0.025888*(H234/100)+0.0050578*(H234/100)^2)*G234)</f>
        <v>3.7003679460468987E-2</v>
      </c>
      <c r="U234" s="9">
        <f>(EXP(-67.1962+99.1624*(100/H234)+27.9015*LN(H234/100)+G234*(-0.072909+0.041674*(H234/100)-0.0064603*(H234/100)^2)*G234))</f>
        <v>3.3400155208416014E-2</v>
      </c>
      <c r="V234" s="9">
        <f>(EXP(-64.8539+100.252*(100/H234)+25.2049*LN(H234/100)+(-0.062544+0.035337*(H234/100)-0.0054699*(H234/100)^2)*G234))</f>
        <v>2.7150972813348859E-2</v>
      </c>
      <c r="W234" s="9">
        <f>(EXP(-68.8862+101.4956*(100/H234)+28.7314*LN(H234/100)+G234*(-0.076146+0.04397*(H234/100)-0.0068672*(H234/100)^2)))</f>
        <v>3.3318431417618803E-2</v>
      </c>
      <c r="X234">
        <f>N234*(AZ234-S234)</f>
        <v>451.70905805067423</v>
      </c>
      <c r="Y234">
        <f>O234*(AZ234-S234)</f>
        <v>1981.9425002649482</v>
      </c>
      <c r="Z234">
        <f>((Y234/10^6)*AZ234)/(0.082056*H234)</f>
        <v>7.5582799461978019E-5</v>
      </c>
      <c r="AA234">
        <f>(((L234/10^6)*AZ234)/(0.082056*H234))</f>
        <v>7.4877540741210278E-8</v>
      </c>
      <c r="AB234">
        <f>((Y234/10^6)*U234*1)/(0.082056*H234)</f>
        <v>2.7342207455731116E-6</v>
      </c>
      <c r="AC234">
        <f>(Z234*(Q234/1000))+(AB234*(R234/1000))</f>
        <v>7.6519796176720273E-6</v>
      </c>
      <c r="AD234" s="39">
        <f>((AC234-(AA234*(Q234/1000)))/(R234/1000))*1000000</f>
        <v>6.7083218993224172</v>
      </c>
      <c r="AE234" s="39">
        <f>(AD234/((U234*AZ234*1))*(0.0821*273.15))</f>
        <v>4878.3379927301603</v>
      </c>
      <c r="AF234" s="39">
        <f>L234*U234*AZ234*1/(0.0821*273.15)</f>
        <v>2.6999868972307434E-3</v>
      </c>
      <c r="AG234" s="39">
        <f>AD234-AF234</f>
        <v>6.7056219124251868</v>
      </c>
      <c r="AH234" s="42">
        <f>P234*(AZ234-S234)</f>
        <v>0.26805271498857308</v>
      </c>
      <c r="AI234">
        <f>(((X234/10^6)*(Q234/1000))/(0.082056*H234))</f>
        <v>1.1194484217498304E-6</v>
      </c>
      <c r="AJ234">
        <f>(((K234/10^6)*AZ234)*(Q234/1000))/(0.082056*H234)</f>
        <v>1.0213170982848456E-6</v>
      </c>
      <c r="AK234">
        <f>(X234/10^6)*T234*(R234/1000)</f>
        <v>1.905498280058718E-5</v>
      </c>
      <c r="AL234">
        <f>AI234+AK234</f>
        <v>2.017443122233701E-5</v>
      </c>
      <c r="AM234" s="39">
        <f>((AL234-AJ234)/(R234/1000))*1000000</f>
        <v>16.800977301800149</v>
      </c>
      <c r="AN234" s="39">
        <f>AM234/(T234*AZ234)</f>
        <v>491.75835864137758</v>
      </c>
      <c r="AO234" s="39">
        <f>(K234*AZ234)*T234</f>
        <v>15.249662215886717</v>
      </c>
      <c r="AP234" s="39">
        <f>AM234-AO234</f>
        <v>1.5513150859134317</v>
      </c>
      <c r="AQ234">
        <f>(((AH234/10^6)*(Q234/1000))/(0.082056*H234))</f>
        <v>6.6430190714938506E-10</v>
      </c>
      <c r="AR234">
        <f>(((M234/10^6)*AZ234)*(Q234/1000))/(0.082056*H234)</f>
        <v>6.627350687820392E-10</v>
      </c>
      <c r="AS234">
        <f>(AH234/10^6)*V234*(R234/1000)</f>
        <v>8.2967968540069708E-9</v>
      </c>
      <c r="AT234">
        <f>AQ234+AS234</f>
        <v>8.9610987611563562E-9</v>
      </c>
      <c r="AU234" s="39">
        <f>((AT234-AR234)/(R234/1000))*1000000000</f>
        <v>7.279266396819577</v>
      </c>
      <c r="AV234" s="39">
        <f>(AU234/1000)/(V234*AZ234)</f>
        <v>0.29037841761087274</v>
      </c>
      <c r="AW234" s="39">
        <f>(M234*AZ234)*V234*1000</f>
        <v>7.2607261671049992</v>
      </c>
      <c r="AX234" s="39">
        <f>AU234-AW234</f>
        <v>1.8540229714577805E-2</v>
      </c>
      <c r="AY234" s="26">
        <f>VLOOKUP($E234,Water!$C$2:$G$90, 5, FALSE)</f>
        <v>701.7</v>
      </c>
      <c r="AZ234">
        <f>AY234/760</f>
        <v>0.92328947368421055</v>
      </c>
      <c r="BA234" s="3">
        <f>Assumptions!$B$3</f>
        <v>406.07</v>
      </c>
      <c r="BB234" s="3">
        <f>BA234*AZ234*T234</f>
        <v>13.873425297316212</v>
      </c>
      <c r="BC234" s="3">
        <f>Assumptions!$B$4</f>
        <v>1.8474300000000001</v>
      </c>
      <c r="BD234" s="45">
        <f>BC234*AZ234*U234*1/(0.0821*273.15)</f>
        <v>2.540446181657329E-3</v>
      </c>
      <c r="BE234" s="3">
        <f>Assumptions!$B$2</f>
        <v>0.33054499999999998</v>
      </c>
      <c r="BF234" s="44">
        <f>BE234*AZ234*V234*1000</f>
        <v>8.2861706146532619</v>
      </c>
      <c r="BG234">
        <f>1923.6+(-125.06*F234)+(4.3773*(F234^2))+(-0.085681*(F234^3))+(0.00070284*(F234^4))</f>
        <v>545.90728202696391</v>
      </c>
      <c r="BH234">
        <f>1909.4+(-120.78*F234)+(4.1555*(F234^2))+(-0.080578*(F234^3))+(0.00065777*(F234^4))</f>
        <v>562.29367465681719</v>
      </c>
      <c r="BI234">
        <f>2141.2+(-152.56*F234)+(5.8963*(F234^2))+(-0.12411*(F234^3))+(0.0010655*(F234^4))</f>
        <v>569.56858537254993</v>
      </c>
      <c r="BJ234" s="25">
        <f>VLOOKUP(E234,Wind!$C$2:$E$109,3, FALSE)</f>
        <v>0.55555555555555558</v>
      </c>
      <c r="BK234" s="44">
        <v>1.66</v>
      </c>
      <c r="BL234">
        <f>BK234/(1-(((1.3*10^-3)^0.5)/0.41)*LN(10/1.5))</f>
        <v>1.9923982880693825</v>
      </c>
      <c r="BM234">
        <f>BK234*1.22</f>
        <v>2.0251999999999999</v>
      </c>
      <c r="BN234">
        <f>2.07+0.215*(BM234^1.7)*(24/100)</f>
        <v>2.241255750541113</v>
      </c>
      <c r="BO234">
        <f>BN234*((600/BG234)^0.67)</f>
        <v>2.3877183660664163</v>
      </c>
      <c r="BP234">
        <f>BN234*((600/BH234)^0.67)</f>
        <v>2.3408706255248437</v>
      </c>
      <c r="BQ234">
        <f>BN234*((600/BI234)^0.67)</f>
        <v>2.3207957263157439</v>
      </c>
      <c r="BR234" s="39">
        <f>BO234*(AM234-BB234)</f>
        <v>6.9901696887208482</v>
      </c>
      <c r="BS234" s="39">
        <f>BP234*(AD234-BD234)</f>
        <v>15.697366824846505</v>
      </c>
      <c r="BT234" s="39">
        <f>BQ234*(AU234-BF234)</f>
        <v>-2.3368190055577127</v>
      </c>
      <c r="BU234">
        <f>(2.51+1.48*BM234)+(0.39*BM234*LOG10(0.0015))</f>
        <v>3.2768938069574309</v>
      </c>
      <c r="BV234">
        <f>BU234*((600/$BG234)^0.67)</f>
        <v>3.4910337763249517</v>
      </c>
      <c r="BW234">
        <f>BU234*((600/$BH234)^0.67)</f>
        <v>3.4225386611139523</v>
      </c>
      <c r="BX234">
        <f>BU234*((600/$BI234)^0.67)</f>
        <v>3.3931875650252032</v>
      </c>
      <c r="BY234" s="39">
        <f>BV234*($AM234-$BB234)</f>
        <v>10.220182929601242</v>
      </c>
      <c r="BZ234" s="39">
        <f>BW234*($AD234-$BD234)</f>
        <v>22.950796276355149</v>
      </c>
      <c r="CA234" s="39">
        <f>BX234*($AU234-$BF234)</f>
        <v>-3.416614871124688</v>
      </c>
      <c r="CB234" s="42">
        <f>AVERAGE(0.72,0.69,0.4,0.22)</f>
        <v>0.50750000000000006</v>
      </c>
      <c r="CC234">
        <f>CB234*((600/$BG234)^0.67)</f>
        <v>0.54066434430169152</v>
      </c>
      <c r="CD234">
        <f>CB234*((600/$BH234)^0.67)</f>
        <v>0.53005634995784745</v>
      </c>
      <c r="CE234">
        <f>CB234*((600/$BI234)^0.67)</f>
        <v>0.52551067892224235</v>
      </c>
      <c r="CF234" s="39">
        <f>CC234*($AM234-$BB234)</f>
        <v>1.5828229849134106</v>
      </c>
      <c r="CG234" s="39">
        <f>CD234*($AD234-$BD234)</f>
        <v>3.5544420406668213</v>
      </c>
      <c r="CH234" s="39">
        <f>CE234*($AU234-$BF234)</f>
        <v>-0.52913891912344913</v>
      </c>
      <c r="CI234">
        <v>57.862639018895301</v>
      </c>
      <c r="CJ234">
        <f>((BG234/BH234)^0.67)*CI234</f>
        <v>56.72735692770226</v>
      </c>
      <c r="CK234">
        <f>((BH234/BH234)^0.67)*CI234</f>
        <v>57.862639018895301</v>
      </c>
      <c r="CL234">
        <f>((BI234/BH234)^0.67)*CI234</f>
        <v>58.363151249724353</v>
      </c>
      <c r="CM234" s="39">
        <f>CJ234*($AM234-$BB234)</f>
        <v>166.07228748277052</v>
      </c>
      <c r="CN234" s="39">
        <f>CK234*($AD234-$BD234)</f>
        <v>388.01421156268697</v>
      </c>
      <c r="CO234" s="39">
        <f>CL234*($AU234-$BF234)</f>
        <v>-58.766103159412751</v>
      </c>
      <c r="CP234" s="27">
        <f>VLOOKUP(A234,Water!$A$2:$E$109, 5, FALSE)/1000</f>
        <v>1.6000000000000001E-4</v>
      </c>
      <c r="CQ234">
        <f>0.64*CP234</f>
        <v>1.0240000000000001E-4</v>
      </c>
      <c r="CR234" s="19">
        <f>CQ234*1000*(2.5*10^-5)</f>
        <v>2.5600000000000001E-6</v>
      </c>
      <c r="CS234" s="18">
        <f>(-0.0000009*F234^3)+(0.0002*F234^2)-(0.0134*F234)+6.579</f>
        <v>6.3720088868999998</v>
      </c>
      <c r="CT234" s="18">
        <f>CS234-(SQRT(CP234))/(1+1.4*SQRT(CP234))</f>
        <v>6.3595798785222994</v>
      </c>
      <c r="CU234" s="18">
        <f>10^(-CT234)</f>
        <v>4.3693830688618063E-7</v>
      </c>
      <c r="CV234" s="18">
        <f>(0.000001*F234^3)+(0.00006*F234^2)-(0.014*F234)+10.625</f>
        <v>10.357680059</v>
      </c>
      <c r="CW234" s="18">
        <f>CV234-(2*SQRT(CR234))/(1+1.4*SQRT(CR234))</f>
        <v>10.354487210979565</v>
      </c>
      <c r="CX234" s="18">
        <f>10^(-CW234)</f>
        <v>4.4209213532818329E-11</v>
      </c>
      <c r="CY234">
        <f>EXP(1246.98+-61900/H234-183*LN(H234))</f>
        <v>2.8369106092595742E-2</v>
      </c>
      <c r="CZ234">
        <f>12.225*(F234^2)+15.258*F234+1125.7</f>
        <v>7323.082449999999</v>
      </c>
      <c r="DA234" s="15">
        <f>10^(-4470.99/H234+6.0875-0.01706*H234)</f>
        <v>7.9545763731175434E-15</v>
      </c>
      <c r="DB234">
        <f>(10^-I234)</f>
        <v>1.9054607179632436E-9</v>
      </c>
      <c r="DC234">
        <f>DB234^2</f>
        <v>3.6307805477009994E-18</v>
      </c>
      <c r="DD234" s="20">
        <f>((14.6836*10^-9)*((H234/217.2056)-1)^1.997)*100*100</f>
        <v>1.8918303623089213E-5</v>
      </c>
      <c r="DE234">
        <f>CY234+CZ234*DA234/DB234</f>
        <v>5.8940200046937452E-2</v>
      </c>
      <c r="DF234">
        <f>1+DC234*(CU234*CX234+CU234*DB234)^-1</f>
        <v>1.0042620523976791</v>
      </c>
      <c r="DG234">
        <f>(DE234*DF234/DD234)^0.5</f>
        <v>55.935591299060128</v>
      </c>
      <c r="DH234">
        <f>DD234/(BO234/60/60)</f>
        <v>2.8523419684257163E-2</v>
      </c>
      <c r="DI234" s="16">
        <f>DF234/((DF234-1)+TANH(DG234*DH234)/(DG234*DH234))</f>
        <v>1.7269898315660626</v>
      </c>
      <c r="DJ234">
        <f>$DI234*BR234</f>
        <v>12.071951973342214</v>
      </c>
      <c r="DK234">
        <f>$DI234*BY234</f>
        <v>17.650151996166397</v>
      </c>
      <c r="DL234">
        <f>$DI234*CF234</f>
        <v>2.7335192001145034</v>
      </c>
      <c r="DM234">
        <f>$DI234*CM234</f>
        <v>286.80515178766058</v>
      </c>
    </row>
    <row r="235" spans="1:117" ht="15.75" x14ac:dyDescent="0.25">
      <c r="A235" s="52" t="s">
        <v>331</v>
      </c>
      <c r="B235" s="55" t="s">
        <v>340</v>
      </c>
      <c r="C235" s="62" t="s">
        <v>424</v>
      </c>
      <c r="D235" s="57">
        <v>43291</v>
      </c>
      <c r="E235" s="42" t="str">
        <f>A235&amp;D235</f>
        <v>62C43291</v>
      </c>
      <c r="F235" s="3">
        <f>VLOOKUP($E235,Water!$C$2:$E$90, 2, FALSE)</f>
        <v>21.9</v>
      </c>
      <c r="G235" s="3">
        <f>VLOOKUP($E235,Water!$C$2:$E$90, 3, FALSE)</f>
        <v>0.25</v>
      </c>
      <c r="H235" s="1">
        <f>F235+273.15</f>
        <v>295.04999999999995</v>
      </c>
      <c r="I235" s="3">
        <f>VLOOKUP($E235,Water!$C$2:$F$90, 4, FALSE)</f>
        <v>8.7200000000000006</v>
      </c>
      <c r="J235">
        <f>10^(I235*-1)</f>
        <v>1.9054607179632436E-9</v>
      </c>
      <c r="K235" s="25">
        <f>VLOOKUP($E235,Atm!$D$2:$G$100, 2, FALSE)</f>
        <v>446.35194289063088</v>
      </c>
      <c r="L235" s="25">
        <f>VLOOKUP($E235,Atm!$D$2:$G$100, 3, FALSE)</f>
        <v>1.9634491096744711</v>
      </c>
      <c r="M235" s="25">
        <f>VLOOKUP($E235,Atm!$D$2:$G$100, 4, FALSE)</f>
        <v>0.2896388262464169</v>
      </c>
      <c r="N235" s="21">
        <f>VLOOKUP($C235,Raw!$B$2:$F$353, 3, FALSE)</f>
        <v>463.62316894276591</v>
      </c>
      <c r="O235" s="21">
        <f>VLOOKUP($C235,Raw!$B$2:$F$353, 4, FALSE)</f>
        <v>1588.072188334776</v>
      </c>
      <c r="P235" s="21">
        <f>VLOOKUP($C235,Raw!$B$2:$F$353, 5, FALSE)</f>
        <v>0.29705758693149642</v>
      </c>
      <c r="Q235" s="14">
        <v>60</v>
      </c>
      <c r="R235" s="25">
        <v>1140</v>
      </c>
      <c r="S235">
        <f>EXP(24.4543-(100/H235*(67.4509))-(4.8489*LN(H235/100))-(0.000544*G235))</f>
        <v>2.5911717108082412E-2</v>
      </c>
      <c r="T235" s="8">
        <f>EXP(-58.0931+90.5069*(100/H235)+22.294*LN(H235/100)+G235*(0.027766-0.025888*(H235/100)+0.0050578*(H235/100)^2)*G235)</f>
        <v>3.7003679460468987E-2</v>
      </c>
      <c r="U235" s="9">
        <f>(EXP(-67.1962+99.1624*(100/H235)+27.9015*LN(H235/100)+G235*(-0.072909+0.041674*(H235/100)-0.0064603*(H235/100)^2)*G235))</f>
        <v>3.3400155208416014E-2</v>
      </c>
      <c r="V235" s="9">
        <f>(EXP(-64.8539+100.252*(100/H235)+25.2049*LN(H235/100)+(-0.062544+0.035337*(H235/100)-0.0054699*(H235/100)^2)*G235))</f>
        <v>2.7150972813348859E-2</v>
      </c>
      <c r="W235" s="9">
        <f>(EXP(-68.8862+101.4956*(100/H235)+28.7314*LN(H235/100)+G235*(-0.076146+0.04397*(H235/100)-0.0068672*(H235/100)^2)))</f>
        <v>3.3318431417618803E-2</v>
      </c>
      <c r="X235">
        <f>N235*(AZ235-S235)</f>
        <v>416.04511924257451</v>
      </c>
      <c r="Y235">
        <f>O235*(AZ235-S235)</f>
        <v>1425.1006576488037</v>
      </c>
      <c r="Z235">
        <f>((Y235/10^6)*AZ235)/(0.082056*H235)</f>
        <v>5.4347236211849397E-5</v>
      </c>
      <c r="AA235">
        <f>(((L235/10^6)*AZ235)/(0.082056*H235))</f>
        <v>7.4877540741210278E-8</v>
      </c>
      <c r="AB235">
        <f>((Y235/10^6)*U235*1)/(0.082056*H235)</f>
        <v>1.9660205995644934E-6</v>
      </c>
      <c r="AC235">
        <f>(Z235*(Q235/1000))+(AB235*(R235/1000))</f>
        <v>5.5020976562144859E-6</v>
      </c>
      <c r="AD235" s="39">
        <f>((AC235-(AA235*(Q235/1000)))/(R235/1000))*1000000</f>
        <v>4.8224605296228198</v>
      </c>
      <c r="AE235" s="39">
        <f>(AD235/((U235*AZ235*1))*(0.0821*273.15))</f>
        <v>3506.9265865844695</v>
      </c>
      <c r="AF235" s="39">
        <f>L235*U235*AZ235*1/(0.0821*273.15)</f>
        <v>2.6999868972307434E-3</v>
      </c>
      <c r="AG235" s="39">
        <f>AD235-AF235</f>
        <v>4.8197605427255894</v>
      </c>
      <c r="AH235" s="42">
        <f>P235*(AZ235-S235)</f>
        <v>0.26657287093450444</v>
      </c>
      <c r="AI235">
        <f>(((X235/10^6)*(Q235/1000))/(0.082056*H235))</f>
        <v>1.0310642299773664E-6</v>
      </c>
      <c r="AJ235">
        <f>(((K235/10^6)*AZ235)*(Q235/1000))/(0.082056*H235)</f>
        <v>1.0213170982848456E-6</v>
      </c>
      <c r="AK235">
        <f>(X235/10^6)*T235*(R235/1000)</f>
        <v>1.7550528266241098E-5</v>
      </c>
      <c r="AL235">
        <f>AI235+AK235</f>
        <v>1.8581592496218463E-5</v>
      </c>
      <c r="AM235" s="39">
        <f>((AL235-AJ235)/(R235/1000))*1000000</f>
        <v>15.403750349064579</v>
      </c>
      <c r="AN235" s="39">
        <f>AM235/(T235*AZ235)</f>
        <v>450.86204525530343</v>
      </c>
      <c r="AO235" s="39">
        <f>(K235*AZ235)*T235</f>
        <v>15.249662215886717</v>
      </c>
      <c r="AP235" s="39">
        <f>AM235-AO235</f>
        <v>0.15408813317786141</v>
      </c>
      <c r="AQ235">
        <f>(((AH235/10^6)*(Q235/1000))/(0.082056*H235))</f>
        <v>6.6063448215261401E-10</v>
      </c>
      <c r="AR235">
        <f>(((M235/10^6)*AZ235)*(Q235/1000))/(0.082056*H235)</f>
        <v>6.627350687820392E-10</v>
      </c>
      <c r="AS235">
        <f>(AH235/10^6)*V235*(R235/1000)</f>
        <v>8.2509925595317551E-9</v>
      </c>
      <c r="AT235">
        <f>AQ235+AS235</f>
        <v>8.9116270416843682E-9</v>
      </c>
      <c r="AU235" s="39">
        <f>((AT235-AR235)/(R235/1000))*1000000000</f>
        <v>7.2358701516687107</v>
      </c>
      <c r="AV235" s="39">
        <f>(AU235/1000)/(V235*AZ235)</f>
        <v>0.28864729083102747</v>
      </c>
      <c r="AW235" s="39">
        <f>(M235*AZ235)*V235*1000</f>
        <v>7.2607261671049992</v>
      </c>
      <c r="AX235" s="39">
        <f>AU235-AW235</f>
        <v>-2.4856015436288459E-2</v>
      </c>
      <c r="AY235" s="26">
        <f>VLOOKUP($E235,Water!$C$2:$G$90, 5, FALSE)</f>
        <v>701.7</v>
      </c>
      <c r="AZ235">
        <f>AY235/760</f>
        <v>0.92328947368421055</v>
      </c>
      <c r="BA235" s="3">
        <f>Assumptions!$B$3</f>
        <v>406.07</v>
      </c>
      <c r="BB235" s="3">
        <f>BA235*AZ235*T235</f>
        <v>13.873425297316212</v>
      </c>
      <c r="BC235" s="3">
        <f>Assumptions!$B$4</f>
        <v>1.8474300000000001</v>
      </c>
      <c r="BD235" s="45">
        <f>BC235*AZ235*U235*1/(0.0821*273.15)</f>
        <v>2.540446181657329E-3</v>
      </c>
      <c r="BE235" s="3">
        <f>Assumptions!$B$2</f>
        <v>0.33054499999999998</v>
      </c>
      <c r="BF235" s="44">
        <f>BE235*AZ235*V235*1000</f>
        <v>8.2861706146532619</v>
      </c>
      <c r="BG235">
        <f>1923.6+(-125.06*F235)+(4.3773*(F235^2))+(-0.085681*(F235^3))+(0.00070284*(F235^4))</f>
        <v>545.90728202696391</v>
      </c>
      <c r="BH235">
        <f>1909.4+(-120.78*F235)+(4.1555*(F235^2))+(-0.080578*(F235^3))+(0.00065777*(F235^4))</f>
        <v>562.29367465681719</v>
      </c>
      <c r="BI235">
        <f>2141.2+(-152.56*F235)+(5.8963*(F235^2))+(-0.12411*(F235^3))+(0.0010655*(F235^4))</f>
        <v>569.56858537254993</v>
      </c>
      <c r="BJ235" s="25">
        <f>VLOOKUP(E235,Wind!$C$2:$E$109,3, FALSE)</f>
        <v>0.55555555555555558</v>
      </c>
      <c r="BK235" s="44">
        <v>1.66</v>
      </c>
      <c r="BL235">
        <f>BK235/(1-(((1.3*10^-3)^0.5)/0.41)*LN(10/1.5))</f>
        <v>1.9923982880693825</v>
      </c>
      <c r="BM235">
        <f>BK235*1.22</f>
        <v>2.0251999999999999</v>
      </c>
      <c r="BN235">
        <f>2.07+0.215*(BM235^1.7)*(24/100)</f>
        <v>2.241255750541113</v>
      </c>
      <c r="BO235">
        <f>BN235*((600/BG235)^0.67)</f>
        <v>2.3877183660664163</v>
      </c>
      <c r="BP235">
        <f>BN235*((600/BH235)^0.67)</f>
        <v>2.3408706255248437</v>
      </c>
      <c r="BQ235">
        <f>BN235*((600/BI235)^0.67)</f>
        <v>2.3207957263157439</v>
      </c>
      <c r="BR235" s="39">
        <f>BO235*(AM235-BB235)</f>
        <v>3.6539852321111144</v>
      </c>
      <c r="BS235" s="39">
        <f>BP235*(AD235-BD235)</f>
        <v>11.28280934070467</v>
      </c>
      <c r="BT235" s="39">
        <f>BQ235*(AU235-BF235)</f>
        <v>-2.4375328258419935</v>
      </c>
      <c r="BU235">
        <f>(2.51+1.48*BM235)+(0.39*BM235*LOG10(0.0015))</f>
        <v>3.2768938069574309</v>
      </c>
      <c r="BV235">
        <f>BU235*((600/$BG235)^0.67)</f>
        <v>3.4910337763249517</v>
      </c>
      <c r="BW235">
        <f>BU235*((600/$BH235)^0.67)</f>
        <v>3.4225386611139523</v>
      </c>
      <c r="BX235">
        <f>BU235*((600/$BI235)^0.67)</f>
        <v>3.3931875650252032</v>
      </c>
      <c r="BY235" s="39">
        <f>BV235*($AM235-$BB235)</f>
        <v>5.3424164444097784</v>
      </c>
      <c r="BZ235" s="39">
        <f>BW235*($AD235-$BD235)</f>
        <v>16.496362829056963</v>
      </c>
      <c r="CA235" s="39">
        <f>BX235*($AU235-$BF235)</f>
        <v>-3.5638664705393928</v>
      </c>
      <c r="CB235" s="42">
        <f>AVERAGE(0.72,0.69,0.4,0.22)</f>
        <v>0.50750000000000006</v>
      </c>
      <c r="CC235">
        <f>CB235*((600/$BG235)^0.67)</f>
        <v>0.54066434430169152</v>
      </c>
      <c r="CD235">
        <f>CB235*((600/$BH235)^0.67)</f>
        <v>0.53005634995784745</v>
      </c>
      <c r="CE235">
        <f>CB235*((600/$BI235)^0.67)</f>
        <v>0.52551067892224235</v>
      </c>
      <c r="CF235" s="39">
        <f>CC235*($AM235-$BB235)</f>
        <v>0.82739219067198289</v>
      </c>
      <c r="CG235" s="39">
        <f>CD235*($AD235-$BD235)</f>
        <v>2.5548292465173459</v>
      </c>
      <c r="CH235" s="39">
        <f>CE235*($AU235-$BF235)</f>
        <v>-0.55194410937535698</v>
      </c>
      <c r="CI235">
        <v>58.862639018895301</v>
      </c>
      <c r="CJ235">
        <f>((BG235/BH235)^0.67)*CI235</f>
        <v>57.707736631939007</v>
      </c>
      <c r="CK235">
        <f>((BH235/BH235)^0.67)*CI235</f>
        <v>58.862639018895301</v>
      </c>
      <c r="CL235">
        <f>((BI235/BH235)^0.67)*CI235</f>
        <v>59.371801256694575</v>
      </c>
      <c r="CM235" s="39">
        <f>CJ235*($AM235-$BB235)</f>
        <v>88.311595047553183</v>
      </c>
      <c r="CN235" s="39">
        <f>CK235*($AD235-$BD235)</f>
        <v>283.71321597152087</v>
      </c>
      <c r="CO235" s="39">
        <f>CL235*($AU235-$BF235)</f>
        <v>-62.35823034813307</v>
      </c>
      <c r="CP235" s="27">
        <f>VLOOKUP(A235,Water!$A$2:$E$109, 5, FALSE)/1000</f>
        <v>1.6000000000000001E-4</v>
      </c>
      <c r="CQ235">
        <f>0.64*CP235</f>
        <v>1.0240000000000001E-4</v>
      </c>
      <c r="CR235" s="19">
        <f>CQ235*1000*(2.5*10^-5)</f>
        <v>2.5600000000000001E-6</v>
      </c>
      <c r="CS235" s="18">
        <f>(-0.0000009*F235^3)+(0.0002*F235^2)-(0.0134*F235)+6.579</f>
        <v>6.3720088868999998</v>
      </c>
      <c r="CT235" s="18">
        <f>CS235-(SQRT(CP235))/(1+1.4*SQRT(CP235))</f>
        <v>6.3595798785222994</v>
      </c>
      <c r="CU235" s="18">
        <f>10^(-CT235)</f>
        <v>4.3693830688618063E-7</v>
      </c>
      <c r="CV235" s="18">
        <f>(0.000001*F235^3)+(0.00006*F235^2)-(0.014*F235)+10.625</f>
        <v>10.357680059</v>
      </c>
      <c r="CW235" s="18">
        <f>CV235-(2*SQRT(CR235))/(1+1.4*SQRT(CR235))</f>
        <v>10.354487210979565</v>
      </c>
      <c r="CX235" s="18">
        <f>10^(-CW235)</f>
        <v>4.4209213532818329E-11</v>
      </c>
      <c r="CY235">
        <f>EXP(1246.98+-61900/H235-183*LN(H235))</f>
        <v>2.8369106092595742E-2</v>
      </c>
      <c r="CZ235">
        <f>12.225*(F235^2)+15.258*F235+1125.7</f>
        <v>7323.082449999999</v>
      </c>
      <c r="DA235" s="15">
        <f>10^(-4470.99/H235+6.0875-0.01706*H235)</f>
        <v>7.9545763731175434E-15</v>
      </c>
      <c r="DB235">
        <f>(10^-I235)</f>
        <v>1.9054607179632436E-9</v>
      </c>
      <c r="DC235">
        <f>DB235^2</f>
        <v>3.6307805477009994E-18</v>
      </c>
      <c r="DD235" s="20">
        <f>((14.6836*10^-9)*((H235/217.2056)-1)^1.997)*100*100</f>
        <v>1.8918303623089213E-5</v>
      </c>
      <c r="DE235">
        <f>CY235+CZ235*DA235/DB235</f>
        <v>5.8940200046937452E-2</v>
      </c>
      <c r="DF235">
        <f>1+DC235*(CU235*CX235+CU235*DB235)^-1</f>
        <v>1.0042620523976791</v>
      </c>
      <c r="DG235">
        <f>(DE235*DF235/DD235)^0.5</f>
        <v>55.935591299060128</v>
      </c>
      <c r="DH235">
        <f>DD235/(BO235/60/60)</f>
        <v>2.8523419684257163E-2</v>
      </c>
      <c r="DI235" s="16">
        <f>DF235/((DF235-1)+TANH(DG235*DH235)/(DG235*DH235))</f>
        <v>1.7269898315660626</v>
      </c>
      <c r="DJ235">
        <f>$DI235*BR235</f>
        <v>6.3103953405484532</v>
      </c>
      <c r="DK235">
        <f>$DI235*BY235</f>
        <v>9.2262988754870054</v>
      </c>
      <c r="DL235">
        <f>$DI235*CF235</f>
        <v>1.4288979000076834</v>
      </c>
      <c r="DM235">
        <f>$DI235*CM235</f>
        <v>152.5132266565042</v>
      </c>
    </row>
    <row r="236" spans="1:117" ht="15.75" x14ac:dyDescent="0.25">
      <c r="A236" s="52" t="s">
        <v>331</v>
      </c>
      <c r="B236" s="55" t="s">
        <v>341</v>
      </c>
      <c r="C236" s="62" t="s">
        <v>425</v>
      </c>
      <c r="D236" s="57">
        <v>43291</v>
      </c>
      <c r="E236" s="42" t="str">
        <f>A236&amp;D236</f>
        <v>62C43291</v>
      </c>
      <c r="F236" s="3">
        <f>VLOOKUP($E236,Water!$C$2:$E$90, 2, FALSE)</f>
        <v>21.9</v>
      </c>
      <c r="G236" s="3">
        <f>VLOOKUP($E236,Water!$C$2:$E$90, 3, FALSE)</f>
        <v>0.25</v>
      </c>
      <c r="H236" s="1">
        <f>F236+273.15</f>
        <v>295.04999999999995</v>
      </c>
      <c r="I236" s="3">
        <f>VLOOKUP($E236,Water!$C$2:$F$90, 4, FALSE)</f>
        <v>8.7200000000000006</v>
      </c>
      <c r="J236">
        <f>10^(I236*-1)</f>
        <v>1.9054607179632436E-9</v>
      </c>
      <c r="K236" s="25">
        <f>VLOOKUP($E236,Atm!$D$2:$G$100, 2, FALSE)</f>
        <v>446.35194289063088</v>
      </c>
      <c r="L236" s="25">
        <f>VLOOKUP($E236,Atm!$D$2:$G$100, 3, FALSE)</f>
        <v>1.9634491096744711</v>
      </c>
      <c r="M236" s="25">
        <f>VLOOKUP($E236,Atm!$D$2:$G$100, 4, FALSE)</f>
        <v>0.2896388262464169</v>
      </c>
      <c r="N236" s="21">
        <f>VLOOKUP($C236,Raw!$B$2:$F$353, 3, FALSE)</f>
        <v>475.00870052439552</v>
      </c>
      <c r="O236" s="21">
        <f>VLOOKUP($C236,Raw!$B$2:$F$353, 4, FALSE)</f>
        <v>2522.7136543139081</v>
      </c>
      <c r="P236" s="21">
        <f>VLOOKUP($C236,Raw!$B$2:$F$353, 5, FALSE)</f>
        <v>0.29044161571457072</v>
      </c>
      <c r="Q236" s="14">
        <v>60</v>
      </c>
      <c r="R236" s="25">
        <v>1140</v>
      </c>
      <c r="S236">
        <f>EXP(24.4543-(100/H236*(67.4509))-(4.8489*LN(H236/100))-(0.000544*G236))</f>
        <v>2.5911717108082412E-2</v>
      </c>
      <c r="T236" s="8">
        <f>EXP(-58.0931+90.5069*(100/H236)+22.294*LN(H236/100)+G236*(0.027766-0.025888*(H236/100)+0.0050578*(H236/100)^2)*G236)</f>
        <v>3.7003679460468987E-2</v>
      </c>
      <c r="U236" s="9">
        <f>(EXP(-67.1962+99.1624*(100/H236)+27.9015*LN(H236/100)+G236*(-0.072909+0.041674*(H236/100)-0.0064603*(H236/100)^2)*G236))</f>
        <v>3.3400155208416014E-2</v>
      </c>
      <c r="V236" s="9">
        <f>(EXP(-64.8539+100.252*(100/H236)+25.2049*LN(H236/100)+(-0.062544+0.035337*(H236/100)-0.0054699*(H236/100)^2)*G236))</f>
        <v>2.7150972813348859E-2</v>
      </c>
      <c r="W236" s="9">
        <f>(EXP(-68.8862+101.4956*(100/H236)+28.7314*LN(H236/100)+G236*(-0.076146+0.04397*(H236/100)-0.0068672*(H236/100)^2)))</f>
        <v>3.3318431417618803E-2</v>
      </c>
      <c r="X236">
        <f>N236*(AZ236-S236)</f>
        <v>426.262242030724</v>
      </c>
      <c r="Y236">
        <f>O236*(AZ236-S236)</f>
        <v>2263.8271195921811</v>
      </c>
      <c r="Z236">
        <f>((Y236/10^6)*AZ236)/(0.082056*H236)</f>
        <v>8.6332671696504542E-5</v>
      </c>
      <c r="AA236">
        <f>(((L236/10^6)*AZ236)/(0.082056*H236))</f>
        <v>7.4877540741210278E-8</v>
      </c>
      <c r="AB236">
        <f>((Y236/10^6)*U236*1)/(0.082056*H236)</f>
        <v>3.123099219050252E-6</v>
      </c>
      <c r="AC236">
        <f>(Z236*(Q236/1000))+(AB236*(R236/1000))</f>
        <v>8.7402934115075598E-6</v>
      </c>
      <c r="AD236" s="39">
        <f>((AC236-(AA236*(Q236/1000)))/(R236/1000))*1000000</f>
        <v>7.6629831219851647</v>
      </c>
      <c r="AE236" s="39">
        <f>(AD236/((U236*AZ236*1))*(0.0821*273.15))</f>
        <v>5572.5742238764788</v>
      </c>
      <c r="AF236" s="39">
        <f>L236*U236*AZ236*1/(0.0821*273.15)</f>
        <v>2.6999868972307434E-3</v>
      </c>
      <c r="AG236" s="39">
        <f>AD236-AF236</f>
        <v>7.6602831350879343</v>
      </c>
      <c r="AH236" s="42">
        <f>P236*(AZ236-S236)</f>
        <v>0.26063584552628744</v>
      </c>
      <c r="AI236">
        <f>(((X236/10^6)*(Q236/1000))/(0.082056*H236))</f>
        <v>1.0563848246747062E-6</v>
      </c>
      <c r="AJ236">
        <f>(((K236/10^6)*AZ236)*(Q236/1000))/(0.082056*H236)</f>
        <v>1.0213170982848456E-6</v>
      </c>
      <c r="AK236">
        <f>(X236/10^6)*T236*(R236/1000)</f>
        <v>1.7981529362034567E-5</v>
      </c>
      <c r="AL236">
        <f>AI236+AK236</f>
        <v>1.9037914186709271E-5</v>
      </c>
      <c r="AM236" s="39">
        <f>((AL236-AJ236)/(R236/1000))*1000000</f>
        <v>15.804032533705639</v>
      </c>
      <c r="AN236" s="39">
        <f>AM236/(T236*AZ236)</f>
        <v>462.57815596580252</v>
      </c>
      <c r="AO236" s="39">
        <f>(K236*AZ236)*T236</f>
        <v>15.249662215886717</v>
      </c>
      <c r="AP236" s="39">
        <f>AM236-AO236</f>
        <v>0.55437031781892188</v>
      </c>
      <c r="AQ236">
        <f>(((AH236/10^6)*(Q236/1000))/(0.082056*H236))</f>
        <v>6.4592104303806881E-10</v>
      </c>
      <c r="AR236">
        <f>(((M236/10^6)*AZ236)*(Q236/1000))/(0.082056*H236)</f>
        <v>6.627350687820392E-10</v>
      </c>
      <c r="AS236">
        <f>(AH236/10^6)*V236*(R236/1000)</f>
        <v>8.0672291019180025E-9</v>
      </c>
      <c r="AT236">
        <f>AQ236+AS236</f>
        <v>8.7131501449560717E-9</v>
      </c>
      <c r="AU236" s="39">
        <f>((AT236-AR236)/(R236/1000))*1000000000</f>
        <v>7.0617676106789773</v>
      </c>
      <c r="AV236" s="39">
        <f>(AU236/1000)/(V236*AZ236)</f>
        <v>0.28170213762483087</v>
      </c>
      <c r="AW236" s="39">
        <f>(M236*AZ236)*V236*1000</f>
        <v>7.2607261671049992</v>
      </c>
      <c r="AX236" s="39">
        <f>AU236-AW236</f>
        <v>-0.19895855642602189</v>
      </c>
      <c r="AY236" s="26">
        <f>VLOOKUP($E236,Water!$C$2:$G$90, 5, FALSE)</f>
        <v>701.7</v>
      </c>
      <c r="AZ236">
        <f>AY236/760</f>
        <v>0.92328947368421055</v>
      </c>
      <c r="BA236" s="3">
        <f>Assumptions!$B$3</f>
        <v>406.07</v>
      </c>
      <c r="BB236" s="3">
        <f>BA236*AZ236*T236</f>
        <v>13.873425297316212</v>
      </c>
      <c r="BC236" s="3">
        <f>Assumptions!$B$4</f>
        <v>1.8474300000000001</v>
      </c>
      <c r="BD236" s="45">
        <f>BC236*AZ236*U236*1/(0.0821*273.15)</f>
        <v>2.540446181657329E-3</v>
      </c>
      <c r="BE236" s="3">
        <f>Assumptions!$B$2</f>
        <v>0.33054499999999998</v>
      </c>
      <c r="BF236" s="44">
        <f>BE236*AZ236*V236*1000</f>
        <v>8.2861706146532619</v>
      </c>
      <c r="BG236">
        <f>1923.6+(-125.06*F236)+(4.3773*(F236^2))+(-0.085681*(F236^3))+(0.00070284*(F236^4))</f>
        <v>545.90728202696391</v>
      </c>
      <c r="BH236">
        <f>1909.4+(-120.78*F236)+(4.1555*(F236^2))+(-0.080578*(F236^3))+(0.00065777*(F236^4))</f>
        <v>562.29367465681719</v>
      </c>
      <c r="BI236">
        <f>2141.2+(-152.56*F236)+(5.8963*(F236^2))+(-0.12411*(F236^3))+(0.0010655*(F236^4))</f>
        <v>569.56858537254993</v>
      </c>
      <c r="BJ236" s="25">
        <f>VLOOKUP(E236,Wind!$C$2:$E$109,3, FALSE)</f>
        <v>0.55555555555555558</v>
      </c>
      <c r="BK236" s="44">
        <v>1.66</v>
      </c>
      <c r="BL236">
        <f>BK236/(1-(((1.3*10^-3)^0.5)/0.41)*LN(10/1.5))</f>
        <v>1.9923982880693825</v>
      </c>
      <c r="BM236">
        <f>BK236*1.22</f>
        <v>2.0251999999999999</v>
      </c>
      <c r="BN236">
        <f>2.07+0.215*(BM236^1.7)*(24/100)</f>
        <v>2.241255750541113</v>
      </c>
      <c r="BO236">
        <f>BN236*((600/BG236)^0.67)</f>
        <v>2.3877183660664163</v>
      </c>
      <c r="BP236">
        <f>BN236*((600/BH236)^0.67)</f>
        <v>2.3408706255248437</v>
      </c>
      <c r="BQ236">
        <f>BN236*((600/BI236)^0.67)</f>
        <v>2.3207957263157439</v>
      </c>
      <c r="BR236" s="39">
        <f>BO236*(AM236-BB236)</f>
        <v>4.6097463559877632</v>
      </c>
      <c r="BS236" s="39">
        <f>BP236*(AD236-BD236)</f>
        <v>17.932105238305365</v>
      </c>
      <c r="BT236" s="39">
        <f>BQ236*(AU236-BF236)</f>
        <v>-2.8415892589116787</v>
      </c>
      <c r="BU236">
        <f>(2.51+1.48*BM236)+(0.39*BM236*LOG10(0.0015))</f>
        <v>3.2768938069574309</v>
      </c>
      <c r="BV236">
        <f>BU236*((600/$BG236)^0.67)</f>
        <v>3.4910337763249517</v>
      </c>
      <c r="BW236">
        <f>BU236*((600/$BH236)^0.67)</f>
        <v>3.4225386611139523</v>
      </c>
      <c r="BX236">
        <f>BU236*((600/$BI236)^0.67)</f>
        <v>3.3931875650252032</v>
      </c>
      <c r="BY236" s="39">
        <f>BV236*($AM236-$BB236)</f>
        <v>6.7398150710528615</v>
      </c>
      <c r="BZ236" s="39">
        <f>BW236*($AD236-$BD236)</f>
        <v>26.218161219184719</v>
      </c>
      <c r="CA236" s="39">
        <f>BX236*($AU236-$BF236)</f>
        <v>-4.1546290476650469</v>
      </c>
      <c r="CB236" s="42">
        <f>AVERAGE(0.72,0.69,0.4,0.22)</f>
        <v>0.50750000000000006</v>
      </c>
      <c r="CC236">
        <f>CB236*((600/$BG236)^0.67)</f>
        <v>0.54066434430169152</v>
      </c>
      <c r="CD236">
        <f>CB236*((600/$BH236)^0.67)</f>
        <v>0.53005634995784745</v>
      </c>
      <c r="CE236">
        <f>CB236*((600/$BI236)^0.67)</f>
        <v>0.52551067892224235</v>
      </c>
      <c r="CF236" s="39">
        <f>CC236*($AM236-$BB236)</f>
        <v>1.0438104955665906</v>
      </c>
      <c r="CG236" s="39">
        <f>CD236*($AD236-$BD236)</f>
        <v>4.0604662837977328</v>
      </c>
      <c r="CH236" s="39">
        <f>CE236*($AU236-$BF236)</f>
        <v>-0.64343685389295924</v>
      </c>
      <c r="CI236">
        <v>59.862639018895301</v>
      </c>
      <c r="CJ236">
        <f>((BG236/BH236)^0.67)*CI236</f>
        <v>58.688116336175753</v>
      </c>
      <c r="CK236">
        <f>((BH236/BH236)^0.67)*CI236</f>
        <v>59.862639018895301</v>
      </c>
      <c r="CL236">
        <f>((BI236/BH236)^0.67)*CI236</f>
        <v>60.380451263664803</v>
      </c>
      <c r="CM236" s="39">
        <f>CJ236*($AM236-$BB236)</f>
        <v>113.30370208868547</v>
      </c>
      <c r="CN236" s="39">
        <f>CK236*($AD236-$BD236)</f>
        <v>458.57431462656575</v>
      </c>
      <c r="CO236" s="39">
        <f>CL236*($AU236-$BF236)</f>
        <v>-73.930005908554065</v>
      </c>
      <c r="CP236" s="27">
        <f>VLOOKUP(A236,Water!$A$2:$E$109, 5, FALSE)/1000</f>
        <v>1.6000000000000001E-4</v>
      </c>
      <c r="CQ236">
        <f>0.64*CP236</f>
        <v>1.0240000000000001E-4</v>
      </c>
      <c r="CR236" s="19">
        <f>CQ236*1000*(2.5*10^-5)</f>
        <v>2.5600000000000001E-6</v>
      </c>
      <c r="CS236" s="18">
        <f>(-0.0000009*F236^3)+(0.0002*F236^2)-(0.0134*F236)+6.579</f>
        <v>6.3720088868999998</v>
      </c>
      <c r="CT236" s="18">
        <f>CS236-(SQRT(CP236))/(1+1.4*SQRT(CP236))</f>
        <v>6.3595798785222994</v>
      </c>
      <c r="CU236" s="18">
        <f>10^(-CT236)</f>
        <v>4.3693830688618063E-7</v>
      </c>
      <c r="CV236" s="18">
        <f>(0.000001*F236^3)+(0.00006*F236^2)-(0.014*F236)+10.625</f>
        <v>10.357680059</v>
      </c>
      <c r="CW236" s="18">
        <f>CV236-(2*SQRT(CR236))/(1+1.4*SQRT(CR236))</f>
        <v>10.354487210979565</v>
      </c>
      <c r="CX236" s="18">
        <f>10^(-CW236)</f>
        <v>4.4209213532818329E-11</v>
      </c>
      <c r="CY236">
        <f>EXP(1246.98+-61900/H236-183*LN(H236))</f>
        <v>2.8369106092595742E-2</v>
      </c>
      <c r="CZ236">
        <f>12.225*(F236^2)+15.258*F236+1125.7</f>
        <v>7323.082449999999</v>
      </c>
      <c r="DA236" s="15">
        <f>10^(-4470.99/H236+6.0875-0.01706*H236)</f>
        <v>7.9545763731175434E-15</v>
      </c>
      <c r="DB236">
        <f>(10^-I236)</f>
        <v>1.9054607179632436E-9</v>
      </c>
      <c r="DC236">
        <f>DB236^2</f>
        <v>3.6307805477009994E-18</v>
      </c>
      <c r="DD236" s="20">
        <f>((14.6836*10^-9)*((H236/217.2056)-1)^1.997)*100*100</f>
        <v>1.8918303623089213E-5</v>
      </c>
      <c r="DE236">
        <f>CY236+CZ236*DA236/DB236</f>
        <v>5.8940200046937452E-2</v>
      </c>
      <c r="DF236">
        <f>1+DC236*(CU236*CX236+CU236*DB236)^-1</f>
        <v>1.0042620523976791</v>
      </c>
      <c r="DG236">
        <f>(DE236*DF236/DD236)^0.5</f>
        <v>55.935591299060128</v>
      </c>
      <c r="DH236">
        <f>DD236/(BO236/60/60)</f>
        <v>2.8523419684257163E-2</v>
      </c>
      <c r="DI236" s="16">
        <f>DF236/((DF236-1)+TANH(DG236*DH236)/(DG236*DH236))</f>
        <v>1.7269898315660626</v>
      </c>
      <c r="DJ236">
        <f>$DI236*BR236</f>
        <v>7.9609850828895778</v>
      </c>
      <c r="DK236">
        <f>$DI236*BY236</f>
        <v>11.639592094343991</v>
      </c>
      <c r="DL236">
        <f>$DI236*CF236</f>
        <v>1.8026501119254346</v>
      </c>
      <c r="DM236">
        <f>$DI236*CM236</f>
        <v>195.67434138595024</v>
      </c>
    </row>
    <row r="237" spans="1:117" ht="15.75" x14ac:dyDescent="0.25">
      <c r="A237" s="52" t="s">
        <v>331</v>
      </c>
      <c r="B237" s="55" t="s">
        <v>342</v>
      </c>
      <c r="C237" s="62" t="s">
        <v>426</v>
      </c>
      <c r="D237" s="57">
        <v>43291</v>
      </c>
      <c r="E237" s="42" t="str">
        <f>A237&amp;D237</f>
        <v>62C43291</v>
      </c>
      <c r="F237" s="3">
        <f>VLOOKUP($E237,Water!$C$2:$E$90, 2, FALSE)</f>
        <v>21.9</v>
      </c>
      <c r="G237" s="3">
        <f>VLOOKUP($E237,Water!$C$2:$E$90, 3, FALSE)</f>
        <v>0.25</v>
      </c>
      <c r="H237" s="1">
        <f>F237+273.15</f>
        <v>295.04999999999995</v>
      </c>
      <c r="I237" s="3">
        <f>VLOOKUP($E237,Water!$C$2:$F$90, 4, FALSE)</f>
        <v>8.7200000000000006</v>
      </c>
      <c r="J237">
        <f>10^(I237*-1)</f>
        <v>1.9054607179632436E-9</v>
      </c>
      <c r="K237" s="25">
        <f>VLOOKUP($E237,Atm!$D$2:$G$100, 2, FALSE)</f>
        <v>446.35194289063088</v>
      </c>
      <c r="L237" s="25">
        <f>VLOOKUP($E237,Atm!$D$2:$G$100, 3, FALSE)</f>
        <v>1.9634491096744711</v>
      </c>
      <c r="M237" s="25">
        <f>VLOOKUP($E237,Atm!$D$2:$G$100, 4, FALSE)</f>
        <v>0.2896388262464169</v>
      </c>
      <c r="N237" s="21">
        <f>VLOOKUP($C237,Raw!$B$2:$F$353, 3, FALSE)</f>
        <v>800.64358473591437</v>
      </c>
      <c r="O237" s="21">
        <f>VLOOKUP($C237,Raw!$B$2:$F$353, 4, FALSE)</f>
        <v>1371.9496676750939</v>
      </c>
      <c r="P237" s="21">
        <f>VLOOKUP($C237,Raw!$B$2:$F$353, 5, FALSE)</f>
        <v>0.28689258768525783</v>
      </c>
      <c r="Q237" s="14">
        <v>60</v>
      </c>
      <c r="R237" s="25">
        <v>1140</v>
      </c>
      <c r="S237">
        <f>EXP(24.4543-(100/H237*(67.4509))-(4.8489*LN(H237/100))-(0.000544*G237))</f>
        <v>2.5911717108082412E-2</v>
      </c>
      <c r="T237" s="8">
        <f>EXP(-58.0931+90.5069*(100/H237)+22.294*LN(H237/100)+G237*(0.027766-0.025888*(H237/100)+0.0050578*(H237/100)^2)*G237)</f>
        <v>3.7003679460468987E-2</v>
      </c>
      <c r="U237" s="9">
        <f>(EXP(-67.1962+99.1624*(100/H237)+27.9015*LN(H237/100)+G237*(-0.072909+0.041674*(H237/100)-0.0064603*(H237/100)^2)*G237))</f>
        <v>3.3400155208416014E-2</v>
      </c>
      <c r="V237" s="9">
        <f>(EXP(-64.8539+100.252*(100/H237)+25.2049*LN(H237/100)+(-0.062544+0.035337*(H237/100)-0.0054699*(H237/100)^2)*G237))</f>
        <v>2.7150972813348859E-2</v>
      </c>
      <c r="W237" s="9">
        <f>(EXP(-68.8862+101.4956*(100/H237)+28.7314*LN(H237/100)+G237*(-0.076146+0.04397*(H237/100)-0.0068672*(H237/100)^2)))</f>
        <v>3.3318431417618803E-2</v>
      </c>
      <c r="X237">
        <f>N237*(AZ237-S237)</f>
        <v>718.47974388738396</v>
      </c>
      <c r="Y237">
        <f>O237*(AZ237-S237)</f>
        <v>1231.1571149136403</v>
      </c>
      <c r="Z237">
        <f>((Y237/10^6)*AZ237)/(0.082056*H237)</f>
        <v>4.6951060038454953E-5</v>
      </c>
      <c r="AA237">
        <f>(((L237/10^6)*AZ237)/(0.082056*H237))</f>
        <v>7.4877540741210278E-8</v>
      </c>
      <c r="AB237">
        <f>((Y237/10^6)*U237*1)/(0.082056*H237)</f>
        <v>1.6984626568161338E-6</v>
      </c>
      <c r="AC237">
        <f>(Z237*(Q237/1000))+(AB237*(R237/1000))</f>
        <v>4.7533110310776896E-6</v>
      </c>
      <c r="AD237" s="39">
        <f>((AC237-(AA237*(Q237/1000)))/(R237/1000))*1000000</f>
        <v>4.1656301566958049</v>
      </c>
      <c r="AE237" s="39">
        <f>(AD237/((U237*AZ237*1))*(0.0821*273.15))</f>
        <v>3029.2750052921906</v>
      </c>
      <c r="AF237" s="39">
        <f>L237*U237*AZ237*1/(0.0821*273.15)</f>
        <v>2.6999868972307434E-3</v>
      </c>
      <c r="AG237" s="39">
        <f>AD237-AF237</f>
        <v>4.1629301697985746</v>
      </c>
      <c r="AH237" s="42">
        <f>P237*(AZ237-S237)</f>
        <v>0.25745102671531678</v>
      </c>
      <c r="AI237">
        <f>(((X237/10^6)*(Q237/1000))/(0.082056*H237))</f>
        <v>1.7805731388803035E-6</v>
      </c>
      <c r="AJ237">
        <f>(((K237/10^6)*AZ237)*(Q237/1000))/(0.082056*H237)</f>
        <v>1.0213170982848456E-6</v>
      </c>
      <c r="AK237">
        <f>(X237/10^6)*T237*(R237/1000)</f>
        <v>3.0308489321479411E-5</v>
      </c>
      <c r="AL237">
        <f>AI237+AK237</f>
        <v>3.2089062460359717E-5</v>
      </c>
      <c r="AM237" s="39">
        <f>((AL237-AJ237)/(R237/1000))*1000000</f>
        <v>27.252408212346378</v>
      </c>
      <c r="AN237" s="39">
        <f>AM237/(T237*AZ237)</f>
        <v>797.66785531531741</v>
      </c>
      <c r="AO237" s="39">
        <f>(K237*AZ237)*T237</f>
        <v>15.249662215886717</v>
      </c>
      <c r="AP237" s="39">
        <f>AM237-AO237</f>
        <v>12.002745996459661</v>
      </c>
      <c r="AQ237">
        <f>(((AH237/10^6)*(Q237/1000))/(0.082056*H237))</f>
        <v>6.3802826265663056E-10</v>
      </c>
      <c r="AR237">
        <f>(((M237/10^6)*AZ237)*(Q237/1000))/(0.082056*H237)</f>
        <v>6.627350687820392E-10</v>
      </c>
      <c r="AS237">
        <f>(AH237/10^6)*V237*(R237/1000)</f>
        <v>7.9686522429126E-9</v>
      </c>
      <c r="AT237">
        <f>AQ237+AS237</f>
        <v>8.6066805055692297E-9</v>
      </c>
      <c r="AU237" s="39">
        <f>((AT237-AR237)/(R237/1000))*1000000000</f>
        <v>6.9683731901642023</v>
      </c>
      <c r="AV237" s="39">
        <f>(AU237/1000)/(V237*AZ237)</f>
        <v>0.2779765253770618</v>
      </c>
      <c r="AW237" s="39">
        <f>(M237*AZ237)*V237*1000</f>
        <v>7.2607261671049992</v>
      </c>
      <c r="AX237" s="39">
        <f>AU237-AW237</f>
        <v>-0.29235297694079687</v>
      </c>
      <c r="AY237" s="26">
        <f>VLOOKUP($E237,Water!$C$2:$G$90, 5, FALSE)</f>
        <v>701.7</v>
      </c>
      <c r="AZ237">
        <f>AY237/760</f>
        <v>0.92328947368421055</v>
      </c>
      <c r="BA237" s="3">
        <f>Assumptions!$B$3</f>
        <v>406.07</v>
      </c>
      <c r="BB237" s="3">
        <f>BA237*AZ237*T237</f>
        <v>13.873425297316212</v>
      </c>
      <c r="BC237" s="3">
        <f>Assumptions!$B$4</f>
        <v>1.8474300000000001</v>
      </c>
      <c r="BD237" s="45">
        <f>BC237*AZ237*U237*1/(0.0821*273.15)</f>
        <v>2.540446181657329E-3</v>
      </c>
      <c r="BE237" s="3">
        <f>Assumptions!$B$2</f>
        <v>0.33054499999999998</v>
      </c>
      <c r="BF237" s="44">
        <f>BE237*AZ237*V237*1000</f>
        <v>8.2861706146532619</v>
      </c>
      <c r="BG237">
        <f>1923.6+(-125.06*F237)+(4.3773*(F237^2))+(-0.085681*(F237^3))+(0.00070284*(F237^4))</f>
        <v>545.90728202696391</v>
      </c>
      <c r="BH237">
        <f>1909.4+(-120.78*F237)+(4.1555*(F237^2))+(-0.080578*(F237^3))+(0.00065777*(F237^4))</f>
        <v>562.29367465681719</v>
      </c>
      <c r="BI237">
        <f>2141.2+(-152.56*F237)+(5.8963*(F237^2))+(-0.12411*(F237^3))+(0.0010655*(F237^4))</f>
        <v>569.56858537254993</v>
      </c>
      <c r="BJ237" s="25">
        <f>VLOOKUP(E237,Wind!$C$2:$E$109,3, FALSE)</f>
        <v>0.55555555555555558</v>
      </c>
      <c r="BK237" s="44">
        <v>1.66</v>
      </c>
      <c r="BL237">
        <f>BK237/(1-(((1.3*10^-3)^0.5)/0.41)*LN(10/1.5))</f>
        <v>1.9923982880693825</v>
      </c>
      <c r="BM237">
        <f>BK237*1.22</f>
        <v>2.0251999999999999</v>
      </c>
      <c r="BN237">
        <f>2.07+0.215*(BM237^1.7)*(24/100)</f>
        <v>2.241255750541113</v>
      </c>
      <c r="BO237">
        <f>BN237*((600/BG237)^0.67)</f>
        <v>2.3877183660664163</v>
      </c>
      <c r="BP237">
        <f>BN237*((600/BH237)^0.67)</f>
        <v>2.3408706255248437</v>
      </c>
      <c r="BQ237">
        <f>BN237*((600/BI237)^0.67)</f>
        <v>2.3207957263157439</v>
      </c>
      <c r="BR237" s="39">
        <f>BO237*(AM237-BB237)</f>
        <v>31.945243225506328</v>
      </c>
      <c r="BS237" s="39">
        <f>BP237*(AD237-BD237)</f>
        <v>9.7452544147672917</v>
      </c>
      <c r="BT237" s="39">
        <f>BQ237*(AU237-BF237)</f>
        <v>-3.0583386309041036</v>
      </c>
      <c r="BU237">
        <f>(2.51+1.48*BM237)+(0.39*BM237*LOG10(0.0015))</f>
        <v>3.2768938069574309</v>
      </c>
      <c r="BV237">
        <f>BU237*((600/$BG237)^0.67)</f>
        <v>3.4910337763249517</v>
      </c>
      <c r="BW237">
        <f>BU237*((600/$BH237)^0.67)</f>
        <v>3.4225386611139523</v>
      </c>
      <c r="BX237">
        <f>BU237*((600/$BI237)^0.67)</f>
        <v>3.3931875650252032</v>
      </c>
      <c r="BY237" s="39">
        <f>BV237*($AM237-$BB237)</f>
        <v>46.706481249244774</v>
      </c>
      <c r="BZ237" s="39">
        <f>BW237*($AD237-$BD237)</f>
        <v>14.248335483920361</v>
      </c>
      <c r="CA237" s="39">
        <f>BX237*($AU237-$BF237)</f>
        <v>-4.4715338339985164</v>
      </c>
      <c r="CB237" s="42">
        <f>AVERAGE(0.72,0.69,0.4,0.22)</f>
        <v>0.50750000000000006</v>
      </c>
      <c r="CC237">
        <f>CB237*((600/$BG237)^0.67)</f>
        <v>0.54066434430169152</v>
      </c>
      <c r="CD237">
        <f>CB237*((600/$BH237)^0.67)</f>
        <v>0.53005634995784745</v>
      </c>
      <c r="CE237">
        <f>CB237*((600/$BI237)^0.67)</f>
        <v>0.52551067892224235</v>
      </c>
      <c r="CF237" s="39">
        <f>CC237*($AM237-$BB237)</f>
        <v>7.2335390251783185</v>
      </c>
      <c r="CG237" s="39">
        <f>CD237*($AD237-$BD237)</f>
        <v>2.2066721365022008</v>
      </c>
      <c r="CH237" s="39">
        <f>CE237*($AU237-$BF237)</f>
        <v>-0.69251661922522811</v>
      </c>
      <c r="CI237">
        <v>60.862639018895301</v>
      </c>
      <c r="CJ237">
        <f>((BG237/BH237)^0.67)*CI237</f>
        <v>59.668496040412499</v>
      </c>
      <c r="CK237">
        <f>((BH237/BH237)^0.67)*CI237</f>
        <v>60.862639018895301</v>
      </c>
      <c r="CL237">
        <f>((BI237/BH237)^0.67)*CI237</f>
        <v>61.389101270635024</v>
      </c>
      <c r="CM237" s="39">
        <f>CJ237*($AM237-$BB237)</f>
        <v>798.30378909022397</v>
      </c>
      <c r="CN237" s="39">
        <f>CK237*($AD237-$BD237)</f>
        <v>253.37662625429988</v>
      </c>
      <c r="CO237" s="39">
        <f>CL237*($AU237-$BF237)</f>
        <v>-80.898399546140894</v>
      </c>
      <c r="CP237" s="27">
        <f>VLOOKUP(A237,Water!$A$2:$E$109, 5, FALSE)/1000</f>
        <v>1.6000000000000001E-4</v>
      </c>
      <c r="CQ237">
        <f>0.64*CP237</f>
        <v>1.0240000000000001E-4</v>
      </c>
      <c r="CR237" s="19">
        <f>CQ237*1000*(2.5*10^-5)</f>
        <v>2.5600000000000001E-6</v>
      </c>
      <c r="CS237" s="18">
        <f>(-0.0000009*F237^3)+(0.0002*F237^2)-(0.0134*F237)+6.579</f>
        <v>6.3720088868999998</v>
      </c>
      <c r="CT237" s="18">
        <f>CS237-(SQRT(CP237))/(1+1.4*SQRT(CP237))</f>
        <v>6.3595798785222994</v>
      </c>
      <c r="CU237" s="18">
        <f>10^(-CT237)</f>
        <v>4.3693830688618063E-7</v>
      </c>
      <c r="CV237" s="18">
        <f>(0.000001*F237^3)+(0.00006*F237^2)-(0.014*F237)+10.625</f>
        <v>10.357680059</v>
      </c>
      <c r="CW237" s="18">
        <f>CV237-(2*SQRT(CR237))/(1+1.4*SQRT(CR237))</f>
        <v>10.354487210979565</v>
      </c>
      <c r="CX237" s="18">
        <f>10^(-CW237)</f>
        <v>4.4209213532818329E-11</v>
      </c>
      <c r="CY237">
        <f>EXP(1246.98+-61900/H237-183*LN(H237))</f>
        <v>2.8369106092595742E-2</v>
      </c>
      <c r="CZ237">
        <f>12.225*(F237^2)+15.258*F237+1125.7</f>
        <v>7323.082449999999</v>
      </c>
      <c r="DA237" s="15">
        <f>10^(-4470.99/H237+6.0875-0.01706*H237)</f>
        <v>7.9545763731175434E-15</v>
      </c>
      <c r="DB237">
        <f>(10^-I237)</f>
        <v>1.9054607179632436E-9</v>
      </c>
      <c r="DC237">
        <f>DB237^2</f>
        <v>3.6307805477009994E-18</v>
      </c>
      <c r="DD237" s="20">
        <f>((14.6836*10^-9)*((H237/217.2056)-1)^1.997)*100*100</f>
        <v>1.8918303623089213E-5</v>
      </c>
      <c r="DE237">
        <f>CY237+CZ237*DA237/DB237</f>
        <v>5.8940200046937452E-2</v>
      </c>
      <c r="DF237">
        <f>1+DC237*(CU237*CX237+CU237*DB237)^-1</f>
        <v>1.0042620523976791</v>
      </c>
      <c r="DG237">
        <f>(DE237*DF237/DD237)^0.5</f>
        <v>55.935591299060128</v>
      </c>
      <c r="DH237">
        <f>DD237/(BO237/60/60)</f>
        <v>2.8523419684257163E-2</v>
      </c>
      <c r="DI237" s="16">
        <f>DF237/((DF237-1)+TANH(DG237*DH237)/(DG237*DH237))</f>
        <v>1.7269898315660626</v>
      </c>
      <c r="DJ237">
        <f>$DI237*BR237</f>
        <v>55.169110217354074</v>
      </c>
      <c r="DK237">
        <f>$DI237*BY237</f>
        <v>80.661618185676687</v>
      </c>
      <c r="DL237">
        <f>$DI237*CF237</f>
        <v>12.492248342719245</v>
      </c>
      <c r="DM237">
        <f>$DI237*CM237</f>
        <v>1378.6625262594755</v>
      </c>
    </row>
    <row r="238" spans="1:117" ht="15.75" x14ac:dyDescent="0.25">
      <c r="A238" s="52" t="s">
        <v>330</v>
      </c>
      <c r="B238" s="55" t="s">
        <v>339</v>
      </c>
      <c r="C238" s="62" t="s">
        <v>428</v>
      </c>
      <c r="D238" s="57">
        <v>43291</v>
      </c>
      <c r="E238" s="42" t="str">
        <f>A238&amp;D238</f>
        <v>62B43291</v>
      </c>
      <c r="F238" s="3">
        <f>VLOOKUP($E238,Water!$C$2:$E$90, 2, FALSE)</f>
        <v>21.5</v>
      </c>
      <c r="G238" s="3">
        <f>VLOOKUP($E238,Water!$C$2:$E$90, 3, FALSE)</f>
        <v>0.67</v>
      </c>
      <c r="H238" s="1">
        <f>F238+273.15</f>
        <v>294.64999999999998</v>
      </c>
      <c r="I238" s="3">
        <f>VLOOKUP($E238,Water!$C$2:$F$90, 4, FALSE)</f>
        <v>8.69</v>
      </c>
      <c r="J238">
        <f>10^(I238*-1)</f>
        <v>2.0417379446695247E-9</v>
      </c>
      <c r="K238" s="25">
        <f>VLOOKUP($E238,Atm!$D$2:$G$100, 2, FALSE)</f>
        <v>415.74313124226398</v>
      </c>
      <c r="L238" s="25">
        <f>VLOOKUP($E238,Atm!$D$2:$G$100, 3, FALSE)</f>
        <v>9.5529629691914657</v>
      </c>
      <c r="M238" s="25">
        <f>VLOOKUP($E238,Atm!$D$2:$G$100, 4, FALSE)</f>
        <v>0.29948047301603087</v>
      </c>
      <c r="N238" s="21">
        <f>VLOOKUP($C238,Raw!$B$2:$F$353, 3, FALSE)</f>
        <v>745.36401118307037</v>
      </c>
      <c r="O238" s="21">
        <f>VLOOKUP($C238,Raw!$B$2:$F$353, 4, FALSE)</f>
        <v>813.23864664104042</v>
      </c>
      <c r="P238" s="21">
        <f>VLOOKUP($C238,Raw!$B$2:$F$353, 5, FALSE)</f>
        <v>0.33497475544487881</v>
      </c>
      <c r="Q238" s="14">
        <v>60</v>
      </c>
      <c r="R238" s="25">
        <v>1140</v>
      </c>
      <c r="S238">
        <f>EXP(24.4543-(100/H238*(67.4509))-(4.8489*LN(H238/100))-(0.000544*G238))</f>
        <v>2.5279918463172391E-2</v>
      </c>
      <c r="T238" s="8">
        <f>EXP(-58.0931+90.5069*(100/H238)+22.294*LN(H238/100)+G238*(0.027766-0.025888*(H238/100)+0.0050578*(H238/100)^2)*G238)</f>
        <v>3.7361338535745248E-2</v>
      </c>
      <c r="U238" s="9">
        <f>(EXP(-67.1962+99.1624*(100/H238)+27.9015*LN(H238/100)+G238*(-0.072909+0.041674*(H238/100)-0.0064603*(H238/100)^2)*G238))</f>
        <v>3.3580174658533989E-2</v>
      </c>
      <c r="V238" s="9">
        <f>(EXP(-64.8539+100.252*(100/H238)+25.2049*LN(H238/100)+(-0.062544+0.035337*(H238/100)-0.0054699*(H238/100)^2)*G238))</f>
        <v>2.7408675579379847E-2</v>
      </c>
      <c r="W238" s="9">
        <f>(EXP(-68.8862+101.4956*(100/H238)+28.7314*LN(H238/100)+G238*(-0.076146+0.04397*(H238/100)-0.0068672*(H238/100)^2)))</f>
        <v>3.3489125913930134E-2</v>
      </c>
      <c r="X238">
        <f>N238*(AZ238-S238)</f>
        <v>668.85363310028913</v>
      </c>
      <c r="Y238">
        <f>O238*(AZ238-S238)</f>
        <v>729.76104993325805</v>
      </c>
      <c r="Z238">
        <f>((Y238/10^6)*AZ238)/(0.082056*H238)</f>
        <v>2.7847884365618771E-5</v>
      </c>
      <c r="AA238">
        <f>(((L238/10^6)*AZ238)/(0.082056*H238))</f>
        <v>3.6454372035807127E-7</v>
      </c>
      <c r="AB238">
        <f>((Y238/10^6)*U238*1)/(0.082056*H238)</f>
        <v>1.0135538845690011E-6</v>
      </c>
      <c r="AC238">
        <f>(Z238*(Q238/1000))+(AB238*(R238/1000))</f>
        <v>2.8263244903457873E-6</v>
      </c>
      <c r="AD238" s="39">
        <f>((AC238-(AA238*(Q238/1000)))/(R238/1000))*1000000</f>
        <v>2.4600454974774588</v>
      </c>
      <c r="AE238" s="39">
        <f>(AD238/((U238*AZ238*1))*(0.0821*273.15))</f>
        <v>1780.6404524403031</v>
      </c>
      <c r="AF238" s="39">
        <f>L238*U238*AZ238*1/(0.0821*273.15)</f>
        <v>1.3197905005315065E-2</v>
      </c>
      <c r="AG238" s="39">
        <f>AD238-AF238</f>
        <v>2.4468475924721438</v>
      </c>
      <c r="AH238" s="42">
        <f>P238*(AZ238-S238)</f>
        <v>0.30059015301874953</v>
      </c>
      <c r="AI238">
        <f>(((X238/10^6)*(Q238/1000))/(0.082056*H238))</f>
        <v>1.6598374261546701E-6</v>
      </c>
      <c r="AJ238">
        <f>(((K238/10^6)*AZ238)*(Q238/1000))/(0.082056*H238)</f>
        <v>9.5189240196036967E-7</v>
      </c>
      <c r="AK238">
        <f>(X238/10^6)*T238*(R238/1000)</f>
        <v>2.8487764399520271E-5</v>
      </c>
      <c r="AL238">
        <f>AI238+AK238</f>
        <v>3.0147601825674942E-5</v>
      </c>
      <c r="AM238" s="39">
        <f>((AL238-AJ238)/(R238/1000))*1000000</f>
        <v>25.61027142431103</v>
      </c>
      <c r="AN238" s="39">
        <f>AM238/(T238*AZ238)</f>
        <v>742.95658945864625</v>
      </c>
      <c r="AO238" s="39">
        <f>(K238*AZ238)*T238</f>
        <v>14.330977859238681</v>
      </c>
      <c r="AP238" s="39">
        <f>AM238-AO238</f>
        <v>11.279293565072349</v>
      </c>
      <c r="AQ238">
        <f>(((AH238/10^6)*(Q238/1000))/(0.082056*H238))</f>
        <v>7.4594913030736134E-10</v>
      </c>
      <c r="AR238">
        <f>(((M238/10^6)*AZ238)*(Q238/1000))/(0.082056*H238)</f>
        <v>6.8569548208203102E-10</v>
      </c>
      <c r="AS238">
        <f>(AH238/10^6)*V238*(R238/1000)</f>
        <v>9.3922069045496377E-9</v>
      </c>
      <c r="AT238">
        <f>AQ238+AS238</f>
        <v>1.0138156034856999E-8</v>
      </c>
      <c r="AU238" s="39">
        <f>((AT238-AR238)/(R238/1000))*1000000000</f>
        <v>8.2916320638376906</v>
      </c>
      <c r="AV238" s="39">
        <f>(AU238/1000)/(V238*AZ238)</f>
        <v>0.32788659121820746</v>
      </c>
      <c r="AW238" s="39">
        <f>(M238*AZ238)*V238*1000</f>
        <v>7.5732950326732036</v>
      </c>
      <c r="AX238" s="39">
        <f>AU238-AW238</f>
        <v>0.71833703116448699</v>
      </c>
      <c r="AY238" s="26">
        <f>VLOOKUP($E238,Water!$C$2:$G$90, 5, FALSE)</f>
        <v>701.2</v>
      </c>
      <c r="AZ238">
        <f>AY238/760</f>
        <v>0.92263157894736847</v>
      </c>
      <c r="BA238" s="3">
        <f>Assumptions!$B$3</f>
        <v>406.07</v>
      </c>
      <c r="BB238" s="3">
        <f>BA238*AZ238*T238</f>
        <v>13.99753776307119</v>
      </c>
      <c r="BC238" s="3">
        <f>Assumptions!$B$4</f>
        <v>1.8474300000000001</v>
      </c>
      <c r="BD238" s="45">
        <f>BC238*AZ238*U238*1/(0.0821*273.15)</f>
        <v>2.5523186599385353E-3</v>
      </c>
      <c r="BE238" s="3">
        <f>Assumptions!$B$2</f>
        <v>0.33054499999999998</v>
      </c>
      <c r="BF238" s="44">
        <f>BE238*AZ238*V238*1000</f>
        <v>8.3588581965441335</v>
      </c>
      <c r="BG238">
        <f>1923.6+(-125.06*F238)+(4.3773*(F238^2))+(-0.085681*(F238^3))+(0.00070284*(F238^4))</f>
        <v>556.86639755250008</v>
      </c>
      <c r="BH238">
        <f>1909.4+(-120.78*F238)+(4.1555*(F238^2))+(-0.080578*(F238^3))+(0.00065777*(F238^4))</f>
        <v>573.24454011062528</v>
      </c>
      <c r="BI238">
        <f>2141.2+(-152.56*F238)+(5.8963*(F238^2))+(-0.12411*(F238^3))+(0.0010655*(F238^4))</f>
        <v>580.94373284375001</v>
      </c>
      <c r="BJ238" s="25">
        <f>VLOOKUP(E238,Wind!$C$2:$E$109,3, FALSE)</f>
        <v>0.69444444444444442</v>
      </c>
      <c r="BK238" s="44">
        <v>1.66</v>
      </c>
      <c r="BL238">
        <f>BK238/(1-(((1.3*10^-3)^0.5)/0.41)*LN(10/1.5))</f>
        <v>1.9923982880693825</v>
      </c>
      <c r="BM238">
        <f>BK238*1.22</f>
        <v>2.0251999999999999</v>
      </c>
      <c r="BN238">
        <f>2.07+0.215*(BM238^1.7)*(24/100)</f>
        <v>2.241255750541113</v>
      </c>
      <c r="BO238">
        <f>BN238*((600/BG238)^0.67)</f>
        <v>2.3561317751257711</v>
      </c>
      <c r="BP238">
        <f>BN238*((600/BH238)^0.67)</f>
        <v>2.3108140719445616</v>
      </c>
      <c r="BQ238">
        <f>BN238*((600/BI238)^0.67)</f>
        <v>2.2902501860475897</v>
      </c>
      <c r="BR238" s="39">
        <f>BO238*(AM238-BB238)</f>
        <v>27.361130775319818</v>
      </c>
      <c r="BS238" s="39">
        <f>BP238*(AD238-BD238)</f>
        <v>5.6788098193192988</v>
      </c>
      <c r="BT238" s="39">
        <f>BQ238*(AU238-BF238)</f>
        <v>-0.15396466293819092</v>
      </c>
      <c r="BU238">
        <f>(2.51+1.48*BM238)+(0.39*BM238*LOG10(0.0015))</f>
        <v>3.2768938069574309</v>
      </c>
      <c r="BV238">
        <f>BU238*((600/$BG238)^0.67)</f>
        <v>3.4448516731841976</v>
      </c>
      <c r="BW238">
        <f>BU238*((600/$BH238)^0.67)</f>
        <v>3.3785935940407588</v>
      </c>
      <c r="BX238">
        <f>BU238*((600/$BI238)^0.67)</f>
        <v>3.3485275606010241</v>
      </c>
      <c r="BY238" s="39">
        <f>BV238*($AM238-$BB238)</f>
        <v>40.004144983164515</v>
      </c>
      <c r="BZ238" s="39">
        <f>BW238*($AD238-$BD238)</f>
        <v>8.3028707113517353</v>
      </c>
      <c r="CA238" s="39">
        <f>BX238*($AU238-$BF238)</f>
        <v>-0.22510855816014613</v>
      </c>
      <c r="CB238" s="42">
        <f>AVERAGE(0.72,0.69,0.4,0.22)</f>
        <v>0.50750000000000006</v>
      </c>
      <c r="CC238">
        <f>CB238*((600/$BG238)^0.67)</f>
        <v>0.53351201690732475</v>
      </c>
      <c r="CD238">
        <f>CB238*((600/$BH238)^0.67)</f>
        <v>0.5232504774293284</v>
      </c>
      <c r="CE238">
        <f>CB238*((600/$BI238)^0.67)</f>
        <v>0.51859408241943561</v>
      </c>
      <c r="CF238" s="39">
        <f>CC238*($AM238-$BB238)</f>
        <v>6.195532957415649</v>
      </c>
      <c r="CG238" s="39">
        <f>CD238*($AD238-$BD238)</f>
        <v>1.2858844790955855</v>
      </c>
      <c r="CH238" s="39">
        <f>CE238*($AU238-$BF238)</f>
        <v>-3.4863074605504994E-2</v>
      </c>
      <c r="CI238">
        <v>61.862639018895301</v>
      </c>
      <c r="CJ238">
        <f>((BG238/BH238)^0.67)*CI238</f>
        <v>60.672776574586571</v>
      </c>
      <c r="CK238">
        <f>((BH238/BH238)^0.67)*CI238</f>
        <v>61.862639018895301</v>
      </c>
      <c r="CL238">
        <f>((BI238/BH238)^0.67)*CI238</f>
        <v>62.418096347452718</v>
      </c>
      <c r="CM238" s="39">
        <f>CJ238*($AM238-$BB238)</f>
        <v>704.57679484858556</v>
      </c>
      <c r="CN238" s="39">
        <f>CK238*($AD238-$BD238)</f>
        <v>152.02701341258577</v>
      </c>
      <c r="CO238" s="39">
        <f>CL238*($AU238-$BF238)</f>
        <v>-4.1961272283373985</v>
      </c>
      <c r="CP238" s="27">
        <f>VLOOKUP(A238,Water!$A$2:$E$109, 5, FALSE)/1000</f>
        <v>1.4299999999999998E-3</v>
      </c>
      <c r="CQ238">
        <f>0.64*CP238</f>
        <v>9.1519999999999991E-4</v>
      </c>
      <c r="CR238" s="19">
        <f>CQ238*1000*(2.5*10^-5)</f>
        <v>2.2879999999999998E-5</v>
      </c>
      <c r="CS238" s="18">
        <f>(-0.0000009*F238^3)+(0.0002*F238^2)-(0.0134*F238)+6.579</f>
        <v>6.3744054624999995</v>
      </c>
      <c r="CT238" s="18">
        <f>CS238-(SQRT(CP238))/(1+1.4*SQRT(CP238))</f>
        <v>6.3384914619368429</v>
      </c>
      <c r="CU238" s="18">
        <f>10^(-CT238)</f>
        <v>4.5867866315638165E-7</v>
      </c>
      <c r="CV238" s="18">
        <f>(0.000001*F238^3)+(0.00006*F238^2)-(0.014*F238)+10.625</f>
        <v>10.361673375000001</v>
      </c>
      <c r="CW238" s="18">
        <f>CV238-(2*SQRT(CR238))/(1+1.4*SQRT(CR238))</f>
        <v>10.352170404246696</v>
      </c>
      <c r="CX238" s="18">
        <f>10^(-CW238)</f>
        <v>4.4445684159698574E-11</v>
      </c>
      <c r="CY238">
        <f>EXP(1246.98+-61900/H238-183*LN(H238))</f>
        <v>2.7351106134832891E-2</v>
      </c>
      <c r="CZ238">
        <f>12.225*(F238^2)+15.258*F238+1125.7</f>
        <v>7104.7532499999988</v>
      </c>
      <c r="DA238" s="15">
        <f>10^(-4470.99/H238+6.0875-0.01706*H238)</f>
        <v>7.7067232070444799E-15</v>
      </c>
      <c r="DB238">
        <f>(10^-I238)</f>
        <v>2.0417379446695247E-9</v>
      </c>
      <c r="DC238">
        <f>DB238^2</f>
        <v>4.1686938347033353E-18</v>
      </c>
      <c r="DD238" s="20">
        <f>((14.6836*10^-9)*((H238/217.2056)-1)^1.997)*100*100</f>
        <v>1.8724670796661272E-5</v>
      </c>
      <c r="DE238">
        <f>CY238+CZ238*DA238/DB238</f>
        <v>5.4168635237943241E-2</v>
      </c>
      <c r="DF238">
        <f>1+DC238*(CU238*CX238+CU238*DB238)^-1</f>
        <v>1.0043565121436024</v>
      </c>
      <c r="DG238">
        <f>(DE238*DF238/DD238)^0.5</f>
        <v>53.902734959904166</v>
      </c>
      <c r="DH238">
        <f>DD238/(BO238/60/60)</f>
        <v>2.8609951098504359E-2</v>
      </c>
      <c r="DI238" s="16">
        <f>DF238/((DF238-1)+TANH(DG238*DH238)/(DG238*DH238))</f>
        <v>1.6850226420533361</v>
      </c>
      <c r="DJ238">
        <f>$DI238*BR238</f>
        <v>46.104124868596244</v>
      </c>
      <c r="DK238">
        <f>$DI238*BY238</f>
        <v>67.407890072616581</v>
      </c>
      <c r="DL238">
        <f>$DI238*CF238</f>
        <v>10.439613312833036</v>
      </c>
      <c r="DM238">
        <f>$DI238*CM238</f>
        <v>1187.2278523852351</v>
      </c>
    </row>
    <row r="239" spans="1:117" ht="15.75" x14ac:dyDescent="0.25">
      <c r="A239" s="52" t="s">
        <v>330</v>
      </c>
      <c r="B239" s="55" t="s">
        <v>340</v>
      </c>
      <c r="C239" s="62" t="s">
        <v>429</v>
      </c>
      <c r="D239" s="57">
        <v>43291</v>
      </c>
      <c r="E239" s="42" t="str">
        <f>A239&amp;D239</f>
        <v>62B43291</v>
      </c>
      <c r="F239" s="3">
        <f>VLOOKUP($E239,Water!$C$2:$E$90, 2, FALSE)</f>
        <v>21.5</v>
      </c>
      <c r="G239" s="3">
        <f>VLOOKUP($E239,Water!$C$2:$E$90, 3, FALSE)</f>
        <v>0.67</v>
      </c>
      <c r="H239" s="1">
        <f>F239+273.15</f>
        <v>294.64999999999998</v>
      </c>
      <c r="I239" s="3">
        <f>VLOOKUP($E239,Water!$C$2:$F$90, 4, FALSE)</f>
        <v>8.69</v>
      </c>
      <c r="J239">
        <f>10^(I239*-1)</f>
        <v>2.0417379446695247E-9</v>
      </c>
      <c r="K239" s="25">
        <f>VLOOKUP($E239,Atm!$D$2:$G$100, 2, FALSE)</f>
        <v>415.74313124226398</v>
      </c>
      <c r="L239" s="25">
        <f>VLOOKUP($E239,Atm!$D$2:$G$100, 3, FALSE)</f>
        <v>9.5529629691914657</v>
      </c>
      <c r="M239" s="25">
        <f>VLOOKUP($E239,Atm!$D$2:$G$100, 4, FALSE)</f>
        <v>0.29948047301603087</v>
      </c>
      <c r="N239" s="21">
        <f>VLOOKUP($C239,Raw!$B$2:$F$353, 3, FALSE)</f>
        <v>647.07449211884443</v>
      </c>
      <c r="O239" s="21">
        <f>VLOOKUP($C239,Raw!$B$2:$F$353, 4, FALSE)</f>
        <v>616.68416101768605</v>
      </c>
      <c r="P239" s="21">
        <f>VLOOKUP($C239,Raw!$B$2:$F$353, 5, FALSE)</f>
        <v>0.32729090908513192</v>
      </c>
      <c r="Q239" s="14">
        <v>60</v>
      </c>
      <c r="R239" s="25">
        <v>1140</v>
      </c>
      <c r="S239">
        <f>EXP(24.4543-(100/H239*(67.4509))-(4.8489*LN(H239/100))-(0.000544*G239))</f>
        <v>2.5279918463172391E-2</v>
      </c>
      <c r="T239" s="8">
        <f>EXP(-58.0931+90.5069*(100/H239)+22.294*LN(H239/100)+G239*(0.027766-0.025888*(H239/100)+0.0050578*(H239/100)^2)*G239)</f>
        <v>3.7361338535745248E-2</v>
      </c>
      <c r="U239" s="9">
        <f>(EXP(-67.1962+99.1624*(100/H239)+27.9015*LN(H239/100)+G239*(-0.072909+0.041674*(H239/100)-0.0064603*(H239/100)^2)*G239))</f>
        <v>3.3580174658533989E-2</v>
      </c>
      <c r="V239" s="9">
        <f>(EXP(-64.8539+100.252*(100/H239)+25.2049*LN(H239/100)+(-0.062544+0.035337*(H239/100)-0.0054699*(H239/100)^2)*G239))</f>
        <v>2.7408675579379847E-2</v>
      </c>
      <c r="W239" s="9">
        <f>(EXP(-68.8862+101.4956*(100/H239)+28.7314*LN(H239/100)+G239*(-0.076146+0.04397*(H239/100)-0.0068672*(H239/100)^2)))</f>
        <v>3.3489125913930134E-2</v>
      </c>
      <c r="X239">
        <f>N239*(AZ239-S239)</f>
        <v>580.65336995981295</v>
      </c>
      <c r="Y239">
        <f>O239*(AZ239-S239)</f>
        <v>553.38255588352399</v>
      </c>
      <c r="Z239">
        <f>((Y239/10^6)*AZ239)/(0.082056*H239)</f>
        <v>2.1117232041370732E-5</v>
      </c>
      <c r="AA239">
        <f>(((L239/10^6)*AZ239)/(0.082056*H239))</f>
        <v>3.6454372035807127E-7</v>
      </c>
      <c r="AB239">
        <f>((Y239/10^6)*U239*1)/(0.082056*H239)</f>
        <v>7.6858451025820705E-7</v>
      </c>
      <c r="AC239">
        <f>(Z239*(Q239/1000))+(AB239*(R239/1000))</f>
        <v>2.1432202641765999E-6</v>
      </c>
      <c r="AD239" s="39">
        <f>((AC239-(AA239*(Q239/1000)))/(R239/1000))*1000000</f>
        <v>1.8608312639957156</v>
      </c>
      <c r="AE239" s="39">
        <f>(AD239/((U239*AZ239*1))*(0.0821*273.15))</f>
        <v>1346.9146921201416</v>
      </c>
      <c r="AF239" s="39">
        <f>L239*U239*AZ239*1/(0.0821*273.15)</f>
        <v>1.3197905005315065E-2</v>
      </c>
      <c r="AG239" s="39">
        <f>AD239-AF239</f>
        <v>1.8476333589904006</v>
      </c>
      <c r="AH239" s="42">
        <f>P239*(AZ239-S239)</f>
        <v>0.29369504072892522</v>
      </c>
      <c r="AI239">
        <f>(((X239/10^6)*(Q239/1000))/(0.082056*H239))</f>
        <v>1.4409583014668605E-6</v>
      </c>
      <c r="AJ239">
        <f>(((K239/10^6)*AZ239)*(Q239/1000))/(0.082056*H239)</f>
        <v>9.5189240196036967E-7</v>
      </c>
      <c r="AK239">
        <f>(X239/10^6)*T239*(R239/1000)</f>
        <v>2.4731145324768489E-5</v>
      </c>
      <c r="AL239">
        <f>AI239+AK239</f>
        <v>2.6172103626235349E-5</v>
      </c>
      <c r="AM239" s="39">
        <f>((AL239-AJ239)/(R239/1000))*1000000</f>
        <v>22.122992301995598</v>
      </c>
      <c r="AN239" s="39">
        <f>AM239/(T239*AZ239)</f>
        <v>641.79026598320047</v>
      </c>
      <c r="AO239" s="39">
        <f>(K239*AZ239)*T239</f>
        <v>14.330977859238681</v>
      </c>
      <c r="AP239" s="39">
        <f>AM239-AO239</f>
        <v>7.7920144427569173</v>
      </c>
      <c r="AQ239">
        <f>(((AH239/10^6)*(Q239/1000))/(0.082056*H239))</f>
        <v>7.2883811398060486E-10</v>
      </c>
      <c r="AR239">
        <f>(((M239/10^6)*AZ239)*(Q239/1000))/(0.082056*H239)</f>
        <v>6.8569548208203102E-10</v>
      </c>
      <c r="AS239">
        <f>(AH239/10^6)*V239*(R239/1000)</f>
        <v>9.1767629832975217E-9</v>
      </c>
      <c r="AT239">
        <f>AQ239+AS239</f>
        <v>9.9056010972781272E-9</v>
      </c>
      <c r="AU239" s="39">
        <f>((AT239-AR239)/(R239/1000))*1000000000</f>
        <v>8.0876365045579792</v>
      </c>
      <c r="AV239" s="39">
        <f>(AU239/1000)/(V239*AZ239)</f>
        <v>0.31981973441113898</v>
      </c>
      <c r="AW239" s="39">
        <f>(M239*AZ239)*V239*1000</f>
        <v>7.5732950326732036</v>
      </c>
      <c r="AX239" s="39">
        <f>AU239-AW239</f>
        <v>0.51434147188477564</v>
      </c>
      <c r="AY239" s="26">
        <f>VLOOKUP($E239,Water!$C$2:$G$90, 5, FALSE)</f>
        <v>701.2</v>
      </c>
      <c r="AZ239">
        <f>AY239/760</f>
        <v>0.92263157894736847</v>
      </c>
      <c r="BA239" s="3">
        <f>Assumptions!$B$3</f>
        <v>406.07</v>
      </c>
      <c r="BB239" s="3">
        <f>BA239*AZ239*T239</f>
        <v>13.99753776307119</v>
      </c>
      <c r="BC239" s="3">
        <f>Assumptions!$B$4</f>
        <v>1.8474300000000001</v>
      </c>
      <c r="BD239" s="45">
        <f>BC239*AZ239*U239*1/(0.0821*273.15)</f>
        <v>2.5523186599385353E-3</v>
      </c>
      <c r="BE239" s="3">
        <f>Assumptions!$B$2</f>
        <v>0.33054499999999998</v>
      </c>
      <c r="BF239" s="44">
        <f>BE239*AZ239*V239*1000</f>
        <v>8.3588581965441335</v>
      </c>
      <c r="BG239">
        <f>1923.6+(-125.06*F239)+(4.3773*(F239^2))+(-0.085681*(F239^3))+(0.00070284*(F239^4))</f>
        <v>556.86639755250008</v>
      </c>
      <c r="BH239">
        <f>1909.4+(-120.78*F239)+(4.1555*(F239^2))+(-0.080578*(F239^3))+(0.00065777*(F239^4))</f>
        <v>573.24454011062528</v>
      </c>
      <c r="BI239">
        <f>2141.2+(-152.56*F239)+(5.8963*(F239^2))+(-0.12411*(F239^3))+(0.0010655*(F239^4))</f>
        <v>580.94373284375001</v>
      </c>
      <c r="BJ239" s="25">
        <f>VLOOKUP(E239,Wind!$C$2:$E$109,3, FALSE)</f>
        <v>0.69444444444444442</v>
      </c>
      <c r="BK239" s="44">
        <v>1.66</v>
      </c>
      <c r="BL239">
        <f>BK239/(1-(((1.3*10^-3)^0.5)/0.41)*LN(10/1.5))</f>
        <v>1.9923982880693825</v>
      </c>
      <c r="BM239">
        <f>BK239*1.22</f>
        <v>2.0251999999999999</v>
      </c>
      <c r="BN239">
        <f>2.07+0.215*(BM239^1.7)*(24/100)</f>
        <v>2.241255750541113</v>
      </c>
      <c r="BO239">
        <f>BN239*((600/BG239)^0.67)</f>
        <v>2.3561317751257711</v>
      </c>
      <c r="BP239">
        <f>BN239*((600/BH239)^0.67)</f>
        <v>2.3108140719445616</v>
      </c>
      <c r="BQ239">
        <f>BN239*((600/BI239)^0.67)</f>
        <v>2.2902501860475897</v>
      </c>
      <c r="BR239" s="39">
        <f>BO239*(AM239-BB239)</f>
        <v>19.14464162649972</v>
      </c>
      <c r="BS239" s="39">
        <f>BP239*(AD239-BD239)</f>
        <v>4.2941371364802121</v>
      </c>
      <c r="BT239" s="39">
        <f>BQ239*(AU239-BF239)</f>
        <v>-0.62116553053143198</v>
      </c>
      <c r="BU239">
        <f>(2.51+1.48*BM239)+(0.39*BM239*LOG10(0.0015))</f>
        <v>3.2768938069574309</v>
      </c>
      <c r="BV239">
        <f>BU239*((600/$BG239)^0.67)</f>
        <v>3.4448516731841976</v>
      </c>
      <c r="BW239">
        <f>BU239*((600/$BH239)^0.67)</f>
        <v>3.3785935940407588</v>
      </c>
      <c r="BX239">
        <f>BU239*((600/$BI239)^0.67)</f>
        <v>3.3485275606010241</v>
      </c>
      <c r="BY239" s="39">
        <f>BV239*($AM239-$BB239)</f>
        <v>27.990985663795882</v>
      </c>
      <c r="BZ239" s="39">
        <f>BW239*($AD239-$BD239)</f>
        <v>6.278369340652274</v>
      </c>
      <c r="CA239" s="39">
        <f>BX239*($AU239-$BF239)</f>
        <v>-0.90819331064847963</v>
      </c>
      <c r="CB239" s="42">
        <f>AVERAGE(0.72,0.69,0.4,0.22)</f>
        <v>0.50750000000000006</v>
      </c>
      <c r="CC239">
        <f>CB239*((600/$BG239)^0.67)</f>
        <v>0.53351201690732475</v>
      </c>
      <c r="CD239">
        <f>CB239*((600/$BH239)^0.67)</f>
        <v>0.5232504774293284</v>
      </c>
      <c r="CE239">
        <f>CB239*((600/$BI239)^0.67)</f>
        <v>0.51859408241943561</v>
      </c>
      <c r="CF239" s="39">
        <f>CC239*($AM239-$BB239)</f>
        <v>4.3350276393503373</v>
      </c>
      <c r="CG239" s="39">
        <f>CD239*($AD239-$BD239)</f>
        <v>0.97234534534381423</v>
      </c>
      <c r="CH239" s="39">
        <f>CE239*($AU239-$BF239)</f>
        <v>-0.14065396448780648</v>
      </c>
      <c r="CI239">
        <v>62.862639018895301</v>
      </c>
      <c r="CJ239">
        <f>((BG239/BH239)^0.67)*CI239</f>
        <v>61.65354263204582</v>
      </c>
      <c r="CK239">
        <f>((BH239/BH239)^0.67)*CI239</f>
        <v>62.862639018895301</v>
      </c>
      <c r="CL239">
        <f>((BI239/BH239)^0.67)*CI239</f>
        <v>63.42707522933307</v>
      </c>
      <c r="CM239" s="39">
        <f>CJ239*($AM239-$BB239)</f>
        <v>500.96305782032624</v>
      </c>
      <c r="CN239" s="39">
        <f>CK239*($AD239-$BD239)</f>
        <v>116.81631853705643</v>
      </c>
      <c r="CO239" s="39">
        <f>CL239*($AU239-$BF239)</f>
        <v>-17.202798661432812</v>
      </c>
      <c r="CP239" s="27">
        <f>VLOOKUP(A239,Water!$A$2:$E$109, 5, FALSE)/1000</f>
        <v>1.4299999999999998E-3</v>
      </c>
      <c r="CQ239">
        <f>0.64*CP239</f>
        <v>9.1519999999999991E-4</v>
      </c>
      <c r="CR239" s="19">
        <f>CQ239*1000*(2.5*10^-5)</f>
        <v>2.2879999999999998E-5</v>
      </c>
      <c r="CS239" s="18">
        <f>(-0.0000009*F239^3)+(0.0002*F239^2)-(0.0134*F239)+6.579</f>
        <v>6.3744054624999995</v>
      </c>
      <c r="CT239" s="18">
        <f>CS239-(SQRT(CP239))/(1+1.4*SQRT(CP239))</f>
        <v>6.3384914619368429</v>
      </c>
      <c r="CU239" s="18">
        <f>10^(-CT239)</f>
        <v>4.5867866315638165E-7</v>
      </c>
      <c r="CV239" s="18">
        <f>(0.000001*F239^3)+(0.00006*F239^2)-(0.014*F239)+10.625</f>
        <v>10.361673375000001</v>
      </c>
      <c r="CW239" s="18">
        <f>CV239-(2*SQRT(CR239))/(1+1.4*SQRT(CR239))</f>
        <v>10.352170404246696</v>
      </c>
      <c r="CX239" s="18">
        <f>10^(-CW239)</f>
        <v>4.4445684159698574E-11</v>
      </c>
      <c r="CY239">
        <f>EXP(1246.98+-61900/H239-183*LN(H239))</f>
        <v>2.7351106134832891E-2</v>
      </c>
      <c r="CZ239">
        <f>12.225*(F239^2)+15.258*F239+1125.7</f>
        <v>7104.7532499999988</v>
      </c>
      <c r="DA239" s="15">
        <f>10^(-4470.99/H239+6.0875-0.01706*H239)</f>
        <v>7.7067232070444799E-15</v>
      </c>
      <c r="DB239">
        <f>(10^-I239)</f>
        <v>2.0417379446695247E-9</v>
      </c>
      <c r="DC239">
        <f>DB239^2</f>
        <v>4.1686938347033353E-18</v>
      </c>
      <c r="DD239" s="20">
        <f>((14.6836*10^-9)*((H239/217.2056)-1)^1.997)*100*100</f>
        <v>1.8724670796661272E-5</v>
      </c>
      <c r="DE239">
        <f>CY239+CZ239*DA239/DB239</f>
        <v>5.4168635237943241E-2</v>
      </c>
      <c r="DF239">
        <f>1+DC239*(CU239*CX239+CU239*DB239)^-1</f>
        <v>1.0043565121436024</v>
      </c>
      <c r="DG239">
        <f>(DE239*DF239/DD239)^0.5</f>
        <v>53.902734959904166</v>
      </c>
      <c r="DH239">
        <f>DD239/(BO239/60/60)</f>
        <v>2.8609951098504359E-2</v>
      </c>
      <c r="DI239" s="16">
        <f>DF239/((DF239-1)+TANH(DG239*DH239)/(DG239*DH239))</f>
        <v>1.6850226420533361</v>
      </c>
      <c r="DJ239">
        <f>$DI239*BR239</f>
        <v>32.259154614648835</v>
      </c>
      <c r="DK239">
        <f>$DI239*BY239</f>
        <v>47.16544461688639</v>
      </c>
      <c r="DL239">
        <f>$DI239*CF239</f>
        <v>7.3046197262323416</v>
      </c>
      <c r="DM239">
        <f>$DI239*CM239</f>
        <v>844.13409525952432</v>
      </c>
    </row>
    <row r="240" spans="1:117" ht="15.75" x14ac:dyDescent="0.25">
      <c r="A240" s="52" t="s">
        <v>330</v>
      </c>
      <c r="B240" s="55" t="s">
        <v>341</v>
      </c>
      <c r="C240" s="62" t="s">
        <v>430</v>
      </c>
      <c r="D240" s="57">
        <v>43291</v>
      </c>
      <c r="E240" s="42" t="str">
        <f>A240&amp;D240</f>
        <v>62B43291</v>
      </c>
      <c r="F240" s="3">
        <f>VLOOKUP($E240,Water!$C$2:$E$90, 2, FALSE)</f>
        <v>21.5</v>
      </c>
      <c r="G240" s="3">
        <f>VLOOKUP($E240,Water!$C$2:$E$90, 3, FALSE)</f>
        <v>0.67</v>
      </c>
      <c r="H240" s="1">
        <f>F240+273.15</f>
        <v>294.64999999999998</v>
      </c>
      <c r="I240" s="3">
        <f>VLOOKUP($E240,Water!$C$2:$F$90, 4, FALSE)</f>
        <v>8.69</v>
      </c>
      <c r="J240">
        <f>10^(I240*-1)</f>
        <v>2.0417379446695247E-9</v>
      </c>
      <c r="K240" s="25">
        <f>VLOOKUP($E240,Atm!$D$2:$G$100, 2, FALSE)</f>
        <v>415.74313124226398</v>
      </c>
      <c r="L240" s="25">
        <f>VLOOKUP($E240,Atm!$D$2:$G$100, 3, FALSE)</f>
        <v>9.5529629691914657</v>
      </c>
      <c r="M240" s="25">
        <f>VLOOKUP($E240,Atm!$D$2:$G$100, 4, FALSE)</f>
        <v>0.29948047301603087</v>
      </c>
      <c r="N240" s="21">
        <f>VLOOKUP($C240,Raw!$B$2:$F$353, 3, FALSE)</f>
        <v>608.8317627999445</v>
      </c>
      <c r="O240" s="21">
        <f>VLOOKUP($C240,Raw!$B$2:$F$353, 4, FALSE)</f>
        <v>447.09318042981209</v>
      </c>
      <c r="P240" s="21">
        <f>VLOOKUP($C240,Raw!$B$2:$F$353, 5, FALSE)</f>
        <v>0.31416109708989109</v>
      </c>
      <c r="Q240" s="14">
        <v>60</v>
      </c>
      <c r="R240" s="25">
        <v>1140</v>
      </c>
      <c r="S240">
        <f>EXP(24.4543-(100/H240*(67.4509))-(4.8489*LN(H240/100))-(0.000544*G240))</f>
        <v>2.5279918463172391E-2</v>
      </c>
      <c r="T240" s="8">
        <f>EXP(-58.0931+90.5069*(100/H240)+22.294*LN(H240/100)+G240*(0.027766-0.025888*(H240/100)+0.0050578*(H240/100)^2)*G240)</f>
        <v>3.7361338535745248E-2</v>
      </c>
      <c r="U240" s="9">
        <f>(EXP(-67.1962+99.1624*(100/H240)+27.9015*LN(H240/100)+G240*(-0.072909+0.041674*(H240/100)-0.0064603*(H240/100)^2)*G240))</f>
        <v>3.3580174658533989E-2</v>
      </c>
      <c r="V240" s="9">
        <f>(EXP(-64.8539+100.252*(100/H240)+25.2049*LN(H240/100)+(-0.062544+0.035337*(H240/100)-0.0054699*(H240/100)^2)*G240))</f>
        <v>2.7408675579379847E-2</v>
      </c>
      <c r="W240" s="9">
        <f>(EXP(-68.8862+101.4956*(100/H240)+28.7314*LN(H240/100)+G240*(-0.076146+0.04397*(H240/100)-0.0068672*(H240/100)^2)))</f>
        <v>3.3489125913930134E-2</v>
      </c>
      <c r="X240">
        <f>N240*(AZ240-S240)</f>
        <v>546.33619330405043</v>
      </c>
      <c r="Y240">
        <f>O240*(AZ240-S240)</f>
        <v>401.19980784985216</v>
      </c>
      <c r="Z240">
        <f>((Y240/10^6)*AZ240)/(0.082056*H240)</f>
        <v>1.5309896105763613E-5</v>
      </c>
      <c r="AA240">
        <f>(((L240/10^6)*AZ240)/(0.082056*H240))</f>
        <v>3.6454372035807127E-7</v>
      </c>
      <c r="AB240">
        <f>((Y240/10^6)*U240*1)/(0.082056*H240)</f>
        <v>5.5722023499574892E-7</v>
      </c>
      <c r="AC240">
        <f>(Z240*(Q240/1000))+(AB240*(R240/1000))</f>
        <v>1.5538248342409706E-6</v>
      </c>
      <c r="AD240" s="39">
        <f>((AC240-(AA240*(Q240/1000)))/(R240/1000))*1000000</f>
        <v>1.3438177289644617</v>
      </c>
      <c r="AE240" s="39">
        <f>(AD240/((U240*AZ240*1))*(0.0821*273.15))</f>
        <v>972.68778620323269</v>
      </c>
      <c r="AF240" s="39">
        <f>L240*U240*AZ240*1/(0.0821*273.15)</f>
        <v>1.3197905005315065E-2</v>
      </c>
      <c r="AG240" s="39">
        <f>AD240-AF240</f>
        <v>1.3306198239591467</v>
      </c>
      <c r="AH240" s="42">
        <f>P240*(AZ240-S240)</f>
        <v>0.28191298213315052</v>
      </c>
      <c r="AI240">
        <f>(((X240/10^6)*(Q240/1000))/(0.082056*H240))</f>
        <v>1.3557962699635416E-6</v>
      </c>
      <c r="AJ240">
        <f>(((K240/10^6)*AZ240)*(Q240/1000))/(0.082056*H240)</f>
        <v>9.5189240196036967E-7</v>
      </c>
      <c r="AK240">
        <f>(X240/10^6)*T240*(R240/1000)</f>
        <v>2.32695106784938E-5</v>
      </c>
      <c r="AL240">
        <f>AI240+AK240</f>
        <v>2.4625306948457342E-5</v>
      </c>
      <c r="AM240" s="39">
        <f>((AL240-AJ240)/(R240/1000))*1000000</f>
        <v>20.766153110962257</v>
      </c>
      <c r="AN240" s="39">
        <f>AM240/(T240*AZ240)</f>
        <v>602.4282224846288</v>
      </c>
      <c r="AO240" s="39">
        <f>(K240*AZ240)*T240</f>
        <v>14.330977859238681</v>
      </c>
      <c r="AP240" s="39">
        <f>AM240-AO240</f>
        <v>6.4351752517235763</v>
      </c>
      <c r="AQ240">
        <f>(((AH240/10^6)*(Q240/1000))/(0.082056*H240))</f>
        <v>6.9959957680803061E-10</v>
      </c>
      <c r="AR240">
        <f>(((M240/10^6)*AZ240)*(Q240/1000))/(0.082056*H240)</f>
        <v>6.8569548208203102E-10</v>
      </c>
      <c r="AS240">
        <f>(AH240/10^6)*V240*(R240/1000)</f>
        <v>8.8086220745494541E-9</v>
      </c>
      <c r="AT240">
        <f>AQ240+AS240</f>
        <v>9.5082216513574846E-9</v>
      </c>
      <c r="AU240" s="39">
        <f>((AT240-AR240)/(R240/1000))*1000000000</f>
        <v>7.7390580432240821</v>
      </c>
      <c r="AV240" s="39">
        <f>(AU240/1000)/(V240*AZ240)</f>
        <v>0.30603545134371601</v>
      </c>
      <c r="AW240" s="39">
        <f>(M240*AZ240)*V240*1000</f>
        <v>7.5732950326732036</v>
      </c>
      <c r="AX240" s="39">
        <f>AU240-AW240</f>
        <v>0.1657630105508785</v>
      </c>
      <c r="AY240" s="26">
        <f>VLOOKUP($E240,Water!$C$2:$G$90, 5, FALSE)</f>
        <v>701.2</v>
      </c>
      <c r="AZ240">
        <f>AY240/760</f>
        <v>0.92263157894736847</v>
      </c>
      <c r="BA240" s="3">
        <f>Assumptions!$B$3</f>
        <v>406.07</v>
      </c>
      <c r="BB240" s="3">
        <f>BA240*AZ240*T240</f>
        <v>13.99753776307119</v>
      </c>
      <c r="BC240" s="3">
        <f>Assumptions!$B$4</f>
        <v>1.8474300000000001</v>
      </c>
      <c r="BD240" s="45">
        <f>BC240*AZ240*U240*1/(0.0821*273.15)</f>
        <v>2.5523186599385353E-3</v>
      </c>
      <c r="BE240" s="3">
        <f>Assumptions!$B$2</f>
        <v>0.33054499999999998</v>
      </c>
      <c r="BF240" s="44">
        <f>BE240*AZ240*V240*1000</f>
        <v>8.3588581965441335</v>
      </c>
      <c r="BG240">
        <f>1923.6+(-125.06*F240)+(4.3773*(F240^2))+(-0.085681*(F240^3))+(0.00070284*(F240^4))</f>
        <v>556.86639755250008</v>
      </c>
      <c r="BH240">
        <f>1909.4+(-120.78*F240)+(4.1555*(F240^2))+(-0.080578*(F240^3))+(0.00065777*(F240^4))</f>
        <v>573.24454011062528</v>
      </c>
      <c r="BI240">
        <f>2141.2+(-152.56*F240)+(5.8963*(F240^2))+(-0.12411*(F240^3))+(0.0010655*(F240^4))</f>
        <v>580.94373284375001</v>
      </c>
      <c r="BJ240" s="25">
        <f>VLOOKUP(E240,Wind!$C$2:$E$109,3, FALSE)</f>
        <v>0.69444444444444442</v>
      </c>
      <c r="BK240" s="44">
        <v>1.66</v>
      </c>
      <c r="BL240">
        <f>BK240/(1-(((1.3*10^-3)^0.5)/0.41)*LN(10/1.5))</f>
        <v>1.9923982880693825</v>
      </c>
      <c r="BM240">
        <f>BK240*1.22</f>
        <v>2.0251999999999999</v>
      </c>
      <c r="BN240">
        <f>2.07+0.215*(BM240^1.7)*(24/100)</f>
        <v>2.241255750541113</v>
      </c>
      <c r="BO240">
        <f>BN240*((600/BG240)^0.67)</f>
        <v>2.3561317751257711</v>
      </c>
      <c r="BP240">
        <f>BN240*((600/BH240)^0.67)</f>
        <v>2.3108140719445616</v>
      </c>
      <c r="BQ240">
        <f>BN240*((600/BI240)^0.67)</f>
        <v>2.2902501860475897</v>
      </c>
      <c r="BR240" s="39">
        <f>BO240*(AM240-BB240)</f>
        <v>15.94774969477012</v>
      </c>
      <c r="BS240" s="39">
        <f>BP240*(AD240-BD240)</f>
        <v>3.0994149843441883</v>
      </c>
      <c r="BT240" s="39">
        <f>BQ240*(AU240-BF240)</f>
        <v>-1.4194974164535725</v>
      </c>
      <c r="BU240">
        <f>(2.51+1.48*BM240)+(0.39*BM240*LOG10(0.0015))</f>
        <v>3.2768938069574309</v>
      </c>
      <c r="BV240">
        <f>BU240*((600/$BG240)^0.67)</f>
        <v>3.4448516731841976</v>
      </c>
      <c r="BW240">
        <f>BU240*((600/$BH240)^0.67)</f>
        <v>3.3785935940407588</v>
      </c>
      <c r="BX240">
        <f>BU240*((600/$BI240)^0.67)</f>
        <v>3.3485275606010241</v>
      </c>
      <c r="BY240" s="39">
        <f>BV240*($AM240-$BB240)</f>
        <v>23.316875906322785</v>
      </c>
      <c r="BZ240" s="39">
        <f>BW240*($AD240-$BD240)</f>
        <v>4.5315907231633119</v>
      </c>
      <c r="CA240" s="39">
        <f>BX240*($AU240-$BF240)</f>
        <v>-2.0754178954569324</v>
      </c>
      <c r="CB240" s="42">
        <f>AVERAGE(0.72,0.69,0.4,0.22)</f>
        <v>0.50750000000000006</v>
      </c>
      <c r="CC240">
        <f>CB240*((600/$BG240)^0.67)</f>
        <v>0.53351201690732475</v>
      </c>
      <c r="CD240">
        <f>CB240*((600/$BH240)^0.67)</f>
        <v>0.5232504774293284</v>
      </c>
      <c r="CE240">
        <f>CB240*((600/$BI240)^0.67)</f>
        <v>0.51859408241943561</v>
      </c>
      <c r="CF240" s="39">
        <f>CC240*($AM240-$BB240)</f>
        <v>3.6111376259232371</v>
      </c>
      <c r="CG240" s="39">
        <f>CD240*($AD240-$BD240)</f>
        <v>0.70181776630128578</v>
      </c>
      <c r="CH240" s="39">
        <f>CE240*($AU240-$BF240)</f>
        <v>-0.32142469179443761</v>
      </c>
      <c r="CI240">
        <v>63.862639018895301</v>
      </c>
      <c r="CJ240">
        <f>((BG240/BH240)^0.67)*CI240</f>
        <v>62.634308689505062</v>
      </c>
      <c r="CK240">
        <f>((BH240/BH240)^0.67)*CI240</f>
        <v>63.862639018895301</v>
      </c>
      <c r="CL240">
        <f>((BI240/BH240)^0.67)*CI240</f>
        <v>64.436054111213423</v>
      </c>
      <c r="CM240" s="39">
        <f>CJ240*($AM240-$BB240)</f>
        <v>423.94754310033085</v>
      </c>
      <c r="CN240" s="39">
        <f>CK240*($AD240-$BD240)</f>
        <v>85.65674872680826</v>
      </c>
      <c r="CO240" s="39">
        <f>CL240*($AU240-$BF240)</f>
        <v>-39.937476217469211</v>
      </c>
      <c r="CP240" s="27">
        <f>VLOOKUP(A240,Water!$A$2:$E$109, 5, FALSE)/1000</f>
        <v>1.4299999999999998E-3</v>
      </c>
      <c r="CQ240">
        <f>0.64*CP240</f>
        <v>9.1519999999999991E-4</v>
      </c>
      <c r="CR240" s="19">
        <f>CQ240*1000*(2.5*10^-5)</f>
        <v>2.2879999999999998E-5</v>
      </c>
      <c r="CS240" s="18">
        <f>(-0.0000009*F240^3)+(0.0002*F240^2)-(0.0134*F240)+6.579</f>
        <v>6.3744054624999995</v>
      </c>
      <c r="CT240" s="18">
        <f>CS240-(SQRT(CP240))/(1+1.4*SQRT(CP240))</f>
        <v>6.3384914619368429</v>
      </c>
      <c r="CU240" s="18">
        <f>10^(-CT240)</f>
        <v>4.5867866315638165E-7</v>
      </c>
      <c r="CV240" s="18">
        <f>(0.000001*F240^3)+(0.00006*F240^2)-(0.014*F240)+10.625</f>
        <v>10.361673375000001</v>
      </c>
      <c r="CW240" s="18">
        <f>CV240-(2*SQRT(CR240))/(1+1.4*SQRT(CR240))</f>
        <v>10.352170404246696</v>
      </c>
      <c r="CX240" s="18">
        <f>10^(-CW240)</f>
        <v>4.4445684159698574E-11</v>
      </c>
      <c r="CY240">
        <f>EXP(1246.98+-61900/H240-183*LN(H240))</f>
        <v>2.7351106134832891E-2</v>
      </c>
      <c r="CZ240">
        <f>12.225*(F240^2)+15.258*F240+1125.7</f>
        <v>7104.7532499999988</v>
      </c>
      <c r="DA240" s="15">
        <f>10^(-4470.99/H240+6.0875-0.01706*H240)</f>
        <v>7.7067232070444799E-15</v>
      </c>
      <c r="DB240">
        <f>(10^-I240)</f>
        <v>2.0417379446695247E-9</v>
      </c>
      <c r="DC240">
        <f>DB240^2</f>
        <v>4.1686938347033353E-18</v>
      </c>
      <c r="DD240" s="20">
        <f>((14.6836*10^-9)*((H240/217.2056)-1)^1.997)*100*100</f>
        <v>1.8724670796661272E-5</v>
      </c>
      <c r="DE240">
        <f>CY240+CZ240*DA240/DB240</f>
        <v>5.4168635237943241E-2</v>
      </c>
      <c r="DF240">
        <f>1+DC240*(CU240*CX240+CU240*DB240)^-1</f>
        <v>1.0043565121436024</v>
      </c>
      <c r="DG240">
        <f>(DE240*DF240/DD240)^0.5</f>
        <v>53.902734959904166</v>
      </c>
      <c r="DH240">
        <f>DD240/(BO240/60/60)</f>
        <v>2.8609951098504359E-2</v>
      </c>
      <c r="DI240" s="16">
        <f>DF240/((DF240-1)+TANH(DG240*DH240)/(DG240*DH240))</f>
        <v>1.6850226420533361</v>
      </c>
      <c r="DJ240">
        <f>$DI240*BR240</f>
        <v>26.872319325486831</v>
      </c>
      <c r="DK240">
        <f>$DI240*BY240</f>
        <v>39.289463844101796</v>
      </c>
      <c r="DL240">
        <f>$DI240*CF240</f>
        <v>6.0848486632513845</v>
      </c>
      <c r="DM240">
        <f>$DI240*CM240</f>
        <v>714.36120916694006</v>
      </c>
    </row>
    <row r="241" spans="1:117" ht="15.75" x14ac:dyDescent="0.25">
      <c r="A241" s="52" t="s">
        <v>330</v>
      </c>
      <c r="B241" s="55" t="s">
        <v>342</v>
      </c>
      <c r="C241" s="62" t="s">
        <v>431</v>
      </c>
      <c r="D241" s="57">
        <v>43291</v>
      </c>
      <c r="E241" s="42" t="str">
        <f>A241&amp;D241</f>
        <v>62B43291</v>
      </c>
      <c r="F241" s="3">
        <f>VLOOKUP($E241,Water!$C$2:$E$90, 2, FALSE)</f>
        <v>21.5</v>
      </c>
      <c r="G241" s="3">
        <f>VLOOKUP($E241,Water!$C$2:$E$90, 3, FALSE)</f>
        <v>0.67</v>
      </c>
      <c r="H241" s="1">
        <f>F241+273.15</f>
        <v>294.64999999999998</v>
      </c>
      <c r="I241" s="3">
        <f>VLOOKUP($E241,Water!$C$2:$F$90, 4, FALSE)</f>
        <v>8.69</v>
      </c>
      <c r="J241">
        <f>10^(I241*-1)</f>
        <v>2.0417379446695247E-9</v>
      </c>
      <c r="K241" s="25">
        <f>VLOOKUP($E241,Atm!$D$2:$G$100, 2, FALSE)</f>
        <v>415.74313124226398</v>
      </c>
      <c r="L241" s="25">
        <f>VLOOKUP($E241,Atm!$D$2:$G$100, 3, FALSE)</f>
        <v>9.5529629691914657</v>
      </c>
      <c r="M241" s="25">
        <f>VLOOKUP($E241,Atm!$D$2:$G$100, 4, FALSE)</f>
        <v>0.29948047301603087</v>
      </c>
      <c r="N241" s="21">
        <f>VLOOKUP($C241,Raw!$B$2:$F$353, 3, FALSE)</f>
        <v>606.82906192188682</v>
      </c>
      <c r="O241" s="21">
        <f>VLOOKUP($C241,Raw!$B$2:$F$353, 4, FALSE)</f>
        <v>428.39222204243538</v>
      </c>
      <c r="P241" s="21">
        <f>VLOOKUP($C241,Raw!$B$2:$F$353, 5, FALSE)</f>
        <v>0.31976199836693026</v>
      </c>
      <c r="Q241" s="14">
        <v>60</v>
      </c>
      <c r="R241" s="25">
        <v>1140</v>
      </c>
      <c r="S241">
        <f>EXP(24.4543-(100/H241*(67.4509))-(4.8489*LN(H241/100))-(0.000544*G241))</f>
        <v>2.5279918463172391E-2</v>
      </c>
      <c r="T241" s="8">
        <f>EXP(-58.0931+90.5069*(100/H241)+22.294*LN(H241/100)+G241*(0.027766-0.025888*(H241/100)+0.0050578*(H241/100)^2)*G241)</f>
        <v>3.7361338535745248E-2</v>
      </c>
      <c r="U241" s="9">
        <f>(EXP(-67.1962+99.1624*(100/H241)+27.9015*LN(H241/100)+G241*(-0.072909+0.041674*(H241/100)-0.0064603*(H241/100)^2)*G241))</f>
        <v>3.3580174658533989E-2</v>
      </c>
      <c r="V241" s="9">
        <f>(EXP(-64.8539+100.252*(100/H241)+25.2049*LN(H241/100)+(-0.062544+0.035337*(H241/100)-0.0054699*(H241/100)^2)*G241))</f>
        <v>2.7408675579379847E-2</v>
      </c>
      <c r="W241" s="9">
        <f>(EXP(-68.8862+101.4956*(100/H241)+28.7314*LN(H241/100)+G241*(-0.076146+0.04397*(H241/100)-0.0068672*(H241/100)^2)))</f>
        <v>3.3489125913930134E-2</v>
      </c>
      <c r="X241">
        <f>N241*(AZ241-S241)</f>
        <v>544.53906634567215</v>
      </c>
      <c r="Y241">
        <f>O241*(AZ241-S241)</f>
        <v>384.41847178829386</v>
      </c>
      <c r="Z241">
        <f>((Y241/10^6)*AZ241)/(0.082056*H241)</f>
        <v>1.4669515660430715E-5</v>
      </c>
      <c r="AA241">
        <f>(((L241/10^6)*AZ241)/(0.082056*H241))</f>
        <v>3.6454372035807127E-7</v>
      </c>
      <c r="AB241">
        <f>((Y241/10^6)*U241*1)/(0.082056*H241)</f>
        <v>5.3391289575778073E-7</v>
      </c>
      <c r="AC241">
        <f>(Z241*(Q241/1000))+(AB241*(R241/1000))</f>
        <v>1.488831640789713E-6</v>
      </c>
      <c r="AD241" s="39">
        <f>((AC241-(AA241*(Q241/1000)))/(R241/1000))*1000000</f>
        <v>1.2868061557616042</v>
      </c>
      <c r="AE241" s="39">
        <f>(AD241/((U241*AZ241*1))*(0.0821*273.15))</f>
        <v>931.42143011088979</v>
      </c>
      <c r="AF241" s="39">
        <f>L241*U241*AZ241*1/(0.0821*273.15)</f>
        <v>1.3197905005315065E-2</v>
      </c>
      <c r="AG241" s="39">
        <f>AD241-AF241</f>
        <v>1.2736082507562891</v>
      </c>
      <c r="AH241" s="42">
        <f>P241*(AZ241-S241)</f>
        <v>0.2869389601943097</v>
      </c>
      <c r="AI241">
        <f>(((X241/10^6)*(Q241/1000))/(0.082056*H241))</f>
        <v>1.3513364921624687E-6</v>
      </c>
      <c r="AJ241">
        <f>(((K241/10^6)*AZ241)*(Q241/1000))/(0.082056*H241)</f>
        <v>9.5189240196036967E-7</v>
      </c>
      <c r="AK241">
        <f>(X241/10^6)*T241*(R241/1000)</f>
        <v>2.3192967580194397E-5</v>
      </c>
      <c r="AL241">
        <f>AI241+AK241</f>
        <v>2.4544304072356867E-5</v>
      </c>
      <c r="AM241" s="39">
        <f>((AL241-AJ241)/(R241/1000))*1000000</f>
        <v>20.695097956488159</v>
      </c>
      <c r="AN241" s="39">
        <f>AM241/(T241*AZ241)</f>
        <v>600.36690519685408</v>
      </c>
      <c r="AO241" s="39">
        <f>(K241*AZ241)*T241</f>
        <v>14.330977859238681</v>
      </c>
      <c r="AP241" s="39">
        <f>AM241-AO241</f>
        <v>6.3641200972494776</v>
      </c>
      <c r="AQ241">
        <f>(((AH241/10^6)*(Q241/1000))/(0.082056*H241))</f>
        <v>7.1207212098825102E-10</v>
      </c>
      <c r="AR241">
        <f>(((M241/10^6)*AZ241)*(Q241/1000))/(0.082056*H241)</f>
        <v>6.8569548208203102E-10</v>
      </c>
      <c r="AS241">
        <f>(AH241/10^6)*V241*(R241/1000)</f>
        <v>8.9656632329974812E-9</v>
      </c>
      <c r="AT241">
        <f>AQ241+AS241</f>
        <v>9.6777353539857316E-9</v>
      </c>
      <c r="AU241" s="39">
        <f>((AT241-AR241)/(R241/1000))*1000000000</f>
        <v>7.8877542735997368</v>
      </c>
      <c r="AV241" s="39">
        <f>(AU241/1000)/(V241*AZ241)</f>
        <v>0.31191553619667378</v>
      </c>
      <c r="AW241" s="39">
        <f>(M241*AZ241)*V241*1000</f>
        <v>7.5732950326732036</v>
      </c>
      <c r="AX241" s="39">
        <f>AU241-AW241</f>
        <v>0.31445924092653321</v>
      </c>
      <c r="AY241" s="26">
        <f>VLOOKUP($E241,Water!$C$2:$G$90, 5, FALSE)</f>
        <v>701.2</v>
      </c>
      <c r="AZ241">
        <f>AY241/760</f>
        <v>0.92263157894736847</v>
      </c>
      <c r="BA241" s="3">
        <f>Assumptions!$B$3</f>
        <v>406.07</v>
      </c>
      <c r="BB241" s="3">
        <f>BA241*AZ241*T241</f>
        <v>13.99753776307119</v>
      </c>
      <c r="BC241" s="3">
        <f>Assumptions!$B$4</f>
        <v>1.8474300000000001</v>
      </c>
      <c r="BD241" s="45">
        <f>BC241*AZ241*U241*1/(0.0821*273.15)</f>
        <v>2.5523186599385353E-3</v>
      </c>
      <c r="BE241" s="3">
        <f>Assumptions!$B$2</f>
        <v>0.33054499999999998</v>
      </c>
      <c r="BF241" s="44">
        <f>BE241*AZ241*V241*1000</f>
        <v>8.3588581965441335</v>
      </c>
      <c r="BG241">
        <f>1923.6+(-125.06*F241)+(4.3773*(F241^2))+(-0.085681*(F241^3))+(0.00070284*(F241^4))</f>
        <v>556.86639755250008</v>
      </c>
      <c r="BH241">
        <f>1909.4+(-120.78*F241)+(4.1555*(F241^2))+(-0.080578*(F241^3))+(0.00065777*(F241^4))</f>
        <v>573.24454011062528</v>
      </c>
      <c r="BI241">
        <f>2141.2+(-152.56*F241)+(5.8963*(F241^2))+(-0.12411*(F241^3))+(0.0010655*(F241^4))</f>
        <v>580.94373284375001</v>
      </c>
      <c r="BJ241" s="25">
        <f>VLOOKUP(E241,Wind!$C$2:$E$109,3, FALSE)</f>
        <v>0.69444444444444442</v>
      </c>
      <c r="BK241" s="44">
        <v>1.66</v>
      </c>
      <c r="BL241">
        <f>BK241/(1-(((1.3*10^-3)^0.5)/0.41)*LN(10/1.5))</f>
        <v>1.9923982880693825</v>
      </c>
      <c r="BM241">
        <f>BK241*1.22</f>
        <v>2.0251999999999999</v>
      </c>
      <c r="BN241">
        <f>2.07+0.215*(BM241^1.7)*(24/100)</f>
        <v>2.241255750541113</v>
      </c>
      <c r="BO241">
        <f>BN241*((600/BG241)^0.67)</f>
        <v>2.3561317751257711</v>
      </c>
      <c r="BP241">
        <f>BN241*((600/BH241)^0.67)</f>
        <v>2.3108140719445616</v>
      </c>
      <c r="BQ241">
        <f>BN241*((600/BI241)^0.67)</f>
        <v>2.2902501860475897</v>
      </c>
      <c r="BR241" s="39">
        <f>BO241*(AM241-BB241)</f>
        <v>15.780334387527226</v>
      </c>
      <c r="BS241" s="39">
        <f>BP241*(AD241-BD241)</f>
        <v>2.9676718387233274</v>
      </c>
      <c r="BT241" s="39">
        <f>BQ241*(AU241-BF241)</f>
        <v>-1.0789458471711539</v>
      </c>
      <c r="BU241">
        <f>(2.51+1.48*BM241)+(0.39*BM241*LOG10(0.0015))</f>
        <v>3.2768938069574309</v>
      </c>
      <c r="BV241">
        <f>BU241*((600/$BG241)^0.67)</f>
        <v>3.4448516731841976</v>
      </c>
      <c r="BW241">
        <f>BU241*((600/$BH241)^0.67)</f>
        <v>3.3785935940407588</v>
      </c>
      <c r="BX241">
        <f>BU241*((600/$BI241)^0.67)</f>
        <v>3.3485275606010241</v>
      </c>
      <c r="BY241" s="39">
        <f>BV241*($AM241-$BB241)</f>
        <v>23.072101438544323</v>
      </c>
      <c r="BZ241" s="39">
        <f>BW241*($AD241-$BD241)</f>
        <v>4.3389717871539517</v>
      </c>
      <c r="CA241" s="39">
        <f>BX241*($AU241-$BF241)</f>
        <v>-1.5775044698865737</v>
      </c>
      <c r="CB241" s="42">
        <f>AVERAGE(0.72,0.69,0.4,0.22)</f>
        <v>0.50750000000000006</v>
      </c>
      <c r="CC241">
        <f>CB241*((600/$BG241)^0.67)</f>
        <v>0.53351201690732475</v>
      </c>
      <c r="CD241">
        <f>CB241*((600/$BH241)^0.67)</f>
        <v>0.5232504774293284</v>
      </c>
      <c r="CE241">
        <f>CB241*((600/$BI241)^0.67)</f>
        <v>0.51859408241943561</v>
      </c>
      <c r="CF241" s="39">
        <f>CC241*($AM241-$BB241)</f>
        <v>3.5732288471480991</v>
      </c>
      <c r="CG241" s="39">
        <f>CD241*($AD241-$BD241)</f>
        <v>0.67198643340389352</v>
      </c>
      <c r="CH241" s="39">
        <f>CE241*($AU241-$BF241)</f>
        <v>-0.24431170664354593</v>
      </c>
      <c r="CI241">
        <v>64.862639018895294</v>
      </c>
      <c r="CJ241">
        <f>((BG241/BH241)^0.67)*CI241</f>
        <v>63.615074746964304</v>
      </c>
      <c r="CK241">
        <f>((BH241/BH241)^0.67)*CI241</f>
        <v>64.862639018895294</v>
      </c>
      <c r="CL241">
        <f>((BI241/BH241)^0.67)*CI241</f>
        <v>65.445032993093761</v>
      </c>
      <c r="CM241" s="39">
        <f>CJ241*($AM241-$BB241)</f>
        <v>426.06579232651319</v>
      </c>
      <c r="CN241" s="39">
        <f>CK241*($AD241-$BD241)</f>
        <v>83.300093044556505</v>
      </c>
      <c r="CO241" s="39">
        <f>CL241*($AU241-$BF241)</f>
        <v>-30.831411780271946</v>
      </c>
      <c r="CP241" s="27">
        <f>VLOOKUP(A241,Water!$A$2:$E$109, 5, FALSE)/1000</f>
        <v>1.4299999999999998E-3</v>
      </c>
      <c r="CQ241">
        <f>0.64*CP241</f>
        <v>9.1519999999999991E-4</v>
      </c>
      <c r="CR241" s="19">
        <f>CQ241*1000*(2.5*10^-5)</f>
        <v>2.2879999999999998E-5</v>
      </c>
      <c r="CS241" s="18">
        <f>(-0.0000009*F241^3)+(0.0002*F241^2)-(0.0134*F241)+6.579</f>
        <v>6.3744054624999995</v>
      </c>
      <c r="CT241" s="18">
        <f>CS241-(SQRT(CP241))/(1+1.4*SQRT(CP241))</f>
        <v>6.3384914619368429</v>
      </c>
      <c r="CU241" s="18">
        <f>10^(-CT241)</f>
        <v>4.5867866315638165E-7</v>
      </c>
      <c r="CV241" s="18">
        <f>(0.000001*F241^3)+(0.00006*F241^2)-(0.014*F241)+10.625</f>
        <v>10.361673375000001</v>
      </c>
      <c r="CW241" s="18">
        <f>CV241-(2*SQRT(CR241))/(1+1.4*SQRT(CR241))</f>
        <v>10.352170404246696</v>
      </c>
      <c r="CX241" s="18">
        <f>10^(-CW241)</f>
        <v>4.4445684159698574E-11</v>
      </c>
      <c r="CY241">
        <f>EXP(1246.98+-61900/H241-183*LN(H241))</f>
        <v>2.7351106134832891E-2</v>
      </c>
      <c r="CZ241">
        <f>12.225*(F241^2)+15.258*F241+1125.7</f>
        <v>7104.7532499999988</v>
      </c>
      <c r="DA241" s="15">
        <f>10^(-4470.99/H241+6.0875-0.01706*H241)</f>
        <v>7.7067232070444799E-15</v>
      </c>
      <c r="DB241">
        <f>(10^-I241)</f>
        <v>2.0417379446695247E-9</v>
      </c>
      <c r="DC241">
        <f>DB241^2</f>
        <v>4.1686938347033353E-18</v>
      </c>
      <c r="DD241" s="20">
        <f>((14.6836*10^-9)*((H241/217.2056)-1)^1.997)*100*100</f>
        <v>1.8724670796661272E-5</v>
      </c>
      <c r="DE241">
        <f>CY241+CZ241*DA241/DB241</f>
        <v>5.4168635237943241E-2</v>
      </c>
      <c r="DF241">
        <f>1+DC241*(CU241*CX241+CU241*DB241)^-1</f>
        <v>1.0043565121436024</v>
      </c>
      <c r="DG241">
        <f>(DE241*DF241/DD241)^0.5</f>
        <v>53.902734959904166</v>
      </c>
      <c r="DH241">
        <f>DD241/(BO241/60/60)</f>
        <v>2.8609951098504359E-2</v>
      </c>
      <c r="DI241" s="16">
        <f>DF241/((DF241-1)+TANH(DG241*DH241)/(DG241*DH241))</f>
        <v>1.6850226420533361</v>
      </c>
      <c r="DJ241">
        <f>$DI241*BR241</f>
        <v>26.590220742156241</v>
      </c>
      <c r="DK241">
        <f>$DI241*BY241</f>
        <v>38.877013323698527</v>
      </c>
      <c r="DL241">
        <f>$DI241*CF241</f>
        <v>6.0209715126826859</v>
      </c>
      <c r="DM241">
        <f>$DI241*CM241</f>
        <v>717.93050707456928</v>
      </c>
    </row>
    <row r="242" spans="1:117" ht="15.75" x14ac:dyDescent="0.25">
      <c r="A242" s="52" t="s">
        <v>323</v>
      </c>
      <c r="B242" s="55" t="s">
        <v>339</v>
      </c>
      <c r="C242" s="62" t="s">
        <v>433</v>
      </c>
      <c r="D242" s="57">
        <v>43290</v>
      </c>
      <c r="E242" s="42" t="str">
        <f>A242&amp;D242</f>
        <v>66A43290</v>
      </c>
      <c r="F242" s="3">
        <f>VLOOKUP($E242,Water!$C$2:$E$90, 2, FALSE)</f>
        <v>24.8</v>
      </c>
      <c r="G242" s="3">
        <f>VLOOKUP($E242,Water!$C$2:$E$90, 3, FALSE)</f>
        <v>0.85</v>
      </c>
      <c r="H242" s="1">
        <f>F242+273.15</f>
        <v>297.95</v>
      </c>
      <c r="I242" s="3">
        <f>VLOOKUP($E242,Water!$C$2:$F$90, 4, FALSE)</f>
        <v>8.9</v>
      </c>
      <c r="J242">
        <f>10^(I242*-1)</f>
        <v>1.2589254117941623E-9</v>
      </c>
      <c r="K242" s="25">
        <v>439.52751160265137</v>
      </c>
      <c r="L242" s="25">
        <v>2.8430237635924795</v>
      </c>
      <c r="M242" s="25">
        <v>0.32236441181786135</v>
      </c>
      <c r="N242" s="21">
        <f>VLOOKUP($C242,Raw!$B$2:$F$353, 3, FALSE)</f>
        <v>540.51782671659919</v>
      </c>
      <c r="O242" s="21">
        <f>VLOOKUP($C242,Raw!$B$2:$F$353, 4, FALSE)</f>
        <v>174.8410296005122</v>
      </c>
      <c r="P242" s="21">
        <f>VLOOKUP($C242,Raw!$B$2:$F$353, 5, FALSE)</f>
        <v>0.22962172303103587</v>
      </c>
      <c r="Q242" s="14">
        <v>60</v>
      </c>
      <c r="R242" s="25">
        <v>1140</v>
      </c>
      <c r="S242">
        <f>EXP(24.4543-(100/H242*(67.4509))-(4.8489*LN(H242/100))-(0.000544*G242))</f>
        <v>3.0859697685629912E-2</v>
      </c>
      <c r="T242" s="8">
        <f>EXP(-58.0931+90.5069*(100/H242)+22.294*LN(H242/100)+G242*(0.027766-0.025888*(H242/100)+0.0050578*(H242/100)^2)*G242)</f>
        <v>3.4040964768798587E-2</v>
      </c>
      <c r="U242" s="9">
        <f>(EXP(-67.1962+99.1624*(100/H242)+27.9015*LN(H242/100)+G242*(-0.072909+0.041674*(H242/100)-0.0064603*(H242/100)^2)*G242))</f>
        <v>3.151069937969167E-2</v>
      </c>
      <c r="V242" s="9">
        <f>(EXP(-64.8539+100.252*(100/H242)+25.2049*LN(H242/100)+(-0.062544+0.035337*(H242/100)-0.0054699*(H242/100)^2)*G242))</f>
        <v>2.4872335314057609E-2</v>
      </c>
      <c r="W242" s="9">
        <f>(EXP(-68.8862+101.4956*(100/H242)+28.7314*LN(H242/100)+G242*(-0.076146+0.04397*(H242/100)-0.0068672*(H242/100)^2)))</f>
        <v>3.1458702696251513E-2</v>
      </c>
      <c r="X242">
        <f>N242*(AZ242-S242)</f>
        <v>490.76645348737611</v>
      </c>
      <c r="Y242">
        <f>O242*(AZ242-S242)</f>
        <v>158.74797792028056</v>
      </c>
      <c r="Z242">
        <f>((Y242/10^6)*AZ242)/(0.082056*H242)</f>
        <v>6.0958581856335465E-6</v>
      </c>
      <c r="AA242">
        <f>(((L242/10^6)*AZ242)/(0.082056*H242))</f>
        <v>1.0917096336149212E-7</v>
      </c>
      <c r="AB242">
        <f>((Y242/10^6)*U242*1)/(0.082056*H242)</f>
        <v>2.0460324261953168E-7</v>
      </c>
      <c r="AC242">
        <f>(Z242*(Q242/1000))+(AB242*(R242/1000))</f>
        <v>5.9899918772427883E-7</v>
      </c>
      <c r="AD242" s="39">
        <f>((AC242-(AA242*(Q242/1000)))/(R242/1000))*1000000</f>
        <v>0.51969204379174505</v>
      </c>
      <c r="AE242" s="39">
        <f>(AD242/((U242*AZ242*1))*(0.0821*273.15))</f>
        <v>393.95988537256767</v>
      </c>
      <c r="AF242" s="39">
        <f>L242*U242*AZ242*1/(0.0821*273.15)</f>
        <v>3.7503737946634002E-3</v>
      </c>
      <c r="AG242" s="39">
        <f>AD242-AF242</f>
        <v>0.51594166999708169</v>
      </c>
      <c r="AH242" s="42">
        <f>P242*(AZ242-S242)</f>
        <v>0.20848644223289836</v>
      </c>
      <c r="AI242">
        <f>(((X242/10^6)*(Q242/1000))/(0.082056*H242))</f>
        <v>1.2044045480898652E-6</v>
      </c>
      <c r="AJ242">
        <f>(((K242/10^6)*AZ242)*(Q242/1000))/(0.082056*H242)</f>
        <v>1.0126607272161834E-6</v>
      </c>
      <c r="AK242">
        <f>(X242/10^6)*T242*(R242/1000)</f>
        <v>1.9045026450274081E-5</v>
      </c>
      <c r="AL242">
        <f>AI242+AK242</f>
        <v>2.0249430998363947E-5</v>
      </c>
      <c r="AM242" s="39">
        <f>((AL242-AJ242)/(R242/1000))*1000000</f>
        <v>16.874359886971725</v>
      </c>
      <c r="AN242" s="39">
        <f>AM242/(T242*AZ242)</f>
        <v>528.01354313182696</v>
      </c>
      <c r="AO242" s="39">
        <f>(K242*AZ242)*T242</f>
        <v>14.046506017662072</v>
      </c>
      <c r="AP242" s="39">
        <f>AM242-AO242</f>
        <v>2.8278538693096529</v>
      </c>
      <c r="AQ242">
        <f>(((AH242/10^6)*(Q242/1000))/(0.082056*H242))</f>
        <v>5.1165277792736659E-10</v>
      </c>
      <c r="AR242">
        <f>(((M242/10^6)*AZ242)*(Q242/1000))/(0.082056*H242)</f>
        <v>7.427197867768774E-10</v>
      </c>
      <c r="AS242">
        <f>(AH242/10^6)*V242*(R242/1000)</f>
        <v>5.9115209576027665E-9</v>
      </c>
      <c r="AT242">
        <f>AQ242+AS242</f>
        <v>6.4231737355301335E-9</v>
      </c>
      <c r="AU242" s="39">
        <f>((AT242-AR242)/(R242/1000))*1000000000</f>
        <v>4.9828543410116284</v>
      </c>
      <c r="AV242" s="39">
        <f>(AU242/1000)/(V242*AZ242)</f>
        <v>0.21339352765752129</v>
      </c>
      <c r="AW242" s="39">
        <f>(M242*AZ242)*V242*1000</f>
        <v>7.5273834518179923</v>
      </c>
      <c r="AX242" s="39">
        <f>AU242-AW242</f>
        <v>-2.5445291108063639</v>
      </c>
      <c r="AY242" s="26">
        <f>VLOOKUP($E242,Water!$C$2:$G$90, 5, FALSE)</f>
        <v>713.5</v>
      </c>
      <c r="AZ242">
        <f>AY242/760</f>
        <v>0.93881578947368416</v>
      </c>
      <c r="BA242" s="3">
        <f>Assumptions!$B$3</f>
        <v>406.07</v>
      </c>
      <c r="BB242" s="3">
        <f>BA242*AZ242*T242</f>
        <v>12.977264330494368</v>
      </c>
      <c r="BC242" s="3">
        <f>Assumptions!$B$4</f>
        <v>1.8474300000000001</v>
      </c>
      <c r="BD242" s="45">
        <f>BC242*AZ242*U242*1/(0.0821*273.15)</f>
        <v>2.4370366326871649E-3</v>
      </c>
      <c r="BE242" s="3">
        <f>Assumptions!$B$2</f>
        <v>0.33054499999999998</v>
      </c>
      <c r="BF242" s="44">
        <f>BE242*AZ242*V242*1000</f>
        <v>7.7184046125010788</v>
      </c>
      <c r="BG242">
        <f>1923.6+(-125.06*F242)+(4.3773*(F242^2))+(-0.085681*(F242^3))+(0.00070284*(F242^4))</f>
        <v>473.30122430054388</v>
      </c>
      <c r="BH242">
        <f>1909.4+(-120.78*F242)+(4.1555*(F242^2))+(-0.080578*(F242^3))+(0.00065777*(F242^4))</f>
        <v>489.61655221043213</v>
      </c>
      <c r="BI242">
        <f>2141.2+(-152.56*F242)+(5.8963*(F242^2))+(-0.12411*(F242^3))+(0.0010655*(F242^4))</f>
        <v>494.17467668480003</v>
      </c>
      <c r="BJ242" s="25">
        <f>VLOOKUP(E242,Wind!$C$2:$E$109,3, FALSE)</f>
        <v>0.66666666666666663</v>
      </c>
      <c r="BK242" s="44">
        <v>1.66</v>
      </c>
      <c r="BL242">
        <f>BK242/(1-(((1.3*10^-3)^0.5)/0.41)*LN(10/1.5))</f>
        <v>1.9923982880693825</v>
      </c>
      <c r="BM242">
        <f>BK242*1.22</f>
        <v>2.0251999999999999</v>
      </c>
      <c r="BN242">
        <f>2.07+0.215*(BM242^1.7)*(24/100)</f>
        <v>2.241255750541113</v>
      </c>
      <c r="BO242">
        <f>BN242*((600/BG242)^0.67)</f>
        <v>2.6273053123377541</v>
      </c>
      <c r="BP242">
        <f>BN242*((600/BH242)^0.67)</f>
        <v>2.5683202347999692</v>
      </c>
      <c r="BQ242">
        <f>BN242*((600/BI242)^0.67)</f>
        <v>2.5524240523394059</v>
      </c>
      <c r="BR242" s="39">
        <f>BO242*(AM242-BB242)</f>
        <v>10.238859858220815</v>
      </c>
      <c r="BS242" s="39">
        <f>BP242*(AD242-BD242)</f>
        <v>1.3284765014382114</v>
      </c>
      <c r="BT242" s="39">
        <f>BQ242*(AU242-BF242)</f>
        <v>-6.9822843093332647</v>
      </c>
      <c r="BU242">
        <f>(2.51+1.48*BM242)+(0.39*BM242*LOG10(0.0015))</f>
        <v>3.2768938069574309</v>
      </c>
      <c r="BV242">
        <f>BU242*((600/$BG242)^0.67)</f>
        <v>3.8413289089865588</v>
      </c>
      <c r="BW242">
        <f>BU242*((600/$BH242)^0.67)</f>
        <v>3.7550880436860217</v>
      </c>
      <c r="BX242">
        <f>BU242*((600/$BI242)^0.67)</f>
        <v>3.7318465631692583</v>
      </c>
      <c r="BY242" s="39">
        <f>BV242*($AM242-$BB242)</f>
        <v>14.970025822179531</v>
      </c>
      <c r="BZ242" s="39">
        <f>BW242*($AD242-$BD242)</f>
        <v>1.942338092919706</v>
      </c>
      <c r="CA242" s="39">
        <f>BX242*($AU242-$BF242)</f>
        <v>-10.208653879034637</v>
      </c>
      <c r="CB242" s="42">
        <f>AVERAGE(0.72,0.69,0.4,0.22)</f>
        <v>0.50750000000000006</v>
      </c>
      <c r="CC242">
        <f>CB242*((600/$BG242)^0.67)</f>
        <v>0.59491534854489225</v>
      </c>
      <c r="CD242">
        <f>CB242*((600/$BH242)^0.67)</f>
        <v>0.58155902950669303</v>
      </c>
      <c r="CE242">
        <f>CB242*((600/$BI242)^0.67)</f>
        <v>0.57795956853630259</v>
      </c>
      <c r="CF242" s="39">
        <f>CC242*($AM242-$BB242)</f>
        <v>2.3184419612944778</v>
      </c>
      <c r="CG242" s="39">
        <f>CD242*($AD242-$BD242)</f>
        <v>0.3008143199708993</v>
      </c>
      <c r="CH242" s="39">
        <f>CE242*($AU242-$BF242)</f>
        <v>-1.5810374546194081</v>
      </c>
      <c r="CI242">
        <v>65.862639018895294</v>
      </c>
      <c r="CJ242">
        <f>((BG242/BH242)^0.67)*CI242</f>
        <v>64.383970798978396</v>
      </c>
      <c r="CK242">
        <f>((BH242/BH242)^0.67)*CI242</f>
        <v>65.862639018895294</v>
      </c>
      <c r="CL242">
        <f>((BI242/BH242)^0.67)*CI242</f>
        <v>66.272823418395433</v>
      </c>
      <c r="CM242" s="39">
        <f>CJ242*($AM242-$BB242)</f>
        <v>250.9104865090666</v>
      </c>
      <c r="CN242" s="39">
        <f>CK242*($AD242-$BD242)</f>
        <v>34.067779817233131</v>
      </c>
      <c r="CO242" s="39">
        <f>CL242*($AU242-$BF242)</f>
        <v>-181.29264009456404</v>
      </c>
      <c r="CP242" s="27">
        <f>VLOOKUP(A242,Water!$A$2:$E$109, 5, FALSE)/1000</f>
        <v>1.3000000000000002E-4</v>
      </c>
      <c r="CQ242">
        <f>0.64*CP242</f>
        <v>8.3200000000000017E-5</v>
      </c>
      <c r="CR242" s="19">
        <f>CQ242*1000*(2.5*10^-5)</f>
        <v>2.0800000000000004E-6</v>
      </c>
      <c r="CS242" s="18">
        <f>(-0.0000009*F242^3)+(0.0002*F242^2)-(0.0134*F242)+6.579</f>
        <v>6.3559603072000002</v>
      </c>
      <c r="CT242" s="18">
        <f>CS242-(SQRT(CP242))/(1+1.4*SQRT(CP242))</f>
        <v>6.3447376934270192</v>
      </c>
      <c r="CU242" s="18">
        <f>10^(-CT242)</f>
        <v>4.5212894021043716E-7</v>
      </c>
      <c r="CV242" s="18">
        <f>(0.000001*F242^3)+(0.00006*F242^2)-(0.014*F242)+10.625</f>
        <v>10.329955392</v>
      </c>
      <c r="CW242" s="18">
        <f>CV242-(2*SQRT(CR242))/(1+1.4*SQRT(CR242))</f>
        <v>10.327076763244035</v>
      </c>
      <c r="CX242" s="18">
        <f>10^(-CW242)</f>
        <v>4.708940866737283E-11</v>
      </c>
      <c r="CY242">
        <f>EXP(1246.98+-61900/H242-183*LN(H242))</f>
        <v>3.650232053853978E-2</v>
      </c>
      <c r="CZ242">
        <f>12.225*(F242^2)+15.258*F242+1125.7</f>
        <v>9022.9624000000003</v>
      </c>
      <c r="DA242" s="15">
        <f>10^(-4470.99/H242+6.0875-0.01706*H242)</f>
        <v>9.968575304902963E-15</v>
      </c>
      <c r="DB242">
        <f>(10^-I242)</f>
        <v>1.2589254117941623E-9</v>
      </c>
      <c r="DC242">
        <f>DB242^2</f>
        <v>1.5848931924611013E-18</v>
      </c>
      <c r="DD242" s="20">
        <f>((14.6836*10^-9)*((H242/217.2056)-1)^1.997)*100*100</f>
        <v>2.0351883520155361E-5</v>
      </c>
      <c r="DE242">
        <f>CY242+CZ242*DA242/DB242</f>
        <v>0.10794903161058095</v>
      </c>
      <c r="DF242">
        <f>1+DC242*(CU242*CX242+CU242*DB242)^-1</f>
        <v>1.0026840437350573</v>
      </c>
      <c r="DG242">
        <f>(DE242*DF242/DD242)^0.5</f>
        <v>72.927130094403779</v>
      </c>
      <c r="DH242">
        <f>DD242/(BO242/60/60)</f>
        <v>2.7886664076877739E-2</v>
      </c>
      <c r="DI242" s="16">
        <f>DF242/((DF242-1)+TANH(DG242*DH242)/(DG242*DH242))</f>
        <v>2.0983453305036033</v>
      </c>
      <c r="DJ242">
        <f>$DI242*BR242</f>
        <v>21.484663773178433</v>
      </c>
      <c r="DK242">
        <f>$DI242*BY242</f>
        <v>31.412283781488785</v>
      </c>
      <c r="DL242">
        <f>$DI242*CF242</f>
        <v>4.8648918635258829</v>
      </c>
      <c r="DM242">
        <f>$DI242*CM242</f>
        <v>526.49684774068726</v>
      </c>
    </row>
    <row r="243" spans="1:117" ht="15.75" x14ac:dyDescent="0.25">
      <c r="A243" s="52" t="s">
        <v>323</v>
      </c>
      <c r="B243" s="55" t="s">
        <v>340</v>
      </c>
      <c r="C243" s="62" t="s">
        <v>434</v>
      </c>
      <c r="D243" s="57">
        <v>43290</v>
      </c>
      <c r="E243" s="42" t="str">
        <f>A243&amp;D243</f>
        <v>66A43290</v>
      </c>
      <c r="F243" s="3">
        <f>VLOOKUP($E243,Water!$C$2:$E$90, 2, FALSE)</f>
        <v>24.8</v>
      </c>
      <c r="G243" s="3">
        <f>VLOOKUP($E243,Water!$C$2:$E$90, 3, FALSE)</f>
        <v>0.85</v>
      </c>
      <c r="H243" s="1">
        <f>F243+273.15</f>
        <v>297.95</v>
      </c>
      <c r="I243" s="3">
        <f>VLOOKUP($E243,Water!$C$2:$F$90, 4, FALSE)</f>
        <v>8.9</v>
      </c>
      <c r="J243">
        <f>10^(I243*-1)</f>
        <v>1.2589254117941623E-9</v>
      </c>
      <c r="K243" s="25">
        <v>439.52751160265137</v>
      </c>
      <c r="L243" s="25">
        <v>2.8430237635924795</v>
      </c>
      <c r="M243" s="25">
        <v>0.32236441181786135</v>
      </c>
      <c r="N243" s="21">
        <f>VLOOKUP($C243,Raw!$B$2:$F$353, 3, FALSE)</f>
        <v>546.91583502191008</v>
      </c>
      <c r="O243" s="21">
        <f>VLOOKUP($C243,Raw!$B$2:$F$353, 4, FALSE)</f>
        <v>174.84370142046899</v>
      </c>
      <c r="P243" s="21">
        <f>VLOOKUP($C243,Raw!$B$2:$F$353, 5, FALSE)</f>
        <v>0.23037347233151728</v>
      </c>
      <c r="Q243" s="14">
        <v>60</v>
      </c>
      <c r="R243" s="25">
        <v>1140</v>
      </c>
      <c r="S243">
        <f>EXP(24.4543-(100/H243*(67.4509))-(4.8489*LN(H243/100))-(0.000544*G243))</f>
        <v>3.0859697685629912E-2</v>
      </c>
      <c r="T243" s="8">
        <f>EXP(-58.0931+90.5069*(100/H243)+22.294*LN(H243/100)+G243*(0.027766-0.025888*(H243/100)+0.0050578*(H243/100)^2)*G243)</f>
        <v>3.4040964768798587E-2</v>
      </c>
      <c r="U243" s="9">
        <f>(EXP(-67.1962+99.1624*(100/H243)+27.9015*LN(H243/100)+G243*(-0.072909+0.041674*(H243/100)-0.0064603*(H243/100)^2)*G243))</f>
        <v>3.151069937969167E-2</v>
      </c>
      <c r="V243" s="9">
        <f>(EXP(-64.8539+100.252*(100/H243)+25.2049*LN(H243/100)+(-0.062544+0.035337*(H243/100)-0.0054699*(H243/100)^2)*G243))</f>
        <v>2.4872335314057609E-2</v>
      </c>
      <c r="W243" s="9">
        <f>(EXP(-68.8862+101.4956*(100/H243)+28.7314*LN(H243/100)+G243*(-0.076146+0.04397*(H243/100)-0.0068672*(H243/100)^2)))</f>
        <v>3.1458702696251513E-2</v>
      </c>
      <c r="X243">
        <f>N243*(AZ243-S243)</f>
        <v>496.57556410349372</v>
      </c>
      <c r="Y243">
        <f>O243*(AZ243-S243)</f>
        <v>158.75040381548649</v>
      </c>
      <c r="Z243">
        <f>((Y243/10^6)*AZ243)/(0.082056*H243)</f>
        <v>6.0959513390288986E-6</v>
      </c>
      <c r="AA243">
        <f>(((L243/10^6)*AZ243)/(0.082056*H243))</f>
        <v>1.0917096336149212E-7</v>
      </c>
      <c r="AB243">
        <f>((Y243/10^6)*U243*1)/(0.082056*H243)</f>
        <v>2.0460636924849343E-7</v>
      </c>
      <c r="AC243">
        <f>(Z243*(Q243/1000))+(AB243*(R243/1000))</f>
        <v>5.990083412850164E-7</v>
      </c>
      <c r="AD243" s="39">
        <f>((AC243-(AA243*(Q243/1000)))/(R243/1000))*1000000</f>
        <v>0.51970007323098855</v>
      </c>
      <c r="AE243" s="39">
        <f>(AD243/((U243*AZ243*1))*(0.0821*273.15))</f>
        <v>393.96597220226175</v>
      </c>
      <c r="AF243" s="39">
        <f>L243*U243*AZ243*1/(0.0821*273.15)</f>
        <v>3.7503737946634002E-3</v>
      </c>
      <c r="AG243" s="39">
        <f>AD243-AF243</f>
        <v>0.51594969943632518</v>
      </c>
      <c r="AH243" s="42">
        <f>P243*(AZ243-S243)</f>
        <v>0.20916899758976787</v>
      </c>
      <c r="AI243">
        <f>(((X243/10^6)*(Q243/1000))/(0.082056*H243))</f>
        <v>1.218660859206267E-6</v>
      </c>
      <c r="AJ243">
        <f>(((K243/10^6)*AZ243)*(Q243/1000))/(0.082056*H243)</f>
        <v>1.0126607272161834E-6</v>
      </c>
      <c r="AK243">
        <f>(X243/10^6)*T243*(R243/1000)</f>
        <v>1.9270458862270378E-5</v>
      </c>
      <c r="AL243">
        <f>AI243+AK243</f>
        <v>2.0489119721476646E-5</v>
      </c>
      <c r="AM243" s="39">
        <f>((AL243-AJ243)/(R243/1000))*1000000</f>
        <v>17.084613152860058</v>
      </c>
      <c r="AN243" s="39">
        <f>AM243/(T243*AZ243)</f>
        <v>534.59255250583283</v>
      </c>
      <c r="AO243" s="39">
        <f>(K243*AZ243)*T243</f>
        <v>14.046506017662072</v>
      </c>
      <c r="AP243" s="39">
        <f>AM243-AO243</f>
        <v>3.0381071351979863</v>
      </c>
      <c r="AQ243">
        <f>(((AH243/10^6)*(Q243/1000))/(0.082056*H243))</f>
        <v>5.133278573267328E-10</v>
      </c>
      <c r="AR243">
        <f>(((M243/10^6)*AZ243)*(Q243/1000))/(0.082056*H243)</f>
        <v>7.427197867768774E-10</v>
      </c>
      <c r="AS243">
        <f>(AH243/10^6)*V243*(R243/1000)</f>
        <v>5.9308744477081348E-9</v>
      </c>
      <c r="AT243">
        <f>AQ243+AS243</f>
        <v>6.4442023050348677E-9</v>
      </c>
      <c r="AU243" s="39">
        <f>((AT243-AR243)/(R243/1000))*1000000000</f>
        <v>5.0013004546122728</v>
      </c>
      <c r="AV243" s="39">
        <f>(AU243/1000)/(V243*AZ243)</f>
        <v>0.21418349280268215</v>
      </c>
      <c r="AW243" s="39">
        <f>(M243*AZ243)*V243*1000</f>
        <v>7.5273834518179923</v>
      </c>
      <c r="AX243" s="39">
        <f>AU243-AW243</f>
        <v>-2.5260829972057195</v>
      </c>
      <c r="AY243" s="26">
        <f>VLOOKUP($E243,Water!$C$2:$G$90, 5, FALSE)</f>
        <v>713.5</v>
      </c>
      <c r="AZ243">
        <f>AY243/760</f>
        <v>0.93881578947368416</v>
      </c>
      <c r="BA243" s="3">
        <f>Assumptions!$B$3</f>
        <v>406.07</v>
      </c>
      <c r="BB243" s="3">
        <f>BA243*AZ243*T243</f>
        <v>12.977264330494368</v>
      </c>
      <c r="BC243" s="3">
        <f>Assumptions!$B$4</f>
        <v>1.8474300000000001</v>
      </c>
      <c r="BD243" s="45">
        <f>BC243*AZ243*U243*1/(0.0821*273.15)</f>
        <v>2.4370366326871649E-3</v>
      </c>
      <c r="BE243" s="3">
        <f>Assumptions!$B$2</f>
        <v>0.33054499999999998</v>
      </c>
      <c r="BF243" s="44">
        <f>BE243*AZ243*V243*1000</f>
        <v>7.7184046125010788</v>
      </c>
      <c r="BG243">
        <f>1923.6+(-125.06*F243)+(4.3773*(F243^2))+(-0.085681*(F243^3))+(0.00070284*(F243^4))</f>
        <v>473.30122430054388</v>
      </c>
      <c r="BH243">
        <f>1909.4+(-120.78*F243)+(4.1555*(F243^2))+(-0.080578*(F243^3))+(0.00065777*(F243^4))</f>
        <v>489.61655221043213</v>
      </c>
      <c r="BI243">
        <f>2141.2+(-152.56*F243)+(5.8963*(F243^2))+(-0.12411*(F243^3))+(0.0010655*(F243^4))</f>
        <v>494.17467668480003</v>
      </c>
      <c r="BJ243" s="25">
        <f>VLOOKUP(E243,Wind!$C$2:$E$109,3, FALSE)</f>
        <v>0.66666666666666663</v>
      </c>
      <c r="BK243" s="44">
        <v>1.66</v>
      </c>
      <c r="BL243">
        <f>BK243/(1-(((1.3*10^-3)^0.5)/0.41)*LN(10/1.5))</f>
        <v>1.9923982880693825</v>
      </c>
      <c r="BM243">
        <f>BK243*1.22</f>
        <v>2.0251999999999999</v>
      </c>
      <c r="BN243">
        <f>2.07+0.215*(BM243^1.7)*(24/100)</f>
        <v>2.241255750541113</v>
      </c>
      <c r="BO243">
        <f>BN243*((600/BG243)^0.67)</f>
        <v>2.6273053123377541</v>
      </c>
      <c r="BP243">
        <f>BN243*((600/BH243)^0.67)</f>
        <v>2.5683202347999692</v>
      </c>
      <c r="BQ243">
        <f>BN243*((600/BI243)^0.67)</f>
        <v>2.5524240523394059</v>
      </c>
      <c r="BR243" s="39">
        <f>BO243*(AM243-BB243)</f>
        <v>10.791259380625597</v>
      </c>
      <c r="BS243" s="39">
        <f>BP243*(AD243-BD243)</f>
        <v>1.3284971236094945</v>
      </c>
      <c r="BT243" s="39">
        <f>BQ243*(AU243-BF243)</f>
        <v>-6.9352020053067953</v>
      </c>
      <c r="BU243">
        <f>(2.51+1.48*BM243)+(0.39*BM243*LOG10(0.0015))</f>
        <v>3.2768938069574309</v>
      </c>
      <c r="BV243">
        <f>BU243*((600/$BG243)^0.67)</f>
        <v>3.8413289089865588</v>
      </c>
      <c r="BW243">
        <f>BU243*((600/$BH243)^0.67)</f>
        <v>3.7550880436860217</v>
      </c>
      <c r="BX243">
        <f>BU243*((600/$BI243)^0.67)</f>
        <v>3.7318465631692583</v>
      </c>
      <c r="BY243" s="39">
        <f>BV243*($AM243-$BB243)</f>
        <v>15.777677770645223</v>
      </c>
      <c r="BZ243" s="39">
        <f>BW243*($AD243-$BD243)</f>
        <v>1.9423682441710066</v>
      </c>
      <c r="CA243" s="39">
        <f>BX243*($AU243-$BF243)</f>
        <v>-10.139815813390243</v>
      </c>
      <c r="CB243" s="42">
        <f>AVERAGE(0.72,0.69,0.4,0.22)</f>
        <v>0.50750000000000006</v>
      </c>
      <c r="CC243">
        <f>CB243*((600/$BG243)^0.67)</f>
        <v>0.59491534854489225</v>
      </c>
      <c r="CD243">
        <f>CB243*((600/$BH243)^0.67)</f>
        <v>0.58155902950669303</v>
      </c>
      <c r="CE243">
        <f>CB243*((600/$BI243)^0.67)</f>
        <v>0.57795956853630259</v>
      </c>
      <c r="CF243" s="39">
        <f>CC243*($AM243-$BB243)</f>
        <v>2.4435248562531373</v>
      </c>
      <c r="CG243" s="39">
        <f>CD243*($AD243-$BD243)</f>
        <v>0.30081898956379322</v>
      </c>
      <c r="CH243" s="39">
        <f>CE243*($AU243-$BF243)</f>
        <v>-1.5703763467616081</v>
      </c>
      <c r="CI243">
        <v>66.862639018895294</v>
      </c>
      <c r="CJ243">
        <f>((BG243/BH243)^0.67)*CI243</f>
        <v>65.361520009852057</v>
      </c>
      <c r="CK243">
        <f>((BH243/BH243)^0.67)*CI243</f>
        <v>66.862639018895294</v>
      </c>
      <c r="CL243">
        <f>((BI243/BH243)^0.67)*CI243</f>
        <v>67.279051295164578</v>
      </c>
      <c r="CM243" s="39">
        <f>CJ243*($AM243-$BB243)</f>
        <v>268.46256224049733</v>
      </c>
      <c r="CN243" s="39">
        <f>CK243*($AD243-$BD243)</f>
        <v>34.585571693889854</v>
      </c>
      <c r="CO243" s="39">
        <f>CL243*($AU243-$BF243)</f>
        <v>-182.80419001290593</v>
      </c>
      <c r="CP243" s="27">
        <f>VLOOKUP(A243,Water!$A$2:$E$109, 5, FALSE)/1000</f>
        <v>1.3000000000000002E-4</v>
      </c>
      <c r="CQ243">
        <f>0.64*CP243</f>
        <v>8.3200000000000017E-5</v>
      </c>
      <c r="CR243" s="19">
        <f>CQ243*1000*(2.5*10^-5)</f>
        <v>2.0800000000000004E-6</v>
      </c>
      <c r="CS243" s="18">
        <f>(-0.0000009*F243^3)+(0.0002*F243^2)-(0.0134*F243)+6.579</f>
        <v>6.3559603072000002</v>
      </c>
      <c r="CT243" s="18">
        <f>CS243-(SQRT(CP243))/(1+1.4*SQRT(CP243))</f>
        <v>6.3447376934270192</v>
      </c>
      <c r="CU243" s="18">
        <f>10^(-CT243)</f>
        <v>4.5212894021043716E-7</v>
      </c>
      <c r="CV243" s="18">
        <f>(0.000001*F243^3)+(0.00006*F243^2)-(0.014*F243)+10.625</f>
        <v>10.329955392</v>
      </c>
      <c r="CW243" s="18">
        <f>CV243-(2*SQRT(CR243))/(1+1.4*SQRT(CR243))</f>
        <v>10.327076763244035</v>
      </c>
      <c r="CX243" s="18">
        <f>10^(-CW243)</f>
        <v>4.708940866737283E-11</v>
      </c>
      <c r="CY243">
        <f>EXP(1246.98+-61900/H243-183*LN(H243))</f>
        <v>3.650232053853978E-2</v>
      </c>
      <c r="CZ243">
        <f>12.225*(F243^2)+15.258*F243+1125.7</f>
        <v>9022.9624000000003</v>
      </c>
      <c r="DA243" s="15">
        <f>10^(-4470.99/H243+6.0875-0.01706*H243)</f>
        <v>9.968575304902963E-15</v>
      </c>
      <c r="DB243">
        <f>(10^-I243)</f>
        <v>1.2589254117941623E-9</v>
      </c>
      <c r="DC243">
        <f>DB243^2</f>
        <v>1.5848931924611013E-18</v>
      </c>
      <c r="DD243" s="20">
        <f>((14.6836*10^-9)*((H243/217.2056)-1)^1.997)*100*100</f>
        <v>2.0351883520155361E-5</v>
      </c>
      <c r="DE243">
        <f>CY243+CZ243*DA243/DB243</f>
        <v>0.10794903161058095</v>
      </c>
      <c r="DF243">
        <f>1+DC243*(CU243*CX243+CU243*DB243)^-1</f>
        <v>1.0026840437350573</v>
      </c>
      <c r="DG243">
        <f>(DE243*DF243/DD243)^0.5</f>
        <v>72.927130094403779</v>
      </c>
      <c r="DH243">
        <f>DD243/(BO243/60/60)</f>
        <v>2.7886664076877739E-2</v>
      </c>
      <c r="DI243" s="16">
        <f>DF243/((DF243-1)+TANH(DG243*DH243)/(DG243*DH243))</f>
        <v>2.0983453305036033</v>
      </c>
      <c r="DJ243">
        <f>$DI243*BR243</f>
        <v>22.643788731588927</v>
      </c>
      <c r="DK243">
        <f>$DI243*BY243</f>
        <v>33.107016476223905</v>
      </c>
      <c r="DL243">
        <f>$DI243*CF243</f>
        <v>5.1273589720882589</v>
      </c>
      <c r="DM243">
        <f>$DI243*CM243</f>
        <v>563.32716389238055</v>
      </c>
    </row>
    <row r="244" spans="1:117" ht="15.75" x14ac:dyDescent="0.25">
      <c r="A244" s="52" t="s">
        <v>323</v>
      </c>
      <c r="B244" s="55" t="s">
        <v>341</v>
      </c>
      <c r="C244" s="62" t="s">
        <v>435</v>
      </c>
      <c r="D244" s="57">
        <v>43290</v>
      </c>
      <c r="E244" s="42" t="str">
        <f>A244&amp;D244</f>
        <v>66A43290</v>
      </c>
      <c r="F244" s="3">
        <f>VLOOKUP($E244,Water!$C$2:$E$90, 2, FALSE)</f>
        <v>24.8</v>
      </c>
      <c r="G244" s="3">
        <f>VLOOKUP($E244,Water!$C$2:$E$90, 3, FALSE)</f>
        <v>0.85</v>
      </c>
      <c r="H244" s="1">
        <f>F244+273.15</f>
        <v>297.95</v>
      </c>
      <c r="I244" s="3">
        <f>VLOOKUP($E244,Water!$C$2:$F$90, 4, FALSE)</f>
        <v>8.9</v>
      </c>
      <c r="J244">
        <f>10^(I244*-1)</f>
        <v>1.2589254117941623E-9</v>
      </c>
      <c r="K244" s="25">
        <v>439.52751160265137</v>
      </c>
      <c r="L244" s="25">
        <v>2.8430237635924795</v>
      </c>
      <c r="M244" s="25">
        <v>0.32236441181786135</v>
      </c>
      <c r="N244" s="21">
        <f>VLOOKUP($C244,Raw!$B$2:$F$353, 3, FALSE)</f>
        <v>538.95414141359481</v>
      </c>
      <c r="O244" s="21">
        <f>VLOOKUP($C244,Raw!$B$2:$F$353, 4, FALSE)</f>
        <v>166.412573330058</v>
      </c>
      <c r="P244" s="21">
        <f>VLOOKUP($C244,Raw!$B$2:$F$353, 5, FALSE)</f>
        <v>0.2327197922093594</v>
      </c>
      <c r="Q244" s="14">
        <v>60</v>
      </c>
      <c r="R244" s="25">
        <v>1140</v>
      </c>
      <c r="S244">
        <f>EXP(24.4543-(100/H244*(67.4509))-(4.8489*LN(H244/100))-(0.000544*G244))</f>
        <v>3.0859697685629912E-2</v>
      </c>
      <c r="T244" s="8">
        <f>EXP(-58.0931+90.5069*(100/H244)+22.294*LN(H244/100)+G244*(0.027766-0.025888*(H244/100)+0.0050578*(H244/100)^2)*G244)</f>
        <v>3.4040964768798587E-2</v>
      </c>
      <c r="U244" s="9">
        <f>(EXP(-67.1962+99.1624*(100/H244)+27.9015*LN(H244/100)+G244*(-0.072909+0.041674*(H244/100)-0.0064603*(H244/100)^2)*G244))</f>
        <v>3.151069937969167E-2</v>
      </c>
      <c r="V244" s="9">
        <f>(EXP(-64.8539+100.252*(100/H244)+25.2049*LN(H244/100)+(-0.062544+0.035337*(H244/100)-0.0054699*(H244/100)^2)*G244))</f>
        <v>2.4872335314057609E-2</v>
      </c>
      <c r="W244" s="9">
        <f>(EXP(-68.8862+101.4956*(100/H244)+28.7314*LN(H244/100)+G244*(-0.076146+0.04397*(H244/100)-0.0068672*(H244/100)^2)))</f>
        <v>3.1458702696251513E-2</v>
      </c>
      <c r="X244">
        <f>N244*(AZ244-S244)</f>
        <v>489.34669589087389</v>
      </c>
      <c r="Y244">
        <f>O244*(AZ244-S244)</f>
        <v>151.09530970515246</v>
      </c>
      <c r="Z244">
        <f>((Y244/10^6)*AZ244)/(0.082056*H244)</f>
        <v>5.8019988194087211E-6</v>
      </c>
      <c r="AA244">
        <f>(((L244/10^6)*AZ244)/(0.082056*H244))</f>
        <v>1.0917096336149212E-7</v>
      </c>
      <c r="AB244">
        <f>((Y244/10^6)*U244*1)/(0.082056*H244)</f>
        <v>1.9474005726108309E-7</v>
      </c>
      <c r="AC244">
        <f>(Z244*(Q244/1000))+(AB244*(R244/1000))</f>
        <v>5.7012359444215796E-7</v>
      </c>
      <c r="AD244" s="39">
        <f>((AC244-(AA244*(Q244/1000)))/(R244/1000))*1000000</f>
        <v>0.494362576000411</v>
      </c>
      <c r="AE244" s="39">
        <f>(AD244/((U244*AZ244*1))*(0.0821*273.15))</f>
        <v>374.75852497686975</v>
      </c>
      <c r="AF244" s="39">
        <f>L244*U244*AZ244*1/(0.0821*273.15)</f>
        <v>3.7503737946634002E-3</v>
      </c>
      <c r="AG244" s="39">
        <f>AD244-AF244</f>
        <v>0.49061220220574758</v>
      </c>
      <c r="AH244" s="42">
        <f>P244*(AZ244-S244)</f>
        <v>0.21129935301613803</v>
      </c>
      <c r="AI244">
        <f>(((X244/10^6)*(Q244/1000))/(0.082056*H244))</f>
        <v>1.2009202787510352E-6</v>
      </c>
      <c r="AJ244">
        <f>(((K244/10^6)*AZ244)*(Q244/1000))/(0.082056*H244)</f>
        <v>1.0126607272161834E-6</v>
      </c>
      <c r="AK244">
        <f>(X244/10^6)*T244*(R244/1000)</f>
        <v>1.8989930343386128E-5</v>
      </c>
      <c r="AL244">
        <f>AI244+AK244</f>
        <v>2.0190850622137162E-5</v>
      </c>
      <c r="AM244" s="39">
        <f>((AL244-AJ244)/(R244/1000))*1000000</f>
        <v>16.822973592035947</v>
      </c>
      <c r="AN244" s="39">
        <f>AM244/(T244*AZ244)</f>
        <v>526.40562082608028</v>
      </c>
      <c r="AO244" s="39">
        <f>(K244*AZ244)*T244</f>
        <v>14.046506017662072</v>
      </c>
      <c r="AP244" s="39">
        <f>AM244-AO244</f>
        <v>2.7764675743738749</v>
      </c>
      <c r="AQ244">
        <f>(((AH244/10^6)*(Q244/1000))/(0.082056*H244))</f>
        <v>5.1855602593185142E-10</v>
      </c>
      <c r="AR244">
        <f>(((M244/10^6)*AZ244)*(Q244/1000))/(0.082056*H244)</f>
        <v>7.427197867768774E-10</v>
      </c>
      <c r="AS244">
        <f>(AH244/10^6)*V244*(R244/1000)</f>
        <v>5.9912795302413281E-9</v>
      </c>
      <c r="AT244">
        <f>AQ244+AS244</f>
        <v>6.5098355561731792E-9</v>
      </c>
      <c r="AU244" s="39">
        <f>((AT244-AR244)/(R244/1000))*1000000000</f>
        <v>5.0588734819265815</v>
      </c>
      <c r="AV244" s="39">
        <f>(AU244/1000)/(V244*AZ244)</f>
        <v>0.216649089939529</v>
      </c>
      <c r="AW244" s="39">
        <f>(M244*AZ244)*V244*1000</f>
        <v>7.5273834518179923</v>
      </c>
      <c r="AX244" s="39">
        <f>AU244-AW244</f>
        <v>-2.4685099698914108</v>
      </c>
      <c r="AY244" s="26">
        <f>VLOOKUP($E244,Water!$C$2:$G$90, 5, FALSE)</f>
        <v>713.5</v>
      </c>
      <c r="AZ244">
        <f>AY244/760</f>
        <v>0.93881578947368416</v>
      </c>
      <c r="BA244" s="3">
        <f>Assumptions!$B$3</f>
        <v>406.07</v>
      </c>
      <c r="BB244" s="3">
        <f>BA244*AZ244*T244</f>
        <v>12.977264330494368</v>
      </c>
      <c r="BC244" s="3">
        <f>Assumptions!$B$4</f>
        <v>1.8474300000000001</v>
      </c>
      <c r="BD244" s="45">
        <f>BC244*AZ244*U244*1/(0.0821*273.15)</f>
        <v>2.4370366326871649E-3</v>
      </c>
      <c r="BE244" s="3">
        <f>Assumptions!$B$2</f>
        <v>0.33054499999999998</v>
      </c>
      <c r="BF244" s="44">
        <f>BE244*AZ244*V244*1000</f>
        <v>7.7184046125010788</v>
      </c>
      <c r="BG244">
        <f>1923.6+(-125.06*F244)+(4.3773*(F244^2))+(-0.085681*(F244^3))+(0.00070284*(F244^4))</f>
        <v>473.30122430054388</v>
      </c>
      <c r="BH244">
        <f>1909.4+(-120.78*F244)+(4.1555*(F244^2))+(-0.080578*(F244^3))+(0.00065777*(F244^4))</f>
        <v>489.61655221043213</v>
      </c>
      <c r="BI244">
        <f>2141.2+(-152.56*F244)+(5.8963*(F244^2))+(-0.12411*(F244^3))+(0.0010655*(F244^4))</f>
        <v>494.17467668480003</v>
      </c>
      <c r="BJ244" s="25">
        <f>VLOOKUP(E244,Wind!$C$2:$E$109,3, FALSE)</f>
        <v>0.66666666666666663</v>
      </c>
      <c r="BK244" s="44">
        <v>1.66</v>
      </c>
      <c r="BL244">
        <f>BK244/(1-(((1.3*10^-3)^0.5)/0.41)*LN(10/1.5))</f>
        <v>1.9923982880693825</v>
      </c>
      <c r="BM244">
        <f>BK244*1.22</f>
        <v>2.0251999999999999</v>
      </c>
      <c r="BN244">
        <f>2.07+0.215*(BM244^1.7)*(24/100)</f>
        <v>2.241255750541113</v>
      </c>
      <c r="BO244">
        <f>BN244*((600/BG244)^0.67)</f>
        <v>2.6273053123377541</v>
      </c>
      <c r="BP244">
        <f>BN244*((600/BH244)^0.67)</f>
        <v>2.5683202347999692</v>
      </c>
      <c r="BQ244">
        <f>BN244*((600/BI244)^0.67)</f>
        <v>2.5524240523394059</v>
      </c>
      <c r="BR244" s="39">
        <f>BO244*(AM244-BB244)</f>
        <v>10.103852372554691</v>
      </c>
      <c r="BS244" s="39">
        <f>BP244*(AD244-BD244)</f>
        <v>1.2634223167730139</v>
      </c>
      <c r="BT244" s="39">
        <f>BQ244*(AU244-BF244)</f>
        <v>-6.7882512256237604</v>
      </c>
      <c r="BU244">
        <f>(2.51+1.48*BM244)+(0.39*BM244*LOG10(0.0015))</f>
        <v>3.2768938069574309</v>
      </c>
      <c r="BV244">
        <f>BU244*((600/$BG244)^0.67)</f>
        <v>3.8413289089865588</v>
      </c>
      <c r="BW244">
        <f>BU244*((600/$BH244)^0.67)</f>
        <v>3.7550880436860217</v>
      </c>
      <c r="BX244">
        <f>BU244*((600/$BI244)^0.67)</f>
        <v>3.7318465631692583</v>
      </c>
      <c r="BY244" s="39">
        <f>BV244*($AM244-$BB244)</f>
        <v>14.772634161917019</v>
      </c>
      <c r="BZ244" s="39">
        <f>BW244*($AD244-$BD244)</f>
        <v>1.847223711263537</v>
      </c>
      <c r="CA244" s="39">
        <f>BX244*($AU244-$BF244)</f>
        <v>-9.9249621092760894</v>
      </c>
      <c r="CB244" s="42">
        <f>AVERAGE(0.72,0.69,0.4,0.22)</f>
        <v>0.50750000000000006</v>
      </c>
      <c r="CC244">
        <f>CB244*((600/$BG244)^0.67)</f>
        <v>0.59491534854489225</v>
      </c>
      <c r="CD244">
        <f>CB244*((600/$BH244)^0.67)</f>
        <v>0.58155902950669303</v>
      </c>
      <c r="CE244">
        <f>CB244*((600/$BI244)^0.67)</f>
        <v>0.57795956853630259</v>
      </c>
      <c r="CF244" s="39">
        <f>CC244*($AM244-$BB244)</f>
        <v>2.2878714657323287</v>
      </c>
      <c r="CG244" s="39">
        <f>CD244*($AD244-$BD244)</f>
        <v>0.28608373926424996</v>
      </c>
      <c r="CH244" s="39">
        <f>CE244*($AU244-$BF244)</f>
        <v>-1.5371014647357015</v>
      </c>
      <c r="CI244">
        <v>67.862639018895294</v>
      </c>
      <c r="CJ244">
        <f>((BG244/BH244)^0.67)*CI244</f>
        <v>66.339069220725733</v>
      </c>
      <c r="CK244">
        <f>((BH244/BH244)^0.67)*CI244</f>
        <v>67.862639018895294</v>
      </c>
      <c r="CL244">
        <f>((BI244/BH244)^0.67)*CI244</f>
        <v>68.285279171933723</v>
      </c>
      <c r="CM244" s="39">
        <f>CJ244*($AM244-$BB244)</f>
        <v>255.12077290419285</v>
      </c>
      <c r="CN244" s="39">
        <f>CK244*($AD244-$BD244)</f>
        <v>33.38336530228721</v>
      </c>
      <c r="CO244" s="39">
        <f>CL244*($AU244-$BF244)</f>
        <v>-181.60682571772807</v>
      </c>
      <c r="CP244" s="27">
        <f>VLOOKUP(A244,Water!$A$2:$E$109, 5, FALSE)/1000</f>
        <v>1.3000000000000002E-4</v>
      </c>
      <c r="CQ244">
        <f>0.64*CP244</f>
        <v>8.3200000000000017E-5</v>
      </c>
      <c r="CR244" s="19">
        <f>CQ244*1000*(2.5*10^-5)</f>
        <v>2.0800000000000004E-6</v>
      </c>
      <c r="CS244" s="18">
        <f>(-0.0000009*F244^3)+(0.0002*F244^2)-(0.0134*F244)+6.579</f>
        <v>6.3559603072000002</v>
      </c>
      <c r="CT244" s="18">
        <f>CS244-(SQRT(CP244))/(1+1.4*SQRT(CP244))</f>
        <v>6.3447376934270192</v>
      </c>
      <c r="CU244" s="18">
        <f>10^(-CT244)</f>
        <v>4.5212894021043716E-7</v>
      </c>
      <c r="CV244" s="18">
        <f>(0.000001*F244^3)+(0.00006*F244^2)-(0.014*F244)+10.625</f>
        <v>10.329955392</v>
      </c>
      <c r="CW244" s="18">
        <f>CV244-(2*SQRT(CR244))/(1+1.4*SQRT(CR244))</f>
        <v>10.327076763244035</v>
      </c>
      <c r="CX244" s="18">
        <f>10^(-CW244)</f>
        <v>4.708940866737283E-11</v>
      </c>
      <c r="CY244">
        <f>EXP(1246.98+-61900/H244-183*LN(H244))</f>
        <v>3.650232053853978E-2</v>
      </c>
      <c r="CZ244">
        <f>12.225*(F244^2)+15.258*F244+1125.7</f>
        <v>9022.9624000000003</v>
      </c>
      <c r="DA244" s="15">
        <f>10^(-4470.99/H244+6.0875-0.01706*H244)</f>
        <v>9.968575304902963E-15</v>
      </c>
      <c r="DB244">
        <f>(10^-I244)</f>
        <v>1.2589254117941623E-9</v>
      </c>
      <c r="DC244">
        <f>DB244^2</f>
        <v>1.5848931924611013E-18</v>
      </c>
      <c r="DD244" s="20">
        <f>((14.6836*10^-9)*((H244/217.2056)-1)^1.997)*100*100</f>
        <v>2.0351883520155361E-5</v>
      </c>
      <c r="DE244">
        <f>CY244+CZ244*DA244/DB244</f>
        <v>0.10794903161058095</v>
      </c>
      <c r="DF244">
        <f>1+DC244*(CU244*CX244+CU244*DB244)^-1</f>
        <v>1.0026840437350573</v>
      </c>
      <c r="DG244">
        <f>(DE244*DF244/DD244)^0.5</f>
        <v>72.927130094403779</v>
      </c>
      <c r="DH244">
        <f>DD244/(BO244/60/60)</f>
        <v>2.7886664076877739E-2</v>
      </c>
      <c r="DI244" s="16">
        <f>DF244/((DF244-1)+TANH(DG244*DH244)/(DG244*DH244))</f>
        <v>2.0983453305036033</v>
      </c>
      <c r="DJ244">
        <f>$DI244*BR244</f>
        <v>21.20137144604789</v>
      </c>
      <c r="DK244">
        <f>$DI244*BY244</f>
        <v>30.998087912896587</v>
      </c>
      <c r="DL244">
        <f>$DI244*CF244</f>
        <v>4.8007444069118668</v>
      </c>
      <c r="DM244">
        <f>$DI244*CM244</f>
        <v>535.33148253798322</v>
      </c>
    </row>
    <row r="245" spans="1:117" ht="15.75" x14ac:dyDescent="0.25">
      <c r="A245" s="52" t="s">
        <v>323</v>
      </c>
      <c r="B245" s="55" t="s">
        <v>342</v>
      </c>
      <c r="C245" s="62" t="s">
        <v>436</v>
      </c>
      <c r="D245" s="57">
        <v>43290</v>
      </c>
      <c r="E245" s="42" t="str">
        <f>A245&amp;D245</f>
        <v>66A43290</v>
      </c>
      <c r="F245" s="3">
        <f>VLOOKUP($E245,Water!$C$2:$E$90, 2, FALSE)</f>
        <v>24.8</v>
      </c>
      <c r="G245" s="3">
        <f>VLOOKUP($E245,Water!$C$2:$E$90, 3, FALSE)</f>
        <v>0.85</v>
      </c>
      <c r="H245" s="1">
        <f>F245+273.15</f>
        <v>297.95</v>
      </c>
      <c r="I245" s="3">
        <f>VLOOKUP($E245,Water!$C$2:$F$90, 4, FALSE)</f>
        <v>8.9</v>
      </c>
      <c r="J245">
        <f>10^(I245*-1)</f>
        <v>1.2589254117941623E-9</v>
      </c>
      <c r="K245" s="25">
        <v>439.52751160265137</v>
      </c>
      <c r="L245" s="25">
        <v>2.8430237635924795</v>
      </c>
      <c r="M245" s="25">
        <v>0.32236441181786135</v>
      </c>
      <c r="N245" s="21">
        <f>VLOOKUP($C245,Raw!$B$2:$F$353, 3, FALSE)</f>
        <v>532.12147657759704</v>
      </c>
      <c r="O245" s="21">
        <f>VLOOKUP($C245,Raw!$B$2:$F$353, 4, FALSE)</f>
        <v>168.2148427768476</v>
      </c>
      <c r="P245" s="21">
        <f>VLOOKUP($C245,Raw!$B$2:$F$353, 5, FALSE)</f>
        <v>0.22884534326250983</v>
      </c>
      <c r="Q245" s="14">
        <v>60</v>
      </c>
      <c r="R245" s="25">
        <v>1140</v>
      </c>
      <c r="S245">
        <f>EXP(24.4543-(100/H245*(67.4509))-(4.8489*LN(H245/100))-(0.000544*G245))</f>
        <v>3.0859697685629912E-2</v>
      </c>
      <c r="T245" s="8">
        <f>EXP(-58.0931+90.5069*(100/H245)+22.294*LN(H245/100)+G245*(0.027766-0.025888*(H245/100)+0.0050578*(H245/100)^2)*G245)</f>
        <v>3.4040964768798587E-2</v>
      </c>
      <c r="U245" s="9">
        <f>(EXP(-67.1962+99.1624*(100/H245)+27.9015*LN(H245/100)+G245*(-0.072909+0.041674*(H245/100)-0.0064603*(H245/100)^2)*G245))</f>
        <v>3.151069937969167E-2</v>
      </c>
      <c r="V245" s="9">
        <f>(EXP(-64.8539+100.252*(100/H245)+25.2049*LN(H245/100)+(-0.062544+0.035337*(H245/100)-0.0054699*(H245/100)^2)*G245))</f>
        <v>2.4872335314057609E-2</v>
      </c>
      <c r="W245" s="9">
        <f>(EXP(-68.8862+101.4956*(100/H245)+28.7314*LN(H245/100)+G245*(-0.076146+0.04397*(H245/100)-0.0068672*(H245/100)^2)))</f>
        <v>3.1458702696251513E-2</v>
      </c>
      <c r="X245">
        <f>N245*(AZ245-S245)</f>
        <v>483.14293622988367</v>
      </c>
      <c r="Y245">
        <f>O245*(AZ245-S245)</f>
        <v>152.73169122840855</v>
      </c>
      <c r="Z245">
        <f>((Y245/10^6)*AZ245)/(0.082056*H245)</f>
        <v>5.8648352084704404E-6</v>
      </c>
      <c r="AA245">
        <f>(((L245/10^6)*AZ245)/(0.082056*H245))</f>
        <v>1.0917096336149212E-7</v>
      </c>
      <c r="AB245">
        <f>((Y245/10^6)*U245*1)/(0.082056*H245)</f>
        <v>1.9684911698081708E-7</v>
      </c>
      <c r="AC245">
        <f>(Z245*(Q245/1000))+(AB245*(R245/1000))</f>
        <v>5.762981058663579E-7</v>
      </c>
      <c r="AD245" s="39">
        <f>((AC245-(AA245*(Q245/1000)))/(R245/1000))*1000000</f>
        <v>0.49977881409181441</v>
      </c>
      <c r="AE245" s="39">
        <f>(AD245/((U245*AZ245*1))*(0.0821*273.15))</f>
        <v>378.86438067185298</v>
      </c>
      <c r="AF245" s="39">
        <f>L245*U245*AZ245*1/(0.0821*273.15)</f>
        <v>3.7503737946634002E-3</v>
      </c>
      <c r="AG245" s="39">
        <f>AD245-AF245</f>
        <v>0.49602844029715099</v>
      </c>
      <c r="AH245" s="42">
        <f>P245*(AZ245-S245)</f>
        <v>0.20778152349252416</v>
      </c>
      <c r="AI245">
        <f>(((X245/10^6)*(Q245/1000))/(0.082056*H245))</f>
        <v>1.1856954476773983E-6</v>
      </c>
      <c r="AJ245">
        <f>(((K245/10^6)*AZ245)*(Q245/1000))/(0.082056*H245)</f>
        <v>1.0126607272161834E-6</v>
      </c>
      <c r="AK245">
        <f>(X245/10^6)*T245*(R245/1000)</f>
        <v>1.8749182904364722E-5</v>
      </c>
      <c r="AL245">
        <f>AI245+AK245</f>
        <v>1.993487835204212E-5</v>
      </c>
      <c r="AM245" s="39">
        <f>((AL245-AJ245)/(R245/1000))*1000000</f>
        <v>16.598436513005208</v>
      </c>
      <c r="AN245" s="39">
        <f>AM245/(T245*AZ245)</f>
        <v>519.37965839209028</v>
      </c>
      <c r="AO245" s="39">
        <f>(K245*AZ245)*T245</f>
        <v>14.046506017662072</v>
      </c>
      <c r="AP245" s="39">
        <f>AM245-AO245</f>
        <v>2.5519304953431359</v>
      </c>
      <c r="AQ245">
        <f>(((AH245/10^6)*(Q245/1000))/(0.082056*H245))</f>
        <v>5.0992281588349131E-10</v>
      </c>
      <c r="AR245">
        <f>(((M245/10^6)*AZ245)*(Q245/1000))/(0.082056*H245)</f>
        <v>7.427197867768774E-10</v>
      </c>
      <c r="AS245">
        <f>(AH245/10^6)*V245*(R245/1000)</f>
        <v>5.8915333657838502E-9</v>
      </c>
      <c r="AT245">
        <f>AQ245+AS245</f>
        <v>6.4014561816673412E-9</v>
      </c>
      <c r="AU245" s="39">
        <f>((AT245-AR245)/(R245/1000))*1000000000</f>
        <v>4.9638038551670745</v>
      </c>
      <c r="AV245" s="39">
        <f>(AU245/1000)/(V245*AZ245)</f>
        <v>0.21257767993255372</v>
      </c>
      <c r="AW245" s="39">
        <f>(M245*AZ245)*V245*1000</f>
        <v>7.5273834518179923</v>
      </c>
      <c r="AX245" s="39">
        <f>AU245-AW245</f>
        <v>-2.5635795966509178</v>
      </c>
      <c r="AY245" s="26">
        <f>VLOOKUP($E245,Water!$C$2:$G$90, 5, FALSE)</f>
        <v>713.5</v>
      </c>
      <c r="AZ245">
        <f>AY245/760</f>
        <v>0.93881578947368416</v>
      </c>
      <c r="BA245" s="3">
        <f>Assumptions!$B$3</f>
        <v>406.07</v>
      </c>
      <c r="BB245" s="3">
        <f>BA245*AZ245*T245</f>
        <v>12.977264330494368</v>
      </c>
      <c r="BC245" s="3">
        <f>Assumptions!$B$4</f>
        <v>1.8474300000000001</v>
      </c>
      <c r="BD245" s="45">
        <f>BC245*AZ245*U245*1/(0.0821*273.15)</f>
        <v>2.4370366326871649E-3</v>
      </c>
      <c r="BE245" s="3">
        <f>Assumptions!$B$2</f>
        <v>0.33054499999999998</v>
      </c>
      <c r="BF245" s="44">
        <f>BE245*AZ245*V245*1000</f>
        <v>7.7184046125010788</v>
      </c>
      <c r="BG245">
        <f>1923.6+(-125.06*F245)+(4.3773*(F245^2))+(-0.085681*(F245^3))+(0.00070284*(F245^4))</f>
        <v>473.30122430054388</v>
      </c>
      <c r="BH245">
        <f>1909.4+(-120.78*F245)+(4.1555*(F245^2))+(-0.080578*(F245^3))+(0.00065777*(F245^4))</f>
        <v>489.61655221043213</v>
      </c>
      <c r="BI245">
        <f>2141.2+(-152.56*F245)+(5.8963*(F245^2))+(-0.12411*(F245^3))+(0.0010655*(F245^4))</f>
        <v>494.17467668480003</v>
      </c>
      <c r="BJ245" s="25">
        <f>VLOOKUP(E245,Wind!$C$2:$E$109,3, FALSE)</f>
        <v>0.66666666666666663</v>
      </c>
      <c r="BK245" s="44">
        <v>1.66</v>
      </c>
      <c r="BL245">
        <f>BK245/(1-(((1.3*10^-3)^0.5)/0.41)*LN(10/1.5))</f>
        <v>1.9923982880693825</v>
      </c>
      <c r="BM245">
        <f>BK245*1.22</f>
        <v>2.0251999999999999</v>
      </c>
      <c r="BN245">
        <f>2.07+0.215*(BM245^1.7)*(24/100)</f>
        <v>2.241255750541113</v>
      </c>
      <c r="BO245">
        <f>BN245*((600/BG245)^0.67)</f>
        <v>2.6273053123377541</v>
      </c>
      <c r="BP245">
        <f>BN245*((600/BH245)^0.67)</f>
        <v>2.5683202347999692</v>
      </c>
      <c r="BQ245">
        <f>BN245*((600/BI245)^0.67)</f>
        <v>2.5524240523394059</v>
      </c>
      <c r="BR245" s="39">
        <f>BO245*(AM245-BB245)</f>
        <v>9.5139249120004283</v>
      </c>
      <c r="BS245" s="39">
        <f>BP245*(AD245-BD245)</f>
        <v>1.2773329506596596</v>
      </c>
      <c r="BT245" s="39">
        <f>BQ245*(AU245-BF245)</f>
        <v>-7.030909227611656</v>
      </c>
      <c r="BU245">
        <f>(2.51+1.48*BM245)+(0.39*BM245*LOG10(0.0015))</f>
        <v>3.2768938069574309</v>
      </c>
      <c r="BV245">
        <f>BU245*((600/$BG245)^0.67)</f>
        <v>3.8413289089865588</v>
      </c>
      <c r="BW245">
        <f>BU245*((600/$BH245)^0.67)</f>
        <v>3.7550880436860217</v>
      </c>
      <c r="BX245">
        <f>BU245*((600/$BI245)^0.67)</f>
        <v>3.7318465631692583</v>
      </c>
      <c r="BY245" s="39">
        <f>BV245*($AM245-$BB245)</f>
        <v>13.910113389096841</v>
      </c>
      <c r="BZ245" s="39">
        <f>BW245*($AD245-$BD245)</f>
        <v>1.8675621621623228</v>
      </c>
      <c r="CA245" s="39">
        <f>BX245*($AU245-$BF245)</f>
        <v>-10.27974736916034</v>
      </c>
      <c r="CB245" s="42">
        <f>AVERAGE(0.72,0.69,0.4,0.22)</f>
        <v>0.50750000000000006</v>
      </c>
      <c r="CC245">
        <f>CB245*((600/$BG245)^0.67)</f>
        <v>0.59491534854489225</v>
      </c>
      <c r="CD245">
        <f>CB245*((600/$BH245)^0.67)</f>
        <v>0.58155902950669303</v>
      </c>
      <c r="CE245">
        <f>CB245*((600/$BI245)^0.67)</f>
        <v>0.57795956853630259</v>
      </c>
      <c r="CF245" s="39">
        <f>CC245*($AM245-$BB245)</f>
        <v>2.1542909110995043</v>
      </c>
      <c r="CG245" s="39">
        <f>CD245*($AD245-$BD245)</f>
        <v>0.28923360143226373</v>
      </c>
      <c r="CH245" s="39">
        <f>CE245*($AU245-$BF245)</f>
        <v>-1.5920478651985335</v>
      </c>
      <c r="CI245">
        <v>68.862639018895294</v>
      </c>
      <c r="CJ245">
        <f>((BG245/BH245)^0.67)*CI245</f>
        <v>67.316618431599395</v>
      </c>
      <c r="CK245">
        <f>((BH245/BH245)^0.67)*CI245</f>
        <v>68.862639018895294</v>
      </c>
      <c r="CL245">
        <f>((BI245/BH245)^0.67)*CI245</f>
        <v>69.291507048702869</v>
      </c>
      <c r="CM245" s="39">
        <f>CJ245*($AM245-$BB245)</f>
        <v>243.76506608520421</v>
      </c>
      <c r="CN245" s="39">
        <f>CK245*($AD245-$BD245)</f>
        <v>34.248267290183634</v>
      </c>
      <c r="CO245" s="39">
        <f>CL245*($AU245-$BF245)</f>
        <v>-190.87043779317142</v>
      </c>
      <c r="CP245" s="27">
        <f>VLOOKUP(A245,Water!$A$2:$E$109, 5, FALSE)/1000</f>
        <v>1.3000000000000002E-4</v>
      </c>
      <c r="CQ245">
        <f>0.64*CP245</f>
        <v>8.3200000000000017E-5</v>
      </c>
      <c r="CR245" s="19">
        <f>CQ245*1000*(2.5*10^-5)</f>
        <v>2.0800000000000004E-6</v>
      </c>
      <c r="CS245" s="18">
        <f>(-0.0000009*F245^3)+(0.0002*F245^2)-(0.0134*F245)+6.579</f>
        <v>6.3559603072000002</v>
      </c>
      <c r="CT245" s="18">
        <f>CS245-(SQRT(CP245))/(1+1.4*SQRT(CP245))</f>
        <v>6.3447376934270192</v>
      </c>
      <c r="CU245" s="18">
        <f>10^(-CT245)</f>
        <v>4.5212894021043716E-7</v>
      </c>
      <c r="CV245" s="18">
        <f>(0.000001*F245^3)+(0.00006*F245^2)-(0.014*F245)+10.625</f>
        <v>10.329955392</v>
      </c>
      <c r="CW245" s="18">
        <f>CV245-(2*SQRT(CR245))/(1+1.4*SQRT(CR245))</f>
        <v>10.327076763244035</v>
      </c>
      <c r="CX245" s="18">
        <f>10^(-CW245)</f>
        <v>4.708940866737283E-11</v>
      </c>
      <c r="CY245">
        <f>EXP(1246.98+-61900/H245-183*LN(H245))</f>
        <v>3.650232053853978E-2</v>
      </c>
      <c r="CZ245">
        <f>12.225*(F245^2)+15.258*F245+1125.7</f>
        <v>9022.9624000000003</v>
      </c>
      <c r="DA245" s="15">
        <f>10^(-4470.99/H245+6.0875-0.01706*H245)</f>
        <v>9.968575304902963E-15</v>
      </c>
      <c r="DB245">
        <f>(10^-I245)</f>
        <v>1.2589254117941623E-9</v>
      </c>
      <c r="DC245">
        <f>DB245^2</f>
        <v>1.5848931924611013E-18</v>
      </c>
      <c r="DD245" s="20">
        <f>((14.6836*10^-9)*((H245/217.2056)-1)^1.997)*100*100</f>
        <v>2.0351883520155361E-5</v>
      </c>
      <c r="DE245">
        <f>CY245+CZ245*DA245/DB245</f>
        <v>0.10794903161058095</v>
      </c>
      <c r="DF245">
        <f>1+DC245*(CU245*CX245+CU245*DB245)^-1</f>
        <v>1.0026840437350573</v>
      </c>
      <c r="DG245">
        <f>(DE245*DF245/DD245)^0.5</f>
        <v>72.927130094403779</v>
      </c>
      <c r="DH245">
        <f>DD245/(BO245/60/60)</f>
        <v>2.7886664076877739E-2</v>
      </c>
      <c r="DI245" s="16">
        <f>DF245/((DF245-1)+TANH(DG245*DH245)/(DG245*DH245))</f>
        <v>2.0983453305036033</v>
      </c>
      <c r="DJ245">
        <f>$DI245*BR245</f>
        <v>19.963499913858005</v>
      </c>
      <c r="DK245">
        <f>$DI245*BY245</f>
        <v>29.188221476787007</v>
      </c>
      <c r="DL245">
        <f>$DI245*CF245</f>
        <v>4.5204462738519977</v>
      </c>
      <c r="DM245">
        <f>$DI245*CM245</f>
        <v>511.50328815979054</v>
      </c>
    </row>
    <row r="246" spans="1:117" ht="15.75" x14ac:dyDescent="0.25">
      <c r="A246" s="52" t="s">
        <v>327</v>
      </c>
      <c r="B246" s="55" t="s">
        <v>339</v>
      </c>
      <c r="C246" s="62" t="s">
        <v>438</v>
      </c>
      <c r="D246" s="57">
        <v>43290</v>
      </c>
      <c r="E246" s="42" t="str">
        <f>A246&amp;D246</f>
        <v>66C43290</v>
      </c>
      <c r="F246" s="3">
        <f>VLOOKUP($E246,Water!$C$2:$E$90, 2, FALSE)</f>
        <v>23.6</v>
      </c>
      <c r="G246" s="3">
        <f>VLOOKUP($E246,Water!$C$2:$E$90, 3, FALSE)</f>
        <v>0.18</v>
      </c>
      <c r="H246" s="1">
        <f>F246+273.15</f>
        <v>296.75</v>
      </c>
      <c r="I246" s="3">
        <f>VLOOKUP($E246,Water!$C$2:$F$90, 4, FALSE)</f>
        <v>8.93</v>
      </c>
      <c r="J246">
        <f>10^(I246*-1)</f>
        <v>1.1748975549395295E-9</v>
      </c>
      <c r="K246" s="25">
        <f>VLOOKUP($E246,Atm!$D$2:$G$100, 2, FALSE)</f>
        <v>410.4299055191363</v>
      </c>
      <c r="L246" s="25">
        <f>VLOOKUP($E246,Atm!$D$2:$G$100, 3, FALSE)</f>
        <v>2.9874882585537259</v>
      </c>
      <c r="M246" s="25">
        <f>VLOOKUP($E246,Atm!$D$2:$G$100, 4, FALSE)</f>
        <v>0.29763717912682763</v>
      </c>
      <c r="N246" s="21">
        <f>VLOOKUP($C246,Raw!$B$2:$F$353, 3, FALSE)</f>
        <v>206.83989674894039</v>
      </c>
      <c r="O246" s="21">
        <f>VLOOKUP($C246,Raw!$B$2:$F$353, 4, FALSE)</f>
        <v>691.41607341591873</v>
      </c>
      <c r="P246" s="21">
        <f>VLOOKUP($C246,Raw!$B$2:$F$353, 5, FALSE)</f>
        <v>0.249997600088392</v>
      </c>
      <c r="Q246" s="14">
        <v>60</v>
      </c>
      <c r="R246" s="25">
        <v>1140</v>
      </c>
      <c r="S246">
        <f>EXP(24.4543-(100/H246*(67.4509))-(4.8489*LN(H246/100))-(0.000544*G246))</f>
        <v>2.8727043445486291E-2</v>
      </c>
      <c r="T246" s="8">
        <f>EXP(-58.0931+90.5069*(100/H246)+22.294*LN(H246/100)+G246*(0.027766-0.025888*(H246/100)+0.0050578*(H246/100)^2)*G246)</f>
        <v>3.5286899499081321E-2</v>
      </c>
      <c r="U246" s="9">
        <f>(EXP(-67.1962+99.1624*(100/H246)+27.9015*LN(H246/100)+G246*(-0.072909+0.041674*(H246/100)-0.0064603*(H246/100)^2)*G246))</f>
        <v>3.2346747903665277E-2</v>
      </c>
      <c r="V246" s="9">
        <f>(EXP(-64.8539+100.252*(100/H246)+25.2049*LN(H246/100)+(-0.062544+0.035337*(H246/100)-0.0054699*(H246/100)^2)*G246))</f>
        <v>2.5841755390766791E-2</v>
      </c>
      <c r="W246" s="9">
        <f>(EXP(-68.8862+101.4956*(100/H246)+28.7314*LN(H246/100)+G246*(-0.076146+0.04397*(H246/100)-0.0068672*(H246/100)^2)))</f>
        <v>3.2283525589321252E-2</v>
      </c>
      <c r="X246">
        <f>N246*(AZ246-S246)</f>
        <v>188.35152536439716</v>
      </c>
      <c r="Y246">
        <f>O246*(AZ246-S246)</f>
        <v>629.6138904353686</v>
      </c>
      <c r="Z246">
        <f>((Y246/10^6)*AZ246)/(0.082056*H246)</f>
        <v>2.4288294510297089E-5</v>
      </c>
      <c r="AA246">
        <f>(((L246/10^6)*AZ246)/(0.082056*H246))</f>
        <v>1.1524681359814445E-7</v>
      </c>
      <c r="AB246">
        <f>((Y246/10^6)*U246*1)/(0.082056*H246)</f>
        <v>8.3638041468870073E-7</v>
      </c>
      <c r="AC246">
        <f>(Z246*(Q246/1000))+(AB246*(R246/1000))</f>
        <v>2.4107713433629441E-6</v>
      </c>
      <c r="AD246" s="39">
        <f>((AC246-(AA246*(Q246/1000)))/(R246/1000))*1000000</f>
        <v>2.1086460829360139</v>
      </c>
      <c r="AE246" s="39">
        <f>(AD246/((U246*AZ246*1))*(0.0821*273.15))</f>
        <v>1556.3011627502194</v>
      </c>
      <c r="AF246" s="39">
        <f>L246*U246*AZ246*1/(0.0821*273.15)</f>
        <v>4.0477740202188002E-3</v>
      </c>
      <c r="AG246" s="39">
        <f>AD246-AF246</f>
        <v>2.1045983089157949</v>
      </c>
      <c r="AH246" s="42">
        <f>P246*(AZ246-S246)</f>
        <v>0.22765158005876063</v>
      </c>
      <c r="AI246">
        <f>(((X246/10^6)*(Q246/1000))/(0.082056*H246))</f>
        <v>4.641082857119554E-7</v>
      </c>
      <c r="AJ246">
        <f>(((K246/10^6)*AZ246)*(Q246/1000))/(0.082056*H246)</f>
        <v>9.4997673074102824E-7</v>
      </c>
      <c r="AK246">
        <f>(X246/10^6)*T246*(R246/1000)</f>
        <v>7.5768291344766484E-6</v>
      </c>
      <c r="AL246">
        <f>AI246+AK246</f>
        <v>8.0409374201886039E-6</v>
      </c>
      <c r="AM246" s="39">
        <f>((AL246-AJ246)/(R246/1000))*1000000</f>
        <v>6.2201409556557694</v>
      </c>
      <c r="AN246" s="39">
        <f>AM246/(T246*AZ246)</f>
        <v>187.65620799572298</v>
      </c>
      <c r="AO246" s="39">
        <f>(K246*AZ246)*T246</f>
        <v>13.604302740699596</v>
      </c>
      <c r="AP246" s="39">
        <f>AM246-AO246</f>
        <v>-7.384161785043827</v>
      </c>
      <c r="AQ246">
        <f>(((AH246/10^6)*(Q246/1000))/(0.082056*H246))</f>
        <v>5.6094573354944867E-10</v>
      </c>
      <c r="AR246">
        <f>(((M246/10^6)*AZ246)*(Q246/1000))/(0.082056*H246)</f>
        <v>6.8890787579488986E-10</v>
      </c>
      <c r="AS246">
        <f>(AH246/10^6)*V246*(R246/1000)</f>
        <v>6.7065247486680622E-9</v>
      </c>
      <c r="AT246">
        <f>AQ246+AS246</f>
        <v>7.2674704822175112E-9</v>
      </c>
      <c r="AU246" s="39">
        <f>((AT246-AR246)/(R246/1000))*1000000000</f>
        <v>5.7706689530023008</v>
      </c>
      <c r="AV246" s="39">
        <f>(AU246/1000)/(V246*AZ246)</f>
        <v>0.23772801266944996</v>
      </c>
      <c r="AW246" s="39">
        <f>(M246*AZ246)*V246*1000</f>
        <v>7.2249189717265931</v>
      </c>
      <c r="AX246" s="39">
        <f>AU246-AW246</f>
        <v>-1.4542500187242924</v>
      </c>
      <c r="AY246" s="26">
        <f>VLOOKUP($E246,Water!$C$2:$G$90, 5, FALSE)</f>
        <v>713.9</v>
      </c>
      <c r="AZ246">
        <f>AY246/760</f>
        <v>0.93934210526315787</v>
      </c>
      <c r="BA246" s="3">
        <f>Assumptions!$B$3</f>
        <v>406.07</v>
      </c>
      <c r="BB246" s="3">
        <f>BA246*AZ246*T246</f>
        <v>13.459787261185125</v>
      </c>
      <c r="BC246" s="3">
        <f>Assumptions!$B$4</f>
        <v>1.8474300000000001</v>
      </c>
      <c r="BD246" s="45">
        <f>BC246*AZ246*U246*1/(0.0821*273.15)</f>
        <v>2.5030990956238885E-3</v>
      </c>
      <c r="BE246" s="3">
        <f>Assumptions!$B$2</f>
        <v>0.33054499999999998</v>
      </c>
      <c r="BF246" s="44">
        <f>BE246*AZ246*V246*1000</f>
        <v>8.0237316067685729</v>
      </c>
      <c r="BG246">
        <f>1923.6+(-125.06*F246)+(4.3773*(F246^2))+(-0.085681*(F246^3))+(0.00070284*(F246^4))</f>
        <v>501.9760993981439</v>
      </c>
      <c r="BH246">
        <f>1909.4+(-120.78*F246)+(4.1555*(F246^2))+(-0.080578*(F246^3))+(0.00065777*(F246^4))</f>
        <v>518.34459558323192</v>
      </c>
      <c r="BI246">
        <f>2141.2+(-152.56*F246)+(5.8963*(F246^2))+(-0.12411*(F246^3))+(0.0010655*(F246^4))</f>
        <v>523.9764683648001</v>
      </c>
      <c r="BJ246" s="25">
        <f>VLOOKUP(E246,Wind!$C$2:$E$109,3, FALSE)</f>
        <v>2.3611111111111112</v>
      </c>
      <c r="BK246" s="44">
        <v>1.66</v>
      </c>
      <c r="BL246">
        <f>BK246/(1-(((1.3*10^-3)^0.5)/0.41)*LN(10/1.5))</f>
        <v>1.9923982880693825</v>
      </c>
      <c r="BM246">
        <f>BK246*1.22</f>
        <v>2.0251999999999999</v>
      </c>
      <c r="BN246">
        <f>2.07+0.215*(BM246^1.7)*(24/100)</f>
        <v>2.241255750541113</v>
      </c>
      <c r="BO246">
        <f>BN246*((600/BG246)^0.67)</f>
        <v>2.5257776625511004</v>
      </c>
      <c r="BP246">
        <f>BN246*((600/BH246)^0.67)</f>
        <v>2.4720560273957939</v>
      </c>
      <c r="BQ246">
        <f>BN246*((600/BI246)^0.67)</f>
        <v>2.454222084175139</v>
      </c>
      <c r="BR246" s="39">
        <f>BO246*(AM246-BB246)</f>
        <v>-18.285736923276648</v>
      </c>
      <c r="BS246" s="39">
        <f>BP246*(AD246-BD246)</f>
        <v>5.2065034577599976</v>
      </c>
      <c r="BT246" s="39">
        <f>BQ246*(AU246-BF246)</f>
        <v>-5.5295161219034297</v>
      </c>
      <c r="BU246">
        <f>(2.51+1.48*BM246)+(0.39*BM246*LOG10(0.0015))</f>
        <v>3.2768938069574309</v>
      </c>
      <c r="BV246">
        <f>BU246*((600/$BG246)^0.67)</f>
        <v>3.6928874262416715</v>
      </c>
      <c r="BW246">
        <f>BU246*((600/$BH246)^0.67)</f>
        <v>3.6143421314900355</v>
      </c>
      <c r="BX246">
        <f>BU246*((600/$BI246)^0.67)</f>
        <v>3.588267490932266</v>
      </c>
      <c r="BY246" s="39">
        <f>BV246*($AM246-$BB246)</f>
        <v>-26.735198812126331</v>
      </c>
      <c r="BZ246" s="39">
        <f>BW246*($AD246-$BD246)</f>
        <v>7.6123213214364576</v>
      </c>
      <c r="CA246" s="39">
        <f>BX246*($AU246-$BF246)</f>
        <v>-8.0845914755430943</v>
      </c>
      <c r="CB246" s="42">
        <f>AVERAGE(0.72,0.69,0.4,0.22)</f>
        <v>0.50750000000000006</v>
      </c>
      <c r="CC246">
        <f>CB246*((600/$BG246)^0.67)</f>
        <v>0.57192587835422493</v>
      </c>
      <c r="CD246">
        <f>CB246*((600/$BH246)^0.67)</f>
        <v>0.55976138983713541</v>
      </c>
      <c r="CE246">
        <f>CB246*((600/$BI246)^0.67)</f>
        <v>0.55572315092473235</v>
      </c>
      <c r="CF246" s="39">
        <f>CC246*($AM246-$BB246)</f>
        <v>-4.1405410722637965</v>
      </c>
      <c r="CG246" s="39">
        <f>CD246*($AD246-$BD246)</f>
        <v>1.178937523830228</v>
      </c>
      <c r="CH246" s="39">
        <f>CE246*($AU246-$BF246)</f>
        <v>-1.252079077181832</v>
      </c>
      <c r="CI246">
        <v>69.862639018895294</v>
      </c>
      <c r="CJ246">
        <f>((BG246/BH246)^0.67)*CI246</f>
        <v>68.376706484133209</v>
      </c>
      <c r="CK246">
        <f>((BH246/BH246)^0.67)*CI246</f>
        <v>69.862639018895294</v>
      </c>
      <c r="CL246">
        <f>((BI246/BH246)^0.67)*CI246</f>
        <v>70.370305519633689</v>
      </c>
      <c r="CM246" s="39">
        <f>CJ246*($AM246-$BB246)</f>
        <v>-495.02317048212012</v>
      </c>
      <c r="CN246" s="39">
        <f>CK246*($AD246-$BD246)</f>
        <v>147.14070700222018</v>
      </c>
      <c r="CO246" s="39">
        <f>CL246*($AU246-$BF246)</f>
        <v>-158.54870730040923</v>
      </c>
      <c r="CP246" s="27">
        <f>VLOOKUP(A246,Water!$A$2:$E$109, 5, FALSE)/1000</f>
        <v>1.1999999999999999E-4</v>
      </c>
      <c r="CQ246">
        <f>0.64*CP246</f>
        <v>7.6799999999999997E-5</v>
      </c>
      <c r="CR246" s="19">
        <f>CQ246*1000*(2.5*10^-5)</f>
        <v>1.9199999999999998E-6</v>
      </c>
      <c r="CS246" s="18">
        <f>(-0.0000009*F246^3)+(0.0002*F246^2)-(0.0134*F246)+6.579</f>
        <v>6.3623221695999996</v>
      </c>
      <c r="CT246" s="18">
        <f>CS246-(SQRT(CP246))/(1+1.4*SQRT(CP246))</f>
        <v>6.3515331808797493</v>
      </c>
      <c r="CU246" s="18">
        <f>10^(-CT246)</f>
        <v>4.451094544578658E-7</v>
      </c>
      <c r="CV246" s="18">
        <f>(0.000001*F246^3)+(0.00006*F246^2)-(0.014*F246)+10.625</f>
        <v>10.341161855999999</v>
      </c>
      <c r="CW246" s="18">
        <f>CV246-(2*SQRT(CR246))/(1+1.4*SQRT(CR246))</f>
        <v>10.338395940299195</v>
      </c>
      <c r="CX246" s="18">
        <f>10^(-CW246)</f>
        <v>4.5877955910966089E-11</v>
      </c>
      <c r="CY246">
        <f>EXP(1246.98+-61900/H246-183*LN(H246))</f>
        <v>3.2976240661927302E-2</v>
      </c>
      <c r="CZ246">
        <f>12.225*(F246^2)+15.258*F246+1125.7</f>
        <v>8294.6248000000014</v>
      </c>
      <c r="DA246" s="15">
        <f>10^(-4470.99/H246+6.0875-0.01706*H246)</f>
        <v>9.0870801728137668E-15</v>
      </c>
      <c r="DB246">
        <f>(10^-I246)</f>
        <v>1.1748975549395295E-9</v>
      </c>
      <c r="DC246">
        <f>DB246^2</f>
        <v>1.3803842646028848E-18</v>
      </c>
      <c r="DD246" s="20">
        <f>((14.6836*10^-9)*((H246/217.2056)-1)^1.997)*100*100</f>
        <v>1.9752338246963028E-5</v>
      </c>
      <c r="DE246">
        <f>CY246+CZ246*DA246/DB246</f>
        <v>9.7129851539846573E-2</v>
      </c>
      <c r="DF246">
        <f>1+DC246*(CU246*CX246+CU246*DB246)^-1</f>
        <v>1.0025403723215565</v>
      </c>
      <c r="DG246">
        <f>(DE246*DF246/DD246)^0.5</f>
        <v>70.213082648528783</v>
      </c>
      <c r="DH246">
        <f>DD246/(BO246/60/60)</f>
        <v>2.8153078849088228E-2</v>
      </c>
      <c r="DI246" s="16">
        <f>DF246/((DF246-1)+TANH(DG246*DH246)/(DG246*DH246))</f>
        <v>2.0485885324373485</v>
      </c>
      <c r="DJ246">
        <f>$DI246*BR246</f>
        <v>-37.459950968190746</v>
      </c>
      <c r="DK246">
        <f>$DI246*BY246</f>
        <v>-54.769421698954623</v>
      </c>
      <c r="DL246">
        <f>$DI246*CF246</f>
        <v>-8.482264958725457</v>
      </c>
      <c r="DM246">
        <f>$DI246*CM246</f>
        <v>-1014.0987903404498</v>
      </c>
    </row>
    <row r="247" spans="1:117" ht="15.75" x14ac:dyDescent="0.25">
      <c r="A247" s="52" t="s">
        <v>327</v>
      </c>
      <c r="B247" s="55" t="s">
        <v>340</v>
      </c>
      <c r="C247" s="62" t="s">
        <v>439</v>
      </c>
      <c r="D247" s="57">
        <v>43290</v>
      </c>
      <c r="E247" s="42" t="str">
        <f>A247&amp;D247</f>
        <v>66C43290</v>
      </c>
      <c r="F247" s="3">
        <f>VLOOKUP($E247,Water!$C$2:$E$90, 2, FALSE)</f>
        <v>23.6</v>
      </c>
      <c r="G247" s="3">
        <f>VLOOKUP($E247,Water!$C$2:$E$90, 3, FALSE)</f>
        <v>0.18</v>
      </c>
      <c r="H247" s="1">
        <f>F247+273.15</f>
        <v>296.75</v>
      </c>
      <c r="I247" s="3">
        <f>VLOOKUP($E247,Water!$C$2:$F$90, 4, FALSE)</f>
        <v>8.93</v>
      </c>
      <c r="J247">
        <f>10^(I247*-1)</f>
        <v>1.1748975549395295E-9</v>
      </c>
      <c r="K247" s="25">
        <f>VLOOKUP($E247,Atm!$D$2:$G$100, 2, FALSE)</f>
        <v>410.4299055191363</v>
      </c>
      <c r="L247" s="25">
        <f>VLOOKUP($E247,Atm!$D$2:$G$100, 3, FALSE)</f>
        <v>2.9874882585537259</v>
      </c>
      <c r="M247" s="25">
        <f>VLOOKUP($E247,Atm!$D$2:$G$100, 4, FALSE)</f>
        <v>0.29763717912682763</v>
      </c>
      <c r="N247" s="21">
        <f>VLOOKUP($C247,Raw!$B$2:$F$353, 3, FALSE)</f>
        <v>170.42583575059331</v>
      </c>
      <c r="O247" s="21">
        <f>VLOOKUP($C247,Raw!$B$2:$F$353, 4, FALSE)</f>
        <v>684.63336595315377</v>
      </c>
      <c r="P247" s="21">
        <f>VLOOKUP($C247,Raw!$B$2:$F$353, 5, FALSE)</f>
        <v>0.25028048734469982</v>
      </c>
      <c r="Q247" s="14">
        <v>60</v>
      </c>
      <c r="R247" s="25">
        <v>1140</v>
      </c>
      <c r="S247">
        <f>EXP(24.4543-(100/H247*(67.4509))-(4.8489*LN(H247/100))-(0.000544*G247))</f>
        <v>2.8727043445486291E-2</v>
      </c>
      <c r="T247" s="8">
        <f>EXP(-58.0931+90.5069*(100/H247)+22.294*LN(H247/100)+G247*(0.027766-0.025888*(H247/100)+0.0050578*(H247/100)^2)*G247)</f>
        <v>3.5286899499081321E-2</v>
      </c>
      <c r="U247" s="9">
        <f>(EXP(-67.1962+99.1624*(100/H247)+27.9015*LN(H247/100)+G247*(-0.072909+0.041674*(H247/100)-0.0064603*(H247/100)^2)*G247))</f>
        <v>3.2346747903665277E-2</v>
      </c>
      <c r="V247" s="9">
        <f>(EXP(-64.8539+100.252*(100/H247)+25.2049*LN(H247/100)+(-0.062544+0.035337*(H247/100)-0.0054699*(H247/100)^2)*G247))</f>
        <v>2.5841755390766791E-2</v>
      </c>
      <c r="W247" s="9">
        <f>(EXP(-68.8862+101.4956*(100/H247)+28.7314*LN(H247/100)+G247*(-0.076146+0.04397*(H247/100)-0.0068672*(H247/100)^2)))</f>
        <v>3.2283525589321252E-2</v>
      </c>
      <c r="X247">
        <f>N247*(AZ247-S247)</f>
        <v>155.19233295735486</v>
      </c>
      <c r="Y247">
        <f>O247*(AZ247-S247)</f>
        <v>623.43745485987165</v>
      </c>
      <c r="Z247">
        <f>((Y247/10^6)*AZ247)/(0.082056*H247)</f>
        <v>2.4050029299569585E-5</v>
      </c>
      <c r="AA247">
        <f>(((L247/10^6)*AZ247)/(0.082056*H247))</f>
        <v>1.1524681359814445E-7</v>
      </c>
      <c r="AB247">
        <f>((Y247/10^6)*U247*1)/(0.082056*H247)</f>
        <v>8.2817562469532877E-7</v>
      </c>
      <c r="AC247">
        <f>(Z247*(Q247/1000))+(AB247*(R247/1000))</f>
        <v>2.3871219701268498E-6</v>
      </c>
      <c r="AD247" s="39">
        <f>((AC247-(AA247*(Q247/1000)))/(R247/1000))*1000000</f>
        <v>2.087901018693826</v>
      </c>
      <c r="AE247" s="39">
        <f>(AD247/((U247*AZ247*1))*(0.0821*273.15))</f>
        <v>1540.9901212896762</v>
      </c>
      <c r="AF247" s="39">
        <f>L247*U247*AZ247*1/(0.0821*273.15)</f>
        <v>4.0477740202188002E-3</v>
      </c>
      <c r="AG247" s="39">
        <f>AD247-AF247</f>
        <v>2.0838532446736071</v>
      </c>
      <c r="AH247" s="42">
        <f>P247*(AZ247-S247)</f>
        <v>0.22790918145515079</v>
      </c>
      <c r="AI247">
        <f>(((X247/10^6)*(Q247/1000))/(0.082056*H247))</f>
        <v>3.8240225272999872E-7</v>
      </c>
      <c r="AJ247">
        <f>(((K247/10^6)*AZ247)*(Q247/1000))/(0.082056*H247)</f>
        <v>9.4997673074102824E-7</v>
      </c>
      <c r="AK247">
        <f>(X247/10^6)*T247*(R247/1000)</f>
        <v>6.2429321319473273E-6</v>
      </c>
      <c r="AL247">
        <f>AI247+AK247</f>
        <v>6.6253343846773258E-6</v>
      </c>
      <c r="AM247" s="39">
        <f>((AL247-AJ247)/(R247/1000))*1000000</f>
        <v>4.9783839069616658</v>
      </c>
      <c r="AN247" s="39">
        <f>AM247/(T247*AZ247)</f>
        <v>150.19348477591953</v>
      </c>
      <c r="AO247" s="39">
        <f>(K247*AZ247)*T247</f>
        <v>13.604302740699596</v>
      </c>
      <c r="AP247" s="39">
        <f>AM247-AO247</f>
        <v>-8.6259188337379307</v>
      </c>
      <c r="AQ247">
        <f>(((AH247/10^6)*(Q247/1000))/(0.082056*H247))</f>
        <v>5.6158047724076929E-10</v>
      </c>
      <c r="AR247">
        <f>(((M247/10^6)*AZ247)*(Q247/1000))/(0.082056*H247)</f>
        <v>6.8890787579488986E-10</v>
      </c>
      <c r="AS247">
        <f>(AH247/10^6)*V247*(R247/1000)</f>
        <v>6.714113583060234E-9</v>
      </c>
      <c r="AT247">
        <f>AQ247+AS247</f>
        <v>7.2756940603010036E-9</v>
      </c>
      <c r="AU247" s="39">
        <f>((AT247-AR247)/(R247/1000))*1000000000</f>
        <v>5.7778826179878191</v>
      </c>
      <c r="AV247" s="39">
        <f>(AU247/1000)/(V247*AZ247)</f>
        <v>0.23802518623026878</v>
      </c>
      <c r="AW247" s="39">
        <f>(M247*AZ247)*V247*1000</f>
        <v>7.2249189717265931</v>
      </c>
      <c r="AX247" s="39">
        <f>AU247-AW247</f>
        <v>-1.447036353738774</v>
      </c>
      <c r="AY247" s="26">
        <f>VLOOKUP($E247,Water!$C$2:$G$90, 5, FALSE)</f>
        <v>713.9</v>
      </c>
      <c r="AZ247">
        <f>AY247/760</f>
        <v>0.93934210526315787</v>
      </c>
      <c r="BA247" s="3">
        <f>Assumptions!$B$3</f>
        <v>406.07</v>
      </c>
      <c r="BB247" s="3">
        <f>BA247*AZ247*T247</f>
        <v>13.459787261185125</v>
      </c>
      <c r="BC247" s="3">
        <f>Assumptions!$B$4</f>
        <v>1.8474300000000001</v>
      </c>
      <c r="BD247" s="45">
        <f>BC247*AZ247*U247*1/(0.0821*273.15)</f>
        <v>2.5030990956238885E-3</v>
      </c>
      <c r="BE247" s="3">
        <f>Assumptions!$B$2</f>
        <v>0.33054499999999998</v>
      </c>
      <c r="BF247" s="44">
        <f>BE247*AZ247*V247*1000</f>
        <v>8.0237316067685729</v>
      </c>
      <c r="BG247">
        <f>1923.6+(-125.06*F247)+(4.3773*(F247^2))+(-0.085681*(F247^3))+(0.00070284*(F247^4))</f>
        <v>501.9760993981439</v>
      </c>
      <c r="BH247">
        <f>1909.4+(-120.78*F247)+(4.1555*(F247^2))+(-0.080578*(F247^3))+(0.00065777*(F247^4))</f>
        <v>518.34459558323192</v>
      </c>
      <c r="BI247">
        <f>2141.2+(-152.56*F247)+(5.8963*(F247^2))+(-0.12411*(F247^3))+(0.0010655*(F247^4))</f>
        <v>523.9764683648001</v>
      </c>
      <c r="BJ247" s="25">
        <f>VLOOKUP(E247,Wind!$C$2:$E$109,3, FALSE)</f>
        <v>2.3611111111111112</v>
      </c>
      <c r="BK247" s="44">
        <v>1.66</v>
      </c>
      <c r="BL247">
        <f>BK247/(1-(((1.3*10^-3)^0.5)/0.41)*LN(10/1.5))</f>
        <v>1.9923982880693825</v>
      </c>
      <c r="BM247">
        <f>BK247*1.22</f>
        <v>2.0251999999999999</v>
      </c>
      <c r="BN247">
        <f>2.07+0.215*(BM247^1.7)*(24/100)</f>
        <v>2.241255750541113</v>
      </c>
      <c r="BO247">
        <f>BN247*((600/BG247)^0.67)</f>
        <v>2.5257776625511004</v>
      </c>
      <c r="BP247">
        <f>BN247*((600/BH247)^0.67)</f>
        <v>2.4720560273957939</v>
      </c>
      <c r="BQ247">
        <f>BN247*((600/BI247)^0.67)</f>
        <v>2.454222084175139</v>
      </c>
      <c r="BR247" s="39">
        <f>BO247*(AM247-BB247)</f>
        <v>-21.422139139183592</v>
      </c>
      <c r="BS247" s="39">
        <f>BP247*(AD247-BD247)</f>
        <v>5.1552204966613839</v>
      </c>
      <c r="BT247" s="39">
        <f>BQ247*(AU247-BF247)</f>
        <v>-5.5118121859881297</v>
      </c>
      <c r="BU247">
        <f>(2.51+1.48*BM247)+(0.39*BM247*LOG10(0.0015))</f>
        <v>3.2768938069574309</v>
      </c>
      <c r="BV247">
        <f>BU247*((600/$BG247)^0.67)</f>
        <v>3.6928874262416715</v>
      </c>
      <c r="BW247">
        <f>BU247*((600/$BH247)^0.67)</f>
        <v>3.6143421314900355</v>
      </c>
      <c r="BX247">
        <f>BU247*((600/$BI247)^0.67)</f>
        <v>3.588267490932266</v>
      </c>
      <c r="BY247" s="39">
        <f>BV247*($AM247-$BB247)</f>
        <v>-31.320867803695752</v>
      </c>
      <c r="BZ247" s="39">
        <f>BW247*($AD247-$BD247)</f>
        <v>7.5373415617254507</v>
      </c>
      <c r="CA247" s="39">
        <f>BX247*($AU247-$BF247)</f>
        <v>-8.0587069159850824</v>
      </c>
      <c r="CB247" s="42">
        <f>AVERAGE(0.72,0.69,0.4,0.22)</f>
        <v>0.50750000000000006</v>
      </c>
      <c r="CC247">
        <f>CB247*((600/$BG247)^0.67)</f>
        <v>0.57192587835422493</v>
      </c>
      <c r="CD247">
        <f>CB247*((600/$BH247)^0.67)</f>
        <v>0.55976138983713541</v>
      </c>
      <c r="CE247">
        <f>CB247*((600/$BI247)^0.67)</f>
        <v>0.55572315092473235</v>
      </c>
      <c r="CF247" s="39">
        <f>CC247*($AM247-$BB247)</f>
        <v>-4.8507340630407221</v>
      </c>
      <c r="CG247" s="39">
        <f>CD247*($AD247-$BD247)</f>
        <v>1.1673252378377603</v>
      </c>
      <c r="CH247" s="39">
        <f>CE247*($AU247-$BF247)</f>
        <v>-1.2480702765463643</v>
      </c>
      <c r="CI247">
        <v>70.862639018895294</v>
      </c>
      <c r="CJ247">
        <f>((BG247/BH247)^0.67)*CI247</f>
        <v>69.355437139664843</v>
      </c>
      <c r="CK247">
        <f>((BH247/BH247)^0.67)*CI247</f>
        <v>70.862639018895294</v>
      </c>
      <c r="CL247">
        <f>((BI247/BH247)^0.67)*CI247</f>
        <v>71.377572157537259</v>
      </c>
      <c r="CM247" s="39">
        <f>CJ247*($AM247-$BB247)</f>
        <v>-588.23143718998767</v>
      </c>
      <c r="CN247" s="39">
        <f>CK247*($AD247-$BD247)</f>
        <v>147.77679998724261</v>
      </c>
      <c r="CO247" s="39">
        <f>CL247*($AU247-$BF247)</f>
        <v>-160.30324825163035</v>
      </c>
      <c r="CP247" s="27">
        <f>VLOOKUP(A247,Water!$A$2:$E$109, 5, FALSE)/1000</f>
        <v>1.1999999999999999E-4</v>
      </c>
      <c r="CQ247">
        <f>0.64*CP247</f>
        <v>7.6799999999999997E-5</v>
      </c>
      <c r="CR247" s="19">
        <f>CQ247*1000*(2.5*10^-5)</f>
        <v>1.9199999999999998E-6</v>
      </c>
      <c r="CS247" s="18">
        <f>(-0.0000009*F247^3)+(0.0002*F247^2)-(0.0134*F247)+6.579</f>
        <v>6.3623221695999996</v>
      </c>
      <c r="CT247" s="18">
        <f>CS247-(SQRT(CP247))/(1+1.4*SQRT(CP247))</f>
        <v>6.3515331808797493</v>
      </c>
      <c r="CU247" s="18">
        <f>10^(-CT247)</f>
        <v>4.451094544578658E-7</v>
      </c>
      <c r="CV247" s="18">
        <f>(0.000001*F247^3)+(0.00006*F247^2)-(0.014*F247)+10.625</f>
        <v>10.341161855999999</v>
      </c>
      <c r="CW247" s="18">
        <f>CV247-(2*SQRT(CR247))/(1+1.4*SQRT(CR247))</f>
        <v>10.338395940299195</v>
      </c>
      <c r="CX247" s="18">
        <f>10^(-CW247)</f>
        <v>4.5877955910966089E-11</v>
      </c>
      <c r="CY247">
        <f>EXP(1246.98+-61900/H247-183*LN(H247))</f>
        <v>3.2976240661927302E-2</v>
      </c>
      <c r="CZ247">
        <f>12.225*(F247^2)+15.258*F247+1125.7</f>
        <v>8294.6248000000014</v>
      </c>
      <c r="DA247" s="15">
        <f>10^(-4470.99/H247+6.0875-0.01706*H247)</f>
        <v>9.0870801728137668E-15</v>
      </c>
      <c r="DB247">
        <f>(10^-I247)</f>
        <v>1.1748975549395295E-9</v>
      </c>
      <c r="DC247">
        <f>DB247^2</f>
        <v>1.3803842646028848E-18</v>
      </c>
      <c r="DD247" s="20">
        <f>((14.6836*10^-9)*((H247/217.2056)-1)^1.997)*100*100</f>
        <v>1.9752338246963028E-5</v>
      </c>
      <c r="DE247">
        <f>CY247+CZ247*DA247/DB247</f>
        <v>9.7129851539846573E-2</v>
      </c>
      <c r="DF247">
        <f>1+DC247*(CU247*CX247+CU247*DB247)^-1</f>
        <v>1.0025403723215565</v>
      </c>
      <c r="DG247">
        <f>(DE247*DF247/DD247)^0.5</f>
        <v>70.213082648528783</v>
      </c>
      <c r="DH247">
        <f>DD247/(BO247/60/60)</f>
        <v>2.8153078849088228E-2</v>
      </c>
      <c r="DI247" s="16">
        <f>DF247/((DF247-1)+TANH(DG247*DH247)/(DG247*DH247))</f>
        <v>2.0485885324373485</v>
      </c>
      <c r="DJ247">
        <f>$DI247*BR247</f>
        <v>-43.885148580808803</v>
      </c>
      <c r="DK247">
        <f>$DI247*BY247</f>
        <v>-64.163570608637272</v>
      </c>
      <c r="DL247">
        <f>$DI247*CF247</f>
        <v>-9.9371581754484488</v>
      </c>
      <c r="DM247">
        <f>$DI247*CM247</f>
        <v>-1205.0441766465492</v>
      </c>
    </row>
    <row r="248" spans="1:117" ht="15.75" x14ac:dyDescent="0.25">
      <c r="A248" s="52" t="s">
        <v>327</v>
      </c>
      <c r="B248" s="55" t="s">
        <v>341</v>
      </c>
      <c r="C248" s="62" t="s">
        <v>440</v>
      </c>
      <c r="D248" s="57">
        <v>43290</v>
      </c>
      <c r="E248" s="42" t="str">
        <f>A248&amp;D248</f>
        <v>66C43290</v>
      </c>
      <c r="F248" s="3">
        <f>VLOOKUP($E248,Water!$C$2:$E$90, 2, FALSE)</f>
        <v>23.6</v>
      </c>
      <c r="G248" s="3">
        <f>VLOOKUP($E248,Water!$C$2:$E$90, 3, FALSE)</f>
        <v>0.18</v>
      </c>
      <c r="H248" s="1">
        <f>F248+273.15</f>
        <v>296.75</v>
      </c>
      <c r="I248" s="3">
        <f>VLOOKUP($E248,Water!$C$2:$F$90, 4, FALSE)</f>
        <v>8.93</v>
      </c>
      <c r="J248">
        <f>10^(I248*-1)</f>
        <v>1.1748975549395295E-9</v>
      </c>
      <c r="K248" s="25">
        <f>VLOOKUP($E248,Atm!$D$2:$G$100, 2, FALSE)</f>
        <v>410.4299055191363</v>
      </c>
      <c r="L248" s="25">
        <f>VLOOKUP($E248,Atm!$D$2:$G$100, 3, FALSE)</f>
        <v>2.9874882585537259</v>
      </c>
      <c r="M248" s="25">
        <f>VLOOKUP($E248,Atm!$D$2:$G$100, 4, FALSE)</f>
        <v>0.29763717912682763</v>
      </c>
      <c r="N248" s="21">
        <f>VLOOKUP($C248,Raw!$B$2:$F$353, 3, FALSE)</f>
        <v>160.91085556145529</v>
      </c>
      <c r="O248" s="21">
        <f>VLOOKUP($C248,Raw!$B$2:$F$353, 4, FALSE)</f>
        <v>704.29120091762661</v>
      </c>
      <c r="P248" s="21">
        <f>VLOOKUP($C248,Raw!$B$2:$F$353, 5, FALSE)</f>
        <v>0.25130007685542827</v>
      </c>
      <c r="Q248" s="14">
        <v>60</v>
      </c>
      <c r="R248" s="25">
        <v>1140</v>
      </c>
      <c r="S248">
        <f>EXP(24.4543-(100/H248*(67.4509))-(4.8489*LN(H248/100))-(0.000544*G248))</f>
        <v>2.8727043445486291E-2</v>
      </c>
      <c r="T248" s="8">
        <f>EXP(-58.0931+90.5069*(100/H248)+22.294*LN(H248/100)+G248*(0.027766-0.025888*(H248/100)+0.0050578*(H248/100)^2)*G248)</f>
        <v>3.5286899499081321E-2</v>
      </c>
      <c r="U248" s="9">
        <f>(EXP(-67.1962+99.1624*(100/H248)+27.9015*LN(H248/100)+G248*(-0.072909+0.041674*(H248/100)-0.0064603*(H248/100)^2)*G248))</f>
        <v>3.2346747903665277E-2</v>
      </c>
      <c r="V248" s="9">
        <f>(EXP(-64.8539+100.252*(100/H248)+25.2049*LN(H248/100)+(-0.062544+0.035337*(H248/100)-0.0054699*(H248/100)^2)*G248))</f>
        <v>2.5841755390766791E-2</v>
      </c>
      <c r="W248" s="9">
        <f>(EXP(-68.8862+101.4956*(100/H248)+28.7314*LN(H248/100)+G248*(-0.076146+0.04397*(H248/100)-0.0068672*(H248/100)^2)))</f>
        <v>3.2283525589321252E-2</v>
      </c>
      <c r="X248">
        <f>N248*(AZ248-S248)</f>
        <v>146.52784868422904</v>
      </c>
      <c r="Y248">
        <f>O248*(AZ248-S248)</f>
        <v>641.33817546124669</v>
      </c>
      <c r="Z248">
        <f>((Y248/10^6)*AZ248)/(0.082056*H248)</f>
        <v>2.4740576284821286E-5</v>
      </c>
      <c r="AA248">
        <f>(((L248/10^6)*AZ248)/(0.082056*H248))</f>
        <v>1.1524681359814445E-7</v>
      </c>
      <c r="AB248">
        <f>((Y248/10^6)*U248*1)/(0.082056*H248)</f>
        <v>8.519549795463657E-7</v>
      </c>
      <c r="AC248">
        <f>(Z248*(Q248/1000))+(AB248*(R248/1000))</f>
        <v>2.4556632537721337E-6</v>
      </c>
      <c r="AD248" s="39">
        <f>((AC248-(AA248*(Q248/1000)))/(R248/1000))*1000000</f>
        <v>2.1480249517160046</v>
      </c>
      <c r="AE248" s="39">
        <f>(AD248/((U248*AZ248*1))*(0.0821*273.15))</f>
        <v>1585.3650155067501</v>
      </c>
      <c r="AF248" s="39">
        <f>L248*U248*AZ248*1/(0.0821*273.15)</f>
        <v>4.0477740202188002E-3</v>
      </c>
      <c r="AG248" s="39">
        <f>AD248-AF248</f>
        <v>2.1439771776957857</v>
      </c>
      <c r="AH248" s="42">
        <f>P248*(AZ248-S248)</f>
        <v>0.22883763502049143</v>
      </c>
      <c r="AI248">
        <f>(((X248/10^6)*(Q248/1000))/(0.082056*H248))</f>
        <v>3.6105249761228023E-7</v>
      </c>
      <c r="AJ248">
        <f>(((K248/10^6)*AZ248)*(Q248/1000))/(0.082056*H248)</f>
        <v>9.4997673074102824E-7</v>
      </c>
      <c r="AK248">
        <f>(X248/10^6)*T248*(R248/1000)</f>
        <v>5.8943853561841624E-6</v>
      </c>
      <c r="AL248">
        <f>AI248+AK248</f>
        <v>6.2554378537964425E-6</v>
      </c>
      <c r="AM248" s="39">
        <f>((AL248-AJ248)/(R248/1000))*1000000</f>
        <v>4.6539132658380833</v>
      </c>
      <c r="AN248" s="39">
        <f>AM248/(T248*AZ248)</f>
        <v>140.40448955004314</v>
      </c>
      <c r="AO248" s="39">
        <f>(K248*AZ248)*T248</f>
        <v>13.604302740699596</v>
      </c>
      <c r="AP248" s="39">
        <f>AM248-AO248</f>
        <v>-8.9503894748615132</v>
      </c>
      <c r="AQ248">
        <f>(((AH248/10^6)*(Q248/1000))/(0.082056*H248))</f>
        <v>5.6386823674651114E-10</v>
      </c>
      <c r="AR248">
        <f>(((M248/10^6)*AZ248)*(Q248/1000))/(0.082056*H248)</f>
        <v>6.8890787579488986E-10</v>
      </c>
      <c r="AS248">
        <f>(AH248/10^6)*V248*(R248/1000)</f>
        <v>6.7414654547772626E-9</v>
      </c>
      <c r="AT248">
        <f>AQ248+AS248</f>
        <v>7.305333691523774E-9</v>
      </c>
      <c r="AU248" s="39">
        <f>((AT248-AR248)/(R248/1000))*1000000000</f>
        <v>5.8038822944990223</v>
      </c>
      <c r="AV248" s="39">
        <f>(AU248/1000)/(V248*AZ248)</f>
        <v>0.23909626680643686</v>
      </c>
      <c r="AW248" s="39">
        <f>(M248*AZ248)*V248*1000</f>
        <v>7.2249189717265931</v>
      </c>
      <c r="AX248" s="39">
        <f>AU248-AW248</f>
        <v>-1.4210366772275709</v>
      </c>
      <c r="AY248" s="26">
        <f>VLOOKUP($E248,Water!$C$2:$G$90, 5, FALSE)</f>
        <v>713.9</v>
      </c>
      <c r="AZ248">
        <f>AY248/760</f>
        <v>0.93934210526315787</v>
      </c>
      <c r="BA248" s="3">
        <f>Assumptions!$B$3</f>
        <v>406.07</v>
      </c>
      <c r="BB248" s="3">
        <f>BA248*AZ248*T248</f>
        <v>13.459787261185125</v>
      </c>
      <c r="BC248" s="3">
        <f>Assumptions!$B$4</f>
        <v>1.8474300000000001</v>
      </c>
      <c r="BD248" s="45">
        <f>BC248*AZ248*U248*1/(0.0821*273.15)</f>
        <v>2.5030990956238885E-3</v>
      </c>
      <c r="BE248" s="3">
        <f>Assumptions!$B$2</f>
        <v>0.33054499999999998</v>
      </c>
      <c r="BF248" s="44">
        <f>BE248*AZ248*V248*1000</f>
        <v>8.0237316067685729</v>
      </c>
      <c r="BG248">
        <f>1923.6+(-125.06*F248)+(4.3773*(F248^2))+(-0.085681*(F248^3))+(0.00070284*(F248^4))</f>
        <v>501.9760993981439</v>
      </c>
      <c r="BH248">
        <f>1909.4+(-120.78*F248)+(4.1555*(F248^2))+(-0.080578*(F248^3))+(0.00065777*(F248^4))</f>
        <v>518.34459558323192</v>
      </c>
      <c r="BI248">
        <f>2141.2+(-152.56*F248)+(5.8963*(F248^2))+(-0.12411*(F248^3))+(0.0010655*(F248^4))</f>
        <v>523.9764683648001</v>
      </c>
      <c r="BJ248" s="25">
        <f>VLOOKUP(E248,Wind!$C$2:$E$109,3, FALSE)</f>
        <v>2.3611111111111112</v>
      </c>
      <c r="BK248" s="44">
        <v>1.66</v>
      </c>
      <c r="BL248">
        <f>BK248/(1-(((1.3*10^-3)^0.5)/0.41)*LN(10/1.5))</f>
        <v>1.9923982880693825</v>
      </c>
      <c r="BM248">
        <f>BK248*1.22</f>
        <v>2.0251999999999999</v>
      </c>
      <c r="BN248">
        <f>2.07+0.215*(BM248^1.7)*(24/100)</f>
        <v>2.241255750541113</v>
      </c>
      <c r="BO248">
        <f>BN248*((600/BG248)^0.67)</f>
        <v>2.5257776625511004</v>
      </c>
      <c r="BP248">
        <f>BN248*((600/BH248)^0.67)</f>
        <v>2.4720560273957939</v>
      </c>
      <c r="BQ248">
        <f>BN248*((600/BI248)^0.67)</f>
        <v>2.454222084175139</v>
      </c>
      <c r="BR248" s="39">
        <f>BO248*(AM248-BB248)</f>
        <v>-22.241679836687172</v>
      </c>
      <c r="BS248" s="39">
        <f>BP248*(AD248-BD248)</f>
        <v>5.303850227679602</v>
      </c>
      <c r="BT248" s="39">
        <f>BQ248*(AU248-BF248)</f>
        <v>-5.4480032057129257</v>
      </c>
      <c r="BU248">
        <f>(2.51+1.48*BM248)+(0.39*BM248*LOG10(0.0015))</f>
        <v>3.2768938069574309</v>
      </c>
      <c r="BV248">
        <f>BU248*((600/$BG248)^0.67)</f>
        <v>3.6928874262416715</v>
      </c>
      <c r="BW248">
        <f>BU248*((600/$BH248)^0.67)</f>
        <v>3.6143421314900355</v>
      </c>
      <c r="BX248">
        <f>BU248*((600/$BI248)^0.67)</f>
        <v>3.588267490932266</v>
      </c>
      <c r="BY248" s="39">
        <f>BV248*($AM248-$BB248)</f>
        <v>-32.519101354485606</v>
      </c>
      <c r="BZ248" s="39">
        <f>BW248*($AD248-$BD248)</f>
        <v>7.7546500259583961</v>
      </c>
      <c r="CA248" s="39">
        <f>BX248*($AU248-$BF248)</f>
        <v>-7.9654131219851765</v>
      </c>
      <c r="CB248" s="42">
        <f>AVERAGE(0.72,0.69,0.4,0.22)</f>
        <v>0.50750000000000006</v>
      </c>
      <c r="CC248">
        <f>CB248*((600/$BG248)^0.67)</f>
        <v>0.57192587835422493</v>
      </c>
      <c r="CD248">
        <f>CB248*((600/$BH248)^0.67)</f>
        <v>0.55976138983713541</v>
      </c>
      <c r="CE248">
        <f>CB248*((600/$BI248)^0.67)</f>
        <v>0.55572315092473235</v>
      </c>
      <c r="CF248" s="39">
        <f>CC248*($AM248-$BB248)</f>
        <v>-5.0363072194654848</v>
      </c>
      <c r="CG248" s="39">
        <f>CD248*($AD248-$BD248)</f>
        <v>1.2009802941487298</v>
      </c>
      <c r="CH248" s="39">
        <f>CE248*($AU248-$BF248)</f>
        <v>-1.2336216543925347</v>
      </c>
      <c r="CI248">
        <v>71.862639018895294</v>
      </c>
      <c r="CJ248">
        <f>((BG248/BH248)^0.67)*CI248</f>
        <v>70.334167795196478</v>
      </c>
      <c r="CK248">
        <f>((BH248/BH248)^0.67)*CI248</f>
        <v>71.862639018895294</v>
      </c>
      <c r="CL248">
        <f>((BI248/BH248)^0.67)*CI248</f>
        <v>72.384838795440842</v>
      </c>
      <c r="CM248" s="39">
        <f>CJ248*($AM248-$BB248)</f>
        <v>-619.35381917209611</v>
      </c>
      <c r="CN248" s="39">
        <f>CK248*($AD248-$BD248)</f>
        <v>154.18286240200987</v>
      </c>
      <c r="CO248" s="39">
        <f>CL248*($AU248-$BF248)</f>
        <v>-160.68343461880164</v>
      </c>
      <c r="CP248" s="27">
        <f>VLOOKUP(A248,Water!$A$2:$E$109, 5, FALSE)/1000</f>
        <v>1.1999999999999999E-4</v>
      </c>
      <c r="CQ248">
        <f>0.64*CP248</f>
        <v>7.6799999999999997E-5</v>
      </c>
      <c r="CR248" s="19">
        <f>CQ248*1000*(2.5*10^-5)</f>
        <v>1.9199999999999998E-6</v>
      </c>
      <c r="CS248" s="18">
        <f>(-0.0000009*F248^3)+(0.0002*F248^2)-(0.0134*F248)+6.579</f>
        <v>6.3623221695999996</v>
      </c>
      <c r="CT248" s="18">
        <f>CS248-(SQRT(CP248))/(1+1.4*SQRT(CP248))</f>
        <v>6.3515331808797493</v>
      </c>
      <c r="CU248" s="18">
        <f>10^(-CT248)</f>
        <v>4.451094544578658E-7</v>
      </c>
      <c r="CV248" s="18">
        <f>(0.000001*F248^3)+(0.00006*F248^2)-(0.014*F248)+10.625</f>
        <v>10.341161855999999</v>
      </c>
      <c r="CW248" s="18">
        <f>CV248-(2*SQRT(CR248))/(1+1.4*SQRT(CR248))</f>
        <v>10.338395940299195</v>
      </c>
      <c r="CX248" s="18">
        <f>10^(-CW248)</f>
        <v>4.5877955910966089E-11</v>
      </c>
      <c r="CY248">
        <f>EXP(1246.98+-61900/H248-183*LN(H248))</f>
        <v>3.2976240661927302E-2</v>
      </c>
      <c r="CZ248">
        <f>12.225*(F248^2)+15.258*F248+1125.7</f>
        <v>8294.6248000000014</v>
      </c>
      <c r="DA248" s="15">
        <f>10^(-4470.99/H248+6.0875-0.01706*H248)</f>
        <v>9.0870801728137668E-15</v>
      </c>
      <c r="DB248">
        <f>(10^-I248)</f>
        <v>1.1748975549395295E-9</v>
      </c>
      <c r="DC248">
        <f>DB248^2</f>
        <v>1.3803842646028848E-18</v>
      </c>
      <c r="DD248" s="20">
        <f>((14.6836*10^-9)*((H248/217.2056)-1)^1.997)*100*100</f>
        <v>1.9752338246963028E-5</v>
      </c>
      <c r="DE248">
        <f>CY248+CZ248*DA248/DB248</f>
        <v>9.7129851539846573E-2</v>
      </c>
      <c r="DF248">
        <f>1+DC248*(CU248*CX248+CU248*DB248)^-1</f>
        <v>1.0025403723215565</v>
      </c>
      <c r="DG248">
        <f>(DE248*DF248/DD248)^0.5</f>
        <v>70.213082648528783</v>
      </c>
      <c r="DH248">
        <f>DD248/(BO248/60/60)</f>
        <v>2.8153078849088228E-2</v>
      </c>
      <c r="DI248" s="16">
        <f>DF248/((DF248-1)+TANH(DG248*DH248)/(DG248*DH248))</f>
        <v>2.0485885324373485</v>
      </c>
      <c r="DJ248">
        <f>$DI248*BR248</f>
        <v>-45.564050255580341</v>
      </c>
      <c r="DK248">
        <f>$DI248*BY248</f>
        <v>-66.618258119967066</v>
      </c>
      <c r="DL248">
        <f>$DI248*CF248</f>
        <v>-10.317321215628422</v>
      </c>
      <c r="DM248">
        <f>$DI248*CM248</f>
        <v>-1268.8011314772314</v>
      </c>
    </row>
    <row r="249" spans="1:117" ht="15.75" x14ac:dyDescent="0.25">
      <c r="A249" s="52" t="s">
        <v>327</v>
      </c>
      <c r="B249" s="55" t="s">
        <v>342</v>
      </c>
      <c r="C249" s="62" t="s">
        <v>441</v>
      </c>
      <c r="D249" s="57">
        <v>43290</v>
      </c>
      <c r="E249" s="42" t="str">
        <f>A249&amp;D249</f>
        <v>66C43290</v>
      </c>
      <c r="F249" s="3">
        <f>VLOOKUP($E249,Water!$C$2:$E$90, 2, FALSE)</f>
        <v>23.6</v>
      </c>
      <c r="G249" s="3">
        <f>VLOOKUP($E249,Water!$C$2:$E$90, 3, FALSE)</f>
        <v>0.18</v>
      </c>
      <c r="H249" s="1">
        <f>F249+273.15</f>
        <v>296.75</v>
      </c>
      <c r="I249" s="3">
        <f>VLOOKUP($E249,Water!$C$2:$F$90, 4, FALSE)</f>
        <v>8.93</v>
      </c>
      <c r="J249">
        <f>10^(I249*-1)</f>
        <v>1.1748975549395295E-9</v>
      </c>
      <c r="K249" s="25">
        <f>VLOOKUP($E249,Atm!$D$2:$G$100, 2, FALSE)</f>
        <v>410.4299055191363</v>
      </c>
      <c r="L249" s="25">
        <f>VLOOKUP($E249,Atm!$D$2:$G$100, 3, FALSE)</f>
        <v>2.9874882585537259</v>
      </c>
      <c r="M249" s="25">
        <f>VLOOKUP($E249,Atm!$D$2:$G$100, 4, FALSE)</f>
        <v>0.29763717912682763</v>
      </c>
      <c r="N249" s="21">
        <f>VLOOKUP($C249,Raw!$B$2:$F$353, 3, FALSE)</f>
        <v>161.25853726121281</v>
      </c>
      <c r="O249" s="21">
        <f>VLOOKUP($C249,Raw!$B$2:$F$353, 4, FALSE)</f>
        <v>702.88080287720481</v>
      </c>
      <c r="P249" s="21">
        <f>VLOOKUP($C249,Raw!$B$2:$F$353, 5, FALSE)</f>
        <v>0.25178087397718418</v>
      </c>
      <c r="Q249" s="14">
        <v>60</v>
      </c>
      <c r="R249" s="25">
        <v>1140</v>
      </c>
      <c r="S249">
        <f>EXP(24.4543-(100/H249*(67.4509))-(4.8489*LN(H249/100))-(0.000544*G249))</f>
        <v>2.8727043445486291E-2</v>
      </c>
      <c r="T249" s="8">
        <f>EXP(-58.0931+90.5069*(100/H249)+22.294*LN(H249/100)+G249*(0.027766-0.025888*(H249/100)+0.0050578*(H249/100)^2)*G249)</f>
        <v>3.5286899499081321E-2</v>
      </c>
      <c r="U249" s="9">
        <f>(EXP(-67.1962+99.1624*(100/H249)+27.9015*LN(H249/100)+G249*(-0.072909+0.041674*(H249/100)-0.0064603*(H249/100)^2)*G249))</f>
        <v>3.2346747903665277E-2</v>
      </c>
      <c r="V249" s="9">
        <f>(EXP(-64.8539+100.252*(100/H249)+25.2049*LN(H249/100)+(-0.062544+0.035337*(H249/100)-0.0054699*(H249/100)^2)*G249))</f>
        <v>2.5841755390766791E-2</v>
      </c>
      <c r="W249" s="9">
        <f>(EXP(-68.8862+101.4956*(100/H249)+28.7314*LN(H249/100)+G249*(-0.076146+0.04397*(H249/100)-0.0068672*(H249/100)^2)))</f>
        <v>3.2283525589321252E-2</v>
      </c>
      <c r="X249">
        <f>N249*(AZ249-S249)</f>
        <v>146.8444528767466</v>
      </c>
      <c r="Y249">
        <f>O249*(AZ249-S249)</f>
        <v>640.05384576248048</v>
      </c>
      <c r="Z249">
        <f>((Y249/10^6)*AZ249)/(0.082056*H249)</f>
        <v>2.469103135189361E-5</v>
      </c>
      <c r="AA249">
        <f>(((L249/10^6)*AZ249)/(0.082056*H249))</f>
        <v>1.1524681359814445E-7</v>
      </c>
      <c r="AB249">
        <f>((Y249/10^6)*U249*1)/(0.082056*H249)</f>
        <v>8.5024887327652425E-7</v>
      </c>
      <c r="AC249">
        <f>(Z249*(Q249/1000))+(AB249*(R249/1000))</f>
        <v>2.4507455966488542E-6</v>
      </c>
      <c r="AD249" s="39">
        <f>((AC249-(AA249*(Q249/1000)))/(R249/1000))*1000000</f>
        <v>2.1437112173973385</v>
      </c>
      <c r="AE249" s="39">
        <f>(AD249/((U249*AZ249*1))*(0.0821*273.15))</f>
        <v>1582.1812333679345</v>
      </c>
      <c r="AF249" s="39">
        <f>L249*U249*AZ249*1/(0.0821*273.15)</f>
        <v>4.0477740202188002E-3</v>
      </c>
      <c r="AG249" s="39">
        <f>AD249-AF249</f>
        <v>2.1396634433771196</v>
      </c>
      <c r="AH249" s="42">
        <f>P249*(AZ249-S249)</f>
        <v>0.22927545612124095</v>
      </c>
      <c r="AI249">
        <f>(((X249/10^6)*(Q249/1000))/(0.082056*H249))</f>
        <v>3.618326273656988E-7</v>
      </c>
      <c r="AJ249">
        <f>(((K249/10^6)*AZ249)*(Q249/1000))/(0.082056*H249)</f>
        <v>9.4997673074102824E-7</v>
      </c>
      <c r="AK249">
        <f>(X249/10^6)*T249*(R249/1000)</f>
        <v>5.9071214137516479E-6</v>
      </c>
      <c r="AL249">
        <f>AI249+AK249</f>
        <v>6.2689540411173472E-6</v>
      </c>
      <c r="AM249" s="39">
        <f>((AL249-AJ249)/(R249/1000))*1000000</f>
        <v>4.6657695705055442</v>
      </c>
      <c r="AN249" s="39">
        <f>AM249/(T249*AZ249)</f>
        <v>140.76218388375671</v>
      </c>
      <c r="AO249" s="39">
        <f>(K249*AZ249)*T249</f>
        <v>13.604302740699596</v>
      </c>
      <c r="AP249" s="39">
        <f>AM249-AO249</f>
        <v>-8.9385331701940522</v>
      </c>
      <c r="AQ249">
        <f>(((AH249/10^6)*(Q249/1000))/(0.082056*H249))</f>
        <v>5.6494705147935854E-10</v>
      </c>
      <c r="AR249">
        <f>(((M249/10^6)*AZ249)*(Q249/1000))/(0.082056*H249)</f>
        <v>6.8890787579488986E-10</v>
      </c>
      <c r="AS249">
        <f>(AH249/10^6)*V249*(R249/1000)</f>
        <v>6.7543634897784155E-9</v>
      </c>
      <c r="AT249">
        <f>AQ249+AS249</f>
        <v>7.3193105412577744E-9</v>
      </c>
      <c r="AU249" s="39">
        <f>((AT249-AR249)/(R249/1000))*1000000000</f>
        <v>5.8161426890025307</v>
      </c>
      <c r="AV249" s="39">
        <f>(AU249/1000)/(V249*AZ249)</f>
        <v>0.23960134502936042</v>
      </c>
      <c r="AW249" s="39">
        <f>(M249*AZ249)*V249*1000</f>
        <v>7.2249189717265931</v>
      </c>
      <c r="AX249" s="39">
        <f>AU249-AW249</f>
        <v>-1.4087762827240624</v>
      </c>
      <c r="AY249" s="26">
        <f>VLOOKUP($E249,Water!$C$2:$G$90, 5, FALSE)</f>
        <v>713.9</v>
      </c>
      <c r="AZ249">
        <f>AY249/760</f>
        <v>0.93934210526315787</v>
      </c>
      <c r="BA249" s="3">
        <f>Assumptions!$B$3</f>
        <v>406.07</v>
      </c>
      <c r="BB249" s="3">
        <f>BA249*AZ249*T249</f>
        <v>13.459787261185125</v>
      </c>
      <c r="BC249" s="3">
        <f>Assumptions!$B$4</f>
        <v>1.8474300000000001</v>
      </c>
      <c r="BD249" s="45">
        <f>BC249*AZ249*U249*1/(0.0821*273.15)</f>
        <v>2.5030990956238885E-3</v>
      </c>
      <c r="BE249" s="3">
        <f>Assumptions!$B$2</f>
        <v>0.33054499999999998</v>
      </c>
      <c r="BF249" s="44">
        <f>BE249*AZ249*V249*1000</f>
        <v>8.0237316067685729</v>
      </c>
      <c r="BG249">
        <f>1923.6+(-125.06*F249)+(4.3773*(F249^2))+(-0.085681*(F249^3))+(0.00070284*(F249^4))</f>
        <v>501.9760993981439</v>
      </c>
      <c r="BH249">
        <f>1909.4+(-120.78*F249)+(4.1555*(F249^2))+(-0.080578*(F249^3))+(0.00065777*(F249^4))</f>
        <v>518.34459558323192</v>
      </c>
      <c r="BI249">
        <f>2141.2+(-152.56*F249)+(5.8963*(F249^2))+(-0.12411*(F249^3))+(0.0010655*(F249^4))</f>
        <v>523.9764683648001</v>
      </c>
      <c r="BJ249" s="25">
        <f>VLOOKUP(E249,Wind!$C$2:$E$109,3, FALSE)</f>
        <v>2.3611111111111112</v>
      </c>
      <c r="BK249" s="44">
        <v>1.66</v>
      </c>
      <c r="BL249">
        <f>BK249/(1-(((1.3*10^-3)^0.5)/0.41)*LN(10/1.5))</f>
        <v>1.9923982880693825</v>
      </c>
      <c r="BM249">
        <f>BK249*1.22</f>
        <v>2.0251999999999999</v>
      </c>
      <c r="BN249">
        <f>2.07+0.215*(BM249^1.7)*(24/100)</f>
        <v>2.241255750541113</v>
      </c>
      <c r="BO249">
        <f>BN249*((600/BG249)^0.67)</f>
        <v>2.5257776625511004</v>
      </c>
      <c r="BP249">
        <f>BN249*((600/BH249)^0.67)</f>
        <v>2.4720560273957939</v>
      </c>
      <c r="BQ249">
        <f>BN249*((600/BI249)^0.67)</f>
        <v>2.454222084175139</v>
      </c>
      <c r="BR249" s="39">
        <f>BO249*(AM249-BB249)</f>
        <v>-22.211733447197698</v>
      </c>
      <c r="BS249" s="39">
        <f>BP249*(AD249-BD249)</f>
        <v>5.2931864347565591</v>
      </c>
      <c r="BT249" s="39">
        <f>BQ249*(AU249-BF249)</f>
        <v>-5.4179134747617157</v>
      </c>
      <c r="BU249">
        <f>(2.51+1.48*BM249)+(0.39*BM249*LOG10(0.0015))</f>
        <v>3.2768938069574309</v>
      </c>
      <c r="BV249">
        <f>BU249*((600/$BG249)^0.67)</f>
        <v>3.6928874262416715</v>
      </c>
      <c r="BW249">
        <f>BU249*((600/$BH249)^0.67)</f>
        <v>3.6143421314900355</v>
      </c>
      <c r="BX249">
        <f>BU249*((600/$BI249)^0.67)</f>
        <v>3.588267490932266</v>
      </c>
      <c r="BY249" s="39">
        <f>BV249*($AM249-$BB249)</f>
        <v>-32.475317356057445</v>
      </c>
      <c r="BZ249" s="39">
        <f>BW249*($AD249-$BD249)</f>
        <v>7.7390587142663865</v>
      </c>
      <c r="CA249" s="39">
        <f>BX249*($AU249-$BF249)</f>
        <v>-7.921419546962233</v>
      </c>
      <c r="CB249" s="42">
        <f>AVERAGE(0.72,0.69,0.4,0.22)</f>
        <v>0.50750000000000006</v>
      </c>
      <c r="CC249">
        <f>CB249*((600/$BG249)^0.67)</f>
        <v>0.57192587835422493</v>
      </c>
      <c r="CD249">
        <f>CB249*((600/$BH249)^0.67)</f>
        <v>0.55976138983713541</v>
      </c>
      <c r="CE249">
        <f>CB249*((600/$BI249)^0.67)</f>
        <v>0.55572315092473235</v>
      </c>
      <c r="CF249" s="39">
        <f>CC249*($AM249-$BB249)</f>
        <v>-5.0295262920045118</v>
      </c>
      <c r="CG249" s="39">
        <f>CD249*($AD249-$BD249)</f>
        <v>1.1985656322311251</v>
      </c>
      <c r="CH249" s="39">
        <f>CE249*($AU249-$BF249)</f>
        <v>-1.2268082693274649</v>
      </c>
      <c r="CI249">
        <v>72.862639018895294</v>
      </c>
      <c r="CJ249">
        <f>((BG249/BH249)^0.67)*CI249</f>
        <v>71.312898450728113</v>
      </c>
      <c r="CK249">
        <f>((BH249/BH249)^0.67)*CI249</f>
        <v>72.862639018895294</v>
      </c>
      <c r="CL249">
        <f>((BI249/BH249)^0.67)*CI249</f>
        <v>73.392105433344412</v>
      </c>
      <c r="CM249" s="39">
        <f>CJ249*($AM249-$BB249)</f>
        <v>-627.12689054933958</v>
      </c>
      <c r="CN249" s="39">
        <f>CK249*($AD249-$BD249)</f>
        <v>156.01407418814586</v>
      </c>
      <c r="CO249" s="39">
        <f>CL249*($AU249-$BF249)</f>
        <v>-162.01959860616805</v>
      </c>
      <c r="CP249" s="27">
        <f>VLOOKUP(A249,Water!$A$2:$E$109, 5, FALSE)/1000</f>
        <v>1.1999999999999999E-4</v>
      </c>
      <c r="CQ249">
        <f>0.64*CP249</f>
        <v>7.6799999999999997E-5</v>
      </c>
      <c r="CR249" s="19">
        <f>CQ249*1000*(2.5*10^-5)</f>
        <v>1.9199999999999998E-6</v>
      </c>
      <c r="CS249" s="18">
        <f>(-0.0000009*F249^3)+(0.0002*F249^2)-(0.0134*F249)+6.579</f>
        <v>6.3623221695999996</v>
      </c>
      <c r="CT249" s="18">
        <f>CS249-(SQRT(CP249))/(1+1.4*SQRT(CP249))</f>
        <v>6.3515331808797493</v>
      </c>
      <c r="CU249" s="18">
        <f>10^(-CT249)</f>
        <v>4.451094544578658E-7</v>
      </c>
      <c r="CV249" s="18">
        <f>(0.000001*F249^3)+(0.00006*F249^2)-(0.014*F249)+10.625</f>
        <v>10.341161855999999</v>
      </c>
      <c r="CW249" s="18">
        <f>CV249-(2*SQRT(CR249))/(1+1.4*SQRT(CR249))</f>
        <v>10.338395940299195</v>
      </c>
      <c r="CX249" s="18">
        <f>10^(-CW249)</f>
        <v>4.5877955910966089E-11</v>
      </c>
      <c r="CY249">
        <f>EXP(1246.98+-61900/H249-183*LN(H249))</f>
        <v>3.2976240661927302E-2</v>
      </c>
      <c r="CZ249">
        <f>12.225*(F249^2)+15.258*F249+1125.7</f>
        <v>8294.6248000000014</v>
      </c>
      <c r="DA249" s="15">
        <f>10^(-4470.99/H249+6.0875-0.01706*H249)</f>
        <v>9.0870801728137668E-15</v>
      </c>
      <c r="DB249">
        <f>(10^-I249)</f>
        <v>1.1748975549395295E-9</v>
      </c>
      <c r="DC249">
        <f>DB249^2</f>
        <v>1.3803842646028848E-18</v>
      </c>
      <c r="DD249" s="20">
        <f>((14.6836*10^-9)*((H249/217.2056)-1)^1.997)*100*100</f>
        <v>1.9752338246963028E-5</v>
      </c>
      <c r="DE249">
        <f>CY249+CZ249*DA249/DB249</f>
        <v>9.7129851539846573E-2</v>
      </c>
      <c r="DF249">
        <f>1+DC249*(CU249*CX249+CU249*DB249)^-1</f>
        <v>1.0025403723215565</v>
      </c>
      <c r="DG249">
        <f>(DE249*DF249/DD249)^0.5</f>
        <v>70.213082648528783</v>
      </c>
      <c r="DH249">
        <f>DD249/(BO249/60/60)</f>
        <v>2.8153078849088228E-2</v>
      </c>
      <c r="DI249" s="16">
        <f>DF249/((DF249-1)+TANH(DG249*DH249)/(DG249*DH249))</f>
        <v>2.0485885324373485</v>
      </c>
      <c r="DJ249">
        <f>$DI249*BR249</f>
        <v>-45.502702425484301</v>
      </c>
      <c r="DK249">
        <f>$DI249*BY249</f>
        <v>-66.528562722882882</v>
      </c>
      <c r="DL249">
        <f>$DI249*CF249</f>
        <v>-10.303429885392582</v>
      </c>
      <c r="DM249">
        <f>$DI249*CM249</f>
        <v>-1284.7249563624694</v>
      </c>
    </row>
    <row r="250" spans="1:117" ht="15.75" x14ac:dyDescent="0.25">
      <c r="A250" s="52" t="s">
        <v>326</v>
      </c>
      <c r="B250" s="55" t="s">
        <v>339</v>
      </c>
      <c r="C250" s="62" t="s">
        <v>443</v>
      </c>
      <c r="D250" s="57">
        <v>43290</v>
      </c>
      <c r="E250" s="42" t="str">
        <f>A250&amp;D250</f>
        <v>66B43290</v>
      </c>
      <c r="F250" s="3">
        <f>VLOOKUP($E250,Water!$C$2:$E$90, 2, FALSE)</f>
        <v>21.8</v>
      </c>
      <c r="G250" s="3">
        <f>VLOOKUP($E250,Water!$C$2:$E$90, 3, FALSE)</f>
        <v>0.94</v>
      </c>
      <c r="H250" s="1">
        <f>F250+273.15</f>
        <v>294.95</v>
      </c>
      <c r="I250" s="3">
        <f>VLOOKUP($E250,Water!$C$2:$F$90, 4, FALSE)</f>
        <v>9.06</v>
      </c>
      <c r="J250">
        <f>10^(I250*-1)</f>
        <v>8.709635899560787E-10</v>
      </c>
      <c r="K250" s="25">
        <f>VLOOKUP($E250,Atm!$D$2:$G$100, 2, FALSE)</f>
        <v>407.17552045970331</v>
      </c>
      <c r="L250" s="25">
        <f>VLOOKUP($E250,Atm!$D$2:$G$100, 3, FALSE)</f>
        <v>2.0616361493772679</v>
      </c>
      <c r="M250" s="25">
        <f>VLOOKUP($E250,Atm!$D$2:$G$100, 4, FALSE)</f>
        <v>0.28943618839970642</v>
      </c>
      <c r="N250" s="21" t="str">
        <f>VLOOKUP($C250,Raw!$B$2:$F$353, 3, FALSE)</f>
        <v>NA</v>
      </c>
      <c r="O250" s="21" t="str">
        <f>VLOOKUP($C250,Raw!$B$2:$F$353, 4, FALSE)</f>
        <v>NA</v>
      </c>
      <c r="P250" s="21" t="str">
        <f>VLOOKUP($C250,Raw!$B$2:$F$353, 5, FALSE)</f>
        <v>NA</v>
      </c>
      <c r="Q250" s="14">
        <v>60</v>
      </c>
      <c r="R250" s="25">
        <v>1140</v>
      </c>
      <c r="S250">
        <f>EXP(24.4543-(100/H250*(67.4509))-(4.8489*LN(H250/100))-(0.000544*G250))</f>
        <v>2.5744289855222299E-2</v>
      </c>
      <c r="T250" s="8">
        <f>EXP(-58.0931+90.5069*(100/H250)+22.294*LN(H250/100)+G250*(0.027766-0.025888*(H250/100)+0.0050578*(H250/100)^2)*G250)</f>
        <v>3.6969417393819308E-2</v>
      </c>
      <c r="U250" s="9">
        <f>(EXP(-67.1962+99.1624*(100/H250)+27.9015*LN(H250/100)+G250*(-0.072909+0.041674*(H250/100)-0.0064603*(H250/100)^2)*G250))</f>
        <v>3.3295146022680355E-2</v>
      </c>
      <c r="V250" s="9">
        <f>(EXP(-64.8539+100.252*(100/H250)+25.2049*LN(H250/100)+(-0.062544+0.035337*(H250/100)-0.0054699*(H250/100)^2)*G250))</f>
        <v>2.7121174918076467E-2</v>
      </c>
      <c r="W250" s="9">
        <f>(EXP(-68.8862+101.4956*(100/H250)+28.7314*LN(H250/100)+G250*(-0.076146+0.04397*(H250/100)-0.0068672*(H250/100)^2)))</f>
        <v>3.3240086873002311E-2</v>
      </c>
      <c r="X250" t="e">
        <f>N250*(AZ250-S250)</f>
        <v>#VALUE!</v>
      </c>
      <c r="Y250" t="e">
        <f>O250*(AZ250-S250)</f>
        <v>#VALUE!</v>
      </c>
      <c r="Z250" t="e">
        <f>((Y250/10^6)*AZ250)/(0.082056*H250)</f>
        <v>#VALUE!</v>
      </c>
      <c r="AA250">
        <f>(((L250/10^6)*AZ250)/(0.082056*H250))</f>
        <v>8.0072083891464855E-8</v>
      </c>
      <c r="AB250" t="e">
        <f>((Y250/10^6)*U250*1)/(0.082056*H250)</f>
        <v>#VALUE!</v>
      </c>
      <c r="AC250" t="e">
        <f>(Z250*(Q250/1000))+(AB250*(R250/1000))</f>
        <v>#VALUE!</v>
      </c>
      <c r="AD250" s="39" t="e">
        <f>((AC250-(AA250*(Q250/1000)))/(R250/1000))*1000000</f>
        <v>#VALUE!</v>
      </c>
      <c r="AE250" s="39" t="e">
        <f>(AD250/((U250*AZ250*1))*(0.0821*273.15))</f>
        <v>#VALUE!</v>
      </c>
      <c r="AF250" s="39">
        <f>L250*U250*AZ250*1/(0.0821*273.15)</f>
        <v>2.8772422981846171E-3</v>
      </c>
      <c r="AG250" s="39" t="e">
        <f>AD250-AF250</f>
        <v>#VALUE!</v>
      </c>
      <c r="AH250" s="42" t="e">
        <f>P250*(AZ250-S250)</f>
        <v>#VALUE!</v>
      </c>
      <c r="AI250" t="e">
        <f>(((X250/10^6)*(Q250/1000))/(0.082056*H250))</f>
        <v>#VALUE!</v>
      </c>
      <c r="AJ250">
        <f>(((K250/10^6)*AZ250)*(Q250/1000))/(0.082056*H250)</f>
        <v>9.4885974256849305E-7</v>
      </c>
      <c r="AK250" t="e">
        <f>(X250/10^6)*T250*(R250/1000)</f>
        <v>#VALUE!</v>
      </c>
      <c r="AL250" t="e">
        <f>AI250+AK250</f>
        <v>#VALUE!</v>
      </c>
      <c r="AM250" s="39" t="e">
        <f>((AL250-AJ250)/(R250/1000))*1000000</f>
        <v>#VALUE!</v>
      </c>
      <c r="AN250" s="39" t="e">
        <f>AM250/(T250*AZ250)</f>
        <v>#VALUE!</v>
      </c>
      <c r="AO250" s="39">
        <f>(K250*AZ250)*T250</f>
        <v>14.149859262315161</v>
      </c>
      <c r="AP250" s="39" t="e">
        <f>AM250-AO250</f>
        <v>#VALUE!</v>
      </c>
      <c r="AQ250" t="e">
        <f>(((AH250/10^6)*(Q250/1000))/(0.082056*H250))</f>
        <v>#VALUE!</v>
      </c>
      <c r="AR250">
        <f>(((M250/10^6)*AZ250)*(Q250/1000))/(0.082056*H250)</f>
        <v>6.7448639079502527E-10</v>
      </c>
      <c r="AS250" t="e">
        <f>(AH250/10^6)*V250*(R250/1000)</f>
        <v>#VALUE!</v>
      </c>
      <c r="AT250" t="e">
        <f>AQ250+AS250</f>
        <v>#VALUE!</v>
      </c>
      <c r="AU250" s="39" t="e">
        <f>((AT250-AR250)/(R250/1000))*1000000000</f>
        <v>#VALUE!</v>
      </c>
      <c r="AV250" s="39" t="e">
        <f>(AU250/1000)/(V250*AZ250)</f>
        <v>#VALUE!</v>
      </c>
      <c r="AW250" s="39">
        <f>(M250*AZ250)*V250*1000</f>
        <v>7.3788585236171862</v>
      </c>
      <c r="AX250" s="39" t="e">
        <f>AU250-AW250</f>
        <v>#VALUE!</v>
      </c>
      <c r="AY250" s="26">
        <f>VLOOKUP($E250,Water!$C$2:$G$90, 5, FALSE)</f>
        <v>714.4</v>
      </c>
      <c r="AZ250">
        <f>AY250/760</f>
        <v>0.94</v>
      </c>
      <c r="BA250" s="3">
        <f>Assumptions!$B$3</f>
        <v>406.07</v>
      </c>
      <c r="BB250" s="3">
        <f>BA250*AZ250*T250</f>
        <v>14.111441041841712</v>
      </c>
      <c r="BC250" s="3">
        <f>Assumptions!$B$4</f>
        <v>1.8474300000000001</v>
      </c>
      <c r="BD250" s="45">
        <f>BC250*AZ250*U250*1/(0.0821*273.15)</f>
        <v>2.5782938180147811E-3</v>
      </c>
      <c r="BE250" s="3">
        <f>Assumptions!$B$2</f>
        <v>0.33054499999999998</v>
      </c>
      <c r="BF250" s="44">
        <f>BE250*AZ250*V250*1000</f>
        <v>8.4268826374978492</v>
      </c>
      <c r="BG250">
        <f>1923.6+(-125.06*F250)+(4.3773*(F250^2))+(-0.085681*(F250^3))+(0.00070284*(F250^4))</f>
        <v>548.62357701158385</v>
      </c>
      <c r="BH250">
        <f>1909.4+(-120.78*F250)+(4.1555*(F250^2))+(-0.080578*(F250^3))+(0.00065777*(F250^4))</f>
        <v>565.00841160155244</v>
      </c>
      <c r="BI250">
        <f>2141.2+(-152.56*F250)+(5.8963*(F250^2))+(-0.12411*(F250^3))+(0.0010655*(F250^4))</f>
        <v>572.38765135279982</v>
      </c>
      <c r="BJ250" s="25">
        <f>VLOOKUP(E250,Wind!$C$2:$E$109,3, FALSE)</f>
        <v>2.8333333333333335</v>
      </c>
      <c r="BK250" s="44">
        <v>1.66</v>
      </c>
      <c r="BL250">
        <f>BK250/(1-(((1.3*10^-3)^0.5)/0.41)*LN(10/1.5))</f>
        <v>1.9923982880693825</v>
      </c>
      <c r="BM250">
        <f>BK250*1.22</f>
        <v>2.0251999999999999</v>
      </c>
      <c r="BN250">
        <f>2.07+0.215*(BM250^1.7)*(24/100)</f>
        <v>2.241255750541113</v>
      </c>
      <c r="BO250">
        <f>BN250*((600/BG250)^0.67)</f>
        <v>2.3797912395049967</v>
      </c>
      <c r="BP250">
        <f>BN250*((600/BH250)^0.67)</f>
        <v>2.3333289133092827</v>
      </c>
      <c r="BQ250">
        <f>BN250*((600/BI250)^0.67)</f>
        <v>2.3131312893259408</v>
      </c>
      <c r="BR250" s="39" t="e">
        <f>BO250*(AM250-BB250)</f>
        <v>#VALUE!</v>
      </c>
      <c r="BS250" s="39" t="e">
        <f>BP250*(AD250-BD250)</f>
        <v>#VALUE!</v>
      </c>
      <c r="BT250" s="39" t="e">
        <f>BQ250*(AU250-BF250)</f>
        <v>#VALUE!</v>
      </c>
      <c r="BU250">
        <f>(2.51+1.48*BM250)+(0.39*BM250*LOG10(0.0015))</f>
        <v>3.2768938069574309</v>
      </c>
      <c r="BV250">
        <f>BU250*((600/$BG250)^0.67)</f>
        <v>3.4794436880765169</v>
      </c>
      <c r="BW250">
        <f>BU250*((600/$BH250)^0.67)</f>
        <v>3.4115120792314251</v>
      </c>
      <c r="BX250">
        <f>BU250*((600/$BI250)^0.67)</f>
        <v>3.3819815497814556</v>
      </c>
      <c r="BY250" s="39" t="e">
        <f>BV250*($AM250-$BB250)</f>
        <v>#VALUE!</v>
      </c>
      <c r="BZ250" s="39" t="e">
        <f>BW250*($AD250-$BD250)</f>
        <v>#VALUE!</v>
      </c>
      <c r="CA250" s="39" t="e">
        <f>BX250*($AU250-$BF250)</f>
        <v>#VALUE!</v>
      </c>
      <c r="CB250" s="42">
        <f>AVERAGE(0.72,0.69,0.4,0.22)</f>
        <v>0.50750000000000006</v>
      </c>
      <c r="CC250">
        <f>CB250*((600/$BG250)^0.67)</f>
        <v>0.53886936096302118</v>
      </c>
      <c r="CD250">
        <f>CB250*((600/$BH250)^0.67)</f>
        <v>0.52834863813224564</v>
      </c>
      <c r="CE250">
        <f>CB250*((600/$BI250)^0.67)</f>
        <v>0.52377517784371264</v>
      </c>
      <c r="CF250" s="39" t="e">
        <f>CC250*($AM250-$BB250)</f>
        <v>#VALUE!</v>
      </c>
      <c r="CG250" s="39" t="e">
        <f>CD250*($AD250-$BD250)</f>
        <v>#VALUE!</v>
      </c>
      <c r="CH250" s="39" t="e">
        <f>CE250*($AU250-$BF250)</f>
        <v>#VALUE!</v>
      </c>
      <c r="CI250">
        <v>73.862639018895294</v>
      </c>
      <c r="CJ250">
        <f>((BG250/BH250)^0.67)*CI250</f>
        <v>72.420567138470176</v>
      </c>
      <c r="CK250">
        <f>((BH250/BH250)^0.67)*CI250</f>
        <v>73.862639018895294</v>
      </c>
      <c r="CL250">
        <f>((BI250/BH250)^0.67)*CI250</f>
        <v>74.50758719637453</v>
      </c>
      <c r="CM250" s="39" t="e">
        <f>CJ250*($AM250-$BB250)</f>
        <v>#VALUE!</v>
      </c>
      <c r="CN250" s="39" t="e">
        <f>CK250*($AD250-$BD250)</f>
        <v>#VALUE!</v>
      </c>
      <c r="CO250" s="39" t="e">
        <f>CL250*($AU250-$BF250)</f>
        <v>#VALUE!</v>
      </c>
      <c r="CP250" s="27">
        <f>VLOOKUP(A250,Water!$A$2:$E$109, 5, FALSE)/1000</f>
        <v>6.6E-4</v>
      </c>
      <c r="CQ250">
        <f>0.64*CP250</f>
        <v>4.2240000000000002E-4</v>
      </c>
      <c r="CR250" s="19">
        <f>CQ250*1000*(2.5*10^-5)</f>
        <v>1.0560000000000001E-5</v>
      </c>
      <c r="CS250" s="18">
        <f>(-0.0000009*F250^3)+(0.0002*F250^2)-(0.0134*F250)+6.579</f>
        <v>6.3726037911999995</v>
      </c>
      <c r="CT250" s="18">
        <f>CS250-(SQRT(CP250))/(1+1.4*SQRT(CP250))</f>
        <v>6.3478052466454331</v>
      </c>
      <c r="CU250" s="18">
        <f>10^(-CT250)</f>
        <v>4.4894666872453588E-7</v>
      </c>
      <c r="CV250" s="18">
        <f>(0.000001*F250^3)+(0.00006*F250^2)-(0.014*F250)+10.625</f>
        <v>10.358674632</v>
      </c>
      <c r="CW250" s="18">
        <f>CV250-(2*SQRT(CR250))/(1+1.4*SQRT(CR250))</f>
        <v>10.352204835367028</v>
      </c>
      <c r="CX250" s="18">
        <f>10^(-CW250)</f>
        <v>4.4442160619559801E-11</v>
      </c>
      <c r="CY250">
        <f>EXP(1246.98+-61900/H250-183*LN(H250))</f>
        <v>2.8112256352104199E-2</v>
      </c>
      <c r="CZ250">
        <f>12.225*(F250^2)+15.258*F250+1125.7</f>
        <v>7268.1333999999997</v>
      </c>
      <c r="DA250" s="15">
        <f>10^(-4470.99/H250+6.0875-0.01706*H250)</f>
        <v>7.8919706804238646E-15</v>
      </c>
      <c r="DB250">
        <f>(10^-I250)</f>
        <v>8.709635899560787E-10</v>
      </c>
      <c r="DC250">
        <f>DB250^2</f>
        <v>7.5857757502918042E-19</v>
      </c>
      <c r="DD250" s="20">
        <f>((14.6836*10^-9)*((H250/217.2056)-1)^1.997)*100*100</f>
        <v>1.8869802178103005E-5</v>
      </c>
      <c r="DE250">
        <f>CY250+CZ250*DA250/DB250</f>
        <v>9.397022832209434E-2</v>
      </c>
      <c r="DF250">
        <f>1+DC250*(CU250*CX250+CU250*DB250)^-1</f>
        <v>1.0018458296178128</v>
      </c>
      <c r="DG250">
        <f>(DE250*DF250/DD250)^0.5</f>
        <v>70.633693216216898</v>
      </c>
      <c r="DH250">
        <f>DD250/(BO250/60/60)</f>
        <v>2.8545061732095763E-2</v>
      </c>
      <c r="DI250" s="16">
        <f>DF250/((DF250-1)+TANH(DG250*DH250)/(DG250*DH250))</f>
        <v>2.0848472614758511</v>
      </c>
      <c r="DJ250" t="e">
        <f>$DI250*BR250</f>
        <v>#VALUE!</v>
      </c>
      <c r="DK250" t="e">
        <f>$DI250*BY250</f>
        <v>#VALUE!</v>
      </c>
      <c r="DL250" t="e">
        <f>$DI250*CF250</f>
        <v>#VALUE!</v>
      </c>
      <c r="DM250" t="e">
        <f>$DI250*CM250</f>
        <v>#VALUE!</v>
      </c>
    </row>
    <row r="251" spans="1:117" ht="15.75" x14ac:dyDescent="0.25">
      <c r="A251" s="52" t="s">
        <v>326</v>
      </c>
      <c r="B251" s="55" t="s">
        <v>340</v>
      </c>
      <c r="C251" s="62" t="s">
        <v>444</v>
      </c>
      <c r="D251" s="57">
        <v>43290</v>
      </c>
      <c r="E251" s="42" t="str">
        <f>A251&amp;D251</f>
        <v>66B43290</v>
      </c>
      <c r="F251" s="3">
        <f>VLOOKUP($E251,Water!$C$2:$E$90, 2, FALSE)</f>
        <v>21.8</v>
      </c>
      <c r="G251" s="3">
        <f>VLOOKUP($E251,Water!$C$2:$E$90, 3, FALSE)</f>
        <v>0.94</v>
      </c>
      <c r="H251" s="1">
        <f>F251+273.15</f>
        <v>294.95</v>
      </c>
      <c r="I251" s="3">
        <f>VLOOKUP($E251,Water!$C$2:$F$90, 4, FALSE)</f>
        <v>9.06</v>
      </c>
      <c r="J251">
        <f>10^(I251*-1)</f>
        <v>8.709635899560787E-10</v>
      </c>
      <c r="K251" s="25">
        <f>VLOOKUP($E251,Atm!$D$2:$G$100, 2, FALSE)</f>
        <v>407.17552045970331</v>
      </c>
      <c r="L251" s="25">
        <f>VLOOKUP($E251,Atm!$D$2:$G$100, 3, FALSE)</f>
        <v>2.0616361493772679</v>
      </c>
      <c r="M251" s="25">
        <f>VLOOKUP($E251,Atm!$D$2:$G$100, 4, FALSE)</f>
        <v>0.28943618839970642</v>
      </c>
      <c r="N251" s="21">
        <f>VLOOKUP($C251,Raw!$B$2:$F$353, 3, FALSE)</f>
        <v>255.62197009166221</v>
      </c>
      <c r="O251" s="21">
        <f>VLOOKUP($C251,Raw!$B$2:$F$353, 4, FALSE)</f>
        <v>134.11673431120721</v>
      </c>
      <c r="P251" s="21">
        <f>VLOOKUP($C251,Raw!$B$2:$F$353, 5, FALSE)</f>
        <v>0.26693403542182365</v>
      </c>
      <c r="Q251" s="14">
        <v>60</v>
      </c>
      <c r="R251" s="25">
        <v>1140</v>
      </c>
      <c r="S251">
        <f>EXP(24.4543-(100/H251*(67.4509))-(4.8489*LN(H251/100))-(0.000544*G251))</f>
        <v>2.5744289855222299E-2</v>
      </c>
      <c r="T251" s="8">
        <f>EXP(-58.0931+90.5069*(100/H251)+22.294*LN(H251/100)+G251*(0.027766-0.025888*(H251/100)+0.0050578*(H251/100)^2)*G251)</f>
        <v>3.6969417393819308E-2</v>
      </c>
      <c r="U251" s="9">
        <f>(EXP(-67.1962+99.1624*(100/H251)+27.9015*LN(H251/100)+G251*(-0.072909+0.041674*(H251/100)-0.0064603*(H251/100)^2)*G251))</f>
        <v>3.3295146022680355E-2</v>
      </c>
      <c r="V251" s="9">
        <f>(EXP(-64.8539+100.252*(100/H251)+25.2049*LN(H251/100)+(-0.062544+0.035337*(H251/100)-0.0054699*(H251/100)^2)*G251))</f>
        <v>2.7121174918076467E-2</v>
      </c>
      <c r="W251" s="9">
        <f>(EXP(-68.8862+101.4956*(100/H251)+28.7314*LN(H251/100)+G251*(-0.076146+0.04397*(H251/100)-0.0068672*(H251/100)^2)))</f>
        <v>3.3240086873002311E-2</v>
      </c>
      <c r="X251">
        <f>N251*(AZ251-S251)</f>
        <v>233.70384579475976</v>
      </c>
      <c r="Y251">
        <f>O251*(AZ251-S251)</f>
        <v>122.61699016999123</v>
      </c>
      <c r="Z251">
        <f>((Y251/10^6)*AZ251)/(0.082056*H251)</f>
        <v>4.7623330267933627E-6</v>
      </c>
      <c r="AA251">
        <f>(((L251/10^6)*AZ251)/(0.082056*H251))</f>
        <v>8.0072083891464855E-8</v>
      </c>
      <c r="AB251">
        <f>((Y251/10^6)*U251*1)/(0.082056*H251)</f>
        <v>1.6868358886778546E-7</v>
      </c>
      <c r="AC251">
        <f>(Z251*(Q251/1000))+(AB251*(R251/1000))</f>
        <v>4.7803927291687724E-7</v>
      </c>
      <c r="AD251" s="39">
        <f>((AC251-(AA251*(Q251/1000)))/(R251/1000))*1000000</f>
        <v>0.41511837533630652</v>
      </c>
      <c r="AE251" s="39">
        <f>(AD251/((U251*AZ251*1))*(0.0821*273.15))</f>
        <v>297.44559552877007</v>
      </c>
      <c r="AF251" s="39">
        <f>L251*U251*AZ251*1/(0.0821*273.15)</f>
        <v>2.8772422981846171E-3</v>
      </c>
      <c r="AG251" s="39">
        <f>AD251-AF251</f>
        <v>0.41224113303812193</v>
      </c>
      <c r="AH251" s="42">
        <f>P251*(AZ251-S251)</f>
        <v>0.24404596611639062</v>
      </c>
      <c r="AI251">
        <f>(((X251/10^6)*(Q251/1000))/(0.082056*H251))</f>
        <v>5.7937315235131076E-7</v>
      </c>
      <c r="AJ251">
        <f>(((K251/10^6)*AZ251)*(Q251/1000))/(0.082056*H251)</f>
        <v>9.4885974256849305E-7</v>
      </c>
      <c r="AK251">
        <f>(X251/10^6)*T251*(R251/1000)</f>
        <v>9.8494803247690725E-6</v>
      </c>
      <c r="AL251">
        <f>AI251+AK251</f>
        <v>1.0428853477120384E-5</v>
      </c>
      <c r="AM251" s="39">
        <f>((AL251-AJ251)/(R251/1000))*1000000</f>
        <v>8.3157839776770981</v>
      </c>
      <c r="AN251" s="39">
        <f>AM251/(T251*AZ251)</f>
        <v>239.29451214818155</v>
      </c>
      <c r="AO251" s="39">
        <f>(K251*AZ251)*T251</f>
        <v>14.149859262315161</v>
      </c>
      <c r="AP251" s="39">
        <f>AM251-AO251</f>
        <v>-5.8340752846380628</v>
      </c>
      <c r="AQ251">
        <f>(((AH251/10^6)*(Q251/1000))/(0.082056*H251))</f>
        <v>6.0501221204398706E-10</v>
      </c>
      <c r="AR251">
        <f>(((M251/10^6)*AZ251)*(Q251/1000))/(0.082056*H251)</f>
        <v>6.7448639079502527E-10</v>
      </c>
      <c r="AS251">
        <f>(AH251/10^6)*V251*(R251/1000)</f>
        <v>7.5454472020066948E-9</v>
      </c>
      <c r="AT251">
        <f>AQ251+AS251</f>
        <v>8.1504594140506812E-9</v>
      </c>
      <c r="AU251" s="39">
        <f>((AT251-AR251)/(R251/1000))*1000000000</f>
        <v>6.5578710730312766</v>
      </c>
      <c r="AV251" s="39">
        <f>(AU251/1000)/(V251*AZ251)</f>
        <v>0.25723290415716032</v>
      </c>
      <c r="AW251" s="39">
        <f>(M251*AZ251)*V251*1000</f>
        <v>7.3788585236171862</v>
      </c>
      <c r="AX251" s="39">
        <f>AU251-AW251</f>
        <v>-0.82098745058590961</v>
      </c>
      <c r="AY251" s="26">
        <f>VLOOKUP($E251,Water!$C$2:$G$90, 5, FALSE)</f>
        <v>714.4</v>
      </c>
      <c r="AZ251">
        <f>AY251/760</f>
        <v>0.94</v>
      </c>
      <c r="BA251" s="3">
        <f>Assumptions!$B$3</f>
        <v>406.07</v>
      </c>
      <c r="BB251" s="3">
        <f>BA251*AZ251*T251</f>
        <v>14.111441041841712</v>
      </c>
      <c r="BC251" s="3">
        <f>Assumptions!$B$4</f>
        <v>1.8474300000000001</v>
      </c>
      <c r="BD251" s="45">
        <f>BC251*AZ251*U251*1/(0.0821*273.15)</f>
        <v>2.5782938180147811E-3</v>
      </c>
      <c r="BE251" s="3">
        <f>Assumptions!$B$2</f>
        <v>0.33054499999999998</v>
      </c>
      <c r="BF251" s="44">
        <f>BE251*AZ251*V251*1000</f>
        <v>8.4268826374978492</v>
      </c>
      <c r="BG251">
        <f>1923.6+(-125.06*F251)+(4.3773*(F251^2))+(-0.085681*(F251^3))+(0.00070284*(F251^4))</f>
        <v>548.62357701158385</v>
      </c>
      <c r="BH251">
        <f>1909.4+(-120.78*F251)+(4.1555*(F251^2))+(-0.080578*(F251^3))+(0.00065777*(F251^4))</f>
        <v>565.00841160155244</v>
      </c>
      <c r="BI251">
        <f>2141.2+(-152.56*F251)+(5.8963*(F251^2))+(-0.12411*(F251^3))+(0.0010655*(F251^4))</f>
        <v>572.38765135279982</v>
      </c>
      <c r="BJ251" s="25">
        <f>VLOOKUP(E251,Wind!$C$2:$E$109,3, FALSE)</f>
        <v>2.8333333333333335</v>
      </c>
      <c r="BK251" s="44">
        <v>1.66</v>
      </c>
      <c r="BL251">
        <f>BK251/(1-(((1.3*10^-3)^0.5)/0.41)*LN(10/1.5))</f>
        <v>1.9923982880693825</v>
      </c>
      <c r="BM251">
        <f>BK251*1.22</f>
        <v>2.0251999999999999</v>
      </c>
      <c r="BN251">
        <f>2.07+0.215*(BM251^1.7)*(24/100)</f>
        <v>2.241255750541113</v>
      </c>
      <c r="BO251">
        <f>BN251*((600/BG251)^0.67)</f>
        <v>2.3797912395049967</v>
      </c>
      <c r="BP251">
        <f>BN251*((600/BH251)^0.67)</f>
        <v>2.3333289133092827</v>
      </c>
      <c r="BQ251">
        <f>BN251*((600/BI251)^0.67)</f>
        <v>2.3131312893259408</v>
      </c>
      <c r="BR251" s="39">
        <f>BO251*(AM251-BB251)</f>
        <v>-13.792453908474196</v>
      </c>
      <c r="BS251" s="39">
        <f>BP251*(AD251-BD251)</f>
        <v>0.96259170010559858</v>
      </c>
      <c r="BT251" s="39">
        <f>BQ251*(AU251-BF251)</f>
        <v>-4.3232691298796571</v>
      </c>
      <c r="BU251">
        <f>(2.51+1.48*BM251)+(0.39*BM251*LOG10(0.0015))</f>
        <v>3.2768938069574309</v>
      </c>
      <c r="BV251">
        <f>BU251*((600/$BG251)^0.67)</f>
        <v>3.4794436880765169</v>
      </c>
      <c r="BW251">
        <f>BU251*((600/$BH251)^0.67)</f>
        <v>3.4115120792314251</v>
      </c>
      <c r="BX251">
        <f>BU251*((600/$BI251)^0.67)</f>
        <v>3.3819815497814556</v>
      </c>
      <c r="BY251" s="39">
        <f>BV251*($AM251-$BB251)</f>
        <v>-20.165662390163643</v>
      </c>
      <c r="BZ251" s="39">
        <f>BW251*($AD251-$BD251)</f>
        <v>1.4073854712667691</v>
      </c>
      <c r="CA251" s="39">
        <f>BX251*($AU251-$BF251)</f>
        <v>-6.3209626273541222</v>
      </c>
      <c r="CB251" s="42">
        <f>AVERAGE(0.72,0.69,0.4,0.22)</f>
        <v>0.50750000000000006</v>
      </c>
      <c r="CC251">
        <f>CB251*((600/$BG251)^0.67)</f>
        <v>0.53886936096302118</v>
      </c>
      <c r="CD251">
        <f>CB251*((600/$BH251)^0.67)</f>
        <v>0.52834863813224564</v>
      </c>
      <c r="CE251">
        <f>CB251*((600/$BI251)^0.67)</f>
        <v>0.52377517784371264</v>
      </c>
      <c r="CF251" s="39">
        <f>CC251*($AM251-$BB251)</f>
        <v>-3.1231020185272049</v>
      </c>
      <c r="CG251" s="39">
        <f>CD251*($AD251-$BD251)</f>
        <v>0.21796499024515503</v>
      </c>
      <c r="CH251" s="39">
        <f>CE251*($AU251-$BF251)</f>
        <v>-0.97894186457043464</v>
      </c>
      <c r="CI251">
        <v>74.862639018895294</v>
      </c>
      <c r="CJ251">
        <f>((BG251/BH251)^0.67)*CI251</f>
        <v>73.40104344016234</v>
      </c>
      <c r="CK251">
        <f>((BH251/BH251)^0.67)*CI251</f>
        <v>74.862639018895294</v>
      </c>
      <c r="CL251">
        <f>((BI251/BH251)^0.67)*CI251</f>
        <v>75.516318920369855</v>
      </c>
      <c r="CM251" s="39">
        <f>CJ251*($AM251-$BB251)</f>
        <v>-425.40727593103054</v>
      </c>
      <c r="CN251" s="39">
        <f>CK251*($AD251-$BD251)</f>
        <v>30.883839203529512</v>
      </c>
      <c r="CO251" s="39">
        <f>CL251*($AU251-$BF251)</f>
        <v>-141.1408733681171</v>
      </c>
      <c r="CP251" s="27">
        <f>VLOOKUP(A251,Water!$A$2:$E$109, 5, FALSE)/1000</f>
        <v>6.6E-4</v>
      </c>
      <c r="CQ251">
        <f>0.64*CP251</f>
        <v>4.2240000000000002E-4</v>
      </c>
      <c r="CR251" s="19">
        <f>CQ251*1000*(2.5*10^-5)</f>
        <v>1.0560000000000001E-5</v>
      </c>
      <c r="CS251" s="18">
        <f>(-0.0000009*F251^3)+(0.0002*F251^2)-(0.0134*F251)+6.579</f>
        <v>6.3726037911999995</v>
      </c>
      <c r="CT251" s="18">
        <f>CS251-(SQRT(CP251))/(1+1.4*SQRT(CP251))</f>
        <v>6.3478052466454331</v>
      </c>
      <c r="CU251" s="18">
        <f>10^(-CT251)</f>
        <v>4.4894666872453588E-7</v>
      </c>
      <c r="CV251" s="18">
        <f>(0.000001*F251^3)+(0.00006*F251^2)-(0.014*F251)+10.625</f>
        <v>10.358674632</v>
      </c>
      <c r="CW251" s="18">
        <f>CV251-(2*SQRT(CR251))/(1+1.4*SQRT(CR251))</f>
        <v>10.352204835367028</v>
      </c>
      <c r="CX251" s="18">
        <f>10^(-CW251)</f>
        <v>4.4442160619559801E-11</v>
      </c>
      <c r="CY251">
        <f>EXP(1246.98+-61900/H251-183*LN(H251))</f>
        <v>2.8112256352104199E-2</v>
      </c>
      <c r="CZ251">
        <f>12.225*(F251^2)+15.258*F251+1125.7</f>
        <v>7268.1333999999997</v>
      </c>
      <c r="DA251" s="15">
        <f>10^(-4470.99/H251+6.0875-0.01706*H251)</f>
        <v>7.8919706804238646E-15</v>
      </c>
      <c r="DB251">
        <f>(10^-I251)</f>
        <v>8.709635899560787E-10</v>
      </c>
      <c r="DC251">
        <f>DB251^2</f>
        <v>7.5857757502918042E-19</v>
      </c>
      <c r="DD251" s="20">
        <f>((14.6836*10^-9)*((H251/217.2056)-1)^1.997)*100*100</f>
        <v>1.8869802178103005E-5</v>
      </c>
      <c r="DE251">
        <f>CY251+CZ251*DA251/DB251</f>
        <v>9.397022832209434E-2</v>
      </c>
      <c r="DF251">
        <f>1+DC251*(CU251*CX251+CU251*DB251)^-1</f>
        <v>1.0018458296178128</v>
      </c>
      <c r="DG251">
        <f>(DE251*DF251/DD251)^0.5</f>
        <v>70.633693216216898</v>
      </c>
      <c r="DH251">
        <f>DD251/(BO251/60/60)</f>
        <v>2.8545061732095763E-2</v>
      </c>
      <c r="DI251" s="16">
        <f>DF251/((DF251-1)+TANH(DG251*DH251)/(DG251*DH251))</f>
        <v>2.0848472614758511</v>
      </c>
      <c r="DJ251">
        <f>$DI251*BR251</f>
        <v>-28.755159760114324</v>
      </c>
      <c r="DK251">
        <f>$DI251*BY251</f>
        <v>-42.042326009979234</v>
      </c>
      <c r="DL251">
        <f>$DI251*CF251</f>
        <v>-6.5111906906361456</v>
      </c>
      <c r="DM251">
        <f>$DI251*CM251</f>
        <v>-886.90919423671073</v>
      </c>
    </row>
    <row r="252" spans="1:117" ht="15.75" x14ac:dyDescent="0.25">
      <c r="A252" s="52" t="s">
        <v>326</v>
      </c>
      <c r="B252" s="55" t="s">
        <v>341</v>
      </c>
      <c r="C252" s="62" t="s">
        <v>445</v>
      </c>
      <c r="D252" s="57">
        <v>43290</v>
      </c>
      <c r="E252" s="42" t="str">
        <f>A252&amp;D252</f>
        <v>66B43290</v>
      </c>
      <c r="F252" s="3">
        <f>VLOOKUP($E252,Water!$C$2:$E$90, 2, FALSE)</f>
        <v>21.8</v>
      </c>
      <c r="G252" s="3">
        <f>VLOOKUP($E252,Water!$C$2:$E$90, 3, FALSE)</f>
        <v>0.94</v>
      </c>
      <c r="H252" s="1">
        <f>F252+273.15</f>
        <v>294.95</v>
      </c>
      <c r="I252" s="3">
        <f>VLOOKUP($E252,Water!$C$2:$F$90, 4, FALSE)</f>
        <v>9.06</v>
      </c>
      <c r="J252">
        <f>10^(I252*-1)</f>
        <v>8.709635899560787E-10</v>
      </c>
      <c r="K252" s="25">
        <f>VLOOKUP($E252,Atm!$D$2:$G$100, 2, FALSE)</f>
        <v>407.17552045970331</v>
      </c>
      <c r="L252" s="25">
        <f>VLOOKUP($E252,Atm!$D$2:$G$100, 3, FALSE)</f>
        <v>2.0616361493772679</v>
      </c>
      <c r="M252" s="25">
        <f>VLOOKUP($E252,Atm!$D$2:$G$100, 4, FALSE)</f>
        <v>0.28943618839970642</v>
      </c>
      <c r="N252" s="21">
        <f>VLOOKUP($C252,Raw!$B$2:$F$353, 3, FALSE)</f>
        <v>188.8323419546559</v>
      </c>
      <c r="O252" s="21">
        <f>VLOOKUP($C252,Raw!$B$2:$F$353, 4, FALSE)</f>
        <v>179.7089261388461</v>
      </c>
      <c r="P252" s="21">
        <f>VLOOKUP($C252,Raw!$B$2:$F$353, 5, FALSE)</f>
        <v>0.26912198580796454</v>
      </c>
      <c r="Q252" s="14">
        <v>60</v>
      </c>
      <c r="R252" s="25">
        <v>1140</v>
      </c>
      <c r="S252">
        <f>EXP(24.4543-(100/H252*(67.4509))-(4.8489*LN(H252/100))-(0.000544*G252))</f>
        <v>2.5744289855222299E-2</v>
      </c>
      <c r="T252" s="8">
        <f>EXP(-58.0931+90.5069*(100/H252)+22.294*LN(H252/100)+G252*(0.027766-0.025888*(H252/100)+0.0050578*(H252/100)^2)*G252)</f>
        <v>3.6969417393819308E-2</v>
      </c>
      <c r="U252" s="9">
        <f>(EXP(-67.1962+99.1624*(100/H252)+27.9015*LN(H252/100)+G252*(-0.072909+0.041674*(H252/100)-0.0064603*(H252/100)^2)*G252))</f>
        <v>3.3295146022680355E-2</v>
      </c>
      <c r="V252" s="9">
        <f>(EXP(-64.8539+100.252*(100/H252)+25.2049*LN(H252/100)+(-0.062544+0.035337*(H252/100)-0.0054699*(H252/100)^2)*G252))</f>
        <v>2.7121174918076467E-2</v>
      </c>
      <c r="W252" s="9">
        <f>(EXP(-68.8862+101.4956*(100/H252)+28.7314*LN(H252/100)+G252*(-0.076146+0.04397*(H252/100)-0.0068672*(H252/100)^2)))</f>
        <v>3.3240086873002311E-2</v>
      </c>
      <c r="X252">
        <f>N252*(AZ252-S252)</f>
        <v>172.64104689205544</v>
      </c>
      <c r="Y252">
        <f>O252*(AZ252-S252)</f>
        <v>164.29991188642614</v>
      </c>
      <c r="Z252">
        <f>((Y252/10^6)*AZ252)/(0.082056*H252)</f>
        <v>6.3812600161789035E-6</v>
      </c>
      <c r="AA252">
        <f>(((L252/10^6)*AZ252)/(0.082056*H252))</f>
        <v>8.0072083891464855E-8</v>
      </c>
      <c r="AB252">
        <f>((Y252/10^6)*U252*1)/(0.082056*H252)</f>
        <v>2.2602657877379596E-7</v>
      </c>
      <c r="AC252">
        <f>(Z252*(Q252/1000))+(AB252*(R252/1000))</f>
        <v>6.4054590077286156E-7</v>
      </c>
      <c r="AD252" s="39">
        <f>((AC252-(AA252*(Q252/1000)))/(R252/1000))*1000000</f>
        <v>0.55766804889418753</v>
      </c>
      <c r="AE252" s="39">
        <f>(AD252/((U252*AZ252*1))*(0.0821*273.15))</f>
        <v>399.5869967845079</v>
      </c>
      <c r="AF252" s="39">
        <f>L252*U252*AZ252*1/(0.0821*273.15)</f>
        <v>2.8772422981846171E-3</v>
      </c>
      <c r="AG252" s="39">
        <f>AD252-AF252</f>
        <v>0.55479080659600288</v>
      </c>
      <c r="AH252" s="42">
        <f>P252*(AZ252-S252)</f>
        <v>0.24604631225043341</v>
      </c>
      <c r="AI252">
        <f>(((X252/10^6)*(Q252/1000))/(0.082056*H252))</f>
        <v>4.2799290368084916E-7</v>
      </c>
      <c r="AJ252">
        <f>(((K252/10^6)*AZ252)*(Q252/1000))/(0.082056*H252)</f>
        <v>9.4885974256849305E-7</v>
      </c>
      <c r="AK252">
        <f>(X252/10^6)*T252*(R252/1000)</f>
        <v>7.2759803709184946E-6</v>
      </c>
      <c r="AL252">
        <f>AI252+AK252</f>
        <v>7.7039732745993441E-6</v>
      </c>
      <c r="AM252" s="39">
        <f>((AL252-AJ252)/(R252/1000))*1000000</f>
        <v>5.9255381859919751</v>
      </c>
      <c r="AN252" s="39">
        <f>AM252/(T252*AZ252)</f>
        <v>170.51293939798268</v>
      </c>
      <c r="AO252" s="39">
        <f>(K252*AZ252)*T252</f>
        <v>14.149859262315161</v>
      </c>
      <c r="AP252" s="39">
        <f>AM252-AO252</f>
        <v>-8.2243210763231858</v>
      </c>
      <c r="AQ252">
        <f>(((AH252/10^6)*(Q252/1000))/(0.082056*H252))</f>
        <v>6.0997125258323387E-10</v>
      </c>
      <c r="AR252">
        <f>(((M252/10^6)*AZ252)*(Q252/1000))/(0.082056*H252)</f>
        <v>6.7448639079502527E-10</v>
      </c>
      <c r="AS252">
        <f>(AH252/10^6)*V252*(R252/1000)</f>
        <v>7.6072941826404975E-9</v>
      </c>
      <c r="AT252">
        <f>AQ252+AS252</f>
        <v>8.2172654352237314E-9</v>
      </c>
      <c r="AU252" s="39">
        <f>((AT252-AR252)/(R252/1000))*1000000000</f>
        <v>6.6164728459900948</v>
      </c>
      <c r="AV252" s="39">
        <f>(AU252/1000)/(V252*AZ252)</f>
        <v>0.25953156237704322</v>
      </c>
      <c r="AW252" s="39">
        <f>(M252*AZ252)*V252*1000</f>
        <v>7.3788585236171862</v>
      </c>
      <c r="AX252" s="39">
        <f>AU252-AW252</f>
        <v>-0.76238567762709142</v>
      </c>
      <c r="AY252" s="26">
        <f>VLOOKUP($E252,Water!$C$2:$G$90, 5, FALSE)</f>
        <v>714.4</v>
      </c>
      <c r="AZ252">
        <f>AY252/760</f>
        <v>0.94</v>
      </c>
      <c r="BA252" s="3">
        <f>Assumptions!$B$3</f>
        <v>406.07</v>
      </c>
      <c r="BB252" s="3">
        <f>BA252*AZ252*T252</f>
        <v>14.111441041841712</v>
      </c>
      <c r="BC252" s="3">
        <f>Assumptions!$B$4</f>
        <v>1.8474300000000001</v>
      </c>
      <c r="BD252" s="45">
        <f>BC252*AZ252*U252*1/(0.0821*273.15)</f>
        <v>2.5782938180147811E-3</v>
      </c>
      <c r="BE252" s="3">
        <f>Assumptions!$B$2</f>
        <v>0.33054499999999998</v>
      </c>
      <c r="BF252" s="44">
        <f>BE252*AZ252*V252*1000</f>
        <v>8.4268826374978492</v>
      </c>
      <c r="BG252">
        <f>1923.6+(-125.06*F252)+(4.3773*(F252^2))+(-0.085681*(F252^3))+(0.00070284*(F252^4))</f>
        <v>548.62357701158385</v>
      </c>
      <c r="BH252">
        <f>1909.4+(-120.78*F252)+(4.1555*(F252^2))+(-0.080578*(F252^3))+(0.00065777*(F252^4))</f>
        <v>565.00841160155244</v>
      </c>
      <c r="BI252">
        <f>2141.2+(-152.56*F252)+(5.8963*(F252^2))+(-0.12411*(F252^3))+(0.0010655*(F252^4))</f>
        <v>572.38765135279982</v>
      </c>
      <c r="BJ252" s="25">
        <f>VLOOKUP(E252,Wind!$C$2:$E$109,3, FALSE)</f>
        <v>2.8333333333333335</v>
      </c>
      <c r="BK252" s="44">
        <v>1.66</v>
      </c>
      <c r="BL252">
        <f>BK252/(1-(((1.3*10^-3)^0.5)/0.41)*LN(10/1.5))</f>
        <v>1.9923982880693825</v>
      </c>
      <c r="BM252">
        <f>BK252*1.22</f>
        <v>2.0251999999999999</v>
      </c>
      <c r="BN252">
        <f>2.07+0.215*(BM252^1.7)*(24/100)</f>
        <v>2.241255750541113</v>
      </c>
      <c r="BO252">
        <f>BN252*((600/BG252)^0.67)</f>
        <v>2.3797912395049967</v>
      </c>
      <c r="BP252">
        <f>BN252*((600/BH252)^0.67)</f>
        <v>2.3333289133092827</v>
      </c>
      <c r="BQ252">
        <f>BN252*((600/BI252)^0.67)</f>
        <v>2.3131312893259408</v>
      </c>
      <c r="BR252" s="39">
        <f>BO252*(AM252-BB252)</f>
        <v>-19.480739903790138</v>
      </c>
      <c r="BS252" s="39">
        <f>BP252*(AD252-BD252)</f>
        <v>1.295206975001002</v>
      </c>
      <c r="BT252" s="39">
        <f>BQ252*(AU252-BF252)</f>
        <v>-4.1877155352386399</v>
      </c>
      <c r="BU252">
        <f>(2.51+1.48*BM252)+(0.39*BM252*LOG10(0.0015))</f>
        <v>3.2768938069574309</v>
      </c>
      <c r="BV252">
        <f>BU252*((600/$BG252)^0.67)</f>
        <v>3.4794436880765169</v>
      </c>
      <c r="BW252">
        <f>BU252*((600/$BH252)^0.67)</f>
        <v>3.4115120792314251</v>
      </c>
      <c r="BX252">
        <f>BU252*((600/$BI252)^0.67)</f>
        <v>3.3819815497814556</v>
      </c>
      <c r="BY252" s="39">
        <f>BV252*($AM252-$BB252)</f>
        <v>-28.482388022993899</v>
      </c>
      <c r="BZ252" s="39">
        <f>BW252*($AD252-$BD252)</f>
        <v>1.8936954044999765</v>
      </c>
      <c r="CA252" s="39">
        <f>BX252*($AU252-$BF252)</f>
        <v>-6.1227725124229169</v>
      </c>
      <c r="CB252" s="42">
        <f>AVERAGE(0.72,0.69,0.4,0.22)</f>
        <v>0.50750000000000006</v>
      </c>
      <c r="CC252">
        <f>CB252*((600/$BG252)^0.67)</f>
        <v>0.53886936096302118</v>
      </c>
      <c r="CD252">
        <f>CB252*((600/$BH252)^0.67)</f>
        <v>0.52834863813224564</v>
      </c>
      <c r="CE252">
        <f>CB252*((600/$BI252)^0.67)</f>
        <v>0.52377517784371264</v>
      </c>
      <c r="CF252" s="39">
        <f>CC252*($AM252-$BB252)</f>
        <v>-4.4111322408371176</v>
      </c>
      <c r="CG252" s="39">
        <f>CD252*($AD252-$BD252)</f>
        <v>0.29328091613565765</v>
      </c>
      <c r="CH252" s="39">
        <f>CE252*($AU252-$BF252)</f>
        <v>-0.94824771051697276</v>
      </c>
      <c r="CI252">
        <v>75.862639018895294</v>
      </c>
      <c r="CJ252">
        <f>((BG252/BH252)^0.67)*CI252</f>
        <v>74.381519741854518</v>
      </c>
      <c r="CK252">
        <f>((BH252/BH252)^0.67)*CI252</f>
        <v>75.862639018895294</v>
      </c>
      <c r="CL252">
        <f>((BI252/BH252)^0.67)*CI252</f>
        <v>76.52505064436518</v>
      </c>
      <c r="CM252" s="39">
        <f>CJ252*($AM252-$BB252)</f>
        <v>-608.87989487729044</v>
      </c>
      <c r="CN252" s="39">
        <f>CK252*($AD252-$BD252)</f>
        <v>42.110573712430693</v>
      </c>
      <c r="CO252" s="39">
        <f>CL252*($AU252-$BF252)</f>
        <v>-138.54170098218552</v>
      </c>
      <c r="CP252" s="27">
        <f>VLOOKUP(A252,Water!$A$2:$E$109, 5, FALSE)/1000</f>
        <v>6.6E-4</v>
      </c>
      <c r="CQ252">
        <f>0.64*CP252</f>
        <v>4.2240000000000002E-4</v>
      </c>
      <c r="CR252" s="19">
        <f>CQ252*1000*(2.5*10^-5)</f>
        <v>1.0560000000000001E-5</v>
      </c>
      <c r="CS252" s="18">
        <f>(-0.0000009*F252^3)+(0.0002*F252^2)-(0.0134*F252)+6.579</f>
        <v>6.3726037911999995</v>
      </c>
      <c r="CT252" s="18">
        <f>CS252-(SQRT(CP252))/(1+1.4*SQRT(CP252))</f>
        <v>6.3478052466454331</v>
      </c>
      <c r="CU252" s="18">
        <f>10^(-CT252)</f>
        <v>4.4894666872453588E-7</v>
      </c>
      <c r="CV252" s="18">
        <f>(0.000001*F252^3)+(0.00006*F252^2)-(0.014*F252)+10.625</f>
        <v>10.358674632</v>
      </c>
      <c r="CW252" s="18">
        <f>CV252-(2*SQRT(CR252))/(1+1.4*SQRT(CR252))</f>
        <v>10.352204835367028</v>
      </c>
      <c r="CX252" s="18">
        <f>10^(-CW252)</f>
        <v>4.4442160619559801E-11</v>
      </c>
      <c r="CY252">
        <f>EXP(1246.98+-61900/H252-183*LN(H252))</f>
        <v>2.8112256352104199E-2</v>
      </c>
      <c r="CZ252">
        <f>12.225*(F252^2)+15.258*F252+1125.7</f>
        <v>7268.1333999999997</v>
      </c>
      <c r="DA252" s="15">
        <f>10^(-4470.99/H252+6.0875-0.01706*H252)</f>
        <v>7.8919706804238646E-15</v>
      </c>
      <c r="DB252">
        <f>(10^-I252)</f>
        <v>8.709635899560787E-10</v>
      </c>
      <c r="DC252">
        <f>DB252^2</f>
        <v>7.5857757502918042E-19</v>
      </c>
      <c r="DD252" s="20">
        <f>((14.6836*10^-9)*((H252/217.2056)-1)^1.997)*100*100</f>
        <v>1.8869802178103005E-5</v>
      </c>
      <c r="DE252">
        <f>CY252+CZ252*DA252/DB252</f>
        <v>9.397022832209434E-2</v>
      </c>
      <c r="DF252">
        <f>1+DC252*(CU252*CX252+CU252*DB252)^-1</f>
        <v>1.0018458296178128</v>
      </c>
      <c r="DG252">
        <f>(DE252*DF252/DD252)^0.5</f>
        <v>70.633693216216898</v>
      </c>
      <c r="DH252">
        <f>DD252/(BO252/60/60)</f>
        <v>2.8545061732095763E-2</v>
      </c>
      <c r="DI252" s="16">
        <f>DF252/((DF252-1)+TANH(DG252*DH252)/(DG252*DH252))</f>
        <v>2.0848472614758511</v>
      </c>
      <c r="DJ252">
        <f>$DI252*BR252</f>
        <v>-40.614367239940201</v>
      </c>
      <c r="DK252">
        <f>$DI252*BY252</f>
        <v>-59.381428670031411</v>
      </c>
      <c r="DL252">
        <f>$DI252*CF252</f>
        <v>-9.1965369723170998</v>
      </c>
      <c r="DM252">
        <f>$DI252*CM252</f>
        <v>-1269.4215814026231</v>
      </c>
    </row>
    <row r="253" spans="1:117" ht="15.75" x14ac:dyDescent="0.25">
      <c r="A253" s="52" t="s">
        <v>326</v>
      </c>
      <c r="B253" s="55" t="s">
        <v>342</v>
      </c>
      <c r="C253" s="62" t="s">
        <v>446</v>
      </c>
      <c r="D253" s="57">
        <v>43290</v>
      </c>
      <c r="E253" s="42" t="str">
        <f>A253&amp;D253</f>
        <v>66B43290</v>
      </c>
      <c r="F253" s="3">
        <f>VLOOKUP($E253,Water!$C$2:$E$90, 2, FALSE)</f>
        <v>21.8</v>
      </c>
      <c r="G253" s="3">
        <f>VLOOKUP($E253,Water!$C$2:$E$90, 3, FALSE)</f>
        <v>0.94</v>
      </c>
      <c r="H253" s="1">
        <f>F253+273.15</f>
        <v>294.95</v>
      </c>
      <c r="I253" s="3">
        <f>VLOOKUP($E253,Water!$C$2:$F$90, 4, FALSE)</f>
        <v>9.06</v>
      </c>
      <c r="J253">
        <f>10^(I253*-1)</f>
        <v>8.709635899560787E-10</v>
      </c>
      <c r="K253" s="25">
        <f>VLOOKUP($E253,Atm!$D$2:$G$100, 2, FALSE)</f>
        <v>407.17552045970331</v>
      </c>
      <c r="L253" s="25">
        <f>VLOOKUP($E253,Atm!$D$2:$G$100, 3, FALSE)</f>
        <v>2.0616361493772679</v>
      </c>
      <c r="M253" s="25">
        <f>VLOOKUP($E253,Atm!$D$2:$G$100, 4, FALSE)</f>
        <v>0.28943618839970642</v>
      </c>
      <c r="N253" s="21">
        <f>VLOOKUP($C253,Raw!$B$2:$F$353, 3, FALSE)</f>
        <v>185.65579790212831</v>
      </c>
      <c r="O253" s="21">
        <f>VLOOKUP($C253,Raw!$B$2:$F$353, 4, FALSE)</f>
        <v>180.3797626927219</v>
      </c>
      <c r="P253" s="21">
        <f>VLOOKUP($C253,Raw!$B$2:$F$353, 5, FALSE)</f>
        <v>0.26893410603923745</v>
      </c>
      <c r="Q253" s="14">
        <v>60</v>
      </c>
      <c r="R253" s="25">
        <v>1140</v>
      </c>
      <c r="S253">
        <f>EXP(24.4543-(100/H253*(67.4509))-(4.8489*LN(H253/100))-(0.000544*G253))</f>
        <v>2.5744289855222299E-2</v>
      </c>
      <c r="T253" s="8">
        <f>EXP(-58.0931+90.5069*(100/H253)+22.294*LN(H253/100)+G253*(0.027766-0.025888*(H253/100)+0.0050578*(H253/100)^2)*G253)</f>
        <v>3.6969417393819308E-2</v>
      </c>
      <c r="U253" s="9">
        <f>(EXP(-67.1962+99.1624*(100/H253)+27.9015*LN(H253/100)+G253*(-0.072909+0.041674*(H253/100)-0.0064603*(H253/100)^2)*G253))</f>
        <v>3.3295146022680355E-2</v>
      </c>
      <c r="V253" s="9">
        <f>(EXP(-64.8539+100.252*(100/H253)+25.2049*LN(H253/100)+(-0.062544+0.035337*(H253/100)-0.0054699*(H253/100)^2)*G253))</f>
        <v>2.7121174918076467E-2</v>
      </c>
      <c r="W253" s="9">
        <f>(EXP(-68.8862+101.4956*(100/H253)+28.7314*LN(H253/100)+G253*(-0.076146+0.04397*(H253/100)-0.0068672*(H253/100)^2)))</f>
        <v>3.3240086873002311E-2</v>
      </c>
      <c r="X253">
        <f>N253*(AZ253-S253)</f>
        <v>169.73687335350564</v>
      </c>
      <c r="Y253">
        <f>O253*(AZ253-S253)</f>
        <v>164.91322803638093</v>
      </c>
      <c r="Z253">
        <f>((Y253/10^6)*AZ253)/(0.082056*H253)</f>
        <v>6.4050806608770497E-6</v>
      </c>
      <c r="AA253">
        <f>(((L253/10^6)*AZ253)/(0.082056*H253))</f>
        <v>8.0072083891464855E-8</v>
      </c>
      <c r="AB253">
        <f>((Y253/10^6)*U253*1)/(0.082056*H253)</f>
        <v>2.2687031477760358E-7</v>
      </c>
      <c r="AC253">
        <f>(Z253*(Q253/1000))+(AB253*(R253/1000))</f>
        <v>6.4293699849909106E-7</v>
      </c>
      <c r="AD253" s="39">
        <f>((AC253-(AA253*(Q253/1000)))/(R253/1000))*1000000</f>
        <v>0.55976550304000272</v>
      </c>
      <c r="AE253" s="39">
        <f>(AD253/((U253*AZ253*1))*(0.0821*273.15))</f>
        <v>401.08988977735811</v>
      </c>
      <c r="AF253" s="39">
        <f>L253*U253*AZ253*1/(0.0821*273.15)</f>
        <v>2.8772422981846171E-3</v>
      </c>
      <c r="AG253" s="39">
        <f>AD253-AF253</f>
        <v>0.55688826074181808</v>
      </c>
      <c r="AH253" s="42">
        <f>P253*(AZ253-S253)</f>
        <v>0.24587454209905399</v>
      </c>
      <c r="AI253">
        <f>(((X253/10^6)*(Q253/1000))/(0.082056*H253))</f>
        <v>4.2079319255806971E-7</v>
      </c>
      <c r="AJ253">
        <f>(((K253/10^6)*AZ253)*(Q253/1000))/(0.082056*H253)</f>
        <v>9.4885974256849305E-7</v>
      </c>
      <c r="AK253">
        <f>(X253/10^6)*T253*(R253/1000)</f>
        <v>7.1535835826654591E-6</v>
      </c>
      <c r="AL253">
        <f>AI253+AK253</f>
        <v>7.5743767752235286E-6</v>
      </c>
      <c r="AM253" s="39">
        <f>((AL253-AJ253)/(R253/1000))*1000000</f>
        <v>5.8118570461886279</v>
      </c>
      <c r="AN253" s="39">
        <f>AM253/(T253*AZ253)</f>
        <v>167.24165758466049</v>
      </c>
      <c r="AO253" s="39">
        <f>(K253*AZ253)*T253</f>
        <v>14.149859262315161</v>
      </c>
      <c r="AP253" s="39">
        <f>AM253-AO253</f>
        <v>-8.338002216126533</v>
      </c>
      <c r="AQ253">
        <f>(((AH253/10^6)*(Q253/1000))/(0.082056*H253))</f>
        <v>6.0954541870897258E-10</v>
      </c>
      <c r="AR253">
        <f>(((M253/10^6)*AZ253)*(Q253/1000))/(0.082056*H253)</f>
        <v>6.7448639079502527E-10</v>
      </c>
      <c r="AS253">
        <f>(AH253/10^6)*V253*(R253/1000)</f>
        <v>7.6019833691542535E-9</v>
      </c>
      <c r="AT253">
        <f>AQ253+AS253</f>
        <v>8.2115287878632252E-9</v>
      </c>
      <c r="AU253" s="39">
        <f>((AT253-AR253)/(R253/1000))*1000000000</f>
        <v>6.6114406991826327</v>
      </c>
      <c r="AV253" s="39">
        <f>(AU253/1000)/(V253*AZ253)</f>
        <v>0.25933417610289827</v>
      </c>
      <c r="AW253" s="39">
        <f>(M253*AZ253)*V253*1000</f>
        <v>7.3788585236171862</v>
      </c>
      <c r="AX253" s="39">
        <f>AU253-AW253</f>
        <v>-0.76741782443455353</v>
      </c>
      <c r="AY253" s="26">
        <f>VLOOKUP($E253,Water!$C$2:$G$90, 5, FALSE)</f>
        <v>714.4</v>
      </c>
      <c r="AZ253">
        <f>AY253/760</f>
        <v>0.94</v>
      </c>
      <c r="BA253" s="3">
        <f>Assumptions!$B$3</f>
        <v>406.07</v>
      </c>
      <c r="BB253" s="3">
        <f>BA253*AZ253*T253</f>
        <v>14.111441041841712</v>
      </c>
      <c r="BC253" s="3">
        <f>Assumptions!$B$4</f>
        <v>1.8474300000000001</v>
      </c>
      <c r="BD253" s="45">
        <f>BC253*AZ253*U253*1/(0.0821*273.15)</f>
        <v>2.5782938180147811E-3</v>
      </c>
      <c r="BE253" s="3">
        <f>Assumptions!$B$2</f>
        <v>0.33054499999999998</v>
      </c>
      <c r="BF253" s="44">
        <f>BE253*AZ253*V253*1000</f>
        <v>8.4268826374978492</v>
      </c>
      <c r="BG253">
        <f>1923.6+(-125.06*F253)+(4.3773*(F253^2))+(-0.085681*(F253^3))+(0.00070284*(F253^4))</f>
        <v>548.62357701158385</v>
      </c>
      <c r="BH253">
        <f>1909.4+(-120.78*F253)+(4.1555*(F253^2))+(-0.080578*(F253^3))+(0.00065777*(F253^4))</f>
        <v>565.00841160155244</v>
      </c>
      <c r="BI253">
        <f>2141.2+(-152.56*F253)+(5.8963*(F253^2))+(-0.12411*(F253^3))+(0.0010655*(F253^4))</f>
        <v>572.38765135279982</v>
      </c>
      <c r="BJ253" s="25">
        <f>VLOOKUP(E253,Wind!$C$2:$E$109,3, FALSE)</f>
        <v>2.8333333333333335</v>
      </c>
      <c r="BK253" s="44">
        <v>1.66</v>
      </c>
      <c r="BL253">
        <f>BK253/(1-(((1.3*10^-3)^0.5)/0.41)*LN(10/1.5))</f>
        <v>1.9923982880693825</v>
      </c>
      <c r="BM253">
        <f>BK253*1.22</f>
        <v>2.0251999999999999</v>
      </c>
      <c r="BN253">
        <f>2.07+0.215*(BM253^1.7)*(24/100)</f>
        <v>2.241255750541113</v>
      </c>
      <c r="BO253">
        <f>BN253*((600/BG253)^0.67)</f>
        <v>2.3797912395049967</v>
      </c>
      <c r="BP253">
        <f>BN253*((600/BH253)^0.67)</f>
        <v>2.3333289133092827</v>
      </c>
      <c r="BQ253">
        <f>BN253*((600/BI253)^0.67)</f>
        <v>2.3131312893259408</v>
      </c>
      <c r="BR253" s="39">
        <f>BO253*(AM253-BB253)</f>
        <v>-19.751277284391087</v>
      </c>
      <c r="BS253" s="39">
        <f>BP253*(AD253-BD253)</f>
        <v>1.300101025403773</v>
      </c>
      <c r="BT253" s="39">
        <f>BQ253*(AU253-BF253)</f>
        <v>-4.199355551471462</v>
      </c>
      <c r="BU253">
        <f>(2.51+1.48*BM253)+(0.39*BM253*LOG10(0.0015))</f>
        <v>3.2768938069574309</v>
      </c>
      <c r="BV253">
        <f>BU253*((600/$BG253)^0.67)</f>
        <v>3.4794436880765169</v>
      </c>
      <c r="BW253">
        <f>BU253*((600/$BH253)^0.67)</f>
        <v>3.4115120792314251</v>
      </c>
      <c r="BX253">
        <f>BU253*((600/$BI253)^0.67)</f>
        <v>3.3819815497814556</v>
      </c>
      <c r="BY253" s="39">
        <f>BV253*($AM253-$BB253)</f>
        <v>-28.877935147336</v>
      </c>
      <c r="BZ253" s="39">
        <f>BW253*($AD253-$BD253)</f>
        <v>1.9008508946540592</v>
      </c>
      <c r="CA253" s="39">
        <f>BX253*($AU253-$BF253)</f>
        <v>-6.1397911400815453</v>
      </c>
      <c r="CB253" s="42">
        <f>AVERAGE(0.72,0.69,0.4,0.22)</f>
        <v>0.50750000000000006</v>
      </c>
      <c r="CC253">
        <f>CB253*((600/$BG253)^0.67)</f>
        <v>0.53886936096302118</v>
      </c>
      <c r="CD253">
        <f>CB253*((600/$BH253)^0.67)</f>
        <v>0.52834863813224564</v>
      </c>
      <c r="CE253">
        <f>CB253*((600/$BI253)^0.67)</f>
        <v>0.52377517784371264</v>
      </c>
      <c r="CF253" s="39">
        <f>CC253*($AM253-$BB253)</f>
        <v>-4.4723915239964951</v>
      </c>
      <c r="CG253" s="39">
        <f>CD253*($AD253-$BD253)</f>
        <v>0.29438910317714395</v>
      </c>
      <c r="CH253" s="39">
        <f>CE253*($AU253-$BF253)</f>
        <v>-0.95088342410598692</v>
      </c>
      <c r="CI253">
        <v>76.862639018895294</v>
      </c>
      <c r="CJ253">
        <f>((BG253/BH253)^0.67)*CI253</f>
        <v>75.361996043546682</v>
      </c>
      <c r="CK253">
        <f>((BH253/BH253)^0.67)*CI253</f>
        <v>76.862639018895294</v>
      </c>
      <c r="CL253">
        <f>((BI253/BH253)^0.67)*CI253</f>
        <v>77.533782368360505</v>
      </c>
      <c r="CM253" s="39">
        <f>CJ253*($AM253-$BB253)</f>
        <v>-625.47321624349104</v>
      </c>
      <c r="CN253" s="39">
        <f>CK253*($AD253-$BD253)</f>
        <v>42.826879328375348</v>
      </c>
      <c r="CO253" s="39">
        <f>CL253*($AU253-$BF253)</f>
        <v>-140.75808014772656</v>
      </c>
      <c r="CP253" s="27">
        <f>VLOOKUP(A253,Water!$A$2:$E$109, 5, FALSE)/1000</f>
        <v>6.6E-4</v>
      </c>
      <c r="CQ253">
        <f>0.64*CP253</f>
        <v>4.2240000000000002E-4</v>
      </c>
      <c r="CR253" s="19">
        <f>CQ253*1000*(2.5*10^-5)</f>
        <v>1.0560000000000001E-5</v>
      </c>
      <c r="CS253" s="18">
        <f>(-0.0000009*F253^3)+(0.0002*F253^2)-(0.0134*F253)+6.579</f>
        <v>6.3726037911999995</v>
      </c>
      <c r="CT253" s="18">
        <f>CS253-(SQRT(CP253))/(1+1.4*SQRT(CP253))</f>
        <v>6.3478052466454331</v>
      </c>
      <c r="CU253" s="18">
        <f>10^(-CT253)</f>
        <v>4.4894666872453588E-7</v>
      </c>
      <c r="CV253" s="18">
        <f>(0.000001*F253^3)+(0.00006*F253^2)-(0.014*F253)+10.625</f>
        <v>10.358674632</v>
      </c>
      <c r="CW253" s="18">
        <f>CV253-(2*SQRT(CR253))/(1+1.4*SQRT(CR253))</f>
        <v>10.352204835367028</v>
      </c>
      <c r="CX253" s="18">
        <f>10^(-CW253)</f>
        <v>4.4442160619559801E-11</v>
      </c>
      <c r="CY253">
        <f>EXP(1246.98+-61900/H253-183*LN(H253))</f>
        <v>2.8112256352104199E-2</v>
      </c>
      <c r="CZ253">
        <f>12.225*(F253^2)+15.258*F253+1125.7</f>
        <v>7268.1333999999997</v>
      </c>
      <c r="DA253" s="15">
        <f>10^(-4470.99/H253+6.0875-0.01706*H253)</f>
        <v>7.8919706804238646E-15</v>
      </c>
      <c r="DB253">
        <f>(10^-I253)</f>
        <v>8.709635899560787E-10</v>
      </c>
      <c r="DC253">
        <f>DB253^2</f>
        <v>7.5857757502918042E-19</v>
      </c>
      <c r="DD253" s="20">
        <f>((14.6836*10^-9)*((H253/217.2056)-1)^1.997)*100*100</f>
        <v>1.8869802178103005E-5</v>
      </c>
      <c r="DE253">
        <f>CY253+CZ253*DA253/DB253</f>
        <v>9.397022832209434E-2</v>
      </c>
      <c r="DF253">
        <f>1+DC253*(CU253*CX253+CU253*DB253)^-1</f>
        <v>1.0018458296178128</v>
      </c>
      <c r="DG253">
        <f>(DE253*DF253/DD253)^0.5</f>
        <v>70.633693216216898</v>
      </c>
      <c r="DH253">
        <f>DD253/(BO253/60/60)</f>
        <v>2.8545061732095763E-2</v>
      </c>
      <c r="DI253" s="16">
        <f>DF253/((DF253-1)+TANH(DG253*DH253)/(DG253*DH253))</f>
        <v>2.0848472614758511</v>
      </c>
      <c r="DJ253">
        <f>$DI253*BR253</f>
        <v>-41.178396357012943</v>
      </c>
      <c r="DK253">
        <f>$DI253*BY253</f>
        <v>-60.206084009000691</v>
      </c>
      <c r="DL253">
        <f>$DI253*CF253</f>
        <v>-9.3242532210519009</v>
      </c>
      <c r="DM253">
        <f>$DI253*CM253</f>
        <v>-1304.0161220117352</v>
      </c>
    </row>
    <row r="254" spans="1:117" ht="15.75" x14ac:dyDescent="0.25">
      <c r="A254" s="52" t="s">
        <v>338</v>
      </c>
      <c r="B254" s="55" t="s">
        <v>339</v>
      </c>
      <c r="C254" s="62" t="s">
        <v>448</v>
      </c>
      <c r="D254" s="57">
        <v>43290</v>
      </c>
      <c r="E254" s="42" t="str">
        <f>A254&amp;D254</f>
        <v>4A43290</v>
      </c>
      <c r="F254" s="3">
        <f>VLOOKUP($E254,Water!$C$2:$E$90, 2, FALSE)</f>
        <v>24.9</v>
      </c>
      <c r="G254" s="3">
        <f>VLOOKUP($E254,Water!$C$2:$E$90, 3, FALSE)</f>
        <v>0.12</v>
      </c>
      <c r="H254" s="1">
        <f>F254+273.15</f>
        <v>298.04999999999995</v>
      </c>
      <c r="I254" s="3">
        <f>VLOOKUP($E254,Water!$C$2:$F$90, 4, FALSE)</f>
        <v>8.89</v>
      </c>
      <c r="J254">
        <f>10^(I254*-1)</f>
        <v>1.2882495516931289E-9</v>
      </c>
      <c r="K254" s="25">
        <f>VLOOKUP($E254,Atm!$D$2:$G$100, 2, FALSE)</f>
        <v>433.43890291295918</v>
      </c>
      <c r="L254" s="25">
        <f>VLOOKUP($E254,Atm!$D$2:$G$100, 3, FALSE)</f>
        <v>1.9858879292579721</v>
      </c>
      <c r="M254" s="25">
        <f>VLOOKUP($E254,Atm!$D$2:$G$100, 4, FALSE)</f>
        <v>0.3003945228116125</v>
      </c>
      <c r="N254" s="21">
        <f>VLOOKUP($C254,Raw!$B$2:$F$353, 3, FALSE)</f>
        <v>158.43112858096379</v>
      </c>
      <c r="O254" s="21">
        <f>VLOOKUP($C254,Raw!$B$2:$F$353, 4, FALSE)</f>
        <v>682.91546006559315</v>
      </c>
      <c r="P254" s="21">
        <f>VLOOKUP($C254,Raw!$B$2:$F$353, 5, FALSE)</f>
        <v>0.27841576106789212</v>
      </c>
      <c r="Q254" s="14">
        <v>60</v>
      </c>
      <c r="R254" s="25">
        <v>1140</v>
      </c>
      <c r="S254">
        <f>EXP(24.4543-(100/H254*(67.4509))-(4.8489*LN(H254/100))-(0.000544*G254))</f>
        <v>3.1056760155318389E-2</v>
      </c>
      <c r="T254" s="8">
        <f>EXP(-58.0931+90.5069*(100/H254)+22.294*LN(H254/100)+G254*(0.027766-0.025888*(H254/100)+0.0050578*(H254/100)^2)*G254)</f>
        <v>3.4056376865289437E-2</v>
      </c>
      <c r="U254" s="9">
        <f>(EXP(-67.1962+99.1624*(100/H254)+27.9015*LN(H254/100)+G254*(-0.072909+0.041674*(H254/100)-0.0064603*(H254/100)^2)*G254))</f>
        <v>3.1589901875362529E-2</v>
      </c>
      <c r="V254" s="9">
        <f>(EXP(-64.8539+100.252*(100/H254)+25.2049*LN(H254/100)+(-0.062544+0.035337*(H254/100)-0.0054699*(H254/100)^2)*G254))</f>
        <v>2.4907552191564531E-2</v>
      </c>
      <c r="W254" s="9">
        <f>(EXP(-68.8862+101.4956*(100/H254)+28.7314*LN(H254/100)+G254*(-0.076146+0.04397*(H254/100)-0.0068672*(H254/100)^2)))</f>
        <v>3.1542680345863688E-2</v>
      </c>
      <c r="X254">
        <f>N254*(AZ254-S254)</f>
        <v>143.94236470124332</v>
      </c>
      <c r="Y254">
        <f>O254*(AZ254-S254)</f>
        <v>620.46181891991034</v>
      </c>
      <c r="Z254">
        <f>((Y254/10^6)*AZ254)/(0.082056*H254)</f>
        <v>2.3837517988896095E-5</v>
      </c>
      <c r="AA254">
        <f>(((L254/10^6)*AZ254)/(0.082056*H254))</f>
        <v>7.6295813528098858E-8</v>
      </c>
      <c r="AB254">
        <f>((Y254/10^6)*U254*1)/(0.082056*H254)</f>
        <v>8.0142681586371202E-7</v>
      </c>
      <c r="AC254">
        <f>(Z254*(Q254/1000))+(AB254*(R254/1000))</f>
        <v>2.3438776494183973E-6</v>
      </c>
      <c r="AD254" s="39">
        <f>((AC254-(AA254*(Q254/1000)))/(R254/1000))*1000000</f>
        <v>2.0520174566725542</v>
      </c>
      <c r="AE254" s="39">
        <f>(AD254/((U254*AZ254*1))*(0.0821*273.15))</f>
        <v>1550.356931564472</v>
      </c>
      <c r="AF254" s="39">
        <f>L254*U254*AZ254*1/(0.0821*273.15)</f>
        <v>2.6284764591083497E-3</v>
      </c>
      <c r="AG254" s="39">
        <f>AD254-AF254</f>
        <v>2.049388980213446</v>
      </c>
      <c r="AH254" s="42">
        <f>P254*(AZ254-S254)</f>
        <v>0.25295422293055636</v>
      </c>
      <c r="AI254">
        <f>(((X254/10^6)*(Q254/1000))/(0.082056*H254))</f>
        <v>3.5313471635348818E-7</v>
      </c>
      <c r="AJ254">
        <f>(((K254/10^6)*AZ254)*(Q254/1000))/(0.082056*H254)</f>
        <v>9.9913715850503217E-7</v>
      </c>
      <c r="AK254">
        <f>(X254/10^6)*T254*(R254/1000)</f>
        <v>5.5884571778269845E-6</v>
      </c>
      <c r="AL254">
        <f>AI254+AK254</f>
        <v>5.9415918941804727E-6</v>
      </c>
      <c r="AM254" s="39">
        <f>((AL254-AJ254)/(R254/1000))*1000000</f>
        <v>4.335486610241615</v>
      </c>
      <c r="AN254" s="39">
        <f>AM254/(T254*AZ254)</f>
        <v>135.48585783159947</v>
      </c>
      <c r="AO254" s="39">
        <f>(K254*AZ254)*T254</f>
        <v>13.869850256051373</v>
      </c>
      <c r="AP254" s="39">
        <f>AM254-AO254</f>
        <v>-9.5343636458097585</v>
      </c>
      <c r="AQ254">
        <f>(((AH254/10^6)*(Q254/1000))/(0.082056*H254))</f>
        <v>6.2057419961385054E-10</v>
      </c>
      <c r="AR254">
        <f>(((M254/10^6)*AZ254)*(Q254/1000))/(0.082056*H254)</f>
        <v>6.9245129575445862E-10</v>
      </c>
      <c r="AS254">
        <f>(AH254/10^6)*V254*(R254/1000)</f>
        <v>7.1825363810802089E-9</v>
      </c>
      <c r="AT254">
        <f>AQ254+AS254</f>
        <v>7.8031105806940588E-9</v>
      </c>
      <c r="AU254" s="39">
        <f>((AT254-AR254)/(R254/1000))*1000000000</f>
        <v>6.2374204253856149</v>
      </c>
      <c r="AV254" s="39">
        <f>(AU254/1000)/(V254*AZ254)</f>
        <v>0.26651921675373863</v>
      </c>
      <c r="AW254" s="39">
        <f>(M254*AZ254)*V254*1000</f>
        <v>7.0302132622218645</v>
      </c>
      <c r="AX254" s="39">
        <f>AU254-AW254</f>
        <v>-0.79279283683624957</v>
      </c>
      <c r="AY254" s="26">
        <f>VLOOKUP($E254,Water!$C$2:$G$90, 5, FALSE)</f>
        <v>714.1</v>
      </c>
      <c r="AZ254">
        <f>AY254/760</f>
        <v>0.93960526315789472</v>
      </c>
      <c r="BA254" s="3">
        <f>Assumptions!$B$3</f>
        <v>406.07</v>
      </c>
      <c r="BB254" s="3">
        <f>BA254*AZ254*T254</f>
        <v>12.994057652932446</v>
      </c>
      <c r="BC254" s="3">
        <f>Assumptions!$B$4</f>
        <v>1.8474300000000001</v>
      </c>
      <c r="BD254" s="45">
        <f>BC254*AZ254*U254*1/(0.0821*273.15)</f>
        <v>2.4452166677225123E-3</v>
      </c>
      <c r="BE254" s="3">
        <f>Assumptions!$B$2</f>
        <v>0.33054499999999998</v>
      </c>
      <c r="BF254" s="44">
        <f>BE254*AZ254*V254*1000</f>
        <v>7.7358329340061234</v>
      </c>
      <c r="BG254">
        <f>1923.6+(-125.06*F254)+(4.3773*(F254^2))+(-0.085681*(F254^3))+(0.00070284*(F254^4))</f>
        <v>470.99157171728388</v>
      </c>
      <c r="BH254">
        <f>1909.4+(-120.78*F254)+(4.1555*(F254^2))+(-0.080578*(F254^3))+(0.00065777*(F254^4))</f>
        <v>487.3012714917769</v>
      </c>
      <c r="BI254">
        <f>2141.2+(-152.56*F254)+(5.8963*(F254^2))+(-0.12411*(F254^3))+(0.0010655*(F254^4))</f>
        <v>491.77129191654956</v>
      </c>
      <c r="BJ254" s="25">
        <f>VLOOKUP(E254,Wind!$C$2:$E$109,3, FALSE)</f>
        <v>3.2777777777777777</v>
      </c>
      <c r="BK254" s="44">
        <v>1.66</v>
      </c>
      <c r="BL254">
        <f>BK254/(1-(((1.3*10^-3)^0.5)/0.41)*LN(10/1.5))</f>
        <v>1.9923982880693825</v>
      </c>
      <c r="BM254">
        <f>BK254*1.22</f>
        <v>2.0251999999999999</v>
      </c>
      <c r="BN254">
        <f>2.07+0.215*(BM254^1.7)*(24/100)</f>
        <v>2.241255750541113</v>
      </c>
      <c r="BO254">
        <f>BN254*((600/BG254)^0.67)</f>
        <v>2.6359304907977017</v>
      </c>
      <c r="BP254">
        <f>BN254*((600/BH254)^0.67)</f>
        <v>2.5764896355766713</v>
      </c>
      <c r="BQ254">
        <f>BN254*((600/BI254)^0.67)</f>
        <v>2.5607750462947787</v>
      </c>
      <c r="BR254" s="39">
        <f>BO254*(AM254-BB254)</f>
        <v>-22.82339141816681</v>
      </c>
      <c r="BS254" s="39">
        <f>BP254*(AD254-BD254)</f>
        <v>5.2807016337381105</v>
      </c>
      <c r="BT254" s="39">
        <f>BQ254*(AU254-BF254)</f>
        <v>-3.8370973611313581</v>
      </c>
      <c r="BU254">
        <f>(2.51+1.48*BM254)+(0.39*BM254*LOG10(0.0015))</f>
        <v>3.2768938069574309</v>
      </c>
      <c r="BV254">
        <f>BU254*((600/$BG254)^0.67)</f>
        <v>3.8539396045185086</v>
      </c>
      <c r="BW254">
        <f>BU254*((600/$BH254)^0.67)</f>
        <v>3.7670323560677144</v>
      </c>
      <c r="BX254">
        <f>BU254*((600/$BI254)^0.67)</f>
        <v>3.7440563791921253</v>
      </c>
      <c r="BY254" s="39">
        <f>BV254*($AM254-$BB254)</f>
        <v>-33.369609859963312</v>
      </c>
      <c r="BZ254" s="39">
        <f>BW254*($AD254-$BD254)</f>
        <v>7.7208049441963835</v>
      </c>
      <c r="CA254" s="39">
        <f>BX254*($AU254-$BF254)</f>
        <v>-5.6101409115618903</v>
      </c>
      <c r="CB254" s="42">
        <f>AVERAGE(0.72,0.69,0.4,0.22)</f>
        <v>0.50750000000000006</v>
      </c>
      <c r="CC254">
        <f>CB254*((600/$BG254)^0.67)</f>
        <v>0.59686839565581062</v>
      </c>
      <c r="CD254">
        <f>CB254*((600/$BH254)^0.67)</f>
        <v>0.58340887234286887</v>
      </c>
      <c r="CE254">
        <f>CB254*((600/$BI254)^0.67)</f>
        <v>0.57985053052550373</v>
      </c>
      <c r="CF254" s="39">
        <f>CC254*($AM254-$BB254)</f>
        <v>-5.1680274069227359</v>
      </c>
      <c r="CG254" s="39">
        <f>CD254*($AD254-$BD254)</f>
        <v>1.1957386293264665</v>
      </c>
      <c r="CH254" s="39">
        <f>CE254*($AU254-$BF254)</f>
        <v>-0.86885528806965273</v>
      </c>
      <c r="CI254">
        <v>77.862639018895294</v>
      </c>
      <c r="CJ254">
        <f>((BG254/BH254)^0.67)*CI254</f>
        <v>76.106818116482614</v>
      </c>
      <c r="CK254">
        <f>((BH254/BH254)^0.67)*CI254</f>
        <v>77.862639018895294</v>
      </c>
      <c r="CL254">
        <f>((BI254/BH254)^0.67)*CI254</f>
        <v>78.340455059143196</v>
      </c>
      <c r="CM254" s="39">
        <f>CJ254*($AM254-$BB254)</f>
        <v>-658.97629149471425</v>
      </c>
      <c r="CN254" s="39">
        <f>CK254*($AD254-$BD254)</f>
        <v>159.58510346664482</v>
      </c>
      <c r="CO254" s="39">
        <f>CL254*($AU254-$BF254)</f>
        <v>-117.38631779164295</v>
      </c>
      <c r="CP254" s="27">
        <f>VLOOKUP(A254,Water!$A$2:$E$109, 5, FALSE)/1000</f>
        <v>8.9999999999999992E-5</v>
      </c>
      <c r="CQ254">
        <f>0.64*CP254</f>
        <v>5.7599999999999997E-5</v>
      </c>
      <c r="CR254" s="19">
        <f>CQ254*1000*(2.5*10^-5)</f>
        <v>1.44E-6</v>
      </c>
      <c r="CS254" s="18">
        <f>(-0.0000009*F254^3)+(0.0002*F254^2)-(0.0134*F254)+6.579</f>
        <v>6.3554475758999995</v>
      </c>
      <c r="CT254" s="18">
        <f>CS254-(SQRT(CP254))/(1+1.4*SQRT(CP254))</f>
        <v>6.3460850913772244</v>
      </c>
      <c r="CU254" s="18">
        <f>10^(-CT254)</f>
        <v>4.5072838461544427E-7</v>
      </c>
      <c r="CV254" s="18">
        <f>(0.000001*F254^3)+(0.00006*F254^2)-(0.014*F254)+10.625</f>
        <v>10.329038849</v>
      </c>
      <c r="CW254" s="18">
        <f>CV254-(2*SQRT(CR254))/(1+1.4*SQRT(CR254))</f>
        <v>10.326642874237601</v>
      </c>
      <c r="CX254" s="18">
        <f>10^(-CW254)</f>
        <v>4.7136477619989596E-11</v>
      </c>
      <c r="CY254">
        <f>EXP(1246.98+-61900/H254-183*LN(H254))</f>
        <v>3.6806354531829955E-2</v>
      </c>
      <c r="CZ254">
        <f>12.225*(F254^2)+15.258*F254+1125.7</f>
        <v>9085.2464499999987</v>
      </c>
      <c r="DA254" s="15">
        <f>10^(-4470.99/H254+6.0875-0.01706*H254)</f>
        <v>1.0045273507235848E-14</v>
      </c>
      <c r="DB254">
        <f>(10^-I254)</f>
        <v>1.2882495516931289E-9</v>
      </c>
      <c r="DC254">
        <f>DB254^2</f>
        <v>1.6595869074375478E-18</v>
      </c>
      <c r="DD254" s="20">
        <f>((14.6836*10^-9)*((H254/217.2056)-1)^1.997)*100*100</f>
        <v>2.0402249617825391E-5</v>
      </c>
      <c r="DE254">
        <f>CY254+CZ254*DA254/DB254</f>
        <v>0.10764960485623082</v>
      </c>
      <c r="DF254">
        <f>1+DC254*(CU254*CX254+CU254*DB254)^-1</f>
        <v>1.0027572634443278</v>
      </c>
      <c r="DG254">
        <f>(DE254*DF254/DD254)^0.5</f>
        <v>72.73862711988528</v>
      </c>
      <c r="DH254">
        <f>DD254/(BO254/60/60)</f>
        <v>2.7864201609483295E-2</v>
      </c>
      <c r="DI254" s="16">
        <f>DF254/((DF254-1)+TANH(DG254*DH254)/(DG254*DH254))</f>
        <v>2.0920973350653655</v>
      </c>
      <c r="DJ254">
        <f>$DI254*BR254</f>
        <v>-47.748756363100519</v>
      </c>
      <c r="DK254">
        <f>$DI254*BY254</f>
        <v>-69.812471860200191</v>
      </c>
      <c r="DL254">
        <f>$DI254*CF254</f>
        <v>-10.812016365567827</v>
      </c>
      <c r="DM254">
        <f>$DI254*CM254</f>
        <v>-1378.6425433073491</v>
      </c>
    </row>
    <row r="255" spans="1:117" ht="15.75" x14ac:dyDescent="0.25">
      <c r="A255" s="52" t="s">
        <v>338</v>
      </c>
      <c r="B255" s="55" t="s">
        <v>340</v>
      </c>
      <c r="C255" s="62" t="s">
        <v>449</v>
      </c>
      <c r="D255" s="57">
        <v>43290</v>
      </c>
      <c r="E255" s="42" t="str">
        <f>A255&amp;D255</f>
        <v>4A43290</v>
      </c>
      <c r="F255" s="3">
        <f>VLOOKUP($E255,Water!$C$2:$E$90, 2, FALSE)</f>
        <v>24.9</v>
      </c>
      <c r="G255" s="3">
        <f>VLOOKUP($E255,Water!$C$2:$E$90, 3, FALSE)</f>
        <v>0.12</v>
      </c>
      <c r="H255" s="1">
        <f>F255+273.15</f>
        <v>298.04999999999995</v>
      </c>
      <c r="I255" s="3">
        <f>VLOOKUP($E255,Water!$C$2:$F$90, 4, FALSE)</f>
        <v>8.89</v>
      </c>
      <c r="J255">
        <f>10^(I255*-1)</f>
        <v>1.2882495516931289E-9</v>
      </c>
      <c r="K255" s="25">
        <f>VLOOKUP($E255,Atm!$D$2:$G$100, 2, FALSE)</f>
        <v>433.43890291295918</v>
      </c>
      <c r="L255" s="25">
        <f>VLOOKUP($E255,Atm!$D$2:$G$100, 3, FALSE)</f>
        <v>1.9858879292579721</v>
      </c>
      <c r="M255" s="25">
        <f>VLOOKUP($E255,Atm!$D$2:$G$100, 4, FALSE)</f>
        <v>0.3003945228116125</v>
      </c>
      <c r="N255" s="21">
        <f>VLOOKUP($C255,Raw!$B$2:$F$353, 3, FALSE)</f>
        <v>163.07337683270791</v>
      </c>
      <c r="O255" s="21">
        <f>VLOOKUP($C255,Raw!$B$2:$F$353, 4, FALSE)</f>
        <v>681.83391998347486</v>
      </c>
      <c r="P255" s="21">
        <f>VLOOKUP($C255,Raw!$B$2:$F$353, 5, FALSE)</f>
        <v>0.28112586304001741</v>
      </c>
      <c r="Q255" s="14">
        <v>60</v>
      </c>
      <c r="R255" s="25">
        <v>1140</v>
      </c>
      <c r="S255">
        <f>EXP(24.4543-(100/H255*(67.4509))-(4.8489*LN(H255/100))-(0.000544*G255))</f>
        <v>3.1056760155318389E-2</v>
      </c>
      <c r="T255" s="8">
        <f>EXP(-58.0931+90.5069*(100/H255)+22.294*LN(H255/100)+G255*(0.027766-0.025888*(H255/100)+0.0050578*(H255/100)^2)*G255)</f>
        <v>3.4056376865289437E-2</v>
      </c>
      <c r="U255" s="9">
        <f>(EXP(-67.1962+99.1624*(100/H255)+27.9015*LN(H255/100)+G255*(-0.072909+0.041674*(H255/100)-0.0064603*(H255/100)^2)*G255))</f>
        <v>3.1589901875362529E-2</v>
      </c>
      <c r="V255" s="9">
        <f>(EXP(-64.8539+100.252*(100/H255)+25.2049*LN(H255/100)+(-0.062544+0.035337*(H255/100)-0.0054699*(H255/100)^2)*G255))</f>
        <v>2.4907552191564531E-2</v>
      </c>
      <c r="W255" s="9">
        <f>(EXP(-68.8862+101.4956*(100/H255)+28.7314*LN(H255/100)+G255*(-0.076146+0.04397*(H255/100)-0.0068672*(H255/100)^2)))</f>
        <v>3.1542680345863688E-2</v>
      </c>
      <c r="X255">
        <f>N255*(AZ255-S255)</f>
        <v>148.16007240093177</v>
      </c>
      <c r="Y255">
        <f>O255*(AZ255-S255)</f>
        <v>619.47918729736443</v>
      </c>
      <c r="Z255">
        <f>((Y255/10^6)*AZ255)/(0.082056*H255)</f>
        <v>2.3799766271925541E-5</v>
      </c>
      <c r="AA255">
        <f>(((L255/10^6)*AZ255)/(0.082056*H255))</f>
        <v>7.6295813528098858E-8</v>
      </c>
      <c r="AB255">
        <f>((Y255/10^6)*U255*1)/(0.082056*H255)</f>
        <v>8.0015758815555916E-7</v>
      </c>
      <c r="AC255">
        <f>(Z255*(Q255/1000))+(AB255*(R255/1000))</f>
        <v>2.3401656268128697E-6</v>
      </c>
      <c r="AD255" s="39">
        <f>((AC255-(AA255*(Q255/1000)))/(R255/1000))*1000000</f>
        <v>2.0487612964922666</v>
      </c>
      <c r="AE255" s="39">
        <f>(AD255/((U255*AZ255*1))*(0.0821*273.15))</f>
        <v>1547.8968109210641</v>
      </c>
      <c r="AF255" s="39">
        <f>L255*U255*AZ255*1/(0.0821*273.15)</f>
        <v>2.6284764591083497E-3</v>
      </c>
      <c r="AG255" s="39">
        <f>AD255-AF255</f>
        <v>2.0461328200331583</v>
      </c>
      <c r="AH255" s="42">
        <f>P255*(AZ255-S255)</f>
        <v>0.25541648202031508</v>
      </c>
      <c r="AI255">
        <f>(((X255/10^6)*(Q255/1000))/(0.082056*H255))</f>
        <v>3.6348204540621522E-7</v>
      </c>
      <c r="AJ255">
        <f>(((K255/10^6)*AZ255)*(Q255/1000))/(0.082056*H255)</f>
        <v>9.9913715850503217E-7</v>
      </c>
      <c r="AK255">
        <f>(X255/10^6)*T255*(R255/1000)</f>
        <v>5.7522065987651581E-6</v>
      </c>
      <c r="AL255">
        <f>AI255+AK255</f>
        <v>6.115688644171373E-6</v>
      </c>
      <c r="AM255" s="39">
        <f>((AL255-AJ255)/(R255/1000))*1000000</f>
        <v>4.4882030576020542</v>
      </c>
      <c r="AN255" s="39">
        <f>AM255/(T255*AZ255)</f>
        <v>140.25831378308268</v>
      </c>
      <c r="AO255" s="39">
        <f>(K255*AZ255)*T255</f>
        <v>13.869850256051373</v>
      </c>
      <c r="AP255" s="39">
        <f>AM255-AO255</f>
        <v>-9.3816471984493184</v>
      </c>
      <c r="AQ255">
        <f>(((AH255/10^6)*(Q255/1000))/(0.082056*H255))</f>
        <v>6.2661487545695925E-10</v>
      </c>
      <c r="AR255">
        <f>(((M255/10^6)*AZ255)*(Q255/1000))/(0.082056*H255)</f>
        <v>6.9245129575445862E-10</v>
      </c>
      <c r="AS255">
        <f>(AH255/10^6)*V255*(R255/1000)</f>
        <v>7.2524512664177527E-9</v>
      </c>
      <c r="AT255">
        <f>AQ255+AS255</f>
        <v>7.8790661418747117E-9</v>
      </c>
      <c r="AU255" s="39">
        <f>((AT255-AR255)/(R255/1000))*1000000000</f>
        <v>6.3040481106318014</v>
      </c>
      <c r="AV255" s="39">
        <f>(AU255/1000)/(V255*AZ255)</f>
        <v>0.26936615623751253</v>
      </c>
      <c r="AW255" s="39">
        <f>(M255*AZ255)*V255*1000</f>
        <v>7.0302132622218645</v>
      </c>
      <c r="AX255" s="39">
        <f>AU255-AW255</f>
        <v>-0.72616515159006312</v>
      </c>
      <c r="AY255" s="26">
        <f>VLOOKUP($E255,Water!$C$2:$G$90, 5, FALSE)</f>
        <v>714.1</v>
      </c>
      <c r="AZ255">
        <f>AY255/760</f>
        <v>0.93960526315789472</v>
      </c>
      <c r="BA255" s="3">
        <f>Assumptions!$B$3</f>
        <v>406.07</v>
      </c>
      <c r="BB255" s="3">
        <f>BA255*AZ255*T255</f>
        <v>12.994057652932446</v>
      </c>
      <c r="BC255" s="3">
        <f>Assumptions!$B$4</f>
        <v>1.8474300000000001</v>
      </c>
      <c r="BD255" s="45">
        <f>BC255*AZ255*U255*1/(0.0821*273.15)</f>
        <v>2.4452166677225123E-3</v>
      </c>
      <c r="BE255" s="3">
        <f>Assumptions!$B$2</f>
        <v>0.33054499999999998</v>
      </c>
      <c r="BF255" s="44">
        <f>BE255*AZ255*V255*1000</f>
        <v>7.7358329340061234</v>
      </c>
      <c r="BG255">
        <f>1923.6+(-125.06*F255)+(4.3773*(F255^2))+(-0.085681*(F255^3))+(0.00070284*(F255^4))</f>
        <v>470.99157171728388</v>
      </c>
      <c r="BH255">
        <f>1909.4+(-120.78*F255)+(4.1555*(F255^2))+(-0.080578*(F255^3))+(0.00065777*(F255^4))</f>
        <v>487.3012714917769</v>
      </c>
      <c r="BI255">
        <f>2141.2+(-152.56*F255)+(5.8963*(F255^2))+(-0.12411*(F255^3))+(0.0010655*(F255^4))</f>
        <v>491.77129191654956</v>
      </c>
      <c r="BJ255" s="25">
        <f>VLOOKUP(E255,Wind!$C$2:$E$109,3, FALSE)</f>
        <v>3.2777777777777777</v>
      </c>
      <c r="BK255" s="44">
        <v>1.66</v>
      </c>
      <c r="BL255">
        <f>BK255/(1-(((1.3*10^-3)^0.5)/0.41)*LN(10/1.5))</f>
        <v>1.9923982880693825</v>
      </c>
      <c r="BM255">
        <f>BK255*1.22</f>
        <v>2.0251999999999999</v>
      </c>
      <c r="BN255">
        <f>2.07+0.215*(BM255^1.7)*(24/100)</f>
        <v>2.241255750541113</v>
      </c>
      <c r="BO255">
        <f>BN255*((600/BG255)^0.67)</f>
        <v>2.6359304907977017</v>
      </c>
      <c r="BP255">
        <f>BN255*((600/BH255)^0.67)</f>
        <v>2.5764896355766713</v>
      </c>
      <c r="BQ255">
        <f>BN255*((600/BI255)^0.67)</f>
        <v>2.5607750462947787</v>
      </c>
      <c r="BR255" s="39">
        <f>BO255*(AM255-BB255)</f>
        <v>-22.420841478123123</v>
      </c>
      <c r="BS255" s="39">
        <f>BP255*(AD255-BD255)</f>
        <v>5.2723121707818219</v>
      </c>
      <c r="BT255" s="39">
        <f>BQ255*(AU255-BF255)</f>
        <v>-3.666478847360541</v>
      </c>
      <c r="BU255">
        <f>(2.51+1.48*BM255)+(0.39*BM255*LOG10(0.0015))</f>
        <v>3.2768938069574309</v>
      </c>
      <c r="BV255">
        <f>BU255*((600/$BG255)^0.67)</f>
        <v>3.8539396045185086</v>
      </c>
      <c r="BW255">
        <f>BU255*((600/$BH255)^0.67)</f>
        <v>3.7670323560677144</v>
      </c>
      <c r="BX255">
        <f>BU255*((600/$BI255)^0.67)</f>
        <v>3.7440563791921253</v>
      </c>
      <c r="BY255" s="39">
        <f>BV255*($AM255-$BB255)</f>
        <v>-32.781049895219546</v>
      </c>
      <c r="BZ255" s="39">
        <f>BW255*($AD255-$BD255)</f>
        <v>7.7085388834407009</v>
      </c>
      <c r="CA255" s="39">
        <f>BX255*($AU255-$BF255)</f>
        <v>-5.3606831015851011</v>
      </c>
      <c r="CB255" s="42">
        <f>AVERAGE(0.72,0.69,0.4,0.22)</f>
        <v>0.50750000000000006</v>
      </c>
      <c r="CC255">
        <f>CB255*((600/$BG255)^0.67)</f>
        <v>0.59686839565581062</v>
      </c>
      <c r="CD255">
        <f>CB255*((600/$BH255)^0.67)</f>
        <v>0.58340887234286887</v>
      </c>
      <c r="CE255">
        <f>CB255*((600/$BI255)^0.67)</f>
        <v>0.57985053052550373</v>
      </c>
      <c r="CF255" s="39">
        <f>CC255*($AM255-$BB255)</f>
        <v>-5.0768757859964548</v>
      </c>
      <c r="CG255" s="39">
        <f>CD255*($AD255-$BD255)</f>
        <v>1.1938389565875172</v>
      </c>
      <c r="CH255" s="39">
        <f>CE255*($AU255-$BF255)</f>
        <v>-0.83022118943196521</v>
      </c>
      <c r="CI255">
        <v>78.862639018895294</v>
      </c>
      <c r="CJ255">
        <f>((BG255/BH255)^0.67)*CI255</f>
        <v>77.084267880264875</v>
      </c>
      <c r="CK255">
        <f>((BH255/BH255)^0.67)*CI255</f>
        <v>78.862639018895294</v>
      </c>
      <c r="CL255">
        <f>((BI255/BH255)^0.67)*CI255</f>
        <v>79.346591712694476</v>
      </c>
      <c r="CM255" s="39">
        <f>CJ255*($AM255-$BB255)</f>
        <v>-655.66757417702979</v>
      </c>
      <c r="CN255" s="39">
        <f>CK255*($AD255-$BD255)</f>
        <v>161.37788632176392</v>
      </c>
      <c r="CO255" s="39">
        <f>CL255*($AU255-$BF255)</f>
        <v>-113.60724580071471</v>
      </c>
      <c r="CP255" s="27">
        <f>VLOOKUP(A255,Water!$A$2:$E$109, 5, FALSE)/1000</f>
        <v>8.9999999999999992E-5</v>
      </c>
      <c r="CQ255">
        <f>0.64*CP255</f>
        <v>5.7599999999999997E-5</v>
      </c>
      <c r="CR255" s="19">
        <f>CQ255*1000*(2.5*10^-5)</f>
        <v>1.44E-6</v>
      </c>
      <c r="CS255" s="18">
        <f>(-0.0000009*F255^3)+(0.0002*F255^2)-(0.0134*F255)+6.579</f>
        <v>6.3554475758999995</v>
      </c>
      <c r="CT255" s="18">
        <f>CS255-(SQRT(CP255))/(1+1.4*SQRT(CP255))</f>
        <v>6.3460850913772244</v>
      </c>
      <c r="CU255" s="18">
        <f>10^(-CT255)</f>
        <v>4.5072838461544427E-7</v>
      </c>
      <c r="CV255" s="18">
        <f>(0.000001*F255^3)+(0.00006*F255^2)-(0.014*F255)+10.625</f>
        <v>10.329038849</v>
      </c>
      <c r="CW255" s="18">
        <f>CV255-(2*SQRT(CR255))/(1+1.4*SQRT(CR255))</f>
        <v>10.326642874237601</v>
      </c>
      <c r="CX255" s="18">
        <f>10^(-CW255)</f>
        <v>4.7136477619989596E-11</v>
      </c>
      <c r="CY255">
        <f>EXP(1246.98+-61900/H255-183*LN(H255))</f>
        <v>3.6806354531829955E-2</v>
      </c>
      <c r="CZ255">
        <f>12.225*(F255^2)+15.258*F255+1125.7</f>
        <v>9085.2464499999987</v>
      </c>
      <c r="DA255" s="15">
        <f>10^(-4470.99/H255+6.0875-0.01706*H255)</f>
        <v>1.0045273507235848E-14</v>
      </c>
      <c r="DB255">
        <f>(10^-I255)</f>
        <v>1.2882495516931289E-9</v>
      </c>
      <c r="DC255">
        <f>DB255^2</f>
        <v>1.6595869074375478E-18</v>
      </c>
      <c r="DD255" s="20">
        <f>((14.6836*10^-9)*((H255/217.2056)-1)^1.997)*100*100</f>
        <v>2.0402249617825391E-5</v>
      </c>
      <c r="DE255">
        <f>CY255+CZ255*DA255/DB255</f>
        <v>0.10764960485623082</v>
      </c>
      <c r="DF255">
        <f>1+DC255*(CU255*CX255+CU255*DB255)^-1</f>
        <v>1.0027572634443278</v>
      </c>
      <c r="DG255">
        <f>(DE255*DF255/DD255)^0.5</f>
        <v>72.73862711988528</v>
      </c>
      <c r="DH255">
        <f>DD255/(BO255/60/60)</f>
        <v>2.7864201609483295E-2</v>
      </c>
      <c r="DI255" s="16">
        <f>DF255/((DF255-1)+TANH(DG255*DH255)/(DG255*DH255))</f>
        <v>2.0920973350653655</v>
      </c>
      <c r="DJ255">
        <f>$DI255*BR255</f>
        <v>-46.906582706304398</v>
      </c>
      <c r="DK255">
        <f>$DI255*BY255</f>
        <v>-68.581147126433592</v>
      </c>
      <c r="DL255">
        <f>$DI255*CF255</f>
        <v>-10.621318302341066</v>
      </c>
      <c r="DM255">
        <f>$DI255*CM255</f>
        <v>-1371.720384624537</v>
      </c>
    </row>
    <row r="256" spans="1:117" ht="15.75" x14ac:dyDescent="0.25">
      <c r="A256" s="52" t="s">
        <v>338</v>
      </c>
      <c r="B256" s="55" t="s">
        <v>341</v>
      </c>
      <c r="C256" s="62" t="s">
        <v>450</v>
      </c>
      <c r="D256" s="57">
        <v>43290</v>
      </c>
      <c r="E256" s="42" t="str">
        <f>A256&amp;D256</f>
        <v>4A43290</v>
      </c>
      <c r="F256" s="3">
        <f>VLOOKUP($E256,Water!$C$2:$E$90, 2, FALSE)</f>
        <v>24.9</v>
      </c>
      <c r="G256" s="3">
        <f>VLOOKUP($E256,Water!$C$2:$E$90, 3, FALSE)</f>
        <v>0.12</v>
      </c>
      <c r="H256" s="1">
        <f>F256+273.15</f>
        <v>298.04999999999995</v>
      </c>
      <c r="I256" s="3">
        <f>VLOOKUP($E256,Water!$C$2:$F$90, 4, FALSE)</f>
        <v>8.89</v>
      </c>
      <c r="J256">
        <f>10^(I256*-1)</f>
        <v>1.2882495516931289E-9</v>
      </c>
      <c r="K256" s="25">
        <f>VLOOKUP($E256,Atm!$D$2:$G$100, 2, FALSE)</f>
        <v>433.43890291295918</v>
      </c>
      <c r="L256" s="25">
        <f>VLOOKUP($E256,Atm!$D$2:$G$100, 3, FALSE)</f>
        <v>1.9858879292579721</v>
      </c>
      <c r="M256" s="25">
        <f>VLOOKUP($E256,Atm!$D$2:$G$100, 4, FALSE)</f>
        <v>0.3003945228116125</v>
      </c>
      <c r="N256" s="21">
        <f>VLOOKUP($C256,Raw!$B$2:$F$353, 3, FALSE)</f>
        <v>164.56723381551481</v>
      </c>
      <c r="O256" s="21">
        <f>VLOOKUP($C256,Raw!$B$2:$F$353, 4, FALSE)</f>
        <v>658.32548449254693</v>
      </c>
      <c r="P256" s="21">
        <f>VLOOKUP($C256,Raw!$B$2:$F$353, 5, FALSE)</f>
        <v>0.27543245501652769</v>
      </c>
      <c r="Q256" s="14">
        <v>60</v>
      </c>
      <c r="R256" s="25">
        <v>1140</v>
      </c>
      <c r="S256">
        <f>EXP(24.4543-(100/H256*(67.4509))-(4.8489*LN(H256/100))-(0.000544*G256))</f>
        <v>3.1056760155318389E-2</v>
      </c>
      <c r="T256" s="8">
        <f>EXP(-58.0931+90.5069*(100/H256)+22.294*LN(H256/100)+G256*(0.027766-0.025888*(H256/100)+0.0050578*(H256/100)^2)*G256)</f>
        <v>3.4056376865289437E-2</v>
      </c>
      <c r="U256" s="9">
        <f>(EXP(-67.1962+99.1624*(100/H256)+27.9015*LN(H256/100)+G256*(-0.072909+0.041674*(H256/100)-0.0064603*(H256/100)^2)*G256))</f>
        <v>3.1589901875362529E-2</v>
      </c>
      <c r="V256" s="9">
        <f>(EXP(-64.8539+100.252*(100/H256)+25.2049*LN(H256/100)+(-0.062544+0.035337*(H256/100)-0.0054699*(H256/100)^2)*G256))</f>
        <v>2.4907552191564531E-2</v>
      </c>
      <c r="W256" s="9">
        <f>(EXP(-68.8862+101.4956*(100/H256)+28.7314*LN(H256/100)+G256*(-0.076146+0.04397*(H256/100)-0.0068672*(H256/100)^2)))</f>
        <v>3.1542680345863688E-2</v>
      </c>
      <c r="X256">
        <f>N256*(AZ256-S256)</f>
        <v>149.51731392636094</v>
      </c>
      <c r="Y256">
        <f>O256*(AZ256-S256)</f>
        <v>598.12063342414922</v>
      </c>
      <c r="Z256">
        <f>((Y256/10^6)*AZ256)/(0.082056*H256)</f>
        <v>2.2979192150127256E-5</v>
      </c>
      <c r="AA256">
        <f>(((L256/10^6)*AZ256)/(0.082056*H256))</f>
        <v>7.6295813528098858E-8</v>
      </c>
      <c r="AB256">
        <f>((Y256/10^6)*U256*1)/(0.082056*H256)</f>
        <v>7.7256956049599754E-7</v>
      </c>
      <c r="AC256">
        <f>(Z256*(Q256/1000))+(AB256*(R256/1000))</f>
        <v>2.2594808279730724E-6</v>
      </c>
      <c r="AD256" s="39">
        <f>((AC256-(AA256*(Q256/1000)))/(R256/1000))*1000000</f>
        <v>1.9779851571591112</v>
      </c>
      <c r="AE256" s="39">
        <f>(AD256/((U256*AZ256*1))*(0.0821*273.15))</f>
        <v>1494.423446039237</v>
      </c>
      <c r="AF256" s="39">
        <f>L256*U256*AZ256*1/(0.0821*273.15)</f>
        <v>2.6284764591083497E-3</v>
      </c>
      <c r="AG256" s="39">
        <f>AD256-AF256</f>
        <v>1.9753566807000029</v>
      </c>
      <c r="AH256" s="42">
        <f>P256*(AZ256-S256)</f>
        <v>0.25024374468359067</v>
      </c>
      <c r="AI256">
        <f>(((X256/10^6)*(Q256/1000))/(0.082056*H256))</f>
        <v>3.6681177464958556E-7</v>
      </c>
      <c r="AJ256">
        <f>(((K256/10^6)*AZ256)*(Q256/1000))/(0.082056*H256)</f>
        <v>9.9913715850503217E-7</v>
      </c>
      <c r="AK256">
        <f>(X256/10^6)*T256*(R256/1000)</f>
        <v>5.8049005096966077E-6</v>
      </c>
      <c r="AL256">
        <f>AI256+AK256</f>
        <v>6.1717122843461932E-6</v>
      </c>
      <c r="AM256" s="39">
        <f>((AL256-AJ256)/(R256/1000))*1000000</f>
        <v>4.5373466016150541</v>
      </c>
      <c r="AN256" s="39">
        <f>AM256/(T256*AZ256)</f>
        <v>141.79407108464085</v>
      </c>
      <c r="AO256" s="39">
        <f>(K256*AZ256)*T256</f>
        <v>13.869850256051373</v>
      </c>
      <c r="AP256" s="39">
        <f>AM256-AO256</f>
        <v>-9.3325036544363194</v>
      </c>
      <c r="AQ256">
        <f>(((AH256/10^6)*(Q256/1000))/(0.082056*H256))</f>
        <v>6.1392456613790228E-10</v>
      </c>
      <c r="AR256">
        <f>(((M256/10^6)*AZ256)*(Q256/1000))/(0.082056*H256)</f>
        <v>6.9245129575445862E-10</v>
      </c>
      <c r="AS256">
        <f>(AH256/10^6)*V256*(R256/1000)</f>
        <v>7.1055734097037548E-9</v>
      </c>
      <c r="AT256">
        <f>AQ256+AS256</f>
        <v>7.7194979758416569E-9</v>
      </c>
      <c r="AU256" s="39">
        <f>((AT256-AR256)/(R256/1000))*1000000000</f>
        <v>6.1640760351642099</v>
      </c>
      <c r="AV256" s="39">
        <f>(AU256/1000)/(V256*AZ256)</f>
        <v>0.26338527866684419</v>
      </c>
      <c r="AW256" s="39">
        <f>(M256*AZ256)*V256*1000</f>
        <v>7.0302132622218645</v>
      </c>
      <c r="AX256" s="39">
        <f>AU256-AW256</f>
        <v>-0.86613722705765461</v>
      </c>
      <c r="AY256" s="26">
        <f>VLOOKUP($E256,Water!$C$2:$G$90, 5, FALSE)</f>
        <v>714.1</v>
      </c>
      <c r="AZ256">
        <f>AY256/760</f>
        <v>0.93960526315789472</v>
      </c>
      <c r="BA256" s="3">
        <f>Assumptions!$B$3</f>
        <v>406.07</v>
      </c>
      <c r="BB256" s="3">
        <f>BA256*AZ256*T256</f>
        <v>12.994057652932446</v>
      </c>
      <c r="BC256" s="3">
        <f>Assumptions!$B$4</f>
        <v>1.8474300000000001</v>
      </c>
      <c r="BD256" s="45">
        <f>BC256*AZ256*U256*1/(0.0821*273.15)</f>
        <v>2.4452166677225123E-3</v>
      </c>
      <c r="BE256" s="3">
        <f>Assumptions!$B$2</f>
        <v>0.33054499999999998</v>
      </c>
      <c r="BF256" s="44">
        <f>BE256*AZ256*V256*1000</f>
        <v>7.7358329340061234</v>
      </c>
      <c r="BG256">
        <f>1923.6+(-125.06*F256)+(4.3773*(F256^2))+(-0.085681*(F256^3))+(0.00070284*(F256^4))</f>
        <v>470.99157171728388</v>
      </c>
      <c r="BH256">
        <f>1909.4+(-120.78*F256)+(4.1555*(F256^2))+(-0.080578*(F256^3))+(0.00065777*(F256^4))</f>
        <v>487.3012714917769</v>
      </c>
      <c r="BI256">
        <f>2141.2+(-152.56*F256)+(5.8963*(F256^2))+(-0.12411*(F256^3))+(0.0010655*(F256^4))</f>
        <v>491.77129191654956</v>
      </c>
      <c r="BJ256" s="25">
        <f>VLOOKUP(E256,Wind!$C$2:$E$109,3, FALSE)</f>
        <v>3.2777777777777777</v>
      </c>
      <c r="BK256" s="44">
        <v>1.66</v>
      </c>
      <c r="BL256">
        <f>BK256/(1-(((1.3*10^-3)^0.5)/0.41)*LN(10/1.5))</f>
        <v>1.9923982880693825</v>
      </c>
      <c r="BM256">
        <f>BK256*1.22</f>
        <v>2.0251999999999999</v>
      </c>
      <c r="BN256">
        <f>2.07+0.215*(BM256^1.7)*(24/100)</f>
        <v>2.241255750541113</v>
      </c>
      <c r="BO256">
        <f>BN256*((600/BG256)^0.67)</f>
        <v>2.6359304907977017</v>
      </c>
      <c r="BP256">
        <f>BN256*((600/BH256)^0.67)</f>
        <v>2.5764896355766713</v>
      </c>
      <c r="BQ256">
        <f>BN256*((600/BI256)^0.67)</f>
        <v>2.5607750462947787</v>
      </c>
      <c r="BR256" s="39">
        <f>BO256*(AM256-BB256)</f>
        <v>-22.291302512033401</v>
      </c>
      <c r="BS256" s="39">
        <f>BP256*(AD256-BD256)</f>
        <v>5.0899581813438166</v>
      </c>
      <c r="BT256" s="39">
        <f>BQ256*(AU256-BF256)</f>
        <v>-4.0249158453960385</v>
      </c>
      <c r="BU256">
        <f>(2.51+1.48*BM256)+(0.39*BM256*LOG10(0.0015))</f>
        <v>3.2768938069574309</v>
      </c>
      <c r="BV256">
        <f>BU256*((600/$BG256)^0.67)</f>
        <v>3.8539396045185086</v>
      </c>
      <c r="BW256">
        <f>BU256*((600/$BH256)^0.67)</f>
        <v>3.7670323560677144</v>
      </c>
      <c r="BX256">
        <f>BU256*((600/$BI256)^0.67)</f>
        <v>3.7440563791921253</v>
      </c>
      <c r="BY256" s="39">
        <f>BV256*($AM256-$BB256)</f>
        <v>-32.591653644641447</v>
      </c>
      <c r="BZ256" s="39">
        <f>BW256*($AD256-$BD256)</f>
        <v>7.4419228765351484</v>
      </c>
      <c r="CA256" s="39">
        <f>BX256*($AU256-$BF256)</f>
        <v>-5.8847464436482984</v>
      </c>
      <c r="CB256" s="42">
        <f>AVERAGE(0.72,0.69,0.4,0.22)</f>
        <v>0.50750000000000006</v>
      </c>
      <c r="CC256">
        <f>CB256*((600/$BG256)^0.67)</f>
        <v>0.59686839565581062</v>
      </c>
      <c r="CD256">
        <f>CB256*((600/$BH256)^0.67)</f>
        <v>0.58340887234286887</v>
      </c>
      <c r="CE256">
        <f>CB256*((600/$BI256)^0.67)</f>
        <v>0.57985053052550373</v>
      </c>
      <c r="CF256" s="39">
        <f>CC256*($AM256-$BB256)</f>
        <v>-5.0475435577245751</v>
      </c>
      <c r="CG256" s="39">
        <f>CD256*($AD256-$BD256)</f>
        <v>1.1525475289503793</v>
      </c>
      <c r="CH256" s="39">
        <f>CE256*($AU256-$BF256)</f>
        <v>-0.91138407165060409</v>
      </c>
      <c r="CI256">
        <v>79.862639018895294</v>
      </c>
      <c r="CJ256">
        <f>((BG256/BH256)^0.67)*CI256</f>
        <v>78.061717644047135</v>
      </c>
      <c r="CK256">
        <f>((BH256/BH256)^0.67)*CI256</f>
        <v>79.862639018895294</v>
      </c>
      <c r="CL256">
        <f>((BI256/BH256)^0.67)*CI256</f>
        <v>80.352728366245771</v>
      </c>
      <c r="CM256" s="39">
        <f>CJ256*($AM256-$BB256)</f>
        <v>-660.1453902852312</v>
      </c>
      <c r="CN256" s="39">
        <f>CK256*($AD256-$BD256)</f>
        <v>157.77183313487367</v>
      </c>
      <c r="CO256" s="39">
        <f>CL256*($AU256-$BF256)</f>
        <v>-126.29495515041711</v>
      </c>
      <c r="CP256" s="27">
        <f>VLOOKUP(A256,Water!$A$2:$E$109, 5, FALSE)/1000</f>
        <v>8.9999999999999992E-5</v>
      </c>
      <c r="CQ256">
        <f>0.64*CP256</f>
        <v>5.7599999999999997E-5</v>
      </c>
      <c r="CR256" s="19">
        <f>CQ256*1000*(2.5*10^-5)</f>
        <v>1.44E-6</v>
      </c>
      <c r="CS256" s="18">
        <f>(-0.0000009*F256^3)+(0.0002*F256^2)-(0.0134*F256)+6.579</f>
        <v>6.3554475758999995</v>
      </c>
      <c r="CT256" s="18">
        <f>CS256-(SQRT(CP256))/(1+1.4*SQRT(CP256))</f>
        <v>6.3460850913772244</v>
      </c>
      <c r="CU256" s="18">
        <f>10^(-CT256)</f>
        <v>4.5072838461544427E-7</v>
      </c>
      <c r="CV256" s="18">
        <f>(0.000001*F256^3)+(0.00006*F256^2)-(0.014*F256)+10.625</f>
        <v>10.329038849</v>
      </c>
      <c r="CW256" s="18">
        <f>CV256-(2*SQRT(CR256))/(1+1.4*SQRT(CR256))</f>
        <v>10.326642874237601</v>
      </c>
      <c r="CX256" s="18">
        <f>10^(-CW256)</f>
        <v>4.7136477619989596E-11</v>
      </c>
      <c r="CY256">
        <f>EXP(1246.98+-61900/H256-183*LN(H256))</f>
        <v>3.6806354531829955E-2</v>
      </c>
      <c r="CZ256">
        <f>12.225*(F256^2)+15.258*F256+1125.7</f>
        <v>9085.2464499999987</v>
      </c>
      <c r="DA256" s="15">
        <f>10^(-4470.99/H256+6.0875-0.01706*H256)</f>
        <v>1.0045273507235848E-14</v>
      </c>
      <c r="DB256">
        <f>(10^-I256)</f>
        <v>1.2882495516931289E-9</v>
      </c>
      <c r="DC256">
        <f>DB256^2</f>
        <v>1.6595869074375478E-18</v>
      </c>
      <c r="DD256" s="20">
        <f>((14.6836*10^-9)*((H256/217.2056)-1)^1.997)*100*100</f>
        <v>2.0402249617825391E-5</v>
      </c>
      <c r="DE256">
        <f>CY256+CZ256*DA256/DB256</f>
        <v>0.10764960485623082</v>
      </c>
      <c r="DF256">
        <f>1+DC256*(CU256*CX256+CU256*DB256)^-1</f>
        <v>1.0027572634443278</v>
      </c>
      <c r="DG256">
        <f>(DE256*DF256/DD256)^0.5</f>
        <v>72.73862711988528</v>
      </c>
      <c r="DH256">
        <f>DD256/(BO256/60/60)</f>
        <v>2.7864201609483295E-2</v>
      </c>
      <c r="DI256" s="16">
        <f>DF256/((DF256-1)+TANH(DG256*DH256)/(DG256*DH256))</f>
        <v>2.0920973350653655</v>
      </c>
      <c r="DJ256">
        <f>$DI256*BR256</f>
        <v>-46.635574580560963</v>
      </c>
      <c r="DK256">
        <f>$DI256*BY256</f>
        <v>-68.184911735327773</v>
      </c>
      <c r="DL256">
        <f>$DI256*CF256</f>
        <v>-10.559952425741937</v>
      </c>
      <c r="DM256">
        <f>$DI256*CM256</f>
        <v>-1381.0884117714179</v>
      </c>
    </row>
    <row r="257" spans="1:117" ht="15.75" x14ac:dyDescent="0.25">
      <c r="A257" s="52" t="s">
        <v>338</v>
      </c>
      <c r="B257" s="55" t="s">
        <v>342</v>
      </c>
      <c r="C257" s="62" t="s">
        <v>451</v>
      </c>
      <c r="D257" s="57">
        <v>43290</v>
      </c>
      <c r="E257" s="42" t="str">
        <f>A257&amp;D257</f>
        <v>4A43290</v>
      </c>
      <c r="F257" s="3">
        <f>VLOOKUP($E257,Water!$C$2:$E$90, 2, FALSE)</f>
        <v>24.9</v>
      </c>
      <c r="G257" s="3">
        <f>VLOOKUP($E257,Water!$C$2:$E$90, 3, FALSE)</f>
        <v>0.12</v>
      </c>
      <c r="H257" s="1">
        <f>F257+273.15</f>
        <v>298.04999999999995</v>
      </c>
      <c r="I257" s="3">
        <f>VLOOKUP($E257,Water!$C$2:$F$90, 4, FALSE)</f>
        <v>8.89</v>
      </c>
      <c r="J257">
        <f>10^(I257*-1)</f>
        <v>1.2882495516931289E-9</v>
      </c>
      <c r="K257" s="25">
        <f>VLOOKUP($E257,Atm!$D$2:$G$100, 2, FALSE)</f>
        <v>433.43890291295918</v>
      </c>
      <c r="L257" s="25">
        <f>VLOOKUP($E257,Atm!$D$2:$G$100, 3, FALSE)</f>
        <v>1.9858879292579721</v>
      </c>
      <c r="M257" s="25">
        <f>VLOOKUP($E257,Atm!$D$2:$G$100, 4, FALSE)</f>
        <v>0.3003945228116125</v>
      </c>
      <c r="N257" s="21">
        <f>VLOOKUP($C257,Raw!$B$2:$F$353, 3, FALSE)</f>
        <v>158.792244733459</v>
      </c>
      <c r="O257" s="21">
        <f>VLOOKUP($C257,Raw!$B$2:$F$353, 4, FALSE)</f>
        <v>661.51000474749219</v>
      </c>
      <c r="P257" s="21">
        <f>VLOOKUP($C257,Raw!$B$2:$F$353, 5, FALSE)</f>
        <v>0.27840537741560761</v>
      </c>
      <c r="Q257" s="14">
        <v>60</v>
      </c>
      <c r="R257" s="25">
        <v>1140</v>
      </c>
      <c r="S257">
        <f>EXP(24.4543-(100/H257*(67.4509))-(4.8489*LN(H257/100))-(0.000544*G257))</f>
        <v>3.1056760155318389E-2</v>
      </c>
      <c r="T257" s="8">
        <f>EXP(-58.0931+90.5069*(100/H257)+22.294*LN(H257/100)+G257*(0.027766-0.025888*(H257/100)+0.0050578*(H257/100)^2)*G257)</f>
        <v>3.4056376865289437E-2</v>
      </c>
      <c r="U257" s="9">
        <f>(EXP(-67.1962+99.1624*(100/H257)+27.9015*LN(H257/100)+G257*(-0.072909+0.041674*(H257/100)-0.0064603*(H257/100)^2)*G257))</f>
        <v>3.1589901875362529E-2</v>
      </c>
      <c r="V257" s="9">
        <f>(EXP(-64.8539+100.252*(100/H257)+25.2049*LN(H257/100)+(-0.062544+0.035337*(H257/100)-0.0054699*(H257/100)^2)*G257))</f>
        <v>2.4907552191564531E-2</v>
      </c>
      <c r="W257" s="9">
        <f>(EXP(-68.8862+101.4956*(100/H257)+28.7314*LN(H257/100)+G257*(-0.076146+0.04397*(H257/100)-0.0068672*(H257/100)^2)))</f>
        <v>3.1542680345863688E-2</v>
      </c>
      <c r="X257">
        <f>N257*(AZ257-S257)</f>
        <v>144.2704562410029</v>
      </c>
      <c r="Y257">
        <f>O257*(AZ257-S257)</f>
        <v>601.01392453456117</v>
      </c>
      <c r="Z257">
        <f>((Y257/10^6)*AZ257)/(0.082056*H257)</f>
        <v>2.3090349479697701E-5</v>
      </c>
      <c r="AA257">
        <f>(((L257/10^6)*AZ257)/(0.082056*H257))</f>
        <v>7.6295813528098858E-8</v>
      </c>
      <c r="AB257">
        <f>((Y257/10^6)*U257*1)/(0.082056*H257)</f>
        <v>7.763067140343422E-7</v>
      </c>
      <c r="AC257">
        <f>(Z257*(Q257/1000))+(AB257*(R257/1000))</f>
        <v>2.2704106227810119E-6</v>
      </c>
      <c r="AD257" s="39">
        <f>((AC257-(AA257*(Q257/1000)))/(R257/1000))*1000000</f>
        <v>1.9875726964643212</v>
      </c>
      <c r="AE257" s="39">
        <f>(AD257/((U257*AZ257*1))*(0.0821*273.15))</f>
        <v>1501.667101774302</v>
      </c>
      <c r="AF257" s="39">
        <f>L257*U257*AZ257*1/(0.0821*273.15)</f>
        <v>2.6284764591083497E-3</v>
      </c>
      <c r="AG257" s="39">
        <f>AD257-AF257</f>
        <v>1.984944220005213</v>
      </c>
      <c r="AH257" s="42">
        <f>P257*(AZ257-S257)</f>
        <v>0.25294478887881755</v>
      </c>
      <c r="AI257">
        <f>(((X257/10^6)*(Q257/1000))/(0.082056*H257))</f>
        <v>3.5393962540907755E-7</v>
      </c>
      <c r="AJ257">
        <f>(((K257/10^6)*AZ257)*(Q257/1000))/(0.082056*H257)</f>
        <v>9.9913715850503217E-7</v>
      </c>
      <c r="AK257">
        <f>(X257/10^6)*T257*(R257/1000)</f>
        <v>5.6011950922287601E-6</v>
      </c>
      <c r="AL257">
        <f>AI257+AK257</f>
        <v>5.9551347176378374E-6</v>
      </c>
      <c r="AM257" s="39">
        <f>((AL257-AJ257)/(R257/1000))*1000000</f>
        <v>4.3473662799410571</v>
      </c>
      <c r="AN257" s="39">
        <f>AM257/(T257*AZ257)</f>
        <v>135.85710271935505</v>
      </c>
      <c r="AO257" s="39">
        <f>(K257*AZ257)*T257</f>
        <v>13.869850256051373</v>
      </c>
      <c r="AP257" s="39">
        <f>AM257-AO257</f>
        <v>-9.5224839761103155</v>
      </c>
      <c r="AQ257">
        <f>(((AH257/10^6)*(Q257/1000))/(0.082056*H257))</f>
        <v>6.2055105499487907E-10</v>
      </c>
      <c r="AR257">
        <f>(((M257/10^6)*AZ257)*(Q257/1000))/(0.082056*H257)</f>
        <v>6.9245129575445862E-10</v>
      </c>
      <c r="AS257">
        <f>(AH257/10^6)*V257*(R257/1000)</f>
        <v>7.1822685048650973E-9</v>
      </c>
      <c r="AT257">
        <f>AQ257+AS257</f>
        <v>7.8028195598599764E-9</v>
      </c>
      <c r="AU257" s="39">
        <f>((AT257-AR257)/(R257/1000))*1000000000</f>
        <v>6.2371651439522093</v>
      </c>
      <c r="AV257" s="39">
        <f>(AU257/1000)/(V257*AZ257)</f>
        <v>0.26650830881375015</v>
      </c>
      <c r="AW257" s="39">
        <f>(M257*AZ257)*V257*1000</f>
        <v>7.0302132622218645</v>
      </c>
      <c r="AX257" s="39">
        <f>AU257-AW257</f>
        <v>-0.79304811826965516</v>
      </c>
      <c r="AY257" s="26">
        <f>VLOOKUP($E257,Water!$C$2:$G$90, 5, FALSE)</f>
        <v>714.1</v>
      </c>
      <c r="AZ257">
        <f>AY257/760</f>
        <v>0.93960526315789472</v>
      </c>
      <c r="BA257" s="3">
        <f>Assumptions!$B$3</f>
        <v>406.07</v>
      </c>
      <c r="BB257" s="3">
        <f>BA257*AZ257*T257</f>
        <v>12.994057652932446</v>
      </c>
      <c r="BC257" s="3">
        <f>Assumptions!$B$4</f>
        <v>1.8474300000000001</v>
      </c>
      <c r="BD257" s="45">
        <f>BC257*AZ257*U257*1/(0.0821*273.15)</f>
        <v>2.4452166677225123E-3</v>
      </c>
      <c r="BE257" s="3">
        <f>Assumptions!$B$2</f>
        <v>0.33054499999999998</v>
      </c>
      <c r="BF257" s="44">
        <f>BE257*AZ257*V257*1000</f>
        <v>7.7358329340061234</v>
      </c>
      <c r="BG257">
        <f>1923.6+(-125.06*F257)+(4.3773*(F257^2))+(-0.085681*(F257^3))+(0.00070284*(F257^4))</f>
        <v>470.99157171728388</v>
      </c>
      <c r="BH257">
        <f>1909.4+(-120.78*F257)+(4.1555*(F257^2))+(-0.080578*(F257^3))+(0.00065777*(F257^4))</f>
        <v>487.3012714917769</v>
      </c>
      <c r="BI257">
        <f>2141.2+(-152.56*F257)+(5.8963*(F257^2))+(-0.12411*(F257^3))+(0.0010655*(F257^4))</f>
        <v>491.77129191654956</v>
      </c>
      <c r="BJ257" s="25">
        <f>VLOOKUP(E257,Wind!$C$2:$E$109,3, FALSE)</f>
        <v>3.2777777777777777</v>
      </c>
      <c r="BK257" s="44">
        <v>1.66</v>
      </c>
      <c r="BL257">
        <f>BK257/(1-(((1.3*10^-3)^0.5)/0.41)*LN(10/1.5))</f>
        <v>1.9923982880693825</v>
      </c>
      <c r="BM257">
        <f>BK257*1.22</f>
        <v>2.0251999999999999</v>
      </c>
      <c r="BN257">
        <f>2.07+0.215*(BM257^1.7)*(24/100)</f>
        <v>2.241255750541113</v>
      </c>
      <c r="BO257">
        <f>BN257*((600/BG257)^0.67)</f>
        <v>2.6359304907977017</v>
      </c>
      <c r="BP257">
        <f>BN257*((600/BH257)^0.67)</f>
        <v>2.5764896355766713</v>
      </c>
      <c r="BQ257">
        <f>BN257*((600/BI257)^0.67)</f>
        <v>2.5607750462947787</v>
      </c>
      <c r="BR257" s="39">
        <f>BO257*(AM257-BB257)</f>
        <v>-22.79207743458544</v>
      </c>
      <c r="BS257" s="39">
        <f>BP257*(AD257-BD257)</f>
        <v>5.114660376994375</v>
      </c>
      <c r="BT257" s="39">
        <f>BQ257*(AU257-BF257)</f>
        <v>-3.8377510794558054</v>
      </c>
      <c r="BU257">
        <f>(2.51+1.48*BM257)+(0.39*BM257*LOG10(0.0015))</f>
        <v>3.2768938069574309</v>
      </c>
      <c r="BV257">
        <f>BU257*((600/$BG257)^0.67)</f>
        <v>3.8539396045185086</v>
      </c>
      <c r="BW257">
        <f>BU257*((600/$BH257)^0.67)</f>
        <v>3.7670323560677144</v>
      </c>
      <c r="BX257">
        <f>BU257*((600/$BI257)^0.67)</f>
        <v>3.7440563791921253</v>
      </c>
      <c r="BY257" s="39">
        <f>BV257*($AM257-$BB257)</f>
        <v>-33.323826330420026</v>
      </c>
      <c r="BZ257" s="39">
        <f>BW257*($AD257-$BD257)</f>
        <v>7.4780394473129457</v>
      </c>
      <c r="CA257" s="39">
        <f>BX257*($AU257-$BF257)</f>
        <v>-5.6110966996411218</v>
      </c>
      <c r="CB257" s="42">
        <f>AVERAGE(0.72,0.69,0.4,0.22)</f>
        <v>0.50750000000000006</v>
      </c>
      <c r="CC257">
        <f>CB257*((600/$BG257)^0.67)</f>
        <v>0.59686839565581062</v>
      </c>
      <c r="CD257">
        <f>CB257*((600/$BH257)^0.67)</f>
        <v>0.58340887234286887</v>
      </c>
      <c r="CE257">
        <f>CB257*((600/$BI257)^0.67)</f>
        <v>0.57985053052550373</v>
      </c>
      <c r="CF257" s="39">
        <f>CC257*($AM257-$BB257)</f>
        <v>-5.1609368075283077</v>
      </c>
      <c r="CG257" s="39">
        <f>CD257*($AD257-$BD257)</f>
        <v>1.1581409844449748</v>
      </c>
      <c r="CH257" s="39">
        <f>CE257*($AU257-$BF257)</f>
        <v>-0.86900331314424628</v>
      </c>
      <c r="CI257">
        <v>80.862639018895294</v>
      </c>
      <c r="CJ257">
        <f>((BG257/BH257)^0.67)*CI257</f>
        <v>79.039167407829396</v>
      </c>
      <c r="CK257">
        <f>((BH257/BH257)^0.67)*CI257</f>
        <v>80.862639018895294</v>
      </c>
      <c r="CL257">
        <f>((BI257/BH257)^0.67)*CI257</f>
        <v>81.358865019797051</v>
      </c>
      <c r="CM257" s="39">
        <f>CJ257*($AM257-$BB257)</f>
        <v>-683.42728695370045</v>
      </c>
      <c r="CN257" s="39">
        <f>CK257*($AD257-$BD257)</f>
        <v>160.52264680528174</v>
      </c>
      <c r="CO257" s="39">
        <f>CL257*($AU257-$BF257)</f>
        <v>-121.92991044051394</v>
      </c>
      <c r="CP257" s="27">
        <f>VLOOKUP(A257,Water!$A$2:$E$109, 5, FALSE)/1000</f>
        <v>8.9999999999999992E-5</v>
      </c>
      <c r="CQ257">
        <f>0.64*CP257</f>
        <v>5.7599999999999997E-5</v>
      </c>
      <c r="CR257" s="19">
        <f>CQ257*1000*(2.5*10^-5)</f>
        <v>1.44E-6</v>
      </c>
      <c r="CS257" s="18">
        <f>(-0.0000009*F257^3)+(0.0002*F257^2)-(0.0134*F257)+6.579</f>
        <v>6.3554475758999995</v>
      </c>
      <c r="CT257" s="18">
        <f>CS257-(SQRT(CP257))/(1+1.4*SQRT(CP257))</f>
        <v>6.3460850913772244</v>
      </c>
      <c r="CU257" s="18">
        <f>10^(-CT257)</f>
        <v>4.5072838461544427E-7</v>
      </c>
      <c r="CV257" s="18">
        <f>(0.000001*F257^3)+(0.00006*F257^2)-(0.014*F257)+10.625</f>
        <v>10.329038849</v>
      </c>
      <c r="CW257" s="18">
        <f>CV257-(2*SQRT(CR257))/(1+1.4*SQRT(CR257))</f>
        <v>10.326642874237601</v>
      </c>
      <c r="CX257" s="18">
        <f>10^(-CW257)</f>
        <v>4.7136477619989596E-11</v>
      </c>
      <c r="CY257">
        <f>EXP(1246.98+-61900/H257-183*LN(H257))</f>
        <v>3.6806354531829955E-2</v>
      </c>
      <c r="CZ257">
        <f>12.225*(F257^2)+15.258*F257+1125.7</f>
        <v>9085.2464499999987</v>
      </c>
      <c r="DA257" s="15">
        <f>10^(-4470.99/H257+6.0875-0.01706*H257)</f>
        <v>1.0045273507235848E-14</v>
      </c>
      <c r="DB257">
        <f>(10^-I257)</f>
        <v>1.2882495516931289E-9</v>
      </c>
      <c r="DC257">
        <f>DB257^2</f>
        <v>1.6595869074375478E-18</v>
      </c>
      <c r="DD257" s="20">
        <f>((14.6836*10^-9)*((H257/217.2056)-1)^1.997)*100*100</f>
        <v>2.0402249617825391E-5</v>
      </c>
      <c r="DE257">
        <f>CY257+CZ257*DA257/DB257</f>
        <v>0.10764960485623082</v>
      </c>
      <c r="DF257">
        <f>1+DC257*(CU257*CX257+CU257*DB257)^-1</f>
        <v>1.0027572634443278</v>
      </c>
      <c r="DG257">
        <f>(DE257*DF257/DD257)^0.5</f>
        <v>72.73862711988528</v>
      </c>
      <c r="DH257">
        <f>DD257/(BO257/60/60)</f>
        <v>2.7864201609483295E-2</v>
      </c>
      <c r="DI257" s="16">
        <f>DF257/((DF257-1)+TANH(DG257*DH257)/(DG257*DH257))</f>
        <v>2.0920973350653655</v>
      </c>
      <c r="DJ257">
        <f>$DI257*BR257</f>
        <v>-47.683244461499655</v>
      </c>
      <c r="DK257">
        <f>$DI257*BY257</f>
        <v>-69.716688260052791</v>
      </c>
      <c r="DL257">
        <f>$DI257*CF257</f>
        <v>-10.797182141470728</v>
      </c>
      <c r="DM257">
        <f>$DI257*CM257</f>
        <v>-1429.7964057467896</v>
      </c>
    </row>
    <row r="258" spans="1:117" ht="15.75" x14ac:dyDescent="0.25">
      <c r="A258" s="52" t="s">
        <v>327</v>
      </c>
      <c r="B258" s="55" t="s">
        <v>339</v>
      </c>
      <c r="C258" s="50" t="s">
        <v>453</v>
      </c>
      <c r="D258" s="57">
        <v>43321</v>
      </c>
      <c r="E258" s="42" t="str">
        <f>A258&amp;D258</f>
        <v>66C43321</v>
      </c>
      <c r="F258" s="3">
        <f>VLOOKUP($E258,Water!$C$2:$E$90, 2, FALSE)</f>
        <v>21.8</v>
      </c>
      <c r="G258" s="3">
        <f>VLOOKUP($E258,Water!$C$2:$E$90, 3, FALSE)</f>
        <v>0.2</v>
      </c>
      <c r="H258" s="1">
        <f>F258+273.15</f>
        <v>294.95</v>
      </c>
      <c r="I258" s="3">
        <f>VLOOKUP($E258,Water!$C$2:$F$90, 4, FALSE)</f>
        <v>8.5500000000000007</v>
      </c>
      <c r="J258">
        <f>10^(I258*-1)</f>
        <v>2.818382931264444E-9</v>
      </c>
      <c r="K258" s="25">
        <v>439.52751160265137</v>
      </c>
      <c r="L258" s="25">
        <v>2.8430237635924795</v>
      </c>
      <c r="M258" s="25">
        <v>0.32236441181786135</v>
      </c>
      <c r="N258" s="21">
        <f>VLOOKUP($C258,Raw!$B$2:$F$353, 3, FALSE)</f>
        <v>325.14333154503112</v>
      </c>
      <c r="O258" s="21">
        <f>VLOOKUP($C258,Raw!$B$2:$F$353, 4, FALSE)</f>
        <v>238.79952699946551</v>
      </c>
      <c r="P258" s="21">
        <f>VLOOKUP($C258,Raw!$B$2:$F$353, 5, FALSE)</f>
        <v>0.25549760824521139</v>
      </c>
      <c r="Q258" s="14">
        <v>60</v>
      </c>
      <c r="R258" s="25">
        <v>1140</v>
      </c>
      <c r="S258">
        <f>EXP(24.4543-(100/H258*(67.4509))-(4.8489*LN(H258/100))-(0.000544*G258))</f>
        <v>2.5754655562816055E-2</v>
      </c>
      <c r="T258" s="8">
        <f>EXP(-58.0931+90.5069*(100/H258)+22.294*LN(H258/100)+G258*(0.027766-0.025888*(H258/100)+0.0050578*(H258/100)^2)*G258)</f>
        <v>3.7112847282770124E-2</v>
      </c>
      <c r="U258" s="9">
        <f>(EXP(-67.1962+99.1624*(100/H258)+27.9015*LN(H258/100)+G258*(-0.072909+0.041674*(H258/100)-0.0064603*(H258/100)^2)*G258))</f>
        <v>3.3469555674183964E-2</v>
      </c>
      <c r="V258" s="9">
        <f>(EXP(-64.8539+100.252*(100/H258)+25.2049*LN(H258/100)+(-0.062544+0.035337*(H258/100)-0.0054699*(H258/100)^2)*G258))</f>
        <v>2.7239909106145311E-2</v>
      </c>
      <c r="W258" s="9">
        <f>(EXP(-68.8862+101.4956*(100/H258)+28.7314*LN(H258/100)+G258*(-0.076146+0.04397*(H258/100)-0.0068672*(H258/100)^2)))</f>
        <v>3.3392894254733213E-2</v>
      </c>
      <c r="X258">
        <f>N258*(AZ258-S258)</f>
        <v>295.54949644749814</v>
      </c>
      <c r="Y258">
        <f>O258*(AZ258-S258)</f>
        <v>217.06451619727628</v>
      </c>
      <c r="Z258">
        <f>((Y258/10^6)*AZ258)/(0.082056*H258)</f>
        <v>8.3833857885628362E-6</v>
      </c>
      <c r="AA258">
        <f>(((L258/10^6)*AZ258)/(0.082056*H258))</f>
        <v>1.0980221656581701E-7</v>
      </c>
      <c r="AB258">
        <f>((Y258/10^6)*U258*1)/(0.082056*H258)</f>
        <v>3.0017881477369728E-7</v>
      </c>
      <c r="AC258">
        <f>(Z258*(Q258/1000))+(AB258*(R258/1000))</f>
        <v>8.4520699615578507E-7</v>
      </c>
      <c r="AD258" s="39">
        <f>((AC258-(AA258*(Q258/1000)))/(R258/1000))*1000000</f>
        <v>0.73563058172090889</v>
      </c>
      <c r="AE258" s="39">
        <f>(AD258/((U258*AZ258*1))*(0.0821*273.15))</f>
        <v>527.30857043796891</v>
      </c>
      <c r="AF258" s="39">
        <f>L258*U258*AZ258*1/(0.0821*273.15)</f>
        <v>3.966207534462844E-3</v>
      </c>
      <c r="AG258" s="39">
        <f>AD258-AF258</f>
        <v>0.73166437418644603</v>
      </c>
      <c r="AH258" s="42">
        <f>P258*(AZ258-S258)</f>
        <v>0.23224277459909778</v>
      </c>
      <c r="AI258">
        <f>(((X258/10^6)*(Q258/1000))/(0.082056*H258))</f>
        <v>7.3269416192238403E-7</v>
      </c>
      <c r="AJ258">
        <f>(((K258/10^6)*AZ258)*(Q258/1000))/(0.082056*H258)</f>
        <v>1.0185161791538244E-6</v>
      </c>
      <c r="AK258">
        <f>(X258/10^6)*T258*(R258/1000)</f>
        <v>1.2504298991817395E-5</v>
      </c>
      <c r="AL258">
        <f>AI258+AK258</f>
        <v>1.3236993153739778E-5</v>
      </c>
      <c r="AM258" s="39">
        <f>((AL258-AJ258)/(R258/1000))*1000000</f>
        <v>10.717962258408733</v>
      </c>
      <c r="AN258" s="39">
        <f>AM258/(T258*AZ258)</f>
        <v>308.95739054356409</v>
      </c>
      <c r="AO258" s="39">
        <f>(K258*AZ258)*T258</f>
        <v>15.247537120253087</v>
      </c>
      <c r="AP258" s="39">
        <f>AM258-AO258</f>
        <v>-4.5295748618443543</v>
      </c>
      <c r="AQ258">
        <f>(((AH258/10^6)*(Q258/1000))/(0.082056*H258))</f>
        <v>5.7575102357734191E-10</v>
      </c>
      <c r="AR258">
        <f>(((M258/10^6)*AZ258)*(Q258/1000))/(0.082056*H258)</f>
        <v>7.4701437419171895E-10</v>
      </c>
      <c r="AS258">
        <f>(AH258/10^6)*V258*(R258/1000)</f>
        <v>7.2119501605277942E-9</v>
      </c>
      <c r="AT258">
        <f>AQ258+AS258</f>
        <v>7.7877011841051363E-9</v>
      </c>
      <c r="AU258" s="39">
        <f>((AT258-AR258)/(R258/1000))*1000000000</f>
        <v>6.1760410613275596</v>
      </c>
      <c r="AV258" s="39">
        <f>(AU258/1000)/(V258*AZ258)</f>
        <v>0.24255775265926516</v>
      </c>
      <c r="AW258" s="39">
        <f>(M258*AZ258)*V258*1000</f>
        <v>8.2080899178456725</v>
      </c>
      <c r="AX258" s="39">
        <f>AU258-AW258</f>
        <v>-2.032048856518113</v>
      </c>
      <c r="AY258" s="26">
        <f>VLOOKUP($E258,Water!$C$2:$G$90, 5, FALSE)</f>
        <v>710.4</v>
      </c>
      <c r="AZ258">
        <f>AY258/760</f>
        <v>0.93473684210526309</v>
      </c>
      <c r="BA258" s="3">
        <f>Assumptions!$B$3</f>
        <v>406.07</v>
      </c>
      <c r="BB258" s="3">
        <f>BA258*AZ258*T258</f>
        <v>14.08687109447331</v>
      </c>
      <c r="BC258" s="3">
        <f>Assumptions!$B$4</f>
        <v>1.8474300000000001</v>
      </c>
      <c r="BD258" s="45">
        <f>BC258*AZ258*U258*1/(0.0821*273.15)</f>
        <v>2.5772879140953217E-3</v>
      </c>
      <c r="BE258" s="3">
        <f>Assumptions!$B$2</f>
        <v>0.33054499999999998</v>
      </c>
      <c r="BF258" s="44">
        <f>BE258*AZ258*V258*1000</f>
        <v>8.4163852535535071</v>
      </c>
      <c r="BG258">
        <f>1923.6+(-125.06*F258)+(4.3773*(F258^2))+(-0.085681*(F258^3))+(0.00070284*(F258^4))</f>
        <v>548.62357701158385</v>
      </c>
      <c r="BH258">
        <f>1909.4+(-120.78*F258)+(4.1555*(F258^2))+(-0.080578*(F258^3))+(0.00065777*(F258^4))</f>
        <v>565.00841160155244</v>
      </c>
      <c r="BI258">
        <f>2141.2+(-152.56*F258)+(5.8963*(F258^2))+(-0.12411*(F258^3))+(0.0010655*(F258^4))</f>
        <v>572.38765135279982</v>
      </c>
      <c r="BJ258" s="25">
        <f>VLOOKUP(E258,Wind!$C$2:$E$109,3, FALSE)</f>
        <v>0.55555555555555558</v>
      </c>
      <c r="BK258" s="44">
        <v>1.66</v>
      </c>
      <c r="BL258">
        <f>BK258/(1-(((1.3*10^-3)^0.5)/0.41)*LN(10/1.5))</f>
        <v>1.9923982880693825</v>
      </c>
      <c r="BM258">
        <f>BK258*1.22</f>
        <v>2.0251999999999999</v>
      </c>
      <c r="BN258">
        <f>2.07+0.215*(BM258^1.7)*(24/100)</f>
        <v>2.241255750541113</v>
      </c>
      <c r="BO258">
        <f>BN258*((600/BG258)^0.67)</f>
        <v>2.3797912395049967</v>
      </c>
      <c r="BP258">
        <f>BN258*((600/BH258)^0.67)</f>
        <v>2.3333289133092827</v>
      </c>
      <c r="BQ258">
        <f>BN258*((600/BI258)^0.67)</f>
        <v>2.3131312893259408</v>
      </c>
      <c r="BR258" s="39">
        <f>BO258*(AM258-BB258)</f>
        <v>-8.0172997347574562</v>
      </c>
      <c r="BS258" s="39">
        <f>BP258*(AD258-BD258)</f>
        <v>1.7104544454360426</v>
      </c>
      <c r="BT258" s="39">
        <f>BQ258*(AU258-BF258)</f>
        <v>-5.1822102498974889</v>
      </c>
      <c r="BU258">
        <f>(2.51+1.48*BM258)+(0.39*BM258*LOG10(0.0015))</f>
        <v>3.2768938069574309</v>
      </c>
      <c r="BV258">
        <f>BU258*((600/$BG258)^0.67)</f>
        <v>3.4794436880765169</v>
      </c>
      <c r="BW258">
        <f>BU258*((600/$BH258)^0.67)</f>
        <v>3.4115120792314251</v>
      </c>
      <c r="BX258">
        <f>BU258*((600/$BI258)^0.67)</f>
        <v>3.3819815497814556</v>
      </c>
      <c r="BY258" s="39">
        <f>BV258*($AM258-$BB258)</f>
        <v>-11.721928585350097</v>
      </c>
      <c r="BZ258" s="39">
        <f>BW258*($AD258-$BD258)</f>
        <v>2.5008201665423275</v>
      </c>
      <c r="CA258" s="39">
        <f>BX258*($AU258-$BF258)</f>
        <v>-7.5768027232681936</v>
      </c>
      <c r="CB258" s="42">
        <f>AVERAGE(0.72,0.69,0.4,0.22)</f>
        <v>0.50750000000000006</v>
      </c>
      <c r="CC258">
        <f>CB258*((600/$BG258)^0.67)</f>
        <v>0.53886936096302118</v>
      </c>
      <c r="CD258">
        <f>CB258*((600/$BH258)^0.67)</f>
        <v>0.52834863813224564</v>
      </c>
      <c r="CE258">
        <f>CB258*((600/$BI258)^0.67)</f>
        <v>0.52377517784371264</v>
      </c>
      <c r="CF258" s="39">
        <f>CC258*($AM258-$BB258)</f>
        <v>-1.815401751632794</v>
      </c>
      <c r="CG258" s="39">
        <f>CD258*($AD258-$BD258)</f>
        <v>0.38730770946118692</v>
      </c>
      <c r="CH258" s="39">
        <f>CE258*($AU258-$BF258)</f>
        <v>-1.1734366777142744</v>
      </c>
      <c r="CI258">
        <v>81.862639018895294</v>
      </c>
      <c r="CJ258">
        <f>((BG258/BH258)^0.67)*CI258</f>
        <v>80.264377552007531</v>
      </c>
      <c r="CK258">
        <f>((BH258/BH258)^0.67)*CI258</f>
        <v>81.862639018895294</v>
      </c>
      <c r="CL258">
        <f>((BI258/BH258)^0.67)*CI258</f>
        <v>82.577440988337131</v>
      </c>
      <c r="CM258" s="39">
        <f>CJ258*($AM258-$BB258)</f>
        <v>-270.40337075618146</v>
      </c>
      <c r="CN258" s="39">
        <f>CK258*($AD258-$BD258)</f>
        <v>60.009677172519375</v>
      </c>
      <c r="CO258" s="39">
        <f>CL258*($AU258-$BF258)</f>
        <v>-185.00189032710199</v>
      </c>
      <c r="CP258" s="27">
        <f>VLOOKUP(A258,Water!$A$2:$E$109, 5, FALSE)/1000</f>
        <v>1.1999999999999999E-4</v>
      </c>
      <c r="CQ258">
        <f>0.64*CP258</f>
        <v>7.6799999999999997E-5</v>
      </c>
      <c r="CR258" s="19">
        <f>CQ258*1000*(2.5*10^-5)</f>
        <v>1.9199999999999998E-6</v>
      </c>
      <c r="CS258" s="18">
        <f>(-0.0000009*F258^3)+(0.0002*F258^2)-(0.0134*F258)+6.579</f>
        <v>6.3726037911999995</v>
      </c>
      <c r="CT258" s="18">
        <f>CS258-(SQRT(CP258))/(1+1.4*SQRT(CP258))</f>
        <v>6.3618148024797492</v>
      </c>
      <c r="CU258" s="18">
        <f>10^(-CT258)</f>
        <v>4.3469555320385908E-7</v>
      </c>
      <c r="CV258" s="18">
        <f>(0.000001*F258^3)+(0.00006*F258^2)-(0.014*F258)+10.625</f>
        <v>10.358674632</v>
      </c>
      <c r="CW258" s="18">
        <f>CV258-(2*SQRT(CR258))/(1+1.4*SQRT(CR258))</f>
        <v>10.355908716299195</v>
      </c>
      <c r="CX258" s="18">
        <f>10^(-CW258)</f>
        <v>4.4064747279986744E-11</v>
      </c>
      <c r="CY258">
        <f>EXP(1246.98+-61900/H258-183*LN(H258))</f>
        <v>2.8112256352104199E-2</v>
      </c>
      <c r="CZ258">
        <f>12.225*(F258^2)+15.258*F258+1125.7</f>
        <v>7268.1333999999997</v>
      </c>
      <c r="DA258" s="15">
        <f>10^(-4470.99/H258+6.0875-0.01706*H258)</f>
        <v>7.8919706804238646E-15</v>
      </c>
      <c r="DB258">
        <f>(10^-I258)</f>
        <v>2.818382931264444E-9</v>
      </c>
      <c r="DC258">
        <f>DB258^2</f>
        <v>7.9432823472427587E-18</v>
      </c>
      <c r="DD258" s="20">
        <f>((14.6836*10^-9)*((H258/217.2056)-1)^1.997)*100*100</f>
        <v>1.8869802178103005E-5</v>
      </c>
      <c r="DE258">
        <f>CY258+CZ258*DA258/DB258</f>
        <v>4.8464315349451087E-2</v>
      </c>
      <c r="DF258">
        <f>1+DC258*(CU258*CX258+CU258*DB258)^-1</f>
        <v>1.0063837702036675</v>
      </c>
      <c r="DG258">
        <f>(DE258*DF258/DD258)^0.5</f>
        <v>50.840425832880278</v>
      </c>
      <c r="DH258">
        <f>DD258/(BO258/60/60)</f>
        <v>2.8545061732095763E-2</v>
      </c>
      <c r="DI258" s="16">
        <f>DF258/((DF258-1)+TANH(DG258*DH258)/(DG258*DH258))</f>
        <v>1.6134588715309326</v>
      </c>
      <c r="DJ258">
        <f>$DI258*BR258</f>
        <v>-12.93558338276701</v>
      </c>
      <c r="DK258">
        <f>$DI258*BY258</f>
        <v>-18.912849667485148</v>
      </c>
      <c r="DL258">
        <f>$DI258*CF258</f>
        <v>-2.9290760615647264</v>
      </c>
      <c r="DM258">
        <f>$DI258*CM258</f>
        <v>-436.28471743842891</v>
      </c>
    </row>
    <row r="259" spans="1:117" ht="15.75" x14ac:dyDescent="0.25">
      <c r="A259" s="52" t="s">
        <v>327</v>
      </c>
      <c r="B259" s="55" t="s">
        <v>340</v>
      </c>
      <c r="C259" s="50" t="s">
        <v>454</v>
      </c>
      <c r="D259" s="57">
        <v>43321</v>
      </c>
      <c r="E259" s="42" t="str">
        <f>A259&amp;D259</f>
        <v>66C43321</v>
      </c>
      <c r="F259" s="3">
        <f>VLOOKUP($E259,Water!$C$2:$E$90, 2, FALSE)</f>
        <v>21.8</v>
      </c>
      <c r="G259" s="3">
        <f>VLOOKUP($E259,Water!$C$2:$E$90, 3, FALSE)</f>
        <v>0.2</v>
      </c>
      <c r="H259" s="1">
        <f>F259+273.15</f>
        <v>294.95</v>
      </c>
      <c r="I259" s="3">
        <f>VLOOKUP($E259,Water!$C$2:$F$90, 4, FALSE)</f>
        <v>8.5500000000000007</v>
      </c>
      <c r="J259">
        <f>10^(I259*-1)</f>
        <v>2.818382931264444E-9</v>
      </c>
      <c r="K259" s="25">
        <v>439.52751160265137</v>
      </c>
      <c r="L259" s="25">
        <v>2.8430237635924795</v>
      </c>
      <c r="M259" s="25">
        <v>0.32236441181786135</v>
      </c>
      <c r="N259" s="21">
        <f>VLOOKUP($C259,Raw!$B$2:$F$353, 3, FALSE)</f>
        <v>333.4377380362057</v>
      </c>
      <c r="O259" s="21">
        <f>VLOOKUP($C259,Raw!$B$2:$F$353, 4, FALSE)</f>
        <v>239.2599534080538</v>
      </c>
      <c r="P259" s="21">
        <f>VLOOKUP($C259,Raw!$B$2:$F$353, 5, FALSE)</f>
        <v>0.25443944503622573</v>
      </c>
      <c r="Q259" s="14">
        <v>60</v>
      </c>
      <c r="R259" s="25">
        <v>1140</v>
      </c>
      <c r="S259">
        <f>EXP(24.4543-(100/H259*(67.4509))-(4.8489*LN(H259/100))-(0.000544*G259))</f>
        <v>2.5754655562816055E-2</v>
      </c>
      <c r="T259" s="8">
        <f>EXP(-58.0931+90.5069*(100/H259)+22.294*LN(H259/100)+G259*(0.027766-0.025888*(H259/100)+0.0050578*(H259/100)^2)*G259)</f>
        <v>3.7112847282770124E-2</v>
      </c>
      <c r="U259" s="9">
        <f>(EXP(-67.1962+99.1624*(100/H259)+27.9015*LN(H259/100)+G259*(-0.072909+0.041674*(H259/100)-0.0064603*(H259/100)^2)*G259))</f>
        <v>3.3469555674183964E-2</v>
      </c>
      <c r="V259" s="9">
        <f>(EXP(-64.8539+100.252*(100/H259)+25.2049*LN(H259/100)+(-0.062544+0.035337*(H259/100)-0.0054699*(H259/100)^2)*G259))</f>
        <v>2.7239909106145311E-2</v>
      </c>
      <c r="W259" s="9">
        <f>(EXP(-68.8862+101.4956*(100/H259)+28.7314*LN(H259/100)+G259*(-0.076146+0.04397*(H259/100)-0.0068672*(H259/100)^2)))</f>
        <v>3.3392894254733213E-2</v>
      </c>
      <c r="X259">
        <f>N259*(AZ259-S259)</f>
        <v>303.08896419591792</v>
      </c>
      <c r="Y259">
        <f>O259*(AZ259-S259)</f>
        <v>217.48303560089673</v>
      </c>
      <c r="Z259">
        <f>((Y259/10^6)*AZ259)/(0.082056*H259)</f>
        <v>8.3995496908072769E-6</v>
      </c>
      <c r="AA259">
        <f>(((L259/10^6)*AZ259)/(0.082056*H259))</f>
        <v>1.0980221656581701E-7</v>
      </c>
      <c r="AB259">
        <f>((Y259/10^6)*U259*1)/(0.082056*H259)</f>
        <v>3.0075758582637548E-7</v>
      </c>
      <c r="AC259">
        <f>(Z259*(Q259/1000))+(AB259*(R259/1000))</f>
        <v>8.4683662929050465E-7</v>
      </c>
      <c r="AD259" s="39">
        <f>((AC259-(AA259*(Q259/1000)))/(R259/1000))*1000000</f>
        <v>0.73706008447066296</v>
      </c>
      <c r="AE259" s="39">
        <f>(AD259/((U259*AZ259*1))*(0.0821*273.15))</f>
        <v>528.33325466146403</v>
      </c>
      <c r="AF259" s="39">
        <f>L259*U259*AZ259*1/(0.0821*273.15)</f>
        <v>3.966207534462844E-3</v>
      </c>
      <c r="AG259" s="39">
        <f>AD259-AF259</f>
        <v>0.7330938769362001</v>
      </c>
      <c r="AH259" s="42">
        <f>P259*(AZ259-S259)</f>
        <v>0.23128092309167522</v>
      </c>
      <c r="AI259">
        <f>(((X259/10^6)*(Q259/1000))/(0.082056*H259))</f>
        <v>7.5138519022616773E-7</v>
      </c>
      <c r="AJ259">
        <f>(((K259/10^6)*AZ259)*(Q259/1000))/(0.082056*H259)</f>
        <v>1.0185161791538244E-6</v>
      </c>
      <c r="AK259">
        <f>(X259/10^6)*T259*(R259/1000)</f>
        <v>1.2823283663077533E-5</v>
      </c>
      <c r="AL259">
        <f>AI259+AK259</f>
        <v>1.3574668853303701E-5</v>
      </c>
      <c r="AM259" s="39">
        <f>((AL259-AJ259)/(R259/1000))*1000000</f>
        <v>11.014169012412173</v>
      </c>
      <c r="AN259" s="39">
        <f>AM259/(T259*AZ259)</f>
        <v>317.49588541524406</v>
      </c>
      <c r="AO259" s="39">
        <f>(K259*AZ259)*T259</f>
        <v>15.247537120253087</v>
      </c>
      <c r="AP259" s="39">
        <f>AM259-AO259</f>
        <v>-4.2333681078409136</v>
      </c>
      <c r="AQ259">
        <f>(((AH259/10^6)*(Q259/1000))/(0.082056*H259))</f>
        <v>5.7336650594968316E-10</v>
      </c>
      <c r="AR259">
        <f>(((M259/10^6)*AZ259)*(Q259/1000))/(0.082056*H259)</f>
        <v>7.4701437419171895E-10</v>
      </c>
      <c r="AS259">
        <f>(AH259/10^6)*V259*(R259/1000)</f>
        <v>7.1820813082229831E-9</v>
      </c>
      <c r="AT259">
        <f>AQ259+AS259</f>
        <v>7.7554478141726656E-9</v>
      </c>
      <c r="AU259" s="39">
        <f>((AT259-AR259)/(R259/1000))*1000000000</f>
        <v>6.1477486315622345</v>
      </c>
      <c r="AV259" s="39">
        <f>(AU259/1000)/(V259*AZ259)</f>
        <v>0.24144659615738914</v>
      </c>
      <c r="AW259" s="39">
        <f>(M259*AZ259)*V259*1000</f>
        <v>8.2080899178456725</v>
      </c>
      <c r="AX259" s="39">
        <f>AU259-AW259</f>
        <v>-2.060341286283438</v>
      </c>
      <c r="AY259" s="26">
        <f>VLOOKUP($E259,Water!$C$2:$G$90, 5, FALSE)</f>
        <v>710.4</v>
      </c>
      <c r="AZ259">
        <f>AY259/760</f>
        <v>0.93473684210526309</v>
      </c>
      <c r="BA259" s="3">
        <f>Assumptions!$B$3</f>
        <v>406.07</v>
      </c>
      <c r="BB259" s="3">
        <f>BA259*AZ259*T259</f>
        <v>14.08687109447331</v>
      </c>
      <c r="BC259" s="3">
        <f>Assumptions!$B$4</f>
        <v>1.8474300000000001</v>
      </c>
      <c r="BD259" s="45">
        <f>BC259*AZ259*U259*1/(0.0821*273.15)</f>
        <v>2.5772879140953217E-3</v>
      </c>
      <c r="BE259" s="3">
        <f>Assumptions!$B$2</f>
        <v>0.33054499999999998</v>
      </c>
      <c r="BF259" s="44">
        <f>BE259*AZ259*V259*1000</f>
        <v>8.4163852535535071</v>
      </c>
      <c r="BG259">
        <f>1923.6+(-125.06*F259)+(4.3773*(F259^2))+(-0.085681*(F259^3))+(0.00070284*(F259^4))</f>
        <v>548.62357701158385</v>
      </c>
      <c r="BH259">
        <f>1909.4+(-120.78*F259)+(4.1555*(F259^2))+(-0.080578*(F259^3))+(0.00065777*(F259^4))</f>
        <v>565.00841160155244</v>
      </c>
      <c r="BI259">
        <f>2141.2+(-152.56*F259)+(5.8963*(F259^2))+(-0.12411*(F259^3))+(0.0010655*(F259^4))</f>
        <v>572.38765135279982</v>
      </c>
      <c r="BJ259" s="25">
        <f>VLOOKUP(E259,Wind!$C$2:$E$109,3, FALSE)</f>
        <v>0.55555555555555558</v>
      </c>
      <c r="BK259" s="44">
        <v>1.66</v>
      </c>
      <c r="BL259">
        <f>BK259/(1-(((1.3*10^-3)^0.5)/0.41)*LN(10/1.5))</f>
        <v>1.9923982880693825</v>
      </c>
      <c r="BM259">
        <f>BK259*1.22</f>
        <v>2.0251999999999999</v>
      </c>
      <c r="BN259">
        <f>2.07+0.215*(BM259^1.7)*(24/100)</f>
        <v>2.241255750541113</v>
      </c>
      <c r="BO259">
        <f>BN259*((600/BG259)^0.67)</f>
        <v>2.3797912395049967</v>
      </c>
      <c r="BP259">
        <f>BN259*((600/BH259)^0.67)</f>
        <v>2.3333289133092827</v>
      </c>
      <c r="BQ259">
        <f>BN259*((600/BI259)^0.67)</f>
        <v>2.3131312893259408</v>
      </c>
      <c r="BR259" s="39">
        <f>BO259*(AM259-BB259)</f>
        <v>-7.3123894964978557</v>
      </c>
      <c r="BS259" s="39">
        <f>BP259*(AD259-BD259)</f>
        <v>1.7137899455336991</v>
      </c>
      <c r="BT259" s="39">
        <f>BQ259*(AU259-BF259)</f>
        <v>-5.2476543544387191</v>
      </c>
      <c r="BU259">
        <f>(2.51+1.48*BM259)+(0.39*BM259*LOG10(0.0015))</f>
        <v>3.2768938069574309</v>
      </c>
      <c r="BV259">
        <f>BU259*((600/$BG259)^0.67)</f>
        <v>3.4794436880765169</v>
      </c>
      <c r="BW259">
        <f>BU259*((600/$BH259)^0.67)</f>
        <v>3.4115120792314251</v>
      </c>
      <c r="BX259">
        <f>BU259*((600/$BI259)^0.67)</f>
        <v>3.3819815497814556</v>
      </c>
      <c r="BY259" s="39">
        <f>BV259*($AM259-$BB259)</f>
        <v>-10.691293864767191</v>
      </c>
      <c r="BZ259" s="39">
        <f>BW259*($AD259-$BD259)</f>
        <v>2.5056969324404079</v>
      </c>
      <c r="CA259" s="39">
        <f>BX259*($AU259-$BF259)</f>
        <v>-7.6724871987330099</v>
      </c>
      <c r="CB259" s="42">
        <f>AVERAGE(0.72,0.69,0.4,0.22)</f>
        <v>0.50750000000000006</v>
      </c>
      <c r="CC259">
        <f>CB259*((600/$BG259)^0.67)</f>
        <v>0.53886936096302118</v>
      </c>
      <c r="CD259">
        <f>CB259*((600/$BH259)^0.67)</f>
        <v>0.52834863813224564</v>
      </c>
      <c r="CE259">
        <f>CB259*((600/$BI259)^0.67)</f>
        <v>0.52377517784371264</v>
      </c>
      <c r="CF259" s="39">
        <f>CC259*($AM259-$BB259)</f>
        <v>-1.6557850073900291</v>
      </c>
      <c r="CG259" s="39">
        <f>CD259*($AD259-$BD259)</f>
        <v>0.38806298529222577</v>
      </c>
      <c r="CH259" s="39">
        <f>CE259*($AU259-$BF259)</f>
        <v>-1.1882555501462382</v>
      </c>
      <c r="CI259">
        <v>82.862639018895294</v>
      </c>
      <c r="CJ259">
        <f>((BG259/BH259)^0.67)*CI259</f>
        <v>81.244853853699695</v>
      </c>
      <c r="CK259">
        <f>((BH259/BH259)^0.67)*CI259</f>
        <v>82.862639018895294</v>
      </c>
      <c r="CL259">
        <f>((BI259/BH259)^0.67)*CI259</f>
        <v>83.586172712332456</v>
      </c>
      <c r="CM259" s="39">
        <f>CJ259*($AM259-$BB259)</f>
        <v>-249.64123159301576</v>
      </c>
      <c r="CN259" s="39">
        <f>CK259*($AD259-$BD259)</f>
        <v>60.86118283665558</v>
      </c>
      <c r="CO259" s="39">
        <f>CL259*($AU259-$BF259)</f>
        <v>-189.626652507285</v>
      </c>
      <c r="CP259" s="27">
        <f>VLOOKUP(A259,Water!$A$2:$E$109, 5, FALSE)/1000</f>
        <v>1.1999999999999999E-4</v>
      </c>
      <c r="CQ259">
        <f>0.64*CP259</f>
        <v>7.6799999999999997E-5</v>
      </c>
      <c r="CR259" s="19">
        <f>CQ259*1000*(2.5*10^-5)</f>
        <v>1.9199999999999998E-6</v>
      </c>
      <c r="CS259" s="18">
        <f>(-0.0000009*F259^3)+(0.0002*F259^2)-(0.0134*F259)+6.579</f>
        <v>6.3726037911999995</v>
      </c>
      <c r="CT259" s="18">
        <f>CS259-(SQRT(CP259))/(1+1.4*SQRT(CP259))</f>
        <v>6.3618148024797492</v>
      </c>
      <c r="CU259" s="18">
        <f>10^(-CT259)</f>
        <v>4.3469555320385908E-7</v>
      </c>
      <c r="CV259" s="18">
        <f>(0.000001*F259^3)+(0.00006*F259^2)-(0.014*F259)+10.625</f>
        <v>10.358674632</v>
      </c>
      <c r="CW259" s="18">
        <f>CV259-(2*SQRT(CR259))/(1+1.4*SQRT(CR259))</f>
        <v>10.355908716299195</v>
      </c>
      <c r="CX259" s="18">
        <f>10^(-CW259)</f>
        <v>4.4064747279986744E-11</v>
      </c>
      <c r="CY259">
        <f>EXP(1246.98+-61900/H259-183*LN(H259))</f>
        <v>2.8112256352104199E-2</v>
      </c>
      <c r="CZ259">
        <f>12.225*(F259^2)+15.258*F259+1125.7</f>
        <v>7268.1333999999997</v>
      </c>
      <c r="DA259" s="15">
        <f>10^(-4470.99/H259+6.0875-0.01706*H259)</f>
        <v>7.8919706804238646E-15</v>
      </c>
      <c r="DB259">
        <f>(10^-I259)</f>
        <v>2.818382931264444E-9</v>
      </c>
      <c r="DC259">
        <f>DB259^2</f>
        <v>7.9432823472427587E-18</v>
      </c>
      <c r="DD259" s="20">
        <f>((14.6836*10^-9)*((H259/217.2056)-1)^1.997)*100*100</f>
        <v>1.8869802178103005E-5</v>
      </c>
      <c r="DE259">
        <f>CY259+CZ259*DA259/DB259</f>
        <v>4.8464315349451087E-2</v>
      </c>
      <c r="DF259">
        <f>1+DC259*(CU259*CX259+CU259*DB259)^-1</f>
        <v>1.0063837702036675</v>
      </c>
      <c r="DG259">
        <f>(DE259*DF259/DD259)^0.5</f>
        <v>50.840425832880278</v>
      </c>
      <c r="DH259">
        <f>DD259/(BO259/60/60)</f>
        <v>2.8545061732095763E-2</v>
      </c>
      <c r="DI259" s="16">
        <f>DF259/((DF259-1)+TANH(DG259*DH259)/(DG259*DH259))</f>
        <v>1.6134588715309326</v>
      </c>
      <c r="DJ259">
        <f>$DI259*BR259</f>
        <v>-11.798239705214074</v>
      </c>
      <c r="DK259">
        <f>$DI259*BY259</f>
        <v>-17.249962934252856</v>
      </c>
      <c r="DL259">
        <f>$DI259*CF259</f>
        <v>-2.6715410095213534</v>
      </c>
      <c r="DM259">
        <f>$DI259*CM259</f>
        <v>-402.78585981365939</v>
      </c>
    </row>
    <row r="260" spans="1:117" ht="15.75" x14ac:dyDescent="0.25">
      <c r="A260" s="52" t="s">
        <v>327</v>
      </c>
      <c r="B260" s="55" t="s">
        <v>341</v>
      </c>
      <c r="C260" s="50" t="s">
        <v>455</v>
      </c>
      <c r="D260" s="57">
        <v>43321</v>
      </c>
      <c r="E260" s="42" t="str">
        <f>A260&amp;D260</f>
        <v>66C43321</v>
      </c>
      <c r="F260" s="3">
        <f>VLOOKUP($E260,Water!$C$2:$E$90, 2, FALSE)</f>
        <v>21.8</v>
      </c>
      <c r="G260" s="3">
        <f>VLOOKUP($E260,Water!$C$2:$E$90, 3, FALSE)</f>
        <v>0.2</v>
      </c>
      <c r="H260" s="1">
        <f>F260+273.15</f>
        <v>294.95</v>
      </c>
      <c r="I260" s="3">
        <f>VLOOKUP($E260,Water!$C$2:$F$90, 4, FALSE)</f>
        <v>8.5500000000000007</v>
      </c>
      <c r="J260">
        <f>10^(I260*-1)</f>
        <v>2.818382931264444E-9</v>
      </c>
      <c r="K260" s="25">
        <v>439.52751160265137</v>
      </c>
      <c r="L260" s="25">
        <v>2.8430237635924795</v>
      </c>
      <c r="M260" s="25">
        <v>0.32236441181786135</v>
      </c>
      <c r="N260" s="21">
        <f>VLOOKUP($C260,Raw!$B$2:$F$353, 3, FALSE)</f>
        <v>389.22626773674227</v>
      </c>
      <c r="O260" s="21">
        <f>VLOOKUP($C260,Raw!$B$2:$F$353, 4, FALSE)</f>
        <v>221.1798214392976</v>
      </c>
      <c r="P260" s="21">
        <f>VLOOKUP($C260,Raw!$B$2:$F$353, 5, FALSE)</f>
        <v>0.2601594566266755</v>
      </c>
      <c r="Q260" s="14">
        <v>60</v>
      </c>
      <c r="R260" s="25">
        <v>1140</v>
      </c>
      <c r="S260">
        <f>EXP(24.4543-(100/H260*(67.4509))-(4.8489*LN(H260/100))-(0.000544*G260))</f>
        <v>2.5754655562816055E-2</v>
      </c>
      <c r="T260" s="8">
        <f>EXP(-58.0931+90.5069*(100/H260)+22.294*LN(H260/100)+G260*(0.027766-0.025888*(H260/100)+0.0050578*(H260/100)^2)*G260)</f>
        <v>3.7112847282770124E-2</v>
      </c>
      <c r="U260" s="9">
        <f>(EXP(-67.1962+99.1624*(100/H260)+27.9015*LN(H260/100)+G260*(-0.072909+0.041674*(H260/100)-0.0064603*(H260/100)^2)*G260))</f>
        <v>3.3469555674183964E-2</v>
      </c>
      <c r="V260" s="9">
        <f>(EXP(-64.8539+100.252*(100/H260)+25.2049*LN(H260/100)+(-0.062544+0.035337*(H260/100)-0.0054699*(H260/100)^2)*G260))</f>
        <v>2.7239909106145311E-2</v>
      </c>
      <c r="W260" s="9">
        <f>(EXP(-68.8862+101.4956*(100/H260)+28.7314*LN(H260/100)+G260*(-0.076146+0.04397*(H260/100)-0.0068672*(H260/100)^2)))</f>
        <v>3.3392894254733213E-2</v>
      </c>
      <c r="X260">
        <f>N260*(AZ260-S260)</f>
        <v>353.79974390709987</v>
      </c>
      <c r="Y260">
        <f>O260*(AZ260-S260)</f>
        <v>201.04851771096074</v>
      </c>
      <c r="Z260">
        <f>((Y260/10^6)*AZ260)/(0.082056*H260)</f>
        <v>7.7648217945390795E-6</v>
      </c>
      <c r="AA260">
        <f>(((L260/10^6)*AZ260)/(0.082056*H260))</f>
        <v>1.0980221656581701E-7</v>
      </c>
      <c r="AB260">
        <f>((Y260/10^6)*U260*1)/(0.082056*H260)</f>
        <v>2.7803026867659983E-7</v>
      </c>
      <c r="AC260">
        <f>(Z260*(Q260/1000))+(AB260*(R260/1000))</f>
        <v>7.8284381396366849E-7</v>
      </c>
      <c r="AD260" s="39">
        <f>((AC260-(AA260*(Q260/1000)))/(R260/1000))*1000000</f>
        <v>0.68092603593835044</v>
      </c>
      <c r="AE260" s="39">
        <f>(AD260/((U260*AZ260*1))*(0.0821*273.15))</f>
        <v>488.09571476035751</v>
      </c>
      <c r="AF260" s="39">
        <f>L260*U260*AZ260*1/(0.0821*273.15)</f>
        <v>3.966207534462844E-3</v>
      </c>
      <c r="AG260" s="39">
        <f>AD260-AF260</f>
        <v>0.67695982840388758</v>
      </c>
      <c r="AH260" s="42">
        <f>P260*(AZ260-S260)</f>
        <v>0.23648031173421041</v>
      </c>
      <c r="AI260">
        <f>(((X260/10^6)*(Q260/1000))/(0.082056*H260))</f>
        <v>8.7710183900251064E-7</v>
      </c>
      <c r="AJ260">
        <f>(((K260/10^6)*AZ260)*(Q260/1000))/(0.082056*H260)</f>
        <v>1.0185161791538244E-6</v>
      </c>
      <c r="AK260">
        <f>(X260/10^6)*T260*(R260/1000)</f>
        <v>1.4968788085310409E-5</v>
      </c>
      <c r="AL260">
        <f>AI260+AK260</f>
        <v>1.584588992431292E-5</v>
      </c>
      <c r="AM260" s="39">
        <f>((AL260-AJ260)/(R260/1000))*1000000</f>
        <v>13.00646819750798</v>
      </c>
      <c r="AN260" s="39">
        <f>AM260/(T260*AZ260)</f>
        <v>374.92616391117303</v>
      </c>
      <c r="AO260" s="39">
        <f>(K260*AZ260)*T260</f>
        <v>15.247537120253087</v>
      </c>
      <c r="AP260" s="39">
        <f>AM260-AO260</f>
        <v>-2.2410689227451073</v>
      </c>
      <c r="AQ260">
        <f>(((AH260/10^6)*(Q260/1000))/(0.082056*H260))</f>
        <v>5.8625626468634811E-10</v>
      </c>
      <c r="AR260">
        <f>(((M260/10^6)*AZ260)*(Q260/1000))/(0.082056*H260)</f>
        <v>7.4701437419171895E-10</v>
      </c>
      <c r="AS260">
        <f>(AH260/10^6)*V260*(R260/1000)</f>
        <v>7.3435405046173911E-9</v>
      </c>
      <c r="AT260">
        <f>AQ260+AS260</f>
        <v>7.9297967693037397E-9</v>
      </c>
      <c r="AU260" s="39">
        <f>((AT260-AR260)/(R260/1000))*1000000000</f>
        <v>6.3006863115017735</v>
      </c>
      <c r="AV260" s="39">
        <f>(AU260/1000)/(V260*AZ260)</f>
        <v>0.24745306851965071</v>
      </c>
      <c r="AW260" s="39">
        <f>(M260*AZ260)*V260*1000</f>
        <v>8.2080899178456725</v>
      </c>
      <c r="AX260" s="39">
        <f>AU260-AW260</f>
        <v>-1.907403606343899</v>
      </c>
      <c r="AY260" s="26">
        <f>VLOOKUP($E260,Water!$C$2:$G$90, 5, FALSE)</f>
        <v>710.4</v>
      </c>
      <c r="AZ260">
        <f>AY260/760</f>
        <v>0.93473684210526309</v>
      </c>
      <c r="BA260" s="3">
        <f>Assumptions!$B$3</f>
        <v>406.07</v>
      </c>
      <c r="BB260" s="3">
        <f>BA260*AZ260*T260</f>
        <v>14.08687109447331</v>
      </c>
      <c r="BC260" s="3">
        <f>Assumptions!$B$4</f>
        <v>1.8474300000000001</v>
      </c>
      <c r="BD260" s="45">
        <f>BC260*AZ260*U260*1/(0.0821*273.15)</f>
        <v>2.5772879140953217E-3</v>
      </c>
      <c r="BE260" s="3">
        <f>Assumptions!$B$2</f>
        <v>0.33054499999999998</v>
      </c>
      <c r="BF260" s="44">
        <f>BE260*AZ260*V260*1000</f>
        <v>8.4163852535535071</v>
      </c>
      <c r="BG260">
        <f>1923.6+(-125.06*F260)+(4.3773*(F260^2))+(-0.085681*(F260^3))+(0.00070284*(F260^4))</f>
        <v>548.62357701158385</v>
      </c>
      <c r="BH260">
        <f>1909.4+(-120.78*F260)+(4.1555*(F260^2))+(-0.080578*(F260^3))+(0.00065777*(F260^4))</f>
        <v>565.00841160155244</v>
      </c>
      <c r="BI260">
        <f>2141.2+(-152.56*F260)+(5.8963*(F260^2))+(-0.12411*(F260^3))+(0.0010655*(F260^4))</f>
        <v>572.38765135279982</v>
      </c>
      <c r="BJ260" s="25">
        <f>VLOOKUP(E260,Wind!$C$2:$E$109,3, FALSE)</f>
        <v>0.55555555555555558</v>
      </c>
      <c r="BK260" s="44">
        <v>1.66</v>
      </c>
      <c r="BL260">
        <f>BK260/(1-(((1.3*10^-3)^0.5)/0.41)*LN(10/1.5))</f>
        <v>1.9923982880693825</v>
      </c>
      <c r="BM260">
        <f>BK260*1.22</f>
        <v>2.0251999999999999</v>
      </c>
      <c r="BN260">
        <f>2.07+0.215*(BM260^1.7)*(24/100)</f>
        <v>2.241255750541113</v>
      </c>
      <c r="BO260">
        <f>BN260*((600/BG260)^0.67)</f>
        <v>2.3797912395049967</v>
      </c>
      <c r="BP260">
        <f>BN260*((600/BH260)^0.67)</f>
        <v>2.3333289133092827</v>
      </c>
      <c r="BQ260">
        <f>BN260*((600/BI260)^0.67)</f>
        <v>2.3131312893259408</v>
      </c>
      <c r="BR260" s="39">
        <f>BO260*(AM260-BB260)</f>
        <v>-2.5711333493339117</v>
      </c>
      <c r="BS260" s="39">
        <f>BP260*(AD260-BD260)</f>
        <v>1.5828107470721478</v>
      </c>
      <c r="BT260" s="39">
        <f>BQ260*(AU260-BF260)</f>
        <v>-4.8938894216536557</v>
      </c>
      <c r="BU260">
        <f>(2.51+1.48*BM260)+(0.39*BM260*LOG10(0.0015))</f>
        <v>3.2768938069574309</v>
      </c>
      <c r="BV260">
        <f>BU260*((600/$BG260)^0.67)</f>
        <v>3.4794436880765169</v>
      </c>
      <c r="BW260">
        <f>BU260*((600/$BH260)^0.67)</f>
        <v>3.4115120792314251</v>
      </c>
      <c r="BX260">
        <f>BU260*((600/$BI260)^0.67)</f>
        <v>3.3819815497814556</v>
      </c>
      <c r="BY260" s="39">
        <f>BV260*($AM260-$BB260)</f>
        <v>-3.7592010404256007</v>
      </c>
      <c r="BZ260" s="39">
        <f>BW260*($AD260-$BD260)</f>
        <v>2.3141949478162607</v>
      </c>
      <c r="CA260" s="39">
        <f>BX260*($AU260-$BF260)</f>
        <v>-7.1552547869111081</v>
      </c>
      <c r="CB260" s="42">
        <f>AVERAGE(0.72,0.69,0.4,0.22)</f>
        <v>0.50750000000000006</v>
      </c>
      <c r="CC260">
        <f>CB260*((600/$BG260)^0.67)</f>
        <v>0.53886936096302118</v>
      </c>
      <c r="CD260">
        <f>CB260*((600/$BH260)^0.67)</f>
        <v>0.52834863813224564</v>
      </c>
      <c r="CE260">
        <f>CB260*((600/$BI260)^0.67)</f>
        <v>0.52377517784371264</v>
      </c>
      <c r="CF260" s="39">
        <f>CC260*($AM260-$BB260)</f>
        <v>-0.58219601867030413</v>
      </c>
      <c r="CG260" s="39">
        <f>CD260*($AD260-$BD260)</f>
        <v>0.35840463719732907</v>
      </c>
      <c r="CH260" s="39">
        <f>CE260*($AU260-$BF260)</f>
        <v>-1.1081505896369015</v>
      </c>
      <c r="CI260">
        <v>83.862639018895294</v>
      </c>
      <c r="CJ260">
        <f>((BG260/BH260)^0.67)*CI260</f>
        <v>82.225330155391873</v>
      </c>
      <c r="CK260">
        <f>((BH260/BH260)^0.67)*CI260</f>
        <v>83.862639018895294</v>
      </c>
      <c r="CL260">
        <f>((BI260/BH260)^0.67)*CI260</f>
        <v>84.594904436327766</v>
      </c>
      <c r="CM260" s="39">
        <f>CJ260*($AM260-$BB260)</f>
        <v>-88.836484903816071</v>
      </c>
      <c r="CN260" s="39">
        <f>CK260*($AD260-$BD260)</f>
        <v>56.888116184477674</v>
      </c>
      <c r="CO260" s="39">
        <f>CL260*($AU260-$BF260)</f>
        <v>-178.97734981890616</v>
      </c>
      <c r="CP260" s="27">
        <f>VLOOKUP(A260,Water!$A$2:$E$109, 5, FALSE)/1000</f>
        <v>1.1999999999999999E-4</v>
      </c>
      <c r="CQ260">
        <f>0.64*CP260</f>
        <v>7.6799999999999997E-5</v>
      </c>
      <c r="CR260" s="19">
        <f>CQ260*1000*(2.5*10^-5)</f>
        <v>1.9199999999999998E-6</v>
      </c>
      <c r="CS260" s="18">
        <f>(-0.0000009*F260^3)+(0.0002*F260^2)-(0.0134*F260)+6.579</f>
        <v>6.3726037911999995</v>
      </c>
      <c r="CT260" s="18">
        <f>CS260-(SQRT(CP260))/(1+1.4*SQRT(CP260))</f>
        <v>6.3618148024797492</v>
      </c>
      <c r="CU260" s="18">
        <f>10^(-CT260)</f>
        <v>4.3469555320385908E-7</v>
      </c>
      <c r="CV260" s="18">
        <f>(0.000001*F260^3)+(0.00006*F260^2)-(0.014*F260)+10.625</f>
        <v>10.358674632</v>
      </c>
      <c r="CW260" s="18">
        <f>CV260-(2*SQRT(CR260))/(1+1.4*SQRT(CR260))</f>
        <v>10.355908716299195</v>
      </c>
      <c r="CX260" s="18">
        <f>10^(-CW260)</f>
        <v>4.4064747279986744E-11</v>
      </c>
      <c r="CY260">
        <f>EXP(1246.98+-61900/H260-183*LN(H260))</f>
        <v>2.8112256352104199E-2</v>
      </c>
      <c r="CZ260">
        <f>12.225*(F260^2)+15.258*F260+1125.7</f>
        <v>7268.1333999999997</v>
      </c>
      <c r="DA260" s="15">
        <f>10^(-4470.99/H260+6.0875-0.01706*H260)</f>
        <v>7.8919706804238646E-15</v>
      </c>
      <c r="DB260">
        <f>(10^-I260)</f>
        <v>2.818382931264444E-9</v>
      </c>
      <c r="DC260">
        <f>DB260^2</f>
        <v>7.9432823472427587E-18</v>
      </c>
      <c r="DD260" s="20">
        <f>((14.6836*10^-9)*((H260/217.2056)-1)^1.997)*100*100</f>
        <v>1.8869802178103005E-5</v>
      </c>
      <c r="DE260">
        <f>CY260+CZ260*DA260/DB260</f>
        <v>4.8464315349451087E-2</v>
      </c>
      <c r="DF260">
        <f>1+DC260*(CU260*CX260+CU260*DB260)^-1</f>
        <v>1.0063837702036675</v>
      </c>
      <c r="DG260">
        <f>(DE260*DF260/DD260)^0.5</f>
        <v>50.840425832880278</v>
      </c>
      <c r="DH260">
        <f>DD260/(BO260/60/60)</f>
        <v>2.8545061732095763E-2</v>
      </c>
      <c r="DI260" s="16">
        <f>DF260/((DF260-1)+TANH(DG260*DH260)/(DG260*DH260))</f>
        <v>1.6134588715309326</v>
      </c>
      <c r="DJ260">
        <f>$DI260*BR260</f>
        <v>-4.1484179123718405</v>
      </c>
      <c r="DK260">
        <f>$DI260*BY260</f>
        <v>-6.0653162685429978</v>
      </c>
      <c r="DL260">
        <f>$DI260*CF260</f>
        <v>-0.93934933129359066</v>
      </c>
      <c r="DM260">
        <f>$DI260*CM260</f>
        <v>-143.33401468368581</v>
      </c>
    </row>
    <row r="261" spans="1:117" ht="15.75" x14ac:dyDescent="0.25">
      <c r="A261" s="52" t="s">
        <v>327</v>
      </c>
      <c r="B261" s="55" t="s">
        <v>342</v>
      </c>
      <c r="C261" s="50" t="s">
        <v>456</v>
      </c>
      <c r="D261" s="57">
        <v>43321</v>
      </c>
      <c r="E261" s="42" t="str">
        <f>A261&amp;D261</f>
        <v>66C43321</v>
      </c>
      <c r="F261" s="3">
        <f>VLOOKUP($E261,Water!$C$2:$E$90, 2, FALSE)</f>
        <v>21.8</v>
      </c>
      <c r="G261" s="3">
        <f>VLOOKUP($E261,Water!$C$2:$E$90, 3, FALSE)</f>
        <v>0.2</v>
      </c>
      <c r="H261" s="1">
        <f>F261+273.15</f>
        <v>294.95</v>
      </c>
      <c r="I261" s="3">
        <f>VLOOKUP($E261,Water!$C$2:$F$90, 4, FALSE)</f>
        <v>8.5500000000000007</v>
      </c>
      <c r="J261">
        <f>10^(I261*-1)</f>
        <v>2.818382931264444E-9</v>
      </c>
      <c r="K261" s="25">
        <v>439.52751160265137</v>
      </c>
      <c r="L261" s="25">
        <v>2.8430237635924795</v>
      </c>
      <c r="M261" s="25">
        <v>0.32236441181786135</v>
      </c>
      <c r="N261" s="21">
        <f>VLOOKUP($C261,Raw!$B$2:$F$353, 3, FALSE)</f>
        <v>392.50214857509849</v>
      </c>
      <c r="O261" s="21">
        <f>VLOOKUP($C261,Raw!$B$2:$F$353, 4, FALSE)</f>
        <v>217.02482824475771</v>
      </c>
      <c r="P261" s="21">
        <f>VLOOKUP($C261,Raw!$B$2:$F$353, 5, FALSE)</f>
        <v>0.26269302419372503</v>
      </c>
      <c r="Q261" s="14">
        <v>60</v>
      </c>
      <c r="R261" s="25">
        <v>1140</v>
      </c>
      <c r="S261">
        <f>EXP(24.4543-(100/H261*(67.4509))-(4.8489*LN(H261/100))-(0.000544*G261))</f>
        <v>2.5754655562816055E-2</v>
      </c>
      <c r="T261" s="8">
        <f>EXP(-58.0931+90.5069*(100/H261)+22.294*LN(H261/100)+G261*(0.027766-0.025888*(H261/100)+0.0050578*(H261/100)^2)*G261)</f>
        <v>3.7112847282770124E-2</v>
      </c>
      <c r="U261" s="9">
        <f>(EXP(-67.1962+99.1624*(100/H261)+27.9015*LN(H261/100)+G261*(-0.072909+0.041674*(H261/100)-0.0064603*(H261/100)^2)*G261))</f>
        <v>3.3469555674183964E-2</v>
      </c>
      <c r="V261" s="9">
        <f>(EXP(-64.8539+100.252*(100/H261)+25.2049*LN(H261/100)+(-0.062544+0.035337*(H261/100)-0.0054699*(H261/100)^2)*G261))</f>
        <v>2.7239909106145311E-2</v>
      </c>
      <c r="W261" s="9">
        <f>(EXP(-68.8862+101.4956*(100/H261)+28.7314*LN(H261/100)+G261*(-0.076146+0.04397*(H261/100)-0.0068672*(H261/100)^2)))</f>
        <v>3.3392894254733213E-2</v>
      </c>
      <c r="X261">
        <f>N261*(AZ261-S261)</f>
        <v>356.77746123440141</v>
      </c>
      <c r="Y261">
        <f>O261*(AZ261-S261)</f>
        <v>197.27170291191888</v>
      </c>
      <c r="Z261">
        <f>((Y261/10^6)*AZ261)/(0.082056*H261)</f>
        <v>7.6189550445653295E-6</v>
      </c>
      <c r="AA261">
        <f>(((L261/10^6)*AZ261)/(0.082056*H261))</f>
        <v>1.0980221656581701E-7</v>
      </c>
      <c r="AB261">
        <f>((Y261/10^6)*U261*1)/(0.082056*H261)</f>
        <v>2.7280730635250551E-7</v>
      </c>
      <c r="AC261">
        <f>(Z261*(Q261/1000))+(AB261*(R261/1000))</f>
        <v>7.6813763191577605E-7</v>
      </c>
      <c r="AD261" s="39">
        <f>((AC261-(AA261*(Q261/1000)))/(R261/1000))*1000000</f>
        <v>0.66802587624721677</v>
      </c>
      <c r="AE261" s="39">
        <f>(AD261/((U261*AZ261*1))*(0.0821*273.15))</f>
        <v>478.84873001804294</v>
      </c>
      <c r="AF261" s="39">
        <f>L261*U261*AZ261*1/(0.0821*273.15)</f>
        <v>3.966207534462844E-3</v>
      </c>
      <c r="AG261" s="39">
        <f>AD261-AF261</f>
        <v>0.6640596687127539</v>
      </c>
      <c r="AH261" s="42">
        <f>P261*(AZ261-S261)</f>
        <v>0.2387832795210601</v>
      </c>
      <c r="AI261">
        <f>(((X261/10^6)*(Q261/1000))/(0.082056*H261))</f>
        <v>8.8448387188632067E-7</v>
      </c>
      <c r="AJ261">
        <f>(((K261/10^6)*AZ261)*(Q261/1000))/(0.082056*H261)</f>
        <v>1.0185161791538244E-6</v>
      </c>
      <c r="AK261">
        <f>(X261/10^6)*T261*(R261/1000)</f>
        <v>1.5094771273308527E-5</v>
      </c>
      <c r="AL261">
        <f>AI261+AK261</f>
        <v>1.5979255145194849E-5</v>
      </c>
      <c r="AM261" s="39">
        <f>((AL261-AJ261)/(R261/1000))*1000000</f>
        <v>13.123455233369322</v>
      </c>
      <c r="AN261" s="39">
        <f>AM261/(T261*AZ261)</f>
        <v>378.29844760239337</v>
      </c>
      <c r="AO261" s="39">
        <f>(K261*AZ261)*T261</f>
        <v>15.247537120253087</v>
      </c>
      <c r="AP261" s="39">
        <f>AM261-AO261</f>
        <v>-2.124081886883765</v>
      </c>
      <c r="AQ261">
        <f>(((AH261/10^6)*(Q261/1000))/(0.082056*H261))</f>
        <v>5.9196553190825937E-10</v>
      </c>
      <c r="AR261">
        <f>(((M261/10^6)*AZ261)*(Q261/1000))/(0.082056*H261)</f>
        <v>7.4701437419171895E-10</v>
      </c>
      <c r="AS261">
        <f>(AH261/10^6)*V261*(R261/1000)</f>
        <v>7.4150557064519005E-9</v>
      </c>
      <c r="AT261">
        <f>AQ261+AS261</f>
        <v>8.0070212383601604E-9</v>
      </c>
      <c r="AU261" s="39">
        <f>((AT261-AR261)/(R261/1000))*1000000000</f>
        <v>6.3684270738319668</v>
      </c>
      <c r="AV261" s="39">
        <f>(AU261/1000)/(V261*AZ261)</f>
        <v>0.25011351829825129</v>
      </c>
      <c r="AW261" s="39">
        <f>(M261*AZ261)*V261*1000</f>
        <v>8.2080899178456725</v>
      </c>
      <c r="AX261" s="39">
        <f>AU261-AW261</f>
        <v>-1.8396628440137057</v>
      </c>
      <c r="AY261" s="26">
        <f>VLOOKUP($E261,Water!$C$2:$G$90, 5, FALSE)</f>
        <v>710.4</v>
      </c>
      <c r="AZ261">
        <f>AY261/760</f>
        <v>0.93473684210526309</v>
      </c>
      <c r="BA261" s="3">
        <f>Assumptions!$B$3</f>
        <v>406.07</v>
      </c>
      <c r="BB261" s="3">
        <f>BA261*AZ261*T261</f>
        <v>14.08687109447331</v>
      </c>
      <c r="BC261" s="3">
        <f>Assumptions!$B$4</f>
        <v>1.8474300000000001</v>
      </c>
      <c r="BD261" s="45">
        <f>BC261*AZ261*U261*1/(0.0821*273.15)</f>
        <v>2.5772879140953217E-3</v>
      </c>
      <c r="BE261" s="3">
        <f>Assumptions!$B$2</f>
        <v>0.33054499999999998</v>
      </c>
      <c r="BF261" s="44">
        <f>BE261*AZ261*V261*1000</f>
        <v>8.4163852535535071</v>
      </c>
      <c r="BG261">
        <f>1923.6+(-125.06*F261)+(4.3773*(F261^2))+(-0.085681*(F261^3))+(0.00070284*(F261^4))</f>
        <v>548.62357701158385</v>
      </c>
      <c r="BH261">
        <f>1909.4+(-120.78*F261)+(4.1555*(F261^2))+(-0.080578*(F261^3))+(0.00065777*(F261^4))</f>
        <v>565.00841160155244</v>
      </c>
      <c r="BI261">
        <f>2141.2+(-152.56*F261)+(5.8963*(F261^2))+(-0.12411*(F261^3))+(0.0010655*(F261^4))</f>
        <v>572.38765135279982</v>
      </c>
      <c r="BJ261" s="25">
        <f>VLOOKUP(E261,Wind!$C$2:$E$109,3, FALSE)</f>
        <v>0.55555555555555558</v>
      </c>
      <c r="BK261" s="44">
        <v>1.66</v>
      </c>
      <c r="BL261">
        <f>BK261/(1-(((1.3*10^-3)^0.5)/0.41)*LN(10/1.5))</f>
        <v>1.9923982880693825</v>
      </c>
      <c r="BM261">
        <f>BK261*1.22</f>
        <v>2.0251999999999999</v>
      </c>
      <c r="BN261">
        <f>2.07+0.215*(BM261^1.7)*(24/100)</f>
        <v>2.241255750541113</v>
      </c>
      <c r="BO261">
        <f>BN261*((600/BG261)^0.67)</f>
        <v>2.3797912395049967</v>
      </c>
      <c r="BP261">
        <f>BN261*((600/BH261)^0.67)</f>
        <v>2.3333289133092827</v>
      </c>
      <c r="BQ261">
        <f>BN261*((600/BI261)^0.67)</f>
        <v>2.3131312893259408</v>
      </c>
      <c r="BR261" s="39">
        <f>BO261*(AM261-BB261)</f>
        <v>-2.2927286262554323</v>
      </c>
      <c r="BS261" s="39">
        <f>BP261*(AD261-BD261)</f>
        <v>1.5527104314785185</v>
      </c>
      <c r="BT261" s="39">
        <f>BQ261*(AU261-BF261)</f>
        <v>-4.7371961447448934</v>
      </c>
      <c r="BU261">
        <f>(2.51+1.48*BM261)+(0.39*BM261*LOG10(0.0015))</f>
        <v>3.2768938069574309</v>
      </c>
      <c r="BV261">
        <f>BU261*((600/$BG261)^0.67)</f>
        <v>3.4794436880765169</v>
      </c>
      <c r="BW261">
        <f>BU261*((600/$BH261)^0.67)</f>
        <v>3.4115120792314251</v>
      </c>
      <c r="BX261">
        <f>BU261*((600/$BI261)^0.67)</f>
        <v>3.3819815497814556</v>
      </c>
      <c r="BY261" s="39">
        <f>BV261*($AM261-$BB261)</f>
        <v>-3.3521512369110718</v>
      </c>
      <c r="BZ261" s="39">
        <f>BW261*($AD261-$BD261)</f>
        <v>2.2701858972059439</v>
      </c>
      <c r="CA261" s="39">
        <f>BX261*($AU261-$BF261)</f>
        <v>-6.9261567785422633</v>
      </c>
      <c r="CB261" s="42">
        <f>AVERAGE(0.72,0.69,0.4,0.22)</f>
        <v>0.50750000000000006</v>
      </c>
      <c r="CC261">
        <f>CB261*((600/$BG261)^0.67)</f>
        <v>0.53886936096302118</v>
      </c>
      <c r="CD261">
        <f>CB261*((600/$BH261)^0.67)</f>
        <v>0.52834863813224564</v>
      </c>
      <c r="CE261">
        <f>CB261*((600/$BI261)^0.67)</f>
        <v>0.52377517784371264</v>
      </c>
      <c r="CF261" s="39">
        <f>CC261*($AM261-$BB261)</f>
        <v>-0.51915528941474454</v>
      </c>
      <c r="CG261" s="39">
        <f>CD261*($AD261-$BD261)</f>
        <v>0.35158885539283008</v>
      </c>
      <c r="CH261" s="39">
        <f>CE261*($AU261-$BF261)</f>
        <v>-1.0726696598001357</v>
      </c>
      <c r="CI261">
        <v>84.862639018895294</v>
      </c>
      <c r="CJ261">
        <f>((BG261/BH261)^0.67)*CI261</f>
        <v>83.205806457084037</v>
      </c>
      <c r="CK261">
        <f>((BH261/BH261)^0.67)*CI261</f>
        <v>84.862639018895294</v>
      </c>
      <c r="CL261">
        <f>((BI261/BH261)^0.67)*CI261</f>
        <v>85.603636160323092</v>
      </c>
      <c r="CM261" s="39">
        <f>CJ261*($AM261-$BB261)</f>
        <v>-80.161793676703354</v>
      </c>
      <c r="CN261" s="39">
        <f>CK261*($AD261-$BD261)</f>
        <v>56.47172333734715</v>
      </c>
      <c r="CO261" s="39">
        <f>CL261*($AU261-$BF261)</f>
        <v>-175.3126668884403</v>
      </c>
      <c r="CP261" s="27">
        <f>VLOOKUP(A261,Water!$A$2:$E$109, 5, FALSE)/1000</f>
        <v>1.1999999999999999E-4</v>
      </c>
      <c r="CQ261">
        <f>0.64*CP261</f>
        <v>7.6799999999999997E-5</v>
      </c>
      <c r="CR261" s="19">
        <f>CQ261*1000*(2.5*10^-5)</f>
        <v>1.9199999999999998E-6</v>
      </c>
      <c r="CS261" s="18">
        <f>(-0.0000009*F261^3)+(0.0002*F261^2)-(0.0134*F261)+6.579</f>
        <v>6.3726037911999995</v>
      </c>
      <c r="CT261" s="18">
        <f>CS261-(SQRT(CP261))/(1+1.4*SQRT(CP261))</f>
        <v>6.3618148024797492</v>
      </c>
      <c r="CU261" s="18">
        <f>10^(-CT261)</f>
        <v>4.3469555320385908E-7</v>
      </c>
      <c r="CV261" s="18">
        <f>(0.000001*F261^3)+(0.00006*F261^2)-(0.014*F261)+10.625</f>
        <v>10.358674632</v>
      </c>
      <c r="CW261" s="18">
        <f>CV261-(2*SQRT(CR261))/(1+1.4*SQRT(CR261))</f>
        <v>10.355908716299195</v>
      </c>
      <c r="CX261" s="18">
        <f>10^(-CW261)</f>
        <v>4.4064747279986744E-11</v>
      </c>
      <c r="CY261">
        <f>EXP(1246.98+-61900/H261-183*LN(H261))</f>
        <v>2.8112256352104199E-2</v>
      </c>
      <c r="CZ261">
        <f>12.225*(F261^2)+15.258*F261+1125.7</f>
        <v>7268.1333999999997</v>
      </c>
      <c r="DA261" s="15">
        <f>10^(-4470.99/H261+6.0875-0.01706*H261)</f>
        <v>7.8919706804238646E-15</v>
      </c>
      <c r="DB261">
        <f>(10^-I261)</f>
        <v>2.818382931264444E-9</v>
      </c>
      <c r="DC261">
        <f>DB261^2</f>
        <v>7.9432823472427587E-18</v>
      </c>
      <c r="DD261" s="20">
        <f>((14.6836*10^-9)*((H261/217.2056)-1)^1.997)*100*100</f>
        <v>1.8869802178103005E-5</v>
      </c>
      <c r="DE261">
        <f>CY261+CZ261*DA261/DB261</f>
        <v>4.8464315349451087E-2</v>
      </c>
      <c r="DF261">
        <f>1+DC261*(CU261*CX261+CU261*DB261)^-1</f>
        <v>1.0063837702036675</v>
      </c>
      <c r="DG261">
        <f>(DE261*DF261/DD261)^0.5</f>
        <v>50.840425832880278</v>
      </c>
      <c r="DH261">
        <f>DD261/(BO261/60/60)</f>
        <v>2.8545061732095763E-2</v>
      </c>
      <c r="DI261" s="16">
        <f>DF261/((DF261-1)+TANH(DG261*DH261)/(DG261*DH261))</f>
        <v>1.6134588715309326</v>
      </c>
      <c r="DJ261">
        <f>$DI261*BR261</f>
        <v>-3.6992233420447551</v>
      </c>
      <c r="DK261">
        <f>$DI261*BY261</f>
        <v>-5.4085581519075578</v>
      </c>
      <c r="DL261">
        <f>$DI261*CF261</f>
        <v>-0.83763570740842841</v>
      </c>
      <c r="DM261">
        <f>$DI261*CM261</f>
        <v>-129.33775716550923</v>
      </c>
    </row>
    <row r="262" spans="1:117" ht="15.75" x14ac:dyDescent="0.25">
      <c r="A262" s="52" t="s">
        <v>323</v>
      </c>
      <c r="B262" s="55" t="s">
        <v>339</v>
      </c>
      <c r="C262" s="50" t="s">
        <v>458</v>
      </c>
      <c r="D262" s="57">
        <v>43321</v>
      </c>
      <c r="E262" s="42" t="str">
        <f>A262&amp;D262</f>
        <v>66A43321</v>
      </c>
      <c r="F262" s="3">
        <f>VLOOKUP($E262,Water!$C$2:$E$90, 2, FALSE)</f>
        <v>23</v>
      </c>
      <c r="G262" s="3">
        <f>VLOOKUP($E262,Water!$C$2:$E$90, 3, FALSE)</f>
        <v>0.94</v>
      </c>
      <c r="H262" s="1">
        <f>F262+273.15</f>
        <v>296.14999999999998</v>
      </c>
      <c r="I262" s="3">
        <f>VLOOKUP($E262,Water!$C$2:$F$90, 4, FALSE)</f>
        <v>8.09</v>
      </c>
      <c r="J262">
        <f>10^(I262*-1)</f>
        <v>8.1283051616409861E-9</v>
      </c>
      <c r="K262" s="25">
        <v>439.52751160265137</v>
      </c>
      <c r="L262" s="25">
        <v>2.8430237635924795</v>
      </c>
      <c r="M262" s="25">
        <v>0.32236441181786135</v>
      </c>
      <c r="N262" s="21">
        <f>VLOOKUP($C262,Raw!$B$2:$F$353, 3, FALSE)</f>
        <v>2274.3940286373308</v>
      </c>
      <c r="O262" s="21">
        <f>VLOOKUP($C262,Raw!$B$2:$F$353, 4, FALSE)</f>
        <v>127.3007910202208</v>
      </c>
      <c r="P262" s="21">
        <f>VLOOKUP($C262,Raw!$B$2:$F$353, 5, FALSE)</f>
        <v>0.22529632921600731</v>
      </c>
      <c r="Q262" s="14">
        <v>60</v>
      </c>
      <c r="R262" s="25">
        <v>1140</v>
      </c>
      <c r="S262">
        <f>EXP(24.4543-(100/H262*(67.4509))-(4.8489*LN(H262/100))-(0.000544*G262))</f>
        <v>2.7693250594375687E-2</v>
      </c>
      <c r="T262" s="8">
        <f>EXP(-58.0931+90.5069*(100/H262)+22.294*LN(H262/100)+G262*(0.027766-0.025888*(H262/100)+0.0050578*(H262/100)^2)*G262)</f>
        <v>3.574157745502668E-2</v>
      </c>
      <c r="U262" s="9">
        <f>(EXP(-67.1962+99.1624*(100/H262)+27.9015*LN(H262/100)+G262*(-0.072909+0.041674*(H262/100)-0.0064603*(H262/100)^2)*G262))</f>
        <v>3.2541188193787964E-2</v>
      </c>
      <c r="V262" s="9">
        <f>(EXP(-64.8539+100.252*(100/H262)+25.2049*LN(H262/100)+(-0.062544+0.035337*(H262/100)-0.0054699*(H262/100)^2)*G262))</f>
        <v>2.617908967185819E-2</v>
      </c>
      <c r="W262" s="9">
        <f>(EXP(-68.8862+101.4956*(100/H262)+28.7314*LN(H262/100)+G262*(-0.076146+0.04397*(H262/100)-0.0068672*(H262/100)^2)))</f>
        <v>3.2492749139586358E-2</v>
      </c>
      <c r="X262">
        <f>N262*(AZ262-S262)</f>
        <v>2063.2737906183102</v>
      </c>
      <c r="Y262">
        <f>O262*(AZ262-S262)</f>
        <v>115.48411679323962</v>
      </c>
      <c r="Z262">
        <f>((Y262/10^6)*AZ262)/(0.082056*H262)</f>
        <v>4.4427376446905618E-6</v>
      </c>
      <c r="AA262">
        <f>(((L262/10^6)*AZ262)/(0.082056*H262))</f>
        <v>1.0937269167392161E-7</v>
      </c>
      <c r="AB262">
        <f>((Y262/10^6)*U262*1)/(0.082056*H262)</f>
        <v>1.546441815081512E-7</v>
      </c>
      <c r="AC262">
        <f>(Z262*(Q262/1000))+(AB262*(R262/1000))</f>
        <v>4.4285862560072601E-7</v>
      </c>
      <c r="AD262" s="39">
        <f>((AC262-(AA262*(Q262/1000)))/(R262/1000))*1000000</f>
        <v>0.38271602114060593</v>
      </c>
      <c r="AE262" s="39">
        <f>(AD262/((U262*AZ262*1))*(0.0821*273.15))</f>
        <v>282.12210031516736</v>
      </c>
      <c r="AF262" s="39">
        <f>L262*U262*AZ262*1/(0.0821*273.15)</f>
        <v>3.8567370000251199E-3</v>
      </c>
      <c r="AG262" s="39">
        <f>AD262-AF262</f>
        <v>0.37885928414058079</v>
      </c>
      <c r="AH262" s="42">
        <f>P262*(AZ262-S262)</f>
        <v>0.20438323586015078</v>
      </c>
      <c r="AI262">
        <f>(((X262/10^6)*(Q262/1000))/(0.082056*H262))</f>
        <v>5.0943177787018561E-6</v>
      </c>
      <c r="AJ262">
        <f>(((K262/10^6)*AZ262)*(Q262/1000))/(0.082056*H262)</f>
        <v>1.0145319421736672E-6</v>
      </c>
      <c r="AK262">
        <f>(X262/10^6)*T262*(R262/1000)</f>
        <v>8.4068912398074325E-5</v>
      </c>
      <c r="AL262">
        <f>AI262+AK262</f>
        <v>8.9163230176776185E-5</v>
      </c>
      <c r="AM262" s="39">
        <f>((AL262-AJ262)/(R262/1000))*1000000</f>
        <v>77.32341950403729</v>
      </c>
      <c r="AN262" s="39">
        <f>AM262/(T262*AZ262)</f>
        <v>2314.125167562343</v>
      </c>
      <c r="AO262" s="39">
        <f>(K262*AZ262)*T262</f>
        <v>14.686228143405664</v>
      </c>
      <c r="AP262" s="39">
        <f>AM262-AO262</f>
        <v>62.637191360631626</v>
      </c>
      <c r="AQ262">
        <f>(((AH262/10^6)*(Q262/1000))/(0.082056*H262))</f>
        <v>5.0463159898859669E-10</v>
      </c>
      <c r="AR262">
        <f>(((M262/10^6)*AZ262)*(Q262/1000))/(0.082056*H262)</f>
        <v>7.4409219940914814E-10</v>
      </c>
      <c r="AS262">
        <f>(AH262/10^6)*V262*(R262/1000)</f>
        <v>6.0996464472684691E-9</v>
      </c>
      <c r="AT262">
        <f>AQ262+AS262</f>
        <v>6.6042780462570657E-9</v>
      </c>
      <c r="AU262" s="39">
        <f>((AT262-AR262)/(R262/1000))*1000000000</f>
        <v>5.1405139007437874</v>
      </c>
      <c r="AV262" s="39">
        <f>(AU262/1000)/(V262*AZ262)</f>
        <v>0.21003975701109143</v>
      </c>
      <c r="AW262" s="39">
        <f>(M262*AZ262)*V262*1000</f>
        <v>7.8895479771827413</v>
      </c>
      <c r="AX262" s="39">
        <f>AU262-AW262</f>
        <v>-2.7490340764389538</v>
      </c>
      <c r="AY262" s="26">
        <f>VLOOKUP($E262,Water!$C$2:$G$90, 5, FALSE)</f>
        <v>710.5</v>
      </c>
      <c r="AZ262">
        <f>AY262/760</f>
        <v>0.93486842105263157</v>
      </c>
      <c r="BA262" s="3">
        <f>Assumptions!$B$3</f>
        <v>406.07</v>
      </c>
      <c r="BB262" s="3">
        <f>BA262*AZ262*T262</f>
        <v>13.568289822058009</v>
      </c>
      <c r="BC262" s="3">
        <f>Assumptions!$B$4</f>
        <v>1.8474300000000001</v>
      </c>
      <c r="BD262" s="45">
        <f>BC262*AZ262*U262*1/(0.0821*273.15)</f>
        <v>2.5061526840539331E-3</v>
      </c>
      <c r="BE262" s="3">
        <f>Assumptions!$B$2</f>
        <v>0.33054499999999998</v>
      </c>
      <c r="BF262" s="44">
        <f>BE262*AZ262*V262*1000</f>
        <v>8.0897597269245942</v>
      </c>
      <c r="BG262">
        <f>1923.6+(-125.06*F262)+(4.3773*(F262^2))+(-0.085681*(F262^3))+(0.00070284*(F262^4))</f>
        <v>517.01442143999986</v>
      </c>
      <c r="BH262">
        <f>1909.4+(-120.78*F262)+(4.1555*(F262^2))+(-0.080578*(F262^3))+(0.00065777*(F262^4))</f>
        <v>533.39798857000017</v>
      </c>
      <c r="BI262">
        <f>2141.2+(-152.56*F262)+(5.8963*(F262^2))+(-0.12411*(F262^3))+(0.0010655*(F262^4))</f>
        <v>539.58691549999958</v>
      </c>
      <c r="BJ262" s="25">
        <f>VLOOKUP(E262,Wind!$C$2:$E$109,3, FALSE)</f>
        <v>0.25</v>
      </c>
      <c r="BK262" s="44">
        <v>1.66</v>
      </c>
      <c r="BL262">
        <f>BK262/(1-(((1.3*10^-3)^0.5)/0.41)*LN(10/1.5))</f>
        <v>1.9923982880693825</v>
      </c>
      <c r="BM262">
        <f>BK262*1.22</f>
        <v>2.0251999999999999</v>
      </c>
      <c r="BN262">
        <f>2.07+0.215*(BM262^1.7)*(24/100)</f>
        <v>2.241255750541113</v>
      </c>
      <c r="BO262">
        <f>BN262*((600/BG262)^0.67)</f>
        <v>2.4763154895528312</v>
      </c>
      <c r="BP262">
        <f>BN262*((600/BH262)^0.67)</f>
        <v>2.4250926440206859</v>
      </c>
      <c r="BQ262">
        <f>BN262*((600/BI262)^0.67)</f>
        <v>2.4064210063503109</v>
      </c>
      <c r="BR262" s="39">
        <f>BO262*(AM262-BB262)</f>
        <v>157.87781516993476</v>
      </c>
      <c r="BS262" s="39">
        <f>BP262*(AD262-BD262)</f>
        <v>0.92204415517805693</v>
      </c>
      <c r="BT262" s="39">
        <f>BQ262*(AU262-BF262)</f>
        <v>-7.0971271090124715</v>
      </c>
      <c r="BU262">
        <f>(2.51+1.48*BM262)+(0.39*BM262*LOG10(0.0015))</f>
        <v>3.2768938069574309</v>
      </c>
      <c r="BV262">
        <f>BU262*((600/$BG262)^0.67)</f>
        <v>3.6205698032584164</v>
      </c>
      <c r="BW262">
        <f>BU262*((600/$BH262)^0.67)</f>
        <v>3.545677937277258</v>
      </c>
      <c r="BX262">
        <f>BU262*((600/$BI262)^0.67)</f>
        <v>3.518378520942004</v>
      </c>
      <c r="BY262" s="39">
        <f>BV262*($AM262-$BB262)</f>
        <v>230.82989732939856</v>
      </c>
      <c r="BZ262" s="39">
        <f>BW262*($AD262-$BD262)</f>
        <v>1.3481017421214849</v>
      </c>
      <c r="CA262" s="39">
        <f>BX262*($AU262-$BF262)</f>
        <v>-10.376563167812405</v>
      </c>
      <c r="CB262" s="42">
        <f>AVERAGE(0.72,0.69,0.4,0.22)</f>
        <v>0.50750000000000006</v>
      </c>
      <c r="CC262">
        <f>CB262*((600/$BG262)^0.67)</f>
        <v>0.56072588353410624</v>
      </c>
      <c r="CD262">
        <f>CB262*((600/$BH262)^0.67)</f>
        <v>0.54912720984357022</v>
      </c>
      <c r="CE262">
        <f>CB262*((600/$BI262)^0.67)</f>
        <v>0.54489928711970104</v>
      </c>
      <c r="CF262" s="39">
        <f>CC262*($AM262-$BB262)</f>
        <v>35.749151420759354</v>
      </c>
      <c r="CG262" s="39">
        <f>CD262*($AD262-$BD262)</f>
        <v>0.20878358422053728</v>
      </c>
      <c r="CH262" s="39">
        <f>CE262*($AU262-$BF262)</f>
        <v>-1.6070419482266753</v>
      </c>
      <c r="CI262">
        <v>85.862639018895294</v>
      </c>
      <c r="CJ262">
        <f>((BG262/BH262)^0.67)*CI262</f>
        <v>84.086561328470864</v>
      </c>
      <c r="CK262">
        <f>((BH262/BH262)^0.67)*CI262</f>
        <v>85.862639018895294</v>
      </c>
      <c r="CL262">
        <f>((BI262/BH262)^0.67)*CI262</f>
        <v>86.528854980671014</v>
      </c>
      <c r="CM262" s="39">
        <f>CJ262*($AM262-$BB262)</f>
        <v>5360.9496220083638</v>
      </c>
      <c r="CN262" s="39">
        <f>CK262*($AD262-$BD262)</f>
        <v>32.645822686706587</v>
      </c>
      <c r="CO262" s="39">
        <f>CL262*($AU262-$BF262)</f>
        <v>-255.19486439594831</v>
      </c>
      <c r="CP262" s="27">
        <f>VLOOKUP(A262,Water!$A$2:$E$109, 5, FALSE)/1000</f>
        <v>1.3000000000000002E-4</v>
      </c>
      <c r="CQ262">
        <f>0.64*CP262</f>
        <v>8.3200000000000017E-5</v>
      </c>
      <c r="CR262" s="19">
        <f>CQ262*1000*(2.5*10^-5)</f>
        <v>2.0800000000000004E-6</v>
      </c>
      <c r="CS262" s="18">
        <f>(-0.0000009*F262^3)+(0.0002*F262^2)-(0.0134*F262)+6.579</f>
        <v>6.3656496999999996</v>
      </c>
      <c r="CT262" s="18">
        <f>CS262-(SQRT(CP262))/(1+1.4*SQRT(CP262))</f>
        <v>6.3544270862270187</v>
      </c>
      <c r="CU262" s="18">
        <f>10^(-CT262)</f>
        <v>4.4215334384309141E-7</v>
      </c>
      <c r="CV262" s="18">
        <f>(0.000001*F262^3)+(0.00006*F262^2)-(0.014*F262)+10.625</f>
        <v>10.346907</v>
      </c>
      <c r="CW262" s="18">
        <f>CV262-(2*SQRT(CR262))/(1+1.4*SQRT(CR262))</f>
        <v>10.344028371244034</v>
      </c>
      <c r="CX262" s="18">
        <f>10^(-CW262)</f>
        <v>4.5286799433759638E-11</v>
      </c>
      <c r="CY262">
        <f>EXP(1246.98+-61900/H262-183*LN(H262))</f>
        <v>3.1298201569780658E-2</v>
      </c>
      <c r="CZ262">
        <f>12.225*(F262^2)+15.258*F262+1125.7</f>
        <v>7943.6589999999997</v>
      </c>
      <c r="DA262" s="15">
        <f>10^(-4470.99/H262+6.0875-0.01706*H262)</f>
        <v>8.6723257769723363E-15</v>
      </c>
      <c r="DB262">
        <f>(10^-I262)</f>
        <v>8.1283051616409861E-9</v>
      </c>
      <c r="DC262">
        <f>DB262^2</f>
        <v>6.6069344800759498E-17</v>
      </c>
      <c r="DD262" s="20">
        <f>((14.6836*10^-9)*((H262/217.2056)-1)^1.997)*100*100</f>
        <v>1.9455921927724899E-5</v>
      </c>
      <c r="DE262">
        <f>CY262+CZ262*DA262/DB262</f>
        <v>3.9773522973101397E-2</v>
      </c>
      <c r="DF262">
        <f>1+DC262*(CU262*CX262+CU262*DB262)^-1</f>
        <v>1.0182815970791383</v>
      </c>
      <c r="DG262">
        <f>(DE262*DF262/DD262)^0.5</f>
        <v>45.625230383438655</v>
      </c>
      <c r="DH262">
        <f>DD262/(BO262/60/60)</f>
        <v>2.8284489288744701E-2</v>
      </c>
      <c r="DI262" s="16">
        <f>DF262/((DF262-1)+TANH(DG262*DH262)/(DG262*DH262))</f>
        <v>1.4884571909082518</v>
      </c>
      <c r="DJ262">
        <f>$DI262*BR262</f>
        <v>234.99436927457327</v>
      </c>
      <c r="DK262">
        <f>$DI262*BY262</f>
        <v>343.58042055655676</v>
      </c>
      <c r="DL262">
        <f>$DI262*CF262</f>
        <v>53.211081501097205</v>
      </c>
      <c r="DM262">
        <f>$DI262*CM262</f>
        <v>7979.544014975223</v>
      </c>
    </row>
    <row r="263" spans="1:117" ht="15.75" x14ac:dyDescent="0.25">
      <c r="A263" s="52" t="s">
        <v>323</v>
      </c>
      <c r="B263" s="55" t="s">
        <v>340</v>
      </c>
      <c r="C263" s="50" t="s">
        <v>459</v>
      </c>
      <c r="D263" s="57">
        <v>43321</v>
      </c>
      <c r="E263" s="42" t="str">
        <f>A263&amp;D263</f>
        <v>66A43321</v>
      </c>
      <c r="F263" s="3">
        <f>VLOOKUP($E263,Water!$C$2:$E$90, 2, FALSE)</f>
        <v>23</v>
      </c>
      <c r="G263" s="3">
        <f>VLOOKUP($E263,Water!$C$2:$E$90, 3, FALSE)</f>
        <v>0.94</v>
      </c>
      <c r="H263" s="1">
        <f>F263+273.15</f>
        <v>296.14999999999998</v>
      </c>
      <c r="I263" s="3">
        <f>VLOOKUP($E263,Water!$C$2:$F$90, 4, FALSE)</f>
        <v>8.09</v>
      </c>
      <c r="J263">
        <f>10^(I263*-1)</f>
        <v>8.1283051616409861E-9</v>
      </c>
      <c r="K263" s="25">
        <v>439.52751160265137</v>
      </c>
      <c r="L263" s="25">
        <v>2.8430237635924795</v>
      </c>
      <c r="M263" s="25">
        <v>0.32236441181786135</v>
      </c>
      <c r="N263" s="21">
        <f>VLOOKUP($C263,Raw!$B$2:$F$353, 3, FALSE)</f>
        <v>2389.3807204303812</v>
      </c>
      <c r="O263" s="21">
        <f>VLOOKUP($C263,Raw!$B$2:$F$353, 4, FALSE)</f>
        <v>129.13704973500859</v>
      </c>
      <c r="P263" s="21">
        <f>VLOOKUP($C263,Raw!$B$2:$F$353, 5, FALSE)</f>
        <v>0.22467445883307122</v>
      </c>
      <c r="Q263" s="14">
        <v>60</v>
      </c>
      <c r="R263" s="25">
        <v>1140</v>
      </c>
      <c r="S263">
        <f>EXP(24.4543-(100/H263*(67.4509))-(4.8489*LN(H263/100))-(0.000544*G263))</f>
        <v>2.7693250594375687E-2</v>
      </c>
      <c r="T263" s="8">
        <f>EXP(-58.0931+90.5069*(100/H263)+22.294*LN(H263/100)+G263*(0.027766-0.025888*(H263/100)+0.0050578*(H263/100)^2)*G263)</f>
        <v>3.574157745502668E-2</v>
      </c>
      <c r="U263" s="9">
        <f>(EXP(-67.1962+99.1624*(100/H263)+27.9015*LN(H263/100)+G263*(-0.072909+0.041674*(H263/100)-0.0064603*(H263/100)^2)*G263))</f>
        <v>3.2541188193787964E-2</v>
      </c>
      <c r="V263" s="9">
        <f>(EXP(-64.8539+100.252*(100/H263)+25.2049*LN(H263/100)+(-0.062544+0.035337*(H263/100)-0.0054699*(H263/100)^2)*G263))</f>
        <v>2.617908967185819E-2</v>
      </c>
      <c r="W263" s="9">
        <f>(EXP(-68.8862+101.4956*(100/H263)+28.7314*LN(H263/100)+G263*(-0.076146+0.04397*(H263/100)-0.0068672*(H263/100)^2)))</f>
        <v>3.2492749139586358E-2</v>
      </c>
      <c r="X263">
        <f>N263*(AZ263-S263)</f>
        <v>2167.5868623461015</v>
      </c>
      <c r="Y263">
        <f>O263*(AZ263-S263)</f>
        <v>117.14992510583269</v>
      </c>
      <c r="Z263">
        <f>((Y263/10^6)*AZ263)/(0.082056*H263)</f>
        <v>4.5068222089120282E-6</v>
      </c>
      <c r="AA263">
        <f>(((L263/10^6)*AZ263)/(0.082056*H263))</f>
        <v>1.0937269167392161E-7</v>
      </c>
      <c r="AB263">
        <f>((Y263/10^6)*U263*1)/(0.082056*H263)</f>
        <v>1.568748567750508E-7</v>
      </c>
      <c r="AC263">
        <f>(Z263*(Q263/1000))+(AB263*(R263/1000))</f>
        <v>4.4924666925827958E-7</v>
      </c>
      <c r="AD263" s="39">
        <f>((AC263-(AA263*(Q263/1000)))/(R263/1000))*1000000</f>
        <v>0.38831956820863539</v>
      </c>
      <c r="AE263" s="39">
        <f>(AD263/((U263*AZ263*1))*(0.0821*273.15))</f>
        <v>286.25279874617598</v>
      </c>
      <c r="AF263" s="39">
        <f>L263*U263*AZ263*1/(0.0821*273.15)</f>
        <v>3.8567370000251199E-3</v>
      </c>
      <c r="AG263" s="39">
        <f>AD263-AF263</f>
        <v>0.38446283120861025</v>
      </c>
      <c r="AH263" s="42">
        <f>P263*(AZ263-S263)</f>
        <v>0.20381909048950778</v>
      </c>
      <c r="AI263">
        <f>(((X263/10^6)*(Q263/1000))/(0.082056*H263))</f>
        <v>5.3518715450852521E-6</v>
      </c>
      <c r="AJ263">
        <f>(((K263/10^6)*AZ263)*(Q263/1000))/(0.082056*H263)</f>
        <v>1.0145319421736672E-6</v>
      </c>
      <c r="AK263">
        <f>(X263/10^6)*T263*(R263/1000)</f>
        <v>8.8319190053387232E-5</v>
      </c>
      <c r="AL263">
        <f>AI263+AK263</f>
        <v>9.3671061598472489E-5</v>
      </c>
      <c r="AM263" s="39">
        <f>((AL263-AJ263)/(R263/1000))*1000000</f>
        <v>81.277657593244584</v>
      </c>
      <c r="AN263" s="39">
        <f>AM263/(T263*AZ263)</f>
        <v>2432.4670869893603</v>
      </c>
      <c r="AO263" s="39">
        <f>(K263*AZ263)*T263</f>
        <v>14.686228143405664</v>
      </c>
      <c r="AP263" s="39">
        <f>AM263-AO263</f>
        <v>66.591429449838927</v>
      </c>
      <c r="AQ263">
        <f>(((AH263/10^6)*(Q263/1000))/(0.082056*H263))</f>
        <v>5.0323869815085678E-10</v>
      </c>
      <c r="AR263">
        <f>(((M263/10^6)*AZ263)*(Q263/1000))/(0.082056*H263)</f>
        <v>7.4409219940914814E-10</v>
      </c>
      <c r="AS263">
        <f>(AH263/10^6)*V263*(R263/1000)</f>
        <v>6.0828100013079988E-9</v>
      </c>
      <c r="AT263">
        <f>AQ263+AS263</f>
        <v>6.586048699458856E-9</v>
      </c>
      <c r="AU263" s="39">
        <f>((AT263-AR263)/(R263/1000))*1000000000</f>
        <v>5.1245232456576391</v>
      </c>
      <c r="AV263" s="39">
        <f>(AU263/1000)/(V263*AZ263)</f>
        <v>0.20938638394886575</v>
      </c>
      <c r="AW263" s="39">
        <f>(M263*AZ263)*V263*1000</f>
        <v>7.8895479771827413</v>
      </c>
      <c r="AX263" s="39">
        <f>AU263-AW263</f>
        <v>-2.7650247315251022</v>
      </c>
      <c r="AY263" s="26">
        <f>VLOOKUP($E263,Water!$C$2:$G$90, 5, FALSE)</f>
        <v>710.5</v>
      </c>
      <c r="AZ263">
        <f>AY263/760</f>
        <v>0.93486842105263157</v>
      </c>
      <c r="BA263" s="3">
        <f>Assumptions!$B$3</f>
        <v>406.07</v>
      </c>
      <c r="BB263" s="3">
        <f>BA263*AZ263*T263</f>
        <v>13.568289822058009</v>
      </c>
      <c r="BC263" s="3">
        <f>Assumptions!$B$4</f>
        <v>1.8474300000000001</v>
      </c>
      <c r="BD263" s="45">
        <f>BC263*AZ263*U263*1/(0.0821*273.15)</f>
        <v>2.5061526840539331E-3</v>
      </c>
      <c r="BE263" s="3">
        <f>Assumptions!$B$2</f>
        <v>0.33054499999999998</v>
      </c>
      <c r="BF263" s="44">
        <f>BE263*AZ263*V263*1000</f>
        <v>8.0897597269245942</v>
      </c>
      <c r="BG263">
        <f>1923.6+(-125.06*F263)+(4.3773*(F263^2))+(-0.085681*(F263^3))+(0.00070284*(F263^4))</f>
        <v>517.01442143999986</v>
      </c>
      <c r="BH263">
        <f>1909.4+(-120.78*F263)+(4.1555*(F263^2))+(-0.080578*(F263^3))+(0.00065777*(F263^4))</f>
        <v>533.39798857000017</v>
      </c>
      <c r="BI263">
        <f>2141.2+(-152.56*F263)+(5.8963*(F263^2))+(-0.12411*(F263^3))+(0.0010655*(F263^4))</f>
        <v>539.58691549999958</v>
      </c>
      <c r="BJ263" s="25">
        <f>VLOOKUP(E263,Wind!$C$2:$E$109,3, FALSE)</f>
        <v>0.25</v>
      </c>
      <c r="BK263" s="44">
        <v>1.66</v>
      </c>
      <c r="BL263">
        <f>BK263/(1-(((1.3*10^-3)^0.5)/0.41)*LN(10/1.5))</f>
        <v>1.9923982880693825</v>
      </c>
      <c r="BM263">
        <f>BK263*1.22</f>
        <v>2.0251999999999999</v>
      </c>
      <c r="BN263">
        <f>2.07+0.215*(BM263^1.7)*(24/100)</f>
        <v>2.241255750541113</v>
      </c>
      <c r="BO263">
        <f>BN263*((600/BG263)^0.67)</f>
        <v>2.4763154895528312</v>
      </c>
      <c r="BP263">
        <f>BN263*((600/BH263)^0.67)</f>
        <v>2.4250926440206859</v>
      </c>
      <c r="BQ263">
        <f>BN263*((600/BI263)^0.67)</f>
        <v>2.4064210063503109</v>
      </c>
      <c r="BR263" s="39">
        <f>BO263*(AM263-BB263)</f>
        <v>167.66975619961858</v>
      </c>
      <c r="BS263" s="39">
        <f>BP263*(AD263-BD263)</f>
        <v>0.93563327595315882</v>
      </c>
      <c r="BT263" s="39">
        <f>BQ263*(AU263-BF263)</f>
        <v>-7.1356073573170811</v>
      </c>
      <c r="BU263">
        <f>(2.51+1.48*BM263)+(0.39*BM263*LOG10(0.0015))</f>
        <v>3.2768938069574309</v>
      </c>
      <c r="BV263">
        <f>BU263*((600/$BG263)^0.67)</f>
        <v>3.6205698032584164</v>
      </c>
      <c r="BW263">
        <f>BU263*((600/$BH263)^0.67)</f>
        <v>3.545677937277258</v>
      </c>
      <c r="BX263">
        <f>BU263*((600/$BI263)^0.67)</f>
        <v>3.518378520942004</v>
      </c>
      <c r="BY263" s="39">
        <f>BV263*($AM263-$BB263)</f>
        <v>245.14649235007676</v>
      </c>
      <c r="BZ263" s="39">
        <f>BW263*($AD263-$BD263)</f>
        <v>1.3679701153310917</v>
      </c>
      <c r="CA263" s="39">
        <f>BX263*($AU263-$BF263)</f>
        <v>-10.432824345203302</v>
      </c>
      <c r="CB263" s="42">
        <f>AVERAGE(0.72,0.69,0.4,0.22)</f>
        <v>0.50750000000000006</v>
      </c>
      <c r="CC263">
        <f>CB263*((600/$BG263)^0.67)</f>
        <v>0.56072588353410624</v>
      </c>
      <c r="CD263">
        <f>CB263*((600/$BH263)^0.67)</f>
        <v>0.54912720984357022</v>
      </c>
      <c r="CE263">
        <f>CB263*((600/$BI263)^0.67)</f>
        <v>0.54489928711970104</v>
      </c>
      <c r="CF263" s="39">
        <f>CC263*($AM263-$BB263)</f>
        <v>37.966395067034334</v>
      </c>
      <c r="CG263" s="39">
        <f>CD263*($AD263-$BD263)</f>
        <v>0.2118606443872314</v>
      </c>
      <c r="CH263" s="39">
        <f>CE263*($AU263-$BF263)</f>
        <v>-1.6157552447836947</v>
      </c>
      <c r="CI263">
        <v>86.862639018895294</v>
      </c>
      <c r="CJ263">
        <f>((BG263/BH263)^0.67)*CI263</f>
        <v>85.065876223625281</v>
      </c>
      <c r="CK263">
        <f>((BH263/BH263)^0.67)*CI263</f>
        <v>86.862639018895294</v>
      </c>
      <c r="CL263">
        <f>((BI263/BH263)^0.67)*CI263</f>
        <v>87.536614070880546</v>
      </c>
      <c r="CM263" s="39">
        <f>CJ263*($AM263-$BB263)</f>
        <v>5759.75669800368</v>
      </c>
      <c r="CN263" s="39">
        <f>CK263*($AD263-$BD263)</f>
        <v>33.512771441358773</v>
      </c>
      <c r="CO263" s="39">
        <f>CL263*($AU263-$BF263)</f>
        <v>-259.56676148956126</v>
      </c>
      <c r="CP263" s="27">
        <f>VLOOKUP(A263,Water!$A$2:$E$109, 5, FALSE)/1000</f>
        <v>1.3000000000000002E-4</v>
      </c>
      <c r="CQ263">
        <f>0.64*CP263</f>
        <v>8.3200000000000017E-5</v>
      </c>
      <c r="CR263" s="19">
        <f>CQ263*1000*(2.5*10^-5)</f>
        <v>2.0800000000000004E-6</v>
      </c>
      <c r="CS263" s="18">
        <f>(-0.0000009*F263^3)+(0.0002*F263^2)-(0.0134*F263)+6.579</f>
        <v>6.3656496999999996</v>
      </c>
      <c r="CT263" s="18">
        <f>CS263-(SQRT(CP263))/(1+1.4*SQRT(CP263))</f>
        <v>6.3544270862270187</v>
      </c>
      <c r="CU263" s="18">
        <f>10^(-CT263)</f>
        <v>4.4215334384309141E-7</v>
      </c>
      <c r="CV263" s="18">
        <f>(0.000001*F263^3)+(0.00006*F263^2)-(0.014*F263)+10.625</f>
        <v>10.346907</v>
      </c>
      <c r="CW263" s="18">
        <f>CV263-(2*SQRT(CR263))/(1+1.4*SQRT(CR263))</f>
        <v>10.344028371244034</v>
      </c>
      <c r="CX263" s="18">
        <f>10^(-CW263)</f>
        <v>4.5286799433759638E-11</v>
      </c>
      <c r="CY263">
        <f>EXP(1246.98+-61900/H263-183*LN(H263))</f>
        <v>3.1298201569780658E-2</v>
      </c>
      <c r="CZ263">
        <f>12.225*(F263^2)+15.258*F263+1125.7</f>
        <v>7943.6589999999997</v>
      </c>
      <c r="DA263" s="15">
        <f>10^(-4470.99/H263+6.0875-0.01706*H263)</f>
        <v>8.6723257769723363E-15</v>
      </c>
      <c r="DB263">
        <f>(10^-I263)</f>
        <v>8.1283051616409861E-9</v>
      </c>
      <c r="DC263">
        <f>DB263^2</f>
        <v>6.6069344800759498E-17</v>
      </c>
      <c r="DD263" s="20">
        <f>((14.6836*10^-9)*((H263/217.2056)-1)^1.997)*100*100</f>
        <v>1.9455921927724899E-5</v>
      </c>
      <c r="DE263">
        <f>CY263+CZ263*DA263/DB263</f>
        <v>3.9773522973101397E-2</v>
      </c>
      <c r="DF263">
        <f>1+DC263*(CU263*CX263+CU263*DB263)^-1</f>
        <v>1.0182815970791383</v>
      </c>
      <c r="DG263">
        <f>(DE263*DF263/DD263)^0.5</f>
        <v>45.625230383438655</v>
      </c>
      <c r="DH263">
        <f>DD263/(BO263/60/60)</f>
        <v>2.8284489288744701E-2</v>
      </c>
      <c r="DI263" s="16">
        <f>DF263/((DF263-1)+TANH(DG263*DH263)/(DG263*DH263))</f>
        <v>1.4884571909082518</v>
      </c>
      <c r="DJ263">
        <f>$DI263*BR263</f>
        <v>249.56925431315571</v>
      </c>
      <c r="DK263">
        <f>$DI263*BY263</f>
        <v>364.89005936440651</v>
      </c>
      <c r="DL263">
        <f>$DI263*CF263</f>
        <v>56.511353750390832</v>
      </c>
      <c r="DM263">
        <f>$DI263*CM263</f>
        <v>8573.1512750255461</v>
      </c>
    </row>
    <row r="264" spans="1:117" ht="15.75" x14ac:dyDescent="0.25">
      <c r="A264" s="52" t="s">
        <v>323</v>
      </c>
      <c r="B264" s="55" t="s">
        <v>341</v>
      </c>
      <c r="C264" s="50" t="s">
        <v>460</v>
      </c>
      <c r="D264" s="57">
        <v>43321</v>
      </c>
      <c r="E264" s="42" t="str">
        <f>A264&amp;D264</f>
        <v>66A43321</v>
      </c>
      <c r="F264" s="3">
        <f>VLOOKUP($E264,Water!$C$2:$E$90, 2, FALSE)</f>
        <v>23</v>
      </c>
      <c r="G264" s="3">
        <f>VLOOKUP($E264,Water!$C$2:$E$90, 3, FALSE)</f>
        <v>0.94</v>
      </c>
      <c r="H264" s="1">
        <f>F264+273.15</f>
        <v>296.14999999999998</v>
      </c>
      <c r="I264" s="3">
        <f>VLOOKUP($E264,Water!$C$2:$F$90, 4, FALSE)</f>
        <v>8.09</v>
      </c>
      <c r="J264">
        <f>10^(I264*-1)</f>
        <v>8.1283051616409861E-9</v>
      </c>
      <c r="K264" s="25">
        <v>439.52751160265137</v>
      </c>
      <c r="L264" s="25">
        <v>2.8430237635924795</v>
      </c>
      <c r="M264" s="25">
        <v>0.32236441181786135</v>
      </c>
      <c r="N264" s="21">
        <f>VLOOKUP($C264,Raw!$B$2:$F$353, 3, FALSE)</f>
        <v>2022.9451605626639</v>
      </c>
      <c r="O264" s="21">
        <f>VLOOKUP($C264,Raw!$B$2:$F$353, 4, FALSE)</f>
        <v>114.4486590119886</v>
      </c>
      <c r="P264" s="21">
        <f>VLOOKUP($C264,Raw!$B$2:$F$353, 5, FALSE)</f>
        <v>0.17944079362940091</v>
      </c>
      <c r="Q264" s="14">
        <v>60</v>
      </c>
      <c r="R264" s="25">
        <v>1140</v>
      </c>
      <c r="S264">
        <f>EXP(24.4543-(100/H264*(67.4509))-(4.8489*LN(H264/100))-(0.000544*G264))</f>
        <v>2.7693250594375687E-2</v>
      </c>
      <c r="T264" s="8">
        <f>EXP(-58.0931+90.5069*(100/H264)+22.294*LN(H264/100)+G264*(0.027766-0.025888*(H264/100)+0.0050578*(H264/100)^2)*G264)</f>
        <v>3.574157745502668E-2</v>
      </c>
      <c r="U264" s="9">
        <f>(EXP(-67.1962+99.1624*(100/H264)+27.9015*LN(H264/100)+G264*(-0.072909+0.041674*(H264/100)-0.0064603*(H264/100)^2)*G264))</f>
        <v>3.2541188193787964E-2</v>
      </c>
      <c r="V264" s="9">
        <f>(EXP(-64.8539+100.252*(100/H264)+25.2049*LN(H264/100)+(-0.062544+0.035337*(H264/100)-0.0054699*(H264/100)^2)*G264))</f>
        <v>2.617908967185819E-2</v>
      </c>
      <c r="W264" s="9">
        <f>(EXP(-68.8862+101.4956*(100/H264)+28.7314*LN(H264/100)+G264*(-0.076146+0.04397*(H264/100)-0.0068672*(H264/100)^2)))</f>
        <v>3.2492749139586358E-2</v>
      </c>
      <c r="X264">
        <f>N264*(AZ264-S264)</f>
        <v>1835.1656208611384</v>
      </c>
      <c r="Y264">
        <f>O264*(AZ264-S264)</f>
        <v>103.82498174791957</v>
      </c>
      <c r="Z264">
        <f>((Y264/10^6)*AZ264)/(0.082056*H264)</f>
        <v>3.9942042912847998E-6</v>
      </c>
      <c r="AA264">
        <f>(((L264/10^6)*AZ264)/(0.082056*H264))</f>
        <v>1.0937269167392161E-7</v>
      </c>
      <c r="AB264">
        <f>((Y264/10^6)*U264*1)/(0.082056*H264)</f>
        <v>1.3903149427251508E-7</v>
      </c>
      <c r="AC264">
        <f>(Z264*(Q264/1000))+(AB264*(R264/1000))</f>
        <v>3.9814816094775517E-7</v>
      </c>
      <c r="AD264" s="39">
        <f>((AC264-(AA264*(Q264/1000)))/(R264/1000))*1000000</f>
        <v>0.34349631530466657</v>
      </c>
      <c r="AE264" s="39">
        <f>(AD264/((U264*AZ264*1))*(0.0821*273.15))</f>
        <v>253.21098822949594</v>
      </c>
      <c r="AF264" s="39">
        <f>L264*U264*AZ264*1/(0.0821*273.15)</f>
        <v>3.8567370000251199E-3</v>
      </c>
      <c r="AG264" s="39">
        <f>AD264-AF264</f>
        <v>0.33963957830464142</v>
      </c>
      <c r="AH264" s="42">
        <f>P264*(AZ264-S264)</f>
        <v>0.16278423254791649</v>
      </c>
      <c r="AI264">
        <f>(((X264/10^6)*(Q264/1000))/(0.082056*H264))</f>
        <v>4.5311082279650822E-6</v>
      </c>
      <c r="AJ264">
        <f>(((K264/10^6)*AZ264)*(Q264/1000))/(0.082056*H264)</f>
        <v>1.0145319421736672E-6</v>
      </c>
      <c r="AK264">
        <f>(X264/10^6)*T264*(R264/1000)</f>
        <v>7.4774554166123972E-5</v>
      </c>
      <c r="AL264">
        <f>AI264+AK264</f>
        <v>7.9305662394089056E-5</v>
      </c>
      <c r="AM264" s="39">
        <f>((AL264-AJ264)/(R264/1000))*1000000</f>
        <v>68.676430220978403</v>
      </c>
      <c r="AN264" s="39">
        <f>AM264/(T264*AZ264)</f>
        <v>2055.3392052767044</v>
      </c>
      <c r="AO264" s="39">
        <f>(K264*AZ264)*T264</f>
        <v>14.686228143405664</v>
      </c>
      <c r="AP264" s="39">
        <f>AM264-AO264</f>
        <v>53.990202077572739</v>
      </c>
      <c r="AQ264">
        <f>(((AH264/10^6)*(Q264/1000))/(0.082056*H264))</f>
        <v>4.0192174869466844E-10</v>
      </c>
      <c r="AR264">
        <f>(((M264/10^6)*AZ264)*(Q264/1000))/(0.082056*H264)</f>
        <v>7.4409219940914814E-10</v>
      </c>
      <c r="AS264">
        <f>(AH264/10^6)*V264*(R264/1000)</f>
        <v>4.8581590439816355E-9</v>
      </c>
      <c r="AT264">
        <f>AQ264+AS264</f>
        <v>5.2600807926763039E-9</v>
      </c>
      <c r="AU264" s="39">
        <f>((AT264-AR264)/(R264/1000))*1000000000</f>
        <v>3.9613935028659264</v>
      </c>
      <c r="AV264" s="39">
        <f>(AU264/1000)/(V264*AZ264)</f>
        <v>0.16186127395684802</v>
      </c>
      <c r="AW264" s="39">
        <f>(M264*AZ264)*V264*1000</f>
        <v>7.8895479771827413</v>
      </c>
      <c r="AX264" s="39">
        <f>AU264-AW264</f>
        <v>-3.9281544743168149</v>
      </c>
      <c r="AY264" s="26">
        <f>VLOOKUP($E264,Water!$C$2:$G$90, 5, FALSE)</f>
        <v>710.5</v>
      </c>
      <c r="AZ264">
        <f>AY264/760</f>
        <v>0.93486842105263157</v>
      </c>
      <c r="BA264" s="3">
        <f>Assumptions!$B$3</f>
        <v>406.07</v>
      </c>
      <c r="BB264" s="3">
        <f>BA264*AZ264*T264</f>
        <v>13.568289822058009</v>
      </c>
      <c r="BC264" s="3">
        <f>Assumptions!$B$4</f>
        <v>1.8474300000000001</v>
      </c>
      <c r="BD264" s="45">
        <f>BC264*AZ264*U264*1/(0.0821*273.15)</f>
        <v>2.5061526840539331E-3</v>
      </c>
      <c r="BE264" s="3">
        <f>Assumptions!$B$2</f>
        <v>0.33054499999999998</v>
      </c>
      <c r="BF264" s="44">
        <f>BE264*AZ264*V264*1000</f>
        <v>8.0897597269245942</v>
      </c>
      <c r="BG264">
        <f>1923.6+(-125.06*F264)+(4.3773*(F264^2))+(-0.085681*(F264^3))+(0.00070284*(F264^4))</f>
        <v>517.01442143999986</v>
      </c>
      <c r="BH264">
        <f>1909.4+(-120.78*F264)+(4.1555*(F264^2))+(-0.080578*(F264^3))+(0.00065777*(F264^4))</f>
        <v>533.39798857000017</v>
      </c>
      <c r="BI264">
        <f>2141.2+(-152.56*F264)+(5.8963*(F264^2))+(-0.12411*(F264^3))+(0.0010655*(F264^4))</f>
        <v>539.58691549999958</v>
      </c>
      <c r="BJ264" s="25">
        <f>VLOOKUP(E264,Wind!$C$2:$E$109,3, FALSE)</f>
        <v>0.25</v>
      </c>
      <c r="BK264" s="44">
        <v>1.66</v>
      </c>
      <c r="BL264">
        <f>BK264/(1-(((1.3*10^-3)^0.5)/0.41)*LN(10/1.5))</f>
        <v>1.9923982880693825</v>
      </c>
      <c r="BM264">
        <f>BK264*1.22</f>
        <v>2.0251999999999999</v>
      </c>
      <c r="BN264">
        <f>2.07+0.215*(BM264^1.7)*(24/100)</f>
        <v>2.241255750541113</v>
      </c>
      <c r="BO264">
        <f>BN264*((600/BG264)^0.67)</f>
        <v>2.4763154895528312</v>
      </c>
      <c r="BP264">
        <f>BN264*((600/BH264)^0.67)</f>
        <v>2.4250926440206859</v>
      </c>
      <c r="BQ264">
        <f>BN264*((600/BI264)^0.67)</f>
        <v>2.4064210063503109</v>
      </c>
      <c r="BR264" s="39">
        <f>BO264*(AM264-BB264)</f>
        <v>136.46514167029872</v>
      </c>
      <c r="BS264" s="39">
        <f>BP264*(AD264-BD264)</f>
        <v>0.82693273505466525</v>
      </c>
      <c r="BT264" s="39">
        <f>BQ264*(AU264-BF264)</f>
        <v>-9.9345872034818932</v>
      </c>
      <c r="BU264">
        <f>(2.51+1.48*BM264)+(0.39*BM264*LOG10(0.0015))</f>
        <v>3.2768938069574309</v>
      </c>
      <c r="BV264">
        <f>BU264*((600/$BG264)^0.67)</f>
        <v>3.6205698032584164</v>
      </c>
      <c r="BW264">
        <f>BU264*((600/$BH264)^0.67)</f>
        <v>3.545677937277258</v>
      </c>
      <c r="BX264">
        <f>BU264*((600/$BI264)^0.67)</f>
        <v>3.518378520942004</v>
      </c>
      <c r="BY264" s="39">
        <f>BV264*($AM264-$BB264)</f>
        <v>199.52286904205641</v>
      </c>
      <c r="BZ264" s="39">
        <f>BW264*($AD264-$BD264)</f>
        <v>1.2090412964324906</v>
      </c>
      <c r="CA264" s="39">
        <f>BX264*($AU264-$BF264)</f>
        <v>-14.525155049310463</v>
      </c>
      <c r="CB264" s="42">
        <f>AVERAGE(0.72,0.69,0.4,0.22)</f>
        <v>0.50750000000000006</v>
      </c>
      <c r="CC264">
        <f>CB264*((600/$BG264)^0.67)</f>
        <v>0.56072588353410624</v>
      </c>
      <c r="CD264">
        <f>CB264*((600/$BH264)^0.67)</f>
        <v>0.54912720984357022</v>
      </c>
      <c r="CE264">
        <f>CB264*((600/$BI264)^0.67)</f>
        <v>0.54489928711970104</v>
      </c>
      <c r="CF264" s="39">
        <f>CC264*($AM264-$BB264)</f>
        <v>30.900560715106213</v>
      </c>
      <c r="CG264" s="39">
        <f>CD264*($AD264-$BD264)</f>
        <v>0.1872469765839623</v>
      </c>
      <c r="CH264" s="39">
        <f>CE264*($AU264-$BF264)</f>
        <v>-2.2495438124586205</v>
      </c>
      <c r="CI264">
        <v>87.862639018895294</v>
      </c>
      <c r="CJ264">
        <f>((BG264/BH264)^0.67)*CI264</f>
        <v>86.045191118779698</v>
      </c>
      <c r="CK264">
        <f>((BH264/BH264)^0.67)*CI264</f>
        <v>87.862639018895294</v>
      </c>
      <c r="CL264">
        <f>((BI264/BH264)^0.67)*CI264</f>
        <v>88.544373161090064</v>
      </c>
      <c r="CM264" s="39">
        <f>CJ264*($AM264-$BB264)</f>
        <v>4741.7904728256499</v>
      </c>
      <c r="CN264" s="39">
        <f>CK264*($AD264-$BD264)</f>
        <v>29.960295567329293</v>
      </c>
      <c r="CO264" s="39">
        <f>CL264*($AU264-$BF264)</f>
        <v>-365.54359948869109</v>
      </c>
      <c r="CP264" s="27">
        <f>VLOOKUP(A264,Water!$A$2:$E$109, 5, FALSE)/1000</f>
        <v>1.3000000000000002E-4</v>
      </c>
      <c r="CQ264">
        <f>0.64*CP264</f>
        <v>8.3200000000000017E-5</v>
      </c>
      <c r="CR264" s="19">
        <f>CQ264*1000*(2.5*10^-5)</f>
        <v>2.0800000000000004E-6</v>
      </c>
      <c r="CS264" s="18">
        <f>(-0.0000009*F264^3)+(0.0002*F264^2)-(0.0134*F264)+6.579</f>
        <v>6.3656496999999996</v>
      </c>
      <c r="CT264" s="18">
        <f>CS264-(SQRT(CP264))/(1+1.4*SQRT(CP264))</f>
        <v>6.3544270862270187</v>
      </c>
      <c r="CU264" s="18">
        <f>10^(-CT264)</f>
        <v>4.4215334384309141E-7</v>
      </c>
      <c r="CV264" s="18">
        <f>(0.000001*F264^3)+(0.00006*F264^2)-(0.014*F264)+10.625</f>
        <v>10.346907</v>
      </c>
      <c r="CW264" s="18">
        <f>CV264-(2*SQRT(CR264))/(1+1.4*SQRT(CR264))</f>
        <v>10.344028371244034</v>
      </c>
      <c r="CX264" s="18">
        <f>10^(-CW264)</f>
        <v>4.5286799433759638E-11</v>
      </c>
      <c r="CY264">
        <f>EXP(1246.98+-61900/H264-183*LN(H264))</f>
        <v>3.1298201569780658E-2</v>
      </c>
      <c r="CZ264">
        <f>12.225*(F264^2)+15.258*F264+1125.7</f>
        <v>7943.6589999999997</v>
      </c>
      <c r="DA264" s="15">
        <f>10^(-4470.99/H264+6.0875-0.01706*H264)</f>
        <v>8.6723257769723363E-15</v>
      </c>
      <c r="DB264">
        <f>(10^-I264)</f>
        <v>8.1283051616409861E-9</v>
      </c>
      <c r="DC264">
        <f>DB264^2</f>
        <v>6.6069344800759498E-17</v>
      </c>
      <c r="DD264" s="20">
        <f>((14.6836*10^-9)*((H264/217.2056)-1)^1.997)*100*100</f>
        <v>1.9455921927724899E-5</v>
      </c>
      <c r="DE264">
        <f>CY264+CZ264*DA264/DB264</f>
        <v>3.9773522973101397E-2</v>
      </c>
      <c r="DF264">
        <f>1+DC264*(CU264*CX264+CU264*DB264)^-1</f>
        <v>1.0182815970791383</v>
      </c>
      <c r="DG264">
        <f>(DE264*DF264/DD264)^0.5</f>
        <v>45.625230383438655</v>
      </c>
      <c r="DH264">
        <f>DD264/(BO264/60/60)</f>
        <v>2.8284489288744701E-2</v>
      </c>
      <c r="DI264" s="16">
        <f>DF264/((DF264-1)+TANH(DG264*DH264)/(DG264*DH264))</f>
        <v>1.4884571909082518</v>
      </c>
      <c r="DJ264">
        <f>$DI264*BR264</f>
        <v>203.12252142746945</v>
      </c>
      <c r="DK264">
        <f>$DI264*BY264</f>
        <v>296.98124917629428</v>
      </c>
      <c r="DL264">
        <f>$DI264*CF264</f>
        <v>45.994161799496872</v>
      </c>
      <c r="DM264">
        <f>$DI264*CM264</f>
        <v>7057.9521270575779</v>
      </c>
    </row>
    <row r="265" spans="1:117" ht="15.75" x14ac:dyDescent="0.25">
      <c r="A265" s="52" t="s">
        <v>323</v>
      </c>
      <c r="B265" s="55" t="s">
        <v>342</v>
      </c>
      <c r="C265" s="50" t="s">
        <v>461</v>
      </c>
      <c r="D265" s="57">
        <v>43321</v>
      </c>
      <c r="E265" s="42" t="str">
        <f>A265&amp;D265</f>
        <v>66A43321</v>
      </c>
      <c r="F265" s="3">
        <f>VLOOKUP($E265,Water!$C$2:$E$90, 2, FALSE)</f>
        <v>23</v>
      </c>
      <c r="G265" s="3">
        <f>VLOOKUP($E265,Water!$C$2:$E$90, 3, FALSE)</f>
        <v>0.94</v>
      </c>
      <c r="H265" s="1">
        <f>F265+273.15</f>
        <v>296.14999999999998</v>
      </c>
      <c r="I265" s="3">
        <f>VLOOKUP($E265,Water!$C$2:$F$90, 4, FALSE)</f>
        <v>8.09</v>
      </c>
      <c r="J265">
        <f>10^(I265*-1)</f>
        <v>8.1283051616409861E-9</v>
      </c>
      <c r="K265" s="25">
        <v>439.52751160265137</v>
      </c>
      <c r="L265" s="25">
        <v>2.8430237635924795</v>
      </c>
      <c r="M265" s="25">
        <v>0.32236441181786135</v>
      </c>
      <c r="N265" s="21" t="str">
        <f>VLOOKUP($C265,Raw!$B$2:$F$353, 3, FALSE)</f>
        <v>NA</v>
      </c>
      <c r="O265" s="21" t="str">
        <f>VLOOKUP($C265,Raw!$B$2:$F$353, 4, FALSE)</f>
        <v>NA</v>
      </c>
      <c r="P265" s="21" t="str">
        <f>VLOOKUP($C265,Raw!$B$2:$F$353, 5, FALSE)</f>
        <v>NA</v>
      </c>
      <c r="Q265" s="14">
        <v>60</v>
      </c>
      <c r="R265" s="25">
        <v>1140</v>
      </c>
      <c r="S265">
        <f>EXP(24.4543-(100/H265*(67.4509))-(4.8489*LN(H265/100))-(0.000544*G265))</f>
        <v>2.7693250594375687E-2</v>
      </c>
      <c r="T265" s="8">
        <f>EXP(-58.0931+90.5069*(100/H265)+22.294*LN(H265/100)+G265*(0.027766-0.025888*(H265/100)+0.0050578*(H265/100)^2)*G265)</f>
        <v>3.574157745502668E-2</v>
      </c>
      <c r="U265" s="9">
        <f>(EXP(-67.1962+99.1624*(100/H265)+27.9015*LN(H265/100)+G265*(-0.072909+0.041674*(H265/100)-0.0064603*(H265/100)^2)*G265))</f>
        <v>3.2541188193787964E-2</v>
      </c>
      <c r="V265" s="9">
        <f>(EXP(-64.8539+100.252*(100/H265)+25.2049*LN(H265/100)+(-0.062544+0.035337*(H265/100)-0.0054699*(H265/100)^2)*G265))</f>
        <v>2.617908967185819E-2</v>
      </c>
      <c r="W265" s="9">
        <f>(EXP(-68.8862+101.4956*(100/H265)+28.7314*LN(H265/100)+G265*(-0.076146+0.04397*(H265/100)-0.0068672*(H265/100)^2)))</f>
        <v>3.2492749139586358E-2</v>
      </c>
      <c r="X265" t="e">
        <f>N265*(AZ265-S265)</f>
        <v>#VALUE!</v>
      </c>
      <c r="Y265" t="e">
        <f>O265*(AZ265-S265)</f>
        <v>#VALUE!</v>
      </c>
      <c r="Z265" t="e">
        <f>((Y265/10^6)*AZ265)/(0.082056*H265)</f>
        <v>#VALUE!</v>
      </c>
      <c r="AA265">
        <f>(((L265/10^6)*AZ265)/(0.082056*H265))</f>
        <v>1.0937269167392161E-7</v>
      </c>
      <c r="AB265" t="e">
        <f>((Y265/10^6)*U265*1)/(0.082056*H265)</f>
        <v>#VALUE!</v>
      </c>
      <c r="AC265" t="e">
        <f>(Z265*(Q265/1000))+(AB265*(R265/1000))</f>
        <v>#VALUE!</v>
      </c>
      <c r="AD265" s="39" t="e">
        <f>((AC265-(AA265*(Q265/1000)))/(R265/1000))*1000000</f>
        <v>#VALUE!</v>
      </c>
      <c r="AE265" s="39" t="e">
        <f>(AD265/((U265*AZ265*1))*(0.0821*273.15))</f>
        <v>#VALUE!</v>
      </c>
      <c r="AF265" s="39">
        <f>L265*U265*AZ265*1/(0.0821*273.15)</f>
        <v>3.8567370000251199E-3</v>
      </c>
      <c r="AG265" s="39" t="e">
        <f>AD265-AF265</f>
        <v>#VALUE!</v>
      </c>
      <c r="AH265" s="42" t="e">
        <f>P265*(AZ265-S265)</f>
        <v>#VALUE!</v>
      </c>
      <c r="AI265" t="e">
        <f>(((X265/10^6)*(Q265/1000))/(0.082056*H265))</f>
        <v>#VALUE!</v>
      </c>
      <c r="AJ265">
        <f>(((K265/10^6)*AZ265)*(Q265/1000))/(0.082056*H265)</f>
        <v>1.0145319421736672E-6</v>
      </c>
      <c r="AK265" t="e">
        <f>(X265/10^6)*T265*(R265/1000)</f>
        <v>#VALUE!</v>
      </c>
      <c r="AL265" t="e">
        <f>AI265+AK265</f>
        <v>#VALUE!</v>
      </c>
      <c r="AM265" s="39" t="e">
        <f>((AL265-AJ265)/(R265/1000))*1000000</f>
        <v>#VALUE!</v>
      </c>
      <c r="AN265" s="39" t="e">
        <f>AM265/(T265*AZ265)</f>
        <v>#VALUE!</v>
      </c>
      <c r="AO265" s="39">
        <f>(K265*AZ265)*T265</f>
        <v>14.686228143405664</v>
      </c>
      <c r="AP265" s="39" t="e">
        <f>AM265-AO265</f>
        <v>#VALUE!</v>
      </c>
      <c r="AQ265" t="e">
        <f>(((AH265/10^6)*(Q265/1000))/(0.082056*H265))</f>
        <v>#VALUE!</v>
      </c>
      <c r="AR265">
        <f>(((M265/10^6)*AZ265)*(Q265/1000))/(0.082056*H265)</f>
        <v>7.4409219940914814E-10</v>
      </c>
      <c r="AS265" t="e">
        <f>(AH265/10^6)*V265*(R265/1000)</f>
        <v>#VALUE!</v>
      </c>
      <c r="AT265" t="e">
        <f>AQ265+AS265</f>
        <v>#VALUE!</v>
      </c>
      <c r="AU265" s="39" t="e">
        <f>((AT265-AR265)/(R265/1000))*1000000000</f>
        <v>#VALUE!</v>
      </c>
      <c r="AV265" s="39" t="e">
        <f>(AU265/1000)/(V265*AZ265)</f>
        <v>#VALUE!</v>
      </c>
      <c r="AW265" s="39">
        <f>(M265*AZ265)*V265*1000</f>
        <v>7.8895479771827413</v>
      </c>
      <c r="AX265" s="39" t="e">
        <f>AU265-AW265</f>
        <v>#VALUE!</v>
      </c>
      <c r="AY265" s="26">
        <f>VLOOKUP($E265,Water!$C$2:$G$90, 5, FALSE)</f>
        <v>710.5</v>
      </c>
      <c r="AZ265">
        <f>AY265/760</f>
        <v>0.93486842105263157</v>
      </c>
      <c r="BA265" s="3">
        <f>Assumptions!$B$3</f>
        <v>406.07</v>
      </c>
      <c r="BB265" s="3">
        <f>BA265*AZ265*T265</f>
        <v>13.568289822058009</v>
      </c>
      <c r="BC265" s="3">
        <f>Assumptions!$B$4</f>
        <v>1.8474300000000001</v>
      </c>
      <c r="BD265" s="45">
        <f>BC265*AZ265*U265*1/(0.0821*273.15)</f>
        <v>2.5061526840539331E-3</v>
      </c>
      <c r="BE265" s="3">
        <f>Assumptions!$B$2</f>
        <v>0.33054499999999998</v>
      </c>
      <c r="BF265" s="44">
        <f>BE265*AZ265*V265*1000</f>
        <v>8.0897597269245942</v>
      </c>
      <c r="BG265">
        <f>1923.6+(-125.06*F265)+(4.3773*(F265^2))+(-0.085681*(F265^3))+(0.00070284*(F265^4))</f>
        <v>517.01442143999986</v>
      </c>
      <c r="BH265">
        <f>1909.4+(-120.78*F265)+(4.1555*(F265^2))+(-0.080578*(F265^3))+(0.00065777*(F265^4))</f>
        <v>533.39798857000017</v>
      </c>
      <c r="BI265">
        <f>2141.2+(-152.56*F265)+(5.8963*(F265^2))+(-0.12411*(F265^3))+(0.0010655*(F265^4))</f>
        <v>539.58691549999958</v>
      </c>
      <c r="BJ265" s="25">
        <f>VLOOKUP(E265,Wind!$C$2:$E$109,3, FALSE)</f>
        <v>0.25</v>
      </c>
      <c r="BK265" s="44">
        <v>1.66</v>
      </c>
      <c r="BL265">
        <f>BK265/(1-(((1.3*10^-3)^0.5)/0.41)*LN(10/1.5))</f>
        <v>1.9923982880693825</v>
      </c>
      <c r="BM265">
        <f>BK265*1.22</f>
        <v>2.0251999999999999</v>
      </c>
      <c r="BN265">
        <f>2.07+0.215*(BM265^1.7)*(24/100)</f>
        <v>2.241255750541113</v>
      </c>
      <c r="BO265">
        <f>BN265*((600/BG265)^0.67)</f>
        <v>2.4763154895528312</v>
      </c>
      <c r="BP265">
        <f>BN265*((600/BH265)^0.67)</f>
        <v>2.4250926440206859</v>
      </c>
      <c r="BQ265">
        <f>BN265*((600/BI265)^0.67)</f>
        <v>2.4064210063503109</v>
      </c>
      <c r="BR265" s="39" t="e">
        <f>BO265*(AM265-BB265)</f>
        <v>#VALUE!</v>
      </c>
      <c r="BS265" s="39" t="e">
        <f>BP265*(AD265-BD265)</f>
        <v>#VALUE!</v>
      </c>
      <c r="BT265" s="39" t="e">
        <f>BQ265*(AU265-BF265)</f>
        <v>#VALUE!</v>
      </c>
      <c r="BU265">
        <f>(2.51+1.48*BM265)+(0.39*BM265*LOG10(0.0015))</f>
        <v>3.2768938069574309</v>
      </c>
      <c r="BV265">
        <f>BU265*((600/$BG265)^0.67)</f>
        <v>3.6205698032584164</v>
      </c>
      <c r="BW265">
        <f>BU265*((600/$BH265)^0.67)</f>
        <v>3.545677937277258</v>
      </c>
      <c r="BX265">
        <f>BU265*((600/$BI265)^0.67)</f>
        <v>3.518378520942004</v>
      </c>
      <c r="BY265" s="39" t="e">
        <f>BV265*($AM265-$BB265)</f>
        <v>#VALUE!</v>
      </c>
      <c r="BZ265" s="39" t="e">
        <f>BW265*($AD265-$BD265)</f>
        <v>#VALUE!</v>
      </c>
      <c r="CA265" s="39" t="e">
        <f>BX265*($AU265-$BF265)</f>
        <v>#VALUE!</v>
      </c>
      <c r="CB265" s="42">
        <f>AVERAGE(0.72,0.69,0.4,0.22)</f>
        <v>0.50750000000000006</v>
      </c>
      <c r="CC265">
        <f>CB265*((600/$BG265)^0.67)</f>
        <v>0.56072588353410624</v>
      </c>
      <c r="CD265">
        <f>CB265*((600/$BH265)^0.67)</f>
        <v>0.54912720984357022</v>
      </c>
      <c r="CE265">
        <f>CB265*((600/$BI265)^0.67)</f>
        <v>0.54489928711970104</v>
      </c>
      <c r="CF265" s="39" t="e">
        <f>CC265*($AM265-$BB265)</f>
        <v>#VALUE!</v>
      </c>
      <c r="CG265" s="39" t="e">
        <f>CD265*($AD265-$BD265)</f>
        <v>#VALUE!</v>
      </c>
      <c r="CH265" s="39" t="e">
        <f>CE265*($AU265-$BF265)</f>
        <v>#VALUE!</v>
      </c>
      <c r="CI265">
        <v>88.862639018895294</v>
      </c>
      <c r="CJ265">
        <f>((BG265/BH265)^0.67)*CI265</f>
        <v>87.024506013934101</v>
      </c>
      <c r="CK265">
        <f>((BH265/BH265)^0.67)*CI265</f>
        <v>88.862639018895294</v>
      </c>
      <c r="CL265">
        <f>((BI265/BH265)^0.67)*CI265</f>
        <v>89.552132251299597</v>
      </c>
      <c r="CM265" s="39" t="e">
        <f>CJ265*($AM265-$BB265)</f>
        <v>#VALUE!</v>
      </c>
      <c r="CN265" s="39" t="e">
        <f>CK265*($AD265-$BD265)</f>
        <v>#VALUE!</v>
      </c>
      <c r="CO265" s="39" t="e">
        <f>CL265*($AU265-$BF265)</f>
        <v>#VALUE!</v>
      </c>
      <c r="CP265" s="27">
        <f>VLOOKUP(A265,Water!$A$2:$E$109, 5, FALSE)/1000</f>
        <v>1.3000000000000002E-4</v>
      </c>
      <c r="CQ265">
        <f>0.64*CP265</f>
        <v>8.3200000000000017E-5</v>
      </c>
      <c r="CR265" s="19">
        <f>CQ265*1000*(2.5*10^-5)</f>
        <v>2.0800000000000004E-6</v>
      </c>
      <c r="CS265" s="18">
        <f>(-0.0000009*F265^3)+(0.0002*F265^2)-(0.0134*F265)+6.579</f>
        <v>6.3656496999999996</v>
      </c>
      <c r="CT265" s="18">
        <f>CS265-(SQRT(CP265))/(1+1.4*SQRT(CP265))</f>
        <v>6.3544270862270187</v>
      </c>
      <c r="CU265" s="18">
        <f>10^(-CT265)</f>
        <v>4.4215334384309141E-7</v>
      </c>
      <c r="CV265" s="18">
        <f>(0.000001*F265^3)+(0.00006*F265^2)-(0.014*F265)+10.625</f>
        <v>10.346907</v>
      </c>
      <c r="CW265" s="18">
        <f>CV265-(2*SQRT(CR265))/(1+1.4*SQRT(CR265))</f>
        <v>10.344028371244034</v>
      </c>
      <c r="CX265" s="18">
        <f>10^(-CW265)</f>
        <v>4.5286799433759638E-11</v>
      </c>
      <c r="CY265">
        <f>EXP(1246.98+-61900/H265-183*LN(H265))</f>
        <v>3.1298201569780658E-2</v>
      </c>
      <c r="CZ265">
        <f>12.225*(F265^2)+15.258*F265+1125.7</f>
        <v>7943.6589999999997</v>
      </c>
      <c r="DA265" s="15">
        <f>10^(-4470.99/H265+6.0875-0.01706*H265)</f>
        <v>8.6723257769723363E-15</v>
      </c>
      <c r="DB265">
        <f>(10^-I265)</f>
        <v>8.1283051616409861E-9</v>
      </c>
      <c r="DC265">
        <f>DB265^2</f>
        <v>6.6069344800759498E-17</v>
      </c>
      <c r="DD265" s="20">
        <f>((14.6836*10^-9)*((H265/217.2056)-1)^1.997)*100*100</f>
        <v>1.9455921927724899E-5</v>
      </c>
      <c r="DE265">
        <f>CY265+CZ265*DA265/DB265</f>
        <v>3.9773522973101397E-2</v>
      </c>
      <c r="DF265">
        <f>1+DC265*(CU265*CX265+CU265*DB265)^-1</f>
        <v>1.0182815970791383</v>
      </c>
      <c r="DG265">
        <f>(DE265*DF265/DD265)^0.5</f>
        <v>45.625230383438655</v>
      </c>
      <c r="DH265">
        <f>DD265/(BO265/60/60)</f>
        <v>2.8284489288744701E-2</v>
      </c>
      <c r="DI265" s="16">
        <f>DF265/((DF265-1)+TANH(DG265*DH265)/(DG265*DH265))</f>
        <v>1.4884571909082518</v>
      </c>
      <c r="DJ265" t="e">
        <f>$DI265*BR265</f>
        <v>#VALUE!</v>
      </c>
      <c r="DK265" t="e">
        <f>$DI265*BY265</f>
        <v>#VALUE!</v>
      </c>
      <c r="DL265" t="e">
        <f>$DI265*CF265</f>
        <v>#VALUE!</v>
      </c>
      <c r="DM265" t="e">
        <f>$DI265*CM265</f>
        <v>#VALUE!</v>
      </c>
    </row>
    <row r="266" spans="1:117" ht="15.75" x14ac:dyDescent="0.25">
      <c r="A266" s="51" t="s">
        <v>478</v>
      </c>
      <c r="B266" s="55" t="s">
        <v>339</v>
      </c>
      <c r="C266" s="50" t="s">
        <v>463</v>
      </c>
      <c r="D266" s="57">
        <v>43321</v>
      </c>
      <c r="E266" s="42" t="str">
        <f>A266&amp;D266</f>
        <v>23A43321</v>
      </c>
      <c r="F266" s="3">
        <f>VLOOKUP($E266,Water!$C$2:$E$90, 2, FALSE)</f>
        <v>26.1</v>
      </c>
      <c r="G266" s="3">
        <f>VLOOKUP($E266,Water!$C$2:$E$90, 3, FALSE)</f>
        <v>0.09</v>
      </c>
      <c r="H266" s="1">
        <f>F266+273.15</f>
        <v>299.25</v>
      </c>
      <c r="I266" s="3">
        <f>VLOOKUP($E266,Water!$C$2:$F$90, 4, FALSE)</f>
        <v>9.9600000000000009</v>
      </c>
      <c r="J266">
        <f>10^(I266*-1)</f>
        <v>1.0964781961431802E-10</v>
      </c>
      <c r="K266" s="25">
        <v>439.52751160265137</v>
      </c>
      <c r="L266" s="25">
        <v>2.8430237635924795</v>
      </c>
      <c r="M266" s="25">
        <v>0.32236441181786135</v>
      </c>
      <c r="N266" s="21">
        <f>VLOOKUP($C266,Raw!$B$2:$F$353, 3, FALSE)</f>
        <v>102.7610276361532</v>
      </c>
      <c r="O266" s="21">
        <f>VLOOKUP($C266,Raw!$B$2:$F$353, 4, FALSE)</f>
        <v>116.6819813707814</v>
      </c>
      <c r="P266" s="21">
        <f>VLOOKUP($C266,Raw!$B$2:$F$353, 5, FALSE)</f>
        <v>0.22220261022142224</v>
      </c>
      <c r="Q266" s="14">
        <v>60</v>
      </c>
      <c r="R266" s="25">
        <v>1140</v>
      </c>
      <c r="S266">
        <f>EXP(24.4543-(100/H266*(67.4509))-(4.8489*LN(H266/100))-(0.000544*G266))</f>
        <v>3.3351385943078252E-2</v>
      </c>
      <c r="T266" s="8">
        <f>EXP(-58.0931+90.5069*(100/H266)+22.294*LN(H266/100)+G266*(0.027766-0.025888*(H266/100)+0.0050578*(H266/100)^2)*G266)</f>
        <v>3.2978480433149077E-2</v>
      </c>
      <c r="U266" s="9">
        <f>(EXP(-67.1962+99.1624*(100/H266)+27.9015*LN(H266/100)+G266*(-0.072909+0.041674*(H266/100)-0.0064603*(H266/100)^2)*G266))</f>
        <v>3.0925210214380067E-2</v>
      </c>
      <c r="V266" s="9">
        <f>(EXP(-64.8539+100.252*(100/H266)+25.2049*LN(H266/100)+(-0.062544+0.035337*(H266/100)-0.0054699*(H266/100)^2)*G266))</f>
        <v>2.4088697309564706E-2</v>
      </c>
      <c r="W266" s="9">
        <f>(EXP(-68.8862+101.4956*(100/H266)+28.7314*LN(H266/100)+G266*(-0.076146+0.04397*(H266/100)-0.0068672*(H266/100)^2)))</f>
        <v>3.0889573264835136E-2</v>
      </c>
      <c r="X266">
        <f>N266*(AZ266-S266)</f>
        <v>92.586732207968254</v>
      </c>
      <c r="Y266">
        <f>O266*(AZ266-S266)</f>
        <v>105.12938232695247</v>
      </c>
      <c r="Z266">
        <f>((Y266/10^6)*AZ266)/(0.082056*H266)</f>
        <v>4.0002352412008947E-6</v>
      </c>
      <c r="AA266">
        <f>(((L266/10^6)*AZ266)/(0.082056*H266))</f>
        <v>1.0817873746584882E-7</v>
      </c>
      <c r="AB266">
        <f>((Y266/10^6)*U266*1)/(0.082056*H266)</f>
        <v>1.3240130680642563E-7</v>
      </c>
      <c r="AC266">
        <f>(Z266*(Q266/1000))+(AB266*(R266/1000))</f>
        <v>3.9095160423137884E-7</v>
      </c>
      <c r="AD266" s="39">
        <f>((AC266-(AA266*(Q266/1000)))/(R266/1000))*1000000</f>
        <v>0.33724638595037543</v>
      </c>
      <c r="AE266" s="39">
        <f>(AD266/((U266*AZ266*1))*(0.0821*273.15))</f>
        <v>261.74180045547797</v>
      </c>
      <c r="AF266" s="39">
        <f>L266*U266*AZ266*1/(0.0821*273.15)</f>
        <v>3.6631500500650415E-3</v>
      </c>
      <c r="AG266" s="39">
        <f>AD266-AF266</f>
        <v>0.33358323590031036</v>
      </c>
      <c r="AH266" s="42">
        <f>P266*(AZ266-S266)</f>
        <v>0.2002024896181985</v>
      </c>
      <c r="AI266">
        <f>(((X266/10^6)*(Q266/1000))/(0.082056*H266))</f>
        <v>2.2623276580836963E-7</v>
      </c>
      <c r="AJ266">
        <f>(((K266/10^6)*AZ266)*(Q266/1000))/(0.082056*H266)</f>
        <v>1.0034569227785715E-6</v>
      </c>
      <c r="AK266">
        <f>(X266/10^6)*T266*(R266/1000)</f>
        <v>3.4808414995982514E-6</v>
      </c>
      <c r="AL266">
        <f>AI266+AK266</f>
        <v>3.7070742654066209E-6</v>
      </c>
      <c r="AM266" s="39">
        <f>((AL266-AJ266)/(R266/1000))*1000000</f>
        <v>2.3715941602000434</v>
      </c>
      <c r="AN266" s="39">
        <f>AM266/(T266*AZ266)</f>
        <v>76.966867486569456</v>
      </c>
      <c r="AO266" s="39">
        <f>(K266*AZ266)*T266</f>
        <v>13.543241576591354</v>
      </c>
      <c r="AP266" s="39">
        <f>AM266-AO266</f>
        <v>-11.171647416391311</v>
      </c>
      <c r="AQ266">
        <f>(((AH266/10^6)*(Q266/1000))/(0.082056*H266))</f>
        <v>4.8918848163158821E-10</v>
      </c>
      <c r="AR266">
        <f>(((M266/10^6)*AZ266)*(Q266/1000))/(0.082056*H266)</f>
        <v>7.3596940386410165E-10</v>
      </c>
      <c r="AS266">
        <f>(AH266/10^6)*V266*(R266/1000)</f>
        <v>5.4977835772588217E-9</v>
      </c>
      <c r="AT266">
        <f>AQ266+AS266</f>
        <v>5.9869720588904101E-9</v>
      </c>
      <c r="AU266" s="39">
        <f>((AT266-AR266)/(R266/1000))*1000000000</f>
        <v>4.6061426798476397</v>
      </c>
      <c r="AV266" s="39">
        <f>(AU266/1000)/(V266*AZ266)</f>
        <v>0.20465301714174741</v>
      </c>
      <c r="AW266" s="39">
        <f>(M266*AZ266)*V266*1000</f>
        <v>7.2554829460920489</v>
      </c>
      <c r="AX266" s="39">
        <f>AU266-AW266</f>
        <v>-2.6493402662444092</v>
      </c>
      <c r="AY266" s="26">
        <f>VLOOKUP($E266,Water!$C$2:$G$90, 5, FALSE)</f>
        <v>710.1</v>
      </c>
      <c r="AZ266">
        <f>AY266/760</f>
        <v>0.93434210526315797</v>
      </c>
      <c r="BA266" s="3">
        <f>Assumptions!$B$3</f>
        <v>406.07</v>
      </c>
      <c r="BB266" s="3">
        <f>BA266*AZ266*T266</f>
        <v>12.512309154331618</v>
      </c>
      <c r="BC266" s="3">
        <f>Assumptions!$B$4</f>
        <v>1.8474300000000001</v>
      </c>
      <c r="BD266" s="45">
        <f>BC266*AZ266*U266*1/(0.0821*273.15)</f>
        <v>2.3803576261495173E-3</v>
      </c>
      <c r="BE266" s="3">
        <f>Assumptions!$B$2</f>
        <v>0.33054499999999998</v>
      </c>
      <c r="BF266" s="44">
        <f>BE266*AZ266*V266*1000</f>
        <v>7.4396041327633755</v>
      </c>
      <c r="BG266">
        <f>1923.6+(-125.06*F266)+(4.3773*(F266^2))+(-0.085681*(F266^3))+(0.00070284*(F266^4))</f>
        <v>444.17309187104377</v>
      </c>
      <c r="BH266">
        <f>1909.4+(-120.78*F266)+(4.1555*(F266^2))+(-0.080578*(F266^3))+(0.00065777*(F266^4))</f>
        <v>460.40331453505701</v>
      </c>
      <c r="BI266">
        <f>2141.2+(-152.56*F266)+(5.8963*(F266^2))+(-0.12411*(F266^3))+(0.0010655*(F266^4))</f>
        <v>463.82087188854962</v>
      </c>
      <c r="BJ266" s="25">
        <f>VLOOKUP(E266,Wind!$C$2:$E$109,3, FALSE)</f>
        <v>1.2222222222222221</v>
      </c>
      <c r="BK266" s="44">
        <v>1.66</v>
      </c>
      <c r="BL266">
        <f>BK266/(1-(((1.3*10^-3)^0.5)/0.41)*LN(10/1.5))</f>
        <v>1.9923982880693825</v>
      </c>
      <c r="BM266">
        <f>BK266*1.22</f>
        <v>2.0251999999999999</v>
      </c>
      <c r="BN266">
        <f>2.07+0.215*(BM266^1.7)*(24/100)</f>
        <v>2.241255750541113</v>
      </c>
      <c r="BO266">
        <f>BN266*((600/BG266)^0.67)</f>
        <v>2.7415284067987931</v>
      </c>
      <c r="BP266">
        <f>BN266*((600/BH266)^0.67)</f>
        <v>2.6763936992469666</v>
      </c>
      <c r="BQ266">
        <f>BN266*((600/BI266)^0.67)</f>
        <v>2.6631649210628519</v>
      </c>
      <c r="BR266" s="39">
        <f>BO266*(AM266-BB266)</f>
        <v>-27.801058221662167</v>
      </c>
      <c r="BS266" s="39">
        <f>BP266*(AD266-BD266)</f>
        <v>0.89623332829881441</v>
      </c>
      <c r="BT266" s="39">
        <f>BQ266*(AU266-BF266)</f>
        <v>-7.5459751465889688</v>
      </c>
      <c r="BU266">
        <f>(2.51+1.48*BM266)+(0.39*BM266*LOG10(0.0015))</f>
        <v>3.2768938069574309</v>
      </c>
      <c r="BV266">
        <f>BU266*((600/$BG266)^0.67)</f>
        <v>4.008332139546269</v>
      </c>
      <c r="BW266">
        <f>BU266*((600/$BH266)^0.67)</f>
        <v>3.913100027038344</v>
      </c>
      <c r="BX266">
        <f>BU266*((600/$BI266)^0.67)</f>
        <v>3.8937585032989528</v>
      </c>
      <c r="BY266" s="39">
        <f>BV266*($AM266-$BB266)</f>
        <v>-40.647353828956341</v>
      </c>
      <c r="BZ266" s="39">
        <f>BW266*($AD266-$BD266)</f>
        <v>1.3103642644897513</v>
      </c>
      <c r="CA266" s="39">
        <f>BX266*($AU266-$BF266)</f>
        <v>-11.032814626060452</v>
      </c>
      <c r="CB266" s="42">
        <f>AVERAGE(0.72,0.69,0.4,0.22)</f>
        <v>0.50750000000000006</v>
      </c>
      <c r="CC266">
        <f>CB266*((600/$BG266)^0.67)</f>
        <v>0.62077951885431903</v>
      </c>
      <c r="CD266">
        <f>CB266*((600/$BH266)^0.67)</f>
        <v>0.60603070490277799</v>
      </c>
      <c r="CE266">
        <f>CB266*((600/$BI266)^0.67)</f>
        <v>0.60303523911230894</v>
      </c>
      <c r="CF266" s="39">
        <f>CC266*($AM266-$BB266)</f>
        <v>-6.2951481748957772</v>
      </c>
      <c r="CG266" s="39">
        <f>CD266*($AD266-$BD266)</f>
        <v>0.20293909519332426</v>
      </c>
      <c r="CH266" s="39">
        <f>CE266*($AU266-$BF266)</f>
        <v>-1.708677104774551</v>
      </c>
      <c r="CI266">
        <v>89.862639018895294</v>
      </c>
      <c r="CJ266">
        <f>((BG266/BH266)^0.67)*CI266</f>
        <v>87.7276340713574</v>
      </c>
      <c r="CK266">
        <f>((BH266/BH266)^0.67)*CI266</f>
        <v>89.862639018895294</v>
      </c>
      <c r="CL266">
        <f>((BI266/BH266)^0.67)*CI266</f>
        <v>90.30901502408301</v>
      </c>
      <c r="CM266" s="39">
        <f>CJ266*($AM266-$BB266)</f>
        <v>-889.620934227102</v>
      </c>
      <c r="CN266" s="39">
        <f>CK266*($AD266-$BD266)</f>
        <v>30.09194502299108</v>
      </c>
      <c r="CO266" s="39">
        <f>CL266*($AU266-$BF266)</f>
        <v>-255.88711292152726</v>
      </c>
      <c r="CP266" s="27">
        <f>VLOOKUP(A266,Water!$A$2:$E$109, 5, FALSE)/1000</f>
        <v>1E-4</v>
      </c>
      <c r="CQ266">
        <f>0.64*CP266</f>
        <v>6.4000000000000011E-5</v>
      </c>
      <c r="CR266" s="19">
        <f>CQ266*1000*(2.5*10^-5)</f>
        <v>1.6000000000000004E-6</v>
      </c>
      <c r="CS266" s="18">
        <f>(-0.0000009*F266^3)+(0.0002*F266^2)-(0.0134*F266)+6.579</f>
        <v>6.3495003771</v>
      </c>
      <c r="CT266" s="18">
        <f>CS266-(SQRT(CP266))/(1+1.4*SQRT(CP266))</f>
        <v>6.3396384441611442</v>
      </c>
      <c r="CU266" s="18">
        <f>10^(-CT266)</f>
        <v>4.5746887995650977E-7</v>
      </c>
      <c r="CV266" s="18">
        <f>(0.000001*F266^3)+(0.00006*F266^2)-(0.014*F266)+10.625</f>
        <v>10.318252181</v>
      </c>
      <c r="CW266" s="18">
        <f>CV266-(2*SQRT(CR266))/(1+1.4*SQRT(CR266))</f>
        <v>10.315726830952368</v>
      </c>
      <c r="CX266" s="18">
        <f>10^(-CW266)</f>
        <v>4.8336273917727013E-11</v>
      </c>
      <c r="CY266">
        <f>EXP(1246.98+-61900/H266-183*LN(H266))</f>
        <v>4.0575959665844728E-2</v>
      </c>
      <c r="CZ266">
        <f>12.225*(F266^2)+15.258*F266+1125.7</f>
        <v>9851.7260500000011</v>
      </c>
      <c r="DA266" s="15">
        <f>10^(-4470.99/H266+6.0875-0.01706*H266)</f>
        <v>1.1006351311356815E-14</v>
      </c>
      <c r="DB266">
        <f>(10^-I266)</f>
        <v>1.0964781961431802E-10</v>
      </c>
      <c r="DC266">
        <f>DB266^2</f>
        <v>1.2022644346174022E-20</v>
      </c>
      <c r="DD266" s="20">
        <f>((14.6836*10^-9)*((H266/217.2056)-1)^1.997)*100*100</f>
        <v>2.1011490538705273E-5</v>
      </c>
      <c r="DE266">
        <f>CY266+CZ266*DA266/DB266</f>
        <v>1.0294835212657876</v>
      </c>
      <c r="DF266">
        <f>1+DC266*(CU266*CX266+CU266*DB266)^-1</f>
        <v>1.0001663508719048</v>
      </c>
      <c r="DG266">
        <f>(DE266*DF266/DD266)^0.5</f>
        <v>221.36929823052998</v>
      </c>
      <c r="DH266">
        <f>DD266/(BO266/60/60)</f>
        <v>2.7590947353218678E-2</v>
      </c>
      <c r="DI266" s="16">
        <f>DF266/((DF266-1)+TANH(DG266*DH266)/(DG266*DH266))</f>
        <v>6.1026646113774516</v>
      </c>
      <c r="DJ266">
        <f>$DI266*BR266</f>
        <v>-169.66053416818187</v>
      </c>
      <c r="DK266">
        <f>$DI266*BY266</f>
        <v>-248.05716775810961</v>
      </c>
      <c r="DL266">
        <f>$DI266*CF266</f>
        <v>-38.41717799031381</v>
      </c>
      <c r="DM266">
        <f>$DI266*CM266</f>
        <v>-5429.0581928482825</v>
      </c>
    </row>
    <row r="267" spans="1:117" ht="15.75" x14ac:dyDescent="0.25">
      <c r="A267" s="51" t="s">
        <v>478</v>
      </c>
      <c r="B267" s="55" t="s">
        <v>340</v>
      </c>
      <c r="C267" s="50" t="s">
        <v>464</v>
      </c>
      <c r="D267" s="57">
        <v>43321</v>
      </c>
      <c r="E267" s="42" t="str">
        <f>A267&amp;D267</f>
        <v>23A43321</v>
      </c>
      <c r="F267" s="3">
        <f>VLOOKUP($E267,Water!$C$2:$E$90, 2, FALSE)</f>
        <v>26.1</v>
      </c>
      <c r="G267" s="3">
        <f>VLOOKUP($E267,Water!$C$2:$E$90, 3, FALSE)</f>
        <v>0.09</v>
      </c>
      <c r="H267" s="1">
        <f>F267+273.15</f>
        <v>299.25</v>
      </c>
      <c r="I267" s="3">
        <f>VLOOKUP($E267,Water!$C$2:$F$90, 4, FALSE)</f>
        <v>9.9600000000000009</v>
      </c>
      <c r="J267">
        <f>10^(I267*-1)</f>
        <v>1.0964781961431802E-10</v>
      </c>
      <c r="K267" s="25">
        <v>439.52751160265137</v>
      </c>
      <c r="L267" s="25">
        <v>2.8430237635924795</v>
      </c>
      <c r="M267" s="25">
        <v>0.32236441181786135</v>
      </c>
      <c r="N267" s="21">
        <f>VLOOKUP($C267,Raw!$B$2:$F$353, 3, FALSE)</f>
        <v>91.508815738405247</v>
      </c>
      <c r="O267" s="21">
        <f>VLOOKUP($C267,Raw!$B$2:$F$353, 4, FALSE)</f>
        <v>108.3358287614015</v>
      </c>
      <c r="P267" s="21">
        <f>VLOOKUP($C267,Raw!$B$2:$F$353, 5, FALSE)</f>
        <v>0.22474634639010932</v>
      </c>
      <c r="Q267" s="14">
        <v>60</v>
      </c>
      <c r="R267" s="25">
        <v>1140</v>
      </c>
      <c r="S267">
        <f>EXP(24.4543-(100/H267*(67.4509))-(4.8489*LN(H267/100))-(0.000544*G267))</f>
        <v>3.3351385943078252E-2</v>
      </c>
      <c r="T267" s="8">
        <f>EXP(-58.0931+90.5069*(100/H267)+22.294*LN(H267/100)+G267*(0.027766-0.025888*(H267/100)+0.0050578*(H267/100)^2)*G267)</f>
        <v>3.2978480433149077E-2</v>
      </c>
      <c r="U267" s="9">
        <f>(EXP(-67.1962+99.1624*(100/H267)+27.9015*LN(H267/100)+G267*(-0.072909+0.041674*(H267/100)-0.0064603*(H267/100)^2)*G267))</f>
        <v>3.0925210214380067E-2</v>
      </c>
      <c r="V267" s="9">
        <f>(EXP(-64.8539+100.252*(100/H267)+25.2049*LN(H267/100)+(-0.062544+0.035337*(H267/100)-0.0054699*(H267/100)^2)*G267))</f>
        <v>2.4088697309564706E-2</v>
      </c>
      <c r="W267" s="9">
        <f>(EXP(-68.8862+101.4956*(100/H267)+28.7314*LN(H267/100)+G267*(-0.076146+0.04397*(H267/100)-0.0068672*(H267/100)^2)))</f>
        <v>3.0889573264835136E-2</v>
      </c>
      <c r="X267">
        <f>N267*(AZ267-S267)</f>
        <v>82.448593716274374</v>
      </c>
      <c r="Y267">
        <f>O267*(AZ267-S267)</f>
        <v>97.609576283872116</v>
      </c>
      <c r="Z267">
        <f>((Y267/10^6)*AZ267)/(0.082056*H267)</f>
        <v>3.7141021690310843E-6</v>
      </c>
      <c r="AA267">
        <f>(((L267/10^6)*AZ267)/(0.082056*H267))</f>
        <v>1.0817873746584882E-7</v>
      </c>
      <c r="AB267">
        <f>((Y267/10^6)*U267*1)/(0.082056*H267)</f>
        <v>1.2293076560284206E-7</v>
      </c>
      <c r="AC267">
        <f>(Z267*(Q267/1000))+(AB267*(R267/1000))</f>
        <v>3.6298720292910495E-7</v>
      </c>
      <c r="AD267" s="39">
        <f>((AC267-(AA267*(Q267/1000)))/(R267/1000))*1000000</f>
        <v>0.3127162093694334</v>
      </c>
      <c r="AE267" s="39">
        <f>(AD267/((U267*AZ267*1))*(0.0821*273.15))</f>
        <v>242.70357543286397</v>
      </c>
      <c r="AF267" s="39">
        <f>L267*U267*AZ267*1/(0.0821*273.15)</f>
        <v>3.6631500500650415E-3</v>
      </c>
      <c r="AG267" s="39">
        <f>AD267-AF267</f>
        <v>0.30905305931936833</v>
      </c>
      <c r="AH267" s="42">
        <f>P267*(AZ267-S267)</f>
        <v>0.20249437229858439</v>
      </c>
      <c r="AI267">
        <f>(((X267/10^6)*(Q267/1000))/(0.082056*H267))</f>
        <v>2.0146054352092176E-7</v>
      </c>
      <c r="AJ267">
        <f>(((K267/10^6)*AZ267)*(Q267/1000))/(0.082056*H267)</f>
        <v>1.0034569227785715E-6</v>
      </c>
      <c r="AK267">
        <f>(X267/10^6)*T267*(R267/1000)</f>
        <v>3.0996934414586061E-6</v>
      </c>
      <c r="AL267">
        <f>AI267+AK267</f>
        <v>3.3011539849795277E-6</v>
      </c>
      <c r="AM267" s="39">
        <f>((AL267-AJ267)/(R267/1000))*1000000</f>
        <v>2.0155237387727687</v>
      </c>
      <c r="AN267" s="39">
        <f>AM267/(T267*AZ267)</f>
        <v>65.411085556507558</v>
      </c>
      <c r="AO267" s="39">
        <f>(K267*AZ267)*T267</f>
        <v>13.543241576591354</v>
      </c>
      <c r="AP267" s="39">
        <f>AM267-AO267</f>
        <v>-11.527717837818585</v>
      </c>
      <c r="AQ267">
        <f>(((AH267/10^6)*(Q267/1000))/(0.082056*H267))</f>
        <v>4.9478862481978659E-10</v>
      </c>
      <c r="AR267">
        <f>(((M267/10^6)*AZ267)*(Q267/1000))/(0.082056*H267)</f>
        <v>7.3596940386410165E-10</v>
      </c>
      <c r="AS267">
        <f>(AH267/10^6)*V267*(R267/1000)</f>
        <v>5.5607212309576304E-9</v>
      </c>
      <c r="AT267">
        <f>AQ267+AS267</f>
        <v>6.0555098557774172E-9</v>
      </c>
      <c r="AU267" s="39">
        <f>((AT267-AR267)/(R267/1000))*1000000000</f>
        <v>4.6662635543099258</v>
      </c>
      <c r="AV267" s="39">
        <f>(AU267/1000)/(V267*AZ267)</f>
        <v>0.20732421497626913</v>
      </c>
      <c r="AW267" s="39">
        <f>(M267*AZ267)*V267*1000</f>
        <v>7.2554829460920489</v>
      </c>
      <c r="AX267" s="39">
        <f>AU267-AW267</f>
        <v>-2.5892193917821231</v>
      </c>
      <c r="AY267" s="26">
        <f>VLOOKUP($E267,Water!$C$2:$G$90, 5, FALSE)</f>
        <v>710.1</v>
      </c>
      <c r="AZ267">
        <f>AY267/760</f>
        <v>0.93434210526315797</v>
      </c>
      <c r="BA267" s="3">
        <f>Assumptions!$B$3</f>
        <v>406.07</v>
      </c>
      <c r="BB267" s="3">
        <f>BA267*AZ267*T267</f>
        <v>12.512309154331618</v>
      </c>
      <c r="BC267" s="3">
        <f>Assumptions!$B$4</f>
        <v>1.8474300000000001</v>
      </c>
      <c r="BD267" s="45">
        <f>BC267*AZ267*U267*1/(0.0821*273.15)</f>
        <v>2.3803576261495173E-3</v>
      </c>
      <c r="BE267" s="3">
        <f>Assumptions!$B$2</f>
        <v>0.33054499999999998</v>
      </c>
      <c r="BF267" s="44">
        <f>BE267*AZ267*V267*1000</f>
        <v>7.4396041327633755</v>
      </c>
      <c r="BG267">
        <f>1923.6+(-125.06*F267)+(4.3773*(F267^2))+(-0.085681*(F267^3))+(0.00070284*(F267^4))</f>
        <v>444.17309187104377</v>
      </c>
      <c r="BH267">
        <f>1909.4+(-120.78*F267)+(4.1555*(F267^2))+(-0.080578*(F267^3))+(0.00065777*(F267^4))</f>
        <v>460.40331453505701</v>
      </c>
      <c r="BI267">
        <f>2141.2+(-152.56*F267)+(5.8963*(F267^2))+(-0.12411*(F267^3))+(0.0010655*(F267^4))</f>
        <v>463.82087188854962</v>
      </c>
      <c r="BJ267" s="25">
        <f>VLOOKUP(E267,Wind!$C$2:$E$109,3, FALSE)</f>
        <v>1.2222222222222221</v>
      </c>
      <c r="BK267" s="44">
        <v>1.66</v>
      </c>
      <c r="BL267">
        <f>BK267/(1-(((1.3*10^-3)^0.5)/0.41)*LN(10/1.5))</f>
        <v>1.9923982880693825</v>
      </c>
      <c r="BM267">
        <f>BK267*1.22</f>
        <v>2.0251999999999999</v>
      </c>
      <c r="BN267">
        <f>2.07+0.215*(BM267^1.7)*(24/100)</f>
        <v>2.241255750541113</v>
      </c>
      <c r="BO267">
        <f>BN267*((600/BG267)^0.67)</f>
        <v>2.7415284067987931</v>
      </c>
      <c r="BP267">
        <f>BN267*((600/BH267)^0.67)</f>
        <v>2.6763936992469666</v>
      </c>
      <c r="BQ267">
        <f>BN267*((600/BI267)^0.67)</f>
        <v>2.6631649210628519</v>
      </c>
      <c r="BR267" s="39">
        <f>BO267*(AM267-BB267)</f>
        <v>-28.777235396825859</v>
      </c>
      <c r="BS267" s="39">
        <f>BP267*(AD267-BD267)</f>
        <v>0.83058091825616576</v>
      </c>
      <c r="BT267" s="39">
        <f>BQ267*(AU267-BF267)</f>
        <v>-7.3858633426973856</v>
      </c>
      <c r="BU267">
        <f>(2.51+1.48*BM267)+(0.39*BM267*LOG10(0.0015))</f>
        <v>3.2768938069574309</v>
      </c>
      <c r="BV267">
        <f>BU267*((600/$BG267)^0.67)</f>
        <v>4.008332139546269</v>
      </c>
      <c r="BW267">
        <f>BU267*((600/$BH267)^0.67)</f>
        <v>3.913100027038344</v>
      </c>
      <c r="BX267">
        <f>BU267*((600/$BI267)^0.67)</f>
        <v>3.8937585032989528</v>
      </c>
      <c r="BY267" s="39">
        <f>BV267*($AM267-$BB267)</f>
        <v>-42.07460234310507</v>
      </c>
      <c r="BZ267" s="39">
        <f>BW267*($AD267-$BD267)</f>
        <v>1.2143752298476116</v>
      </c>
      <c r="CA267" s="39">
        <f>BX267*($AU267-$BF267)</f>
        <v>-10.798718459897156</v>
      </c>
      <c r="CB267" s="42">
        <f>AVERAGE(0.72,0.69,0.4,0.22)</f>
        <v>0.50750000000000006</v>
      </c>
      <c r="CC267">
        <f>CB267*((600/$BG267)^0.67)</f>
        <v>0.62077951885431903</v>
      </c>
      <c r="CD267">
        <f>CB267*((600/$BH267)^0.67)</f>
        <v>0.60603070490277799</v>
      </c>
      <c r="CE267">
        <f>CB267*((600/$BI267)^0.67)</f>
        <v>0.60303523911230894</v>
      </c>
      <c r="CF267" s="39">
        <f>CC267*($AM267-$BB267)</f>
        <v>-6.5161893997876552</v>
      </c>
      <c r="CG267" s="39">
        <f>CD267*($AD267-$BD267)</f>
        <v>0.18807305498858634</v>
      </c>
      <c r="CH267" s="39">
        <f>CE267*($AU267-$BF267)</f>
        <v>-1.6724220988675453</v>
      </c>
      <c r="CI267">
        <v>90.862639018895294</v>
      </c>
      <c r="CJ267">
        <f>((BG267/BH267)^0.67)*CI267</f>
        <v>88.703875533094475</v>
      </c>
      <c r="CK267">
        <f>((BH267/BH267)^0.67)*CI267</f>
        <v>90.862639018895294</v>
      </c>
      <c r="CL267">
        <f>((BI267/BH267)^0.67)*CI267</f>
        <v>91.313982338754158</v>
      </c>
      <c r="CM267" s="39">
        <f>CJ267*($AM267-$BB267)</f>
        <v>-931.10554699933346</v>
      </c>
      <c r="CN267" s="39">
        <f>CK267*($AD267-$BD267)</f>
        <v>28.197934471571411</v>
      </c>
      <c r="CO267" s="39">
        <f>CL267*($AU267-$BF267)</f>
        <v>-253.24477260024855</v>
      </c>
      <c r="CP267" s="27">
        <f>VLOOKUP(A267,Water!$A$2:$E$109, 5, FALSE)/1000</f>
        <v>1E-4</v>
      </c>
      <c r="CQ267">
        <f>0.64*CP267</f>
        <v>6.4000000000000011E-5</v>
      </c>
      <c r="CR267" s="19">
        <f>CQ267*1000*(2.5*10^-5)</f>
        <v>1.6000000000000004E-6</v>
      </c>
      <c r="CS267" s="18">
        <f>(-0.0000009*F267^3)+(0.0002*F267^2)-(0.0134*F267)+6.579</f>
        <v>6.3495003771</v>
      </c>
      <c r="CT267" s="18">
        <f>CS267-(SQRT(CP267))/(1+1.4*SQRT(CP267))</f>
        <v>6.3396384441611442</v>
      </c>
      <c r="CU267" s="18">
        <f>10^(-CT267)</f>
        <v>4.5746887995650977E-7</v>
      </c>
      <c r="CV267" s="18">
        <f>(0.000001*F267^3)+(0.00006*F267^2)-(0.014*F267)+10.625</f>
        <v>10.318252181</v>
      </c>
      <c r="CW267" s="18">
        <f>CV267-(2*SQRT(CR267))/(1+1.4*SQRT(CR267))</f>
        <v>10.315726830952368</v>
      </c>
      <c r="CX267" s="18">
        <f>10^(-CW267)</f>
        <v>4.8336273917727013E-11</v>
      </c>
      <c r="CY267">
        <f>EXP(1246.98+-61900/H267-183*LN(H267))</f>
        <v>4.0575959665844728E-2</v>
      </c>
      <c r="CZ267">
        <f>12.225*(F267^2)+15.258*F267+1125.7</f>
        <v>9851.7260500000011</v>
      </c>
      <c r="DA267" s="15">
        <f>10^(-4470.99/H267+6.0875-0.01706*H267)</f>
        <v>1.1006351311356815E-14</v>
      </c>
      <c r="DB267">
        <f>(10^-I267)</f>
        <v>1.0964781961431802E-10</v>
      </c>
      <c r="DC267">
        <f>DB267^2</f>
        <v>1.2022644346174022E-20</v>
      </c>
      <c r="DD267" s="20">
        <f>((14.6836*10^-9)*((H267/217.2056)-1)^1.997)*100*100</f>
        <v>2.1011490538705273E-5</v>
      </c>
      <c r="DE267">
        <f>CY267+CZ267*DA267/DB267</f>
        <v>1.0294835212657876</v>
      </c>
      <c r="DF267">
        <f>1+DC267*(CU267*CX267+CU267*DB267)^-1</f>
        <v>1.0001663508719048</v>
      </c>
      <c r="DG267">
        <f>(DE267*DF267/DD267)^0.5</f>
        <v>221.36929823052998</v>
      </c>
      <c r="DH267">
        <f>DD267/(BO267/60/60)</f>
        <v>2.7590947353218678E-2</v>
      </c>
      <c r="DI267" s="16">
        <f>DF267/((DF267-1)+TANH(DG267*DH267)/(DG267*DH267))</f>
        <v>6.1026646113774516</v>
      </c>
      <c r="DJ267">
        <f>$DI267*BR267</f>
        <v>-175.61781606948773</v>
      </c>
      <c r="DK267">
        <f>$DI267*BY267</f>
        <v>-256.76718675704615</v>
      </c>
      <c r="DL267">
        <f>$DI267*CF267</f>
        <v>-39.766118451117002</v>
      </c>
      <c r="DM267">
        <f>$DI267*CM267</f>
        <v>-5682.2248711300772</v>
      </c>
    </row>
    <row r="268" spans="1:117" ht="15.75" x14ac:dyDescent="0.25">
      <c r="A268" s="51" t="s">
        <v>478</v>
      </c>
      <c r="B268" s="55" t="s">
        <v>341</v>
      </c>
      <c r="C268" s="50" t="s">
        <v>465</v>
      </c>
      <c r="D268" s="57">
        <v>43321</v>
      </c>
      <c r="E268" s="42" t="str">
        <f>A268&amp;D268</f>
        <v>23A43321</v>
      </c>
      <c r="F268" s="3">
        <f>VLOOKUP($E268,Water!$C$2:$E$90, 2, FALSE)</f>
        <v>26.1</v>
      </c>
      <c r="G268" s="3">
        <f>VLOOKUP($E268,Water!$C$2:$E$90, 3, FALSE)</f>
        <v>0.09</v>
      </c>
      <c r="H268" s="1">
        <f>F268+273.15</f>
        <v>299.25</v>
      </c>
      <c r="I268" s="3">
        <f>VLOOKUP($E268,Water!$C$2:$F$90, 4, FALSE)</f>
        <v>9.9600000000000009</v>
      </c>
      <c r="J268">
        <f>10^(I268*-1)</f>
        <v>1.0964781961431802E-10</v>
      </c>
      <c r="K268" s="25">
        <v>439.52751160265137</v>
      </c>
      <c r="L268" s="25">
        <v>2.8430237635924795</v>
      </c>
      <c r="M268" s="25">
        <v>0.32236441181786135</v>
      </c>
      <c r="N268" s="21" t="str">
        <f>VLOOKUP($C268,Raw!$B$2:$F$353, 3, FALSE)</f>
        <v>NA</v>
      </c>
      <c r="O268" s="21" t="str">
        <f>VLOOKUP($C268,Raw!$B$2:$F$353, 4, FALSE)</f>
        <v>NA</v>
      </c>
      <c r="P268" s="21" t="str">
        <f>VLOOKUP($C268,Raw!$B$2:$F$353, 5, FALSE)</f>
        <v>NA</v>
      </c>
      <c r="Q268" s="14">
        <v>60</v>
      </c>
      <c r="R268" s="25">
        <v>1140</v>
      </c>
      <c r="S268">
        <f>EXP(24.4543-(100/H268*(67.4509))-(4.8489*LN(H268/100))-(0.000544*G268))</f>
        <v>3.3351385943078252E-2</v>
      </c>
      <c r="T268" s="8">
        <f>EXP(-58.0931+90.5069*(100/H268)+22.294*LN(H268/100)+G268*(0.027766-0.025888*(H268/100)+0.0050578*(H268/100)^2)*G268)</f>
        <v>3.2978480433149077E-2</v>
      </c>
      <c r="U268" s="9">
        <f>(EXP(-67.1962+99.1624*(100/H268)+27.9015*LN(H268/100)+G268*(-0.072909+0.041674*(H268/100)-0.0064603*(H268/100)^2)*G268))</f>
        <v>3.0925210214380067E-2</v>
      </c>
      <c r="V268" s="9">
        <f>(EXP(-64.8539+100.252*(100/H268)+25.2049*LN(H268/100)+(-0.062544+0.035337*(H268/100)-0.0054699*(H268/100)^2)*G268))</f>
        <v>2.4088697309564706E-2</v>
      </c>
      <c r="W268" s="9">
        <f>(EXP(-68.8862+101.4956*(100/H268)+28.7314*LN(H268/100)+G268*(-0.076146+0.04397*(H268/100)-0.0068672*(H268/100)^2)))</f>
        <v>3.0889573264835136E-2</v>
      </c>
      <c r="X268" t="e">
        <f>N268*(AZ268-S268)</f>
        <v>#VALUE!</v>
      </c>
      <c r="Y268" t="e">
        <f>O268*(AZ268-S268)</f>
        <v>#VALUE!</v>
      </c>
      <c r="Z268" t="e">
        <f>((Y268/10^6)*AZ268)/(0.082056*H268)</f>
        <v>#VALUE!</v>
      </c>
      <c r="AA268">
        <f>(((L268/10^6)*AZ268)/(0.082056*H268))</f>
        <v>1.0817873746584882E-7</v>
      </c>
      <c r="AB268" t="e">
        <f>((Y268/10^6)*U268*1)/(0.082056*H268)</f>
        <v>#VALUE!</v>
      </c>
      <c r="AC268" t="e">
        <f>(Z268*(Q268/1000))+(AB268*(R268/1000))</f>
        <v>#VALUE!</v>
      </c>
      <c r="AD268" s="39" t="e">
        <f>((AC268-(AA268*(Q268/1000)))/(R268/1000))*1000000</f>
        <v>#VALUE!</v>
      </c>
      <c r="AE268" s="39" t="e">
        <f>(AD268/((U268*AZ268*1))*(0.0821*273.15))</f>
        <v>#VALUE!</v>
      </c>
      <c r="AF268" s="39">
        <f>L268*U268*AZ268*1/(0.0821*273.15)</f>
        <v>3.6631500500650415E-3</v>
      </c>
      <c r="AG268" s="39" t="e">
        <f>AD268-AF268</f>
        <v>#VALUE!</v>
      </c>
      <c r="AH268" s="42" t="e">
        <f>P268*(AZ268-S268)</f>
        <v>#VALUE!</v>
      </c>
      <c r="AI268" t="e">
        <f>(((X268/10^6)*(Q268/1000))/(0.082056*H268))</f>
        <v>#VALUE!</v>
      </c>
      <c r="AJ268">
        <f>(((K268/10^6)*AZ268)*(Q268/1000))/(0.082056*H268)</f>
        <v>1.0034569227785715E-6</v>
      </c>
      <c r="AK268" t="e">
        <f>(X268/10^6)*T268*(R268/1000)</f>
        <v>#VALUE!</v>
      </c>
      <c r="AL268" t="e">
        <f>AI268+AK268</f>
        <v>#VALUE!</v>
      </c>
      <c r="AM268" s="39" t="e">
        <f>((AL268-AJ268)/(R268/1000))*1000000</f>
        <v>#VALUE!</v>
      </c>
      <c r="AN268" s="39" t="e">
        <f>AM268/(T268*AZ268)</f>
        <v>#VALUE!</v>
      </c>
      <c r="AO268" s="39">
        <f>(K268*AZ268)*T268</f>
        <v>13.543241576591354</v>
      </c>
      <c r="AP268" s="39" t="e">
        <f>AM268-AO268</f>
        <v>#VALUE!</v>
      </c>
      <c r="AQ268" t="e">
        <f>(((AH268/10^6)*(Q268/1000))/(0.082056*H268))</f>
        <v>#VALUE!</v>
      </c>
      <c r="AR268">
        <f>(((M268/10^6)*AZ268)*(Q268/1000))/(0.082056*H268)</f>
        <v>7.3596940386410165E-10</v>
      </c>
      <c r="AS268" t="e">
        <f>(AH268/10^6)*V268*(R268/1000)</f>
        <v>#VALUE!</v>
      </c>
      <c r="AT268" t="e">
        <f>AQ268+AS268</f>
        <v>#VALUE!</v>
      </c>
      <c r="AU268" s="39" t="e">
        <f>((AT268-AR268)/(R268/1000))*1000000000</f>
        <v>#VALUE!</v>
      </c>
      <c r="AV268" s="39" t="e">
        <f>(AU268/1000)/(V268*AZ268)</f>
        <v>#VALUE!</v>
      </c>
      <c r="AW268" s="39">
        <f>(M268*AZ268)*V268*1000</f>
        <v>7.2554829460920489</v>
      </c>
      <c r="AX268" s="39" t="e">
        <f>AU268-AW268</f>
        <v>#VALUE!</v>
      </c>
      <c r="AY268" s="26">
        <f>VLOOKUP($E268,Water!$C$2:$G$90, 5, FALSE)</f>
        <v>710.1</v>
      </c>
      <c r="AZ268">
        <f>AY268/760</f>
        <v>0.93434210526315797</v>
      </c>
      <c r="BA268" s="3">
        <f>Assumptions!$B$3</f>
        <v>406.07</v>
      </c>
      <c r="BB268" s="3">
        <f>BA268*AZ268*T268</f>
        <v>12.512309154331618</v>
      </c>
      <c r="BC268" s="3">
        <f>Assumptions!$B$4</f>
        <v>1.8474300000000001</v>
      </c>
      <c r="BD268" s="45">
        <f>BC268*AZ268*U268*1/(0.0821*273.15)</f>
        <v>2.3803576261495173E-3</v>
      </c>
      <c r="BE268" s="3">
        <f>Assumptions!$B$2</f>
        <v>0.33054499999999998</v>
      </c>
      <c r="BF268" s="44">
        <f>BE268*AZ268*V268*1000</f>
        <v>7.4396041327633755</v>
      </c>
      <c r="BG268">
        <f>1923.6+(-125.06*F268)+(4.3773*(F268^2))+(-0.085681*(F268^3))+(0.00070284*(F268^4))</f>
        <v>444.17309187104377</v>
      </c>
      <c r="BH268">
        <f>1909.4+(-120.78*F268)+(4.1555*(F268^2))+(-0.080578*(F268^3))+(0.00065777*(F268^4))</f>
        <v>460.40331453505701</v>
      </c>
      <c r="BI268">
        <f>2141.2+(-152.56*F268)+(5.8963*(F268^2))+(-0.12411*(F268^3))+(0.0010655*(F268^4))</f>
        <v>463.82087188854962</v>
      </c>
      <c r="BJ268" s="25">
        <f>VLOOKUP(E268,Wind!$C$2:$E$109,3, FALSE)</f>
        <v>1.2222222222222221</v>
      </c>
      <c r="BK268" s="44">
        <v>1.66</v>
      </c>
      <c r="BL268">
        <f>BK268/(1-(((1.3*10^-3)^0.5)/0.41)*LN(10/1.5))</f>
        <v>1.9923982880693825</v>
      </c>
      <c r="BM268">
        <f>BK268*1.22</f>
        <v>2.0251999999999999</v>
      </c>
      <c r="BN268">
        <f>2.07+0.215*(BM268^1.7)*(24/100)</f>
        <v>2.241255750541113</v>
      </c>
      <c r="BO268">
        <f>BN268*((600/BG268)^0.67)</f>
        <v>2.7415284067987931</v>
      </c>
      <c r="BP268">
        <f>BN268*((600/BH268)^0.67)</f>
        <v>2.6763936992469666</v>
      </c>
      <c r="BQ268">
        <f>BN268*((600/BI268)^0.67)</f>
        <v>2.6631649210628519</v>
      </c>
      <c r="BR268" s="39" t="e">
        <f>BO268*(AM268-BB268)</f>
        <v>#VALUE!</v>
      </c>
      <c r="BS268" s="39" t="e">
        <f>BP268*(AD268-BD268)</f>
        <v>#VALUE!</v>
      </c>
      <c r="BT268" s="39" t="e">
        <f>BQ268*(AU268-BF268)</f>
        <v>#VALUE!</v>
      </c>
      <c r="BU268">
        <f>(2.51+1.48*BM268)+(0.39*BM268*LOG10(0.0015))</f>
        <v>3.2768938069574309</v>
      </c>
      <c r="BV268">
        <f>BU268*((600/$BG268)^0.67)</f>
        <v>4.008332139546269</v>
      </c>
      <c r="BW268">
        <f>BU268*((600/$BH268)^0.67)</f>
        <v>3.913100027038344</v>
      </c>
      <c r="BX268">
        <f>BU268*((600/$BI268)^0.67)</f>
        <v>3.8937585032989528</v>
      </c>
      <c r="BY268" s="39" t="e">
        <f>BV268*($AM268-$BB268)</f>
        <v>#VALUE!</v>
      </c>
      <c r="BZ268" s="39" t="e">
        <f>BW268*($AD268-$BD268)</f>
        <v>#VALUE!</v>
      </c>
      <c r="CA268" s="39" t="e">
        <f>BX268*($AU268-$BF268)</f>
        <v>#VALUE!</v>
      </c>
      <c r="CB268" s="42">
        <f>AVERAGE(0.72,0.69,0.4,0.22)</f>
        <v>0.50750000000000006</v>
      </c>
      <c r="CC268">
        <f>CB268*((600/$BG268)^0.67)</f>
        <v>0.62077951885431903</v>
      </c>
      <c r="CD268">
        <f>CB268*((600/$BH268)^0.67)</f>
        <v>0.60603070490277799</v>
      </c>
      <c r="CE268">
        <f>CB268*((600/$BI268)^0.67)</f>
        <v>0.60303523911230894</v>
      </c>
      <c r="CF268" s="39" t="e">
        <f>CC268*($AM268-$BB268)</f>
        <v>#VALUE!</v>
      </c>
      <c r="CG268" s="39" t="e">
        <f>CD268*($AD268-$BD268)</f>
        <v>#VALUE!</v>
      </c>
      <c r="CH268" s="39" t="e">
        <f>CE268*($AU268-$BF268)</f>
        <v>#VALUE!</v>
      </c>
      <c r="CI268">
        <v>91.862639018895294</v>
      </c>
      <c r="CJ268">
        <f>((BG268/BH268)^0.67)*CI268</f>
        <v>89.68011699483155</v>
      </c>
      <c r="CK268">
        <f>((BH268/BH268)^0.67)*CI268</f>
        <v>91.862639018895294</v>
      </c>
      <c r="CL268">
        <f>((BI268/BH268)^0.67)*CI268</f>
        <v>92.318949653425321</v>
      </c>
      <c r="CM268" s="39" t="e">
        <f>CJ268*($AM268-$BB268)</f>
        <v>#VALUE!</v>
      </c>
      <c r="CN268" s="39" t="e">
        <f>CK268*($AD268-$BD268)</f>
        <v>#VALUE!</v>
      </c>
      <c r="CO268" s="39" t="e">
        <f>CL268*($AU268-$BF268)</f>
        <v>#VALUE!</v>
      </c>
      <c r="CP268" s="27">
        <f>VLOOKUP(A268,Water!$A$2:$E$109, 5, FALSE)/1000</f>
        <v>1E-4</v>
      </c>
      <c r="CQ268">
        <f>0.64*CP268</f>
        <v>6.4000000000000011E-5</v>
      </c>
      <c r="CR268" s="19">
        <f>CQ268*1000*(2.5*10^-5)</f>
        <v>1.6000000000000004E-6</v>
      </c>
      <c r="CS268" s="18">
        <f>(-0.0000009*F268^3)+(0.0002*F268^2)-(0.0134*F268)+6.579</f>
        <v>6.3495003771</v>
      </c>
      <c r="CT268" s="18">
        <f>CS268-(SQRT(CP268))/(1+1.4*SQRT(CP268))</f>
        <v>6.3396384441611442</v>
      </c>
      <c r="CU268" s="18">
        <f>10^(-CT268)</f>
        <v>4.5746887995650977E-7</v>
      </c>
      <c r="CV268" s="18">
        <f>(0.000001*F268^3)+(0.00006*F268^2)-(0.014*F268)+10.625</f>
        <v>10.318252181</v>
      </c>
      <c r="CW268" s="18">
        <f>CV268-(2*SQRT(CR268))/(1+1.4*SQRT(CR268))</f>
        <v>10.315726830952368</v>
      </c>
      <c r="CX268" s="18">
        <f>10^(-CW268)</f>
        <v>4.8336273917727013E-11</v>
      </c>
      <c r="CY268">
        <f>EXP(1246.98+-61900/H268-183*LN(H268))</f>
        <v>4.0575959665844728E-2</v>
      </c>
      <c r="CZ268">
        <f>12.225*(F268^2)+15.258*F268+1125.7</f>
        <v>9851.7260500000011</v>
      </c>
      <c r="DA268" s="15">
        <f>10^(-4470.99/H268+6.0875-0.01706*H268)</f>
        <v>1.1006351311356815E-14</v>
      </c>
      <c r="DB268">
        <f>(10^-I268)</f>
        <v>1.0964781961431802E-10</v>
      </c>
      <c r="DC268">
        <f>DB268^2</f>
        <v>1.2022644346174022E-20</v>
      </c>
      <c r="DD268" s="20">
        <f>((14.6836*10^-9)*((H268/217.2056)-1)^1.997)*100*100</f>
        <v>2.1011490538705273E-5</v>
      </c>
      <c r="DE268">
        <f>CY268+CZ268*DA268/DB268</f>
        <v>1.0294835212657876</v>
      </c>
      <c r="DF268">
        <f>1+DC268*(CU268*CX268+CU268*DB268)^-1</f>
        <v>1.0001663508719048</v>
      </c>
      <c r="DG268">
        <f>(DE268*DF268/DD268)^0.5</f>
        <v>221.36929823052998</v>
      </c>
      <c r="DH268">
        <f>DD268/(BO268/60/60)</f>
        <v>2.7590947353218678E-2</v>
      </c>
      <c r="DI268" s="16">
        <f>DF268/((DF268-1)+TANH(DG268*DH268)/(DG268*DH268))</f>
        <v>6.1026646113774516</v>
      </c>
      <c r="DJ268" t="e">
        <f>$DI268*BR268</f>
        <v>#VALUE!</v>
      </c>
      <c r="DK268" t="e">
        <f>$DI268*BY268</f>
        <v>#VALUE!</v>
      </c>
      <c r="DL268" t="e">
        <f>$DI268*CF268</f>
        <v>#VALUE!</v>
      </c>
      <c r="DM268" t="e">
        <f>$DI268*CM268</f>
        <v>#VALUE!</v>
      </c>
    </row>
    <row r="269" spans="1:117" ht="15.75" x14ac:dyDescent="0.25">
      <c r="A269" s="51" t="s">
        <v>478</v>
      </c>
      <c r="B269" s="55" t="s">
        <v>342</v>
      </c>
      <c r="C269" s="50" t="s">
        <v>466</v>
      </c>
      <c r="D269" s="57">
        <v>43321</v>
      </c>
      <c r="E269" s="42" t="str">
        <f>A269&amp;D269</f>
        <v>23A43321</v>
      </c>
      <c r="F269" s="3">
        <f>VLOOKUP($E269,Water!$C$2:$E$90, 2, FALSE)</f>
        <v>26.1</v>
      </c>
      <c r="G269" s="3">
        <f>VLOOKUP($E269,Water!$C$2:$E$90, 3, FALSE)</f>
        <v>0.09</v>
      </c>
      <c r="H269" s="1">
        <f>F269+273.15</f>
        <v>299.25</v>
      </c>
      <c r="I269" s="3">
        <f>VLOOKUP($E269,Water!$C$2:$F$90, 4, FALSE)</f>
        <v>9.9600000000000009</v>
      </c>
      <c r="J269">
        <f>10^(I269*-1)</f>
        <v>1.0964781961431802E-10</v>
      </c>
      <c r="K269" s="25">
        <v>439.52751160265137</v>
      </c>
      <c r="L269" s="25">
        <v>2.8430237635924795</v>
      </c>
      <c r="M269" s="25">
        <v>0.32236441181786135</v>
      </c>
      <c r="N269" s="21">
        <f>VLOOKUP($C269,Raw!$B$2:$F$353, 3, FALSE)</f>
        <v>55.068591720805259</v>
      </c>
      <c r="O269" s="21">
        <f>VLOOKUP($C269,Raw!$B$2:$F$353, 4, FALSE)</f>
        <v>137.21168195355031</v>
      </c>
      <c r="P269" s="21">
        <f>VLOOKUP($C269,Raw!$B$2:$F$353, 5, FALSE)</f>
        <v>0.22453112346994122</v>
      </c>
      <c r="Q269" s="14">
        <v>60</v>
      </c>
      <c r="R269" s="25">
        <v>1140</v>
      </c>
      <c r="S269">
        <f>EXP(24.4543-(100/H269*(67.4509))-(4.8489*LN(H269/100))-(0.000544*G269))</f>
        <v>3.3351385943078252E-2</v>
      </c>
      <c r="T269" s="8">
        <f>EXP(-58.0931+90.5069*(100/H269)+22.294*LN(H269/100)+G269*(0.027766-0.025888*(H269/100)+0.0050578*(H269/100)^2)*G269)</f>
        <v>3.2978480433149077E-2</v>
      </c>
      <c r="U269" s="9">
        <f>(EXP(-67.1962+99.1624*(100/H269)+27.9015*LN(H269/100)+G269*(-0.072909+0.041674*(H269/100)-0.0064603*(H269/100)^2)*G269))</f>
        <v>3.0925210214380067E-2</v>
      </c>
      <c r="V269" s="9">
        <f>(EXP(-64.8539+100.252*(100/H269)+25.2049*LN(H269/100)+(-0.062544+0.035337*(H269/100)-0.0054699*(H269/100)^2)*G269))</f>
        <v>2.4088697309564706E-2</v>
      </c>
      <c r="W269" s="9">
        <f>(EXP(-68.8862+101.4956*(100/H269)+28.7314*LN(H269/100)+G269*(-0.076146+0.04397*(H269/100)-0.0068672*(H269/100)^2)))</f>
        <v>3.0889573264835136E-2</v>
      </c>
      <c r="X269">
        <f>N269*(AZ269-S269)</f>
        <v>49.616290066472118</v>
      </c>
      <c r="Y269">
        <f>O269*(AZ269-S269)</f>
        <v>123.6264520224473</v>
      </c>
      <c r="Z269">
        <f>((Y269/10^6)*AZ269)/(0.082056*H269)</f>
        <v>4.7040596946229683E-6</v>
      </c>
      <c r="AA269">
        <f>(((L269/10^6)*AZ269)/(0.082056*H269))</f>
        <v>1.0817873746584882E-7</v>
      </c>
      <c r="AB269">
        <f>((Y269/10^6)*U269*1)/(0.082056*H269)</f>
        <v>1.5569675614290651E-7</v>
      </c>
      <c r="AC269">
        <f>(Z269*(Q269/1000))+(AB269*(R269/1000))</f>
        <v>4.5973788368029156E-7</v>
      </c>
      <c r="AD269" s="39">
        <f>((AC269-(AA269*(Q269/1000)))/(R269/1000))*1000000</f>
        <v>0.39758522757222869</v>
      </c>
      <c r="AE269" s="39">
        <f>(AD269/((U269*AZ269*1))*(0.0821*273.15))</f>
        <v>308.57164860639551</v>
      </c>
      <c r="AF269" s="39">
        <f>L269*U269*AZ269*1/(0.0821*273.15)</f>
        <v>3.6631500500650415E-3</v>
      </c>
      <c r="AG269" s="39">
        <f>AD269-AF269</f>
        <v>0.39392207752216363</v>
      </c>
      <c r="AH269" s="42">
        <f>P269*(AZ269-S269)</f>
        <v>0.20230045844492797</v>
      </c>
      <c r="AI269">
        <f>(((X269/10^6)*(Q269/1000))/(0.082056*H269))</f>
        <v>1.2123584301123314E-7</v>
      </c>
      <c r="AJ269">
        <f>(((K269/10^6)*AZ269)*(Q269/1000))/(0.082056*H269)</f>
        <v>1.0034569227785715E-6</v>
      </c>
      <c r="AK269">
        <f>(X269/10^6)*T269*(R269/1000)</f>
        <v>1.8653476302797635E-6</v>
      </c>
      <c r="AL269">
        <f>AI269+AK269</f>
        <v>1.9865834732909967E-6</v>
      </c>
      <c r="AM269" s="39">
        <f>((AL269-AJ269)/(R269/1000))*1000000</f>
        <v>0.86239171097581169</v>
      </c>
      <c r="AN269" s="39">
        <f>AM269/(T269*AZ269)</f>
        <v>27.987751721648884</v>
      </c>
      <c r="AO269" s="39">
        <f>(K269*AZ269)*T269</f>
        <v>13.543241576591354</v>
      </c>
      <c r="AP269" s="39">
        <f>AM269-AO269</f>
        <v>-12.680849865615542</v>
      </c>
      <c r="AQ269">
        <f>(((AH269/10^6)*(Q269/1000))/(0.082056*H269))</f>
        <v>4.9431480242218088E-10</v>
      </c>
      <c r="AR269">
        <f>(((M269/10^6)*AZ269)*(Q269/1000))/(0.082056*H269)</f>
        <v>7.3596940386410165E-10</v>
      </c>
      <c r="AS269">
        <f>(AH269/10^6)*V269*(R269/1000)</f>
        <v>5.5553961403352884E-9</v>
      </c>
      <c r="AT269">
        <f>AQ269+AS269</f>
        <v>6.0497109427574689E-9</v>
      </c>
      <c r="AU269" s="39">
        <f>((AT269-AR269)/(R269/1000))*1000000000</f>
        <v>4.6611767885029547</v>
      </c>
      <c r="AV269" s="39">
        <f>(AU269/1000)/(V269*AZ269)</f>
        <v>0.20709820765468859</v>
      </c>
      <c r="AW269" s="39">
        <f>(M269*AZ269)*V269*1000</f>
        <v>7.2554829460920489</v>
      </c>
      <c r="AX269" s="39">
        <f>AU269-AW269</f>
        <v>-2.5943061575890942</v>
      </c>
      <c r="AY269" s="26">
        <f>VLOOKUP($E269,Water!$C$2:$G$90, 5, FALSE)</f>
        <v>710.1</v>
      </c>
      <c r="AZ269">
        <f>AY269/760</f>
        <v>0.93434210526315797</v>
      </c>
      <c r="BA269" s="3">
        <f>Assumptions!$B$3</f>
        <v>406.07</v>
      </c>
      <c r="BB269" s="3">
        <f>BA269*AZ269*T269</f>
        <v>12.512309154331618</v>
      </c>
      <c r="BC269" s="3">
        <f>Assumptions!$B$4</f>
        <v>1.8474300000000001</v>
      </c>
      <c r="BD269" s="45">
        <f>BC269*AZ269*U269*1/(0.0821*273.15)</f>
        <v>2.3803576261495173E-3</v>
      </c>
      <c r="BE269" s="3">
        <f>Assumptions!$B$2</f>
        <v>0.33054499999999998</v>
      </c>
      <c r="BF269" s="44">
        <f>BE269*AZ269*V269*1000</f>
        <v>7.4396041327633755</v>
      </c>
      <c r="BG269">
        <f>1923.6+(-125.06*F269)+(4.3773*(F269^2))+(-0.085681*(F269^3))+(0.00070284*(F269^4))</f>
        <v>444.17309187104377</v>
      </c>
      <c r="BH269">
        <f>1909.4+(-120.78*F269)+(4.1555*(F269^2))+(-0.080578*(F269^3))+(0.00065777*(F269^4))</f>
        <v>460.40331453505701</v>
      </c>
      <c r="BI269">
        <f>2141.2+(-152.56*F269)+(5.8963*(F269^2))+(-0.12411*(F269^3))+(0.0010655*(F269^4))</f>
        <v>463.82087188854962</v>
      </c>
      <c r="BJ269" s="25">
        <f>VLOOKUP(E269,Wind!$C$2:$E$109,3, FALSE)</f>
        <v>1.2222222222222221</v>
      </c>
      <c r="BK269" s="44">
        <v>1.66</v>
      </c>
      <c r="BL269">
        <f>BK269/(1-(((1.3*10^-3)^0.5)/0.41)*LN(10/1.5))</f>
        <v>1.9923982880693825</v>
      </c>
      <c r="BM269">
        <f>BK269*1.22</f>
        <v>2.0251999999999999</v>
      </c>
      <c r="BN269">
        <f>2.07+0.215*(BM269^1.7)*(24/100)</f>
        <v>2.241255750541113</v>
      </c>
      <c r="BO269">
        <f>BN269*((600/BG269)^0.67)</f>
        <v>2.7415284067987931</v>
      </c>
      <c r="BP269">
        <f>BN269*((600/BH269)^0.67)</f>
        <v>2.6763936992469666</v>
      </c>
      <c r="BQ269">
        <f>BN269*((600/BI269)^0.67)</f>
        <v>2.6631649210628519</v>
      </c>
      <c r="BR269" s="39">
        <f>BO269*(AM269-BB269)</f>
        <v>-31.93857960782071</v>
      </c>
      <c r="BS269" s="39">
        <f>BP269*(AD269-BD269)</f>
        <v>1.0577238238354032</v>
      </c>
      <c r="BT269" s="39">
        <f>BQ269*(AU269-BF269)</f>
        <v>-7.3994102389561727</v>
      </c>
      <c r="BU269">
        <f>(2.51+1.48*BM269)+(0.39*BM269*LOG10(0.0015))</f>
        <v>3.2768938069574309</v>
      </c>
      <c r="BV269">
        <f>BU269*((600/$BG269)^0.67)</f>
        <v>4.008332139546269</v>
      </c>
      <c r="BW269">
        <f>BU269*((600/$BH269)^0.67)</f>
        <v>3.913100027038344</v>
      </c>
      <c r="BX269">
        <f>BU269*((600/$BI269)^0.67)</f>
        <v>3.8937585032989528</v>
      </c>
      <c r="BY269" s="39">
        <f>BV269*($AM269-$BB269)</f>
        <v>-46.696738511263774</v>
      </c>
      <c r="BZ269" s="39">
        <f>BW269*($AD269-$BD269)</f>
        <v>1.5464761872716877</v>
      </c>
      <c r="CA269" s="39">
        <f>BX269*($AU269-$BF269)</f>
        <v>-10.818525097512341</v>
      </c>
      <c r="CB269" s="42">
        <f>AVERAGE(0.72,0.69,0.4,0.22)</f>
        <v>0.50750000000000006</v>
      </c>
      <c r="CC269">
        <f>CB269*((600/$BG269)^0.67)</f>
        <v>0.62077951885431903</v>
      </c>
      <c r="CD269">
        <f>CB269*((600/$BH269)^0.67)</f>
        <v>0.60603070490277799</v>
      </c>
      <c r="CE269">
        <f>CB269*((600/$BI269)^0.67)</f>
        <v>0.60303523911230894</v>
      </c>
      <c r="CF269" s="39">
        <f>CC269*($AM269-$BB269)</f>
        <v>-7.2320301451789559</v>
      </c>
      <c r="CG269" s="39">
        <f>CD269*($AD269-$BD269)</f>
        <v>0.23950628591443307</v>
      </c>
      <c r="CH269" s="39">
        <f>CE269*($AU269-$BF269)</f>
        <v>-1.6754895979022604</v>
      </c>
      <c r="CI269">
        <v>92.862639018895294</v>
      </c>
      <c r="CJ269">
        <f>((BG269/BH269)^0.67)*CI269</f>
        <v>90.656358456568626</v>
      </c>
      <c r="CK269">
        <f>((BH269/BH269)^0.67)*CI269</f>
        <v>92.862639018895294</v>
      </c>
      <c r="CL269">
        <f>((BI269/BH269)^0.67)*CI269</f>
        <v>93.323916968096484</v>
      </c>
      <c r="CM269" s="39">
        <f>CJ269*($AM269-$BB269)</f>
        <v>-1056.1390917342953</v>
      </c>
      <c r="CN269" s="39">
        <f>CK269*($AD269-$BD269)</f>
        <v>36.699767176312214</v>
      </c>
      <c r="CO269" s="39">
        <f>CL269*($AU269-$BF269)</f>
        <v>-259.29372277764833</v>
      </c>
      <c r="CP269" s="27">
        <f>VLOOKUP(A269,Water!$A$2:$E$109, 5, FALSE)/1000</f>
        <v>1E-4</v>
      </c>
      <c r="CQ269">
        <f>0.64*CP269</f>
        <v>6.4000000000000011E-5</v>
      </c>
      <c r="CR269" s="19">
        <f>CQ269*1000*(2.5*10^-5)</f>
        <v>1.6000000000000004E-6</v>
      </c>
      <c r="CS269" s="18">
        <f>(-0.0000009*F269^3)+(0.0002*F269^2)-(0.0134*F269)+6.579</f>
        <v>6.3495003771</v>
      </c>
      <c r="CT269" s="18">
        <f>CS269-(SQRT(CP269))/(1+1.4*SQRT(CP269))</f>
        <v>6.3396384441611442</v>
      </c>
      <c r="CU269" s="18">
        <f>10^(-CT269)</f>
        <v>4.5746887995650977E-7</v>
      </c>
      <c r="CV269" s="18">
        <f>(0.000001*F269^3)+(0.00006*F269^2)-(0.014*F269)+10.625</f>
        <v>10.318252181</v>
      </c>
      <c r="CW269" s="18">
        <f>CV269-(2*SQRT(CR269))/(1+1.4*SQRT(CR269))</f>
        <v>10.315726830952368</v>
      </c>
      <c r="CX269" s="18">
        <f>10^(-CW269)</f>
        <v>4.8336273917727013E-11</v>
      </c>
      <c r="CY269">
        <f>EXP(1246.98+-61900/H269-183*LN(H269))</f>
        <v>4.0575959665844728E-2</v>
      </c>
      <c r="CZ269">
        <f>12.225*(F269^2)+15.258*F269+1125.7</f>
        <v>9851.7260500000011</v>
      </c>
      <c r="DA269" s="15">
        <f>10^(-4470.99/H269+6.0875-0.01706*H269)</f>
        <v>1.1006351311356815E-14</v>
      </c>
      <c r="DB269">
        <f>(10^-I269)</f>
        <v>1.0964781961431802E-10</v>
      </c>
      <c r="DC269">
        <f>DB269^2</f>
        <v>1.2022644346174022E-20</v>
      </c>
      <c r="DD269" s="20">
        <f>((14.6836*10^-9)*((H269/217.2056)-1)^1.997)*100*100</f>
        <v>2.1011490538705273E-5</v>
      </c>
      <c r="DE269">
        <f>CY269+CZ269*DA269/DB269</f>
        <v>1.0294835212657876</v>
      </c>
      <c r="DF269">
        <f>1+DC269*(CU269*CX269+CU269*DB269)^-1</f>
        <v>1.0001663508719048</v>
      </c>
      <c r="DG269">
        <f>(DE269*DF269/DD269)^0.5</f>
        <v>221.36929823052998</v>
      </c>
      <c r="DH269">
        <f>DD269/(BO269/60/60)</f>
        <v>2.7590947353218678E-2</v>
      </c>
      <c r="DI269" s="16">
        <f>DF269/((DF269-1)+TANH(DG269*DH269)/(DG269*DH269))</f>
        <v>6.1026646113774516</v>
      </c>
      <c r="DJ269">
        <f>$DI269*BR269</f>
        <v>-194.91043951030898</v>
      </c>
      <c r="DK269">
        <f>$DI269*BY269</f>
        <v>-284.97453357943601</v>
      </c>
      <c r="DL269">
        <f>$DI269*CF269</f>
        <v>-44.134654435398545</v>
      </c>
      <c r="DM269">
        <f>$DI269*CM269</f>
        <v>-6445.2626598192082</v>
      </c>
    </row>
    <row r="270" spans="1:117" ht="15.75" x14ac:dyDescent="0.25">
      <c r="A270" s="52" t="s">
        <v>338</v>
      </c>
      <c r="B270" s="55" t="s">
        <v>339</v>
      </c>
      <c r="C270" s="50" t="s">
        <v>468</v>
      </c>
      <c r="D270" s="57">
        <v>43320</v>
      </c>
      <c r="E270" s="42" t="str">
        <f>A270&amp;D270</f>
        <v>4A43320</v>
      </c>
      <c r="F270" s="3">
        <f>VLOOKUP($E270,Water!$C$2:$E$90, 2, FALSE)</f>
        <v>20.5</v>
      </c>
      <c r="G270" s="3">
        <f>VLOOKUP($E270,Water!$C$2:$E$90, 3, FALSE)</f>
        <v>0.11</v>
      </c>
      <c r="H270" s="1">
        <f>F270+273.15</f>
        <v>293.64999999999998</v>
      </c>
      <c r="I270" s="3">
        <f>VLOOKUP($E270,Water!$C$2:$F$90, 4, FALSE)</f>
        <v>9</v>
      </c>
      <c r="J270">
        <f>10^(I270*-1)</f>
        <v>1.0000000000000001E-9</v>
      </c>
      <c r="K270" s="25">
        <v>439.52751160265137</v>
      </c>
      <c r="L270" s="25">
        <v>2.8430237635924795</v>
      </c>
      <c r="M270" s="25">
        <v>0.32236441181786135</v>
      </c>
      <c r="N270" s="21">
        <f>VLOOKUP($C270,Raw!$B$2:$F$353, 3, FALSE)</f>
        <v>134.19720070343149</v>
      </c>
      <c r="O270" s="21">
        <f>VLOOKUP($C270,Raw!$B$2:$F$353, 4, FALSE)</f>
        <v>622.32228237987442</v>
      </c>
      <c r="P270" s="21">
        <f>VLOOKUP($C270,Raw!$B$2:$F$353, 5, FALSE)</f>
        <v>0.28199326598389651</v>
      </c>
      <c r="Q270" s="14">
        <v>60</v>
      </c>
      <c r="R270" s="25">
        <v>1140</v>
      </c>
      <c r="S270">
        <f>EXP(24.4543-(100/H270*(67.4509))-(4.8489*LN(H270/100))-(0.000544*G270))</f>
        <v>2.377995816834676E-2</v>
      </c>
      <c r="T270" s="8">
        <f>EXP(-58.0931+90.5069*(100/H270)+22.294*LN(H270/100)+G270*(0.027766-0.025888*(H270/100)+0.0050578*(H270/100)^2)*G270)</f>
        <v>3.8530802950603522E-2</v>
      </c>
      <c r="U270" s="9">
        <f>(EXP(-67.1962+99.1624*(100/H270)+27.9015*LN(H270/100)+G270*(-0.072909+0.041674*(H270/100)-0.0064603*(H270/100)^2)*G270))</f>
        <v>3.4342972304401718E-2</v>
      </c>
      <c r="V270" s="9">
        <f>(EXP(-64.8539+100.252*(100/H270)+25.2049*LN(H270/100)+(-0.062544+0.035337*(H270/100)-0.0054699*(H270/100)^2)*G270))</f>
        <v>2.8342031807383081E-2</v>
      </c>
      <c r="W270" s="9">
        <f>(EXP(-68.8862+101.4956*(100/H270)+28.7314*LN(H270/100)+G270*(-0.076146+0.04397*(H270/100)-0.0068672*(H270/100)^2)))</f>
        <v>3.4271734331501748E-2</v>
      </c>
      <c r="X270">
        <f>N270*(AZ270-S270)</f>
        <v>122.28317883867162</v>
      </c>
      <c r="Y270">
        <f>O270*(AZ270-S270)</f>
        <v>567.07253618295908</v>
      </c>
      <c r="Z270">
        <f>((Y270/10^6)*AZ270)/(0.082056*H270)</f>
        <v>2.2004417565579205E-5</v>
      </c>
      <c r="AA270">
        <f>(((L270/10^6)*AZ270)/(0.082056*H270))</f>
        <v>1.103193648982668E-7</v>
      </c>
      <c r="AB270">
        <f>((Y270/10^6)*U270*1)/(0.082056*H270)</f>
        <v>8.0823219575313082E-7</v>
      </c>
      <c r="AC270">
        <f>(Z270*(Q270/1000))+(AB270*(R270/1000))</f>
        <v>2.2416497570933213E-6</v>
      </c>
      <c r="AD270" s="39">
        <f>((AC270-(AA270*(Q270/1000)))/(R270/1000))*1000000</f>
        <v>1.9605531536837064</v>
      </c>
      <c r="AE270" s="39">
        <f>(AD270/((U270*AZ270*1))*(0.0821*273.15))</f>
        <v>1369.2208149290384</v>
      </c>
      <c r="AF270" s="39">
        <f>L270*U270*AZ270*1/(0.0821*273.15)</f>
        <v>4.0708548576935191E-3</v>
      </c>
      <c r="AG270" s="39">
        <f>AD270-AF270</f>
        <v>1.9564822988260129</v>
      </c>
      <c r="AH270" s="42">
        <f>P270*(AZ270-S270)</f>
        <v>0.25695791562609072</v>
      </c>
      <c r="AI270">
        <f>(((X270/10^6)*(Q270/1000))/(0.082056*H270))</f>
        <v>3.044932170811165E-7</v>
      </c>
      <c r="AJ270">
        <f>(((K270/10^6)*AZ270)*(Q270/1000))/(0.082056*H270)</f>
        <v>1.0233132038414526E-6</v>
      </c>
      <c r="AK270">
        <f>(X270/10^6)*T270*(R270/1000)</f>
        <v>5.3713027375271431E-6</v>
      </c>
      <c r="AL270">
        <f>AI270+AK270</f>
        <v>5.6757959546082597E-6</v>
      </c>
      <c r="AM270" s="39">
        <f>((AL270-AJ270)/(R270/1000))*1000000</f>
        <v>4.0811252199708843</v>
      </c>
      <c r="AN270" s="39">
        <f>AM270/(T270*AZ270)</f>
        <v>113.28182838679004</v>
      </c>
      <c r="AO270" s="39">
        <f>(K270*AZ270)*T270</f>
        <v>15.834550324770358</v>
      </c>
      <c r="AP270" s="39">
        <f>AM270-AO270</f>
        <v>-11.753425104799474</v>
      </c>
      <c r="AQ270">
        <f>(((AH270/10^6)*(Q270/1000))/(0.082056*H270))</f>
        <v>6.3984223444723455E-10</v>
      </c>
      <c r="AR270">
        <f>(((M270/10^6)*AZ270)*(Q270/1000))/(0.082056*H270)</f>
        <v>7.5053267509685325E-10</v>
      </c>
      <c r="AS270">
        <f>(AH270/10^6)*V270*(R270/1000)</f>
        <v>8.3022887363302124E-9</v>
      </c>
      <c r="AT270">
        <f>AQ270+AS270</f>
        <v>8.9421309707774464E-9</v>
      </c>
      <c r="AU270" s="39">
        <f>((AT270-AR270)/(R270/1000))*1000000000</f>
        <v>7.1856125400706965</v>
      </c>
      <c r="AV270" s="39">
        <f>(AU270/1000)/(V270*AZ270)</f>
        <v>0.27115723932247909</v>
      </c>
      <c r="AW270" s="39">
        <f>(M270*AZ270)*V270*1000</f>
        <v>8.5425923564450059</v>
      </c>
      <c r="AX270" s="39">
        <f>AU270-AW270</f>
        <v>-1.3569798163743094</v>
      </c>
      <c r="AY270" s="26">
        <f>VLOOKUP($E270,Water!$C$2:$G$90, 5, FALSE)</f>
        <v>710.6</v>
      </c>
      <c r="AZ270">
        <f>AY270/760</f>
        <v>0.93500000000000005</v>
      </c>
      <c r="BA270" s="3">
        <f>Assumptions!$B$3</f>
        <v>406.07</v>
      </c>
      <c r="BB270" s="3">
        <f>BA270*AZ270*T270</f>
        <v>14.629199949131721</v>
      </c>
      <c r="BC270" s="3">
        <f>Assumptions!$B$4</f>
        <v>1.8474300000000001</v>
      </c>
      <c r="BD270" s="45">
        <f>BC270*AZ270*U270*1/(0.0821*273.15)</f>
        <v>2.6452889652408651E-3</v>
      </c>
      <c r="BE270" s="3">
        <f>Assumptions!$B$2</f>
        <v>0.33054499999999998</v>
      </c>
      <c r="BF270" s="44">
        <f>BE270*AZ270*V270*1000</f>
        <v>8.7593763050262972</v>
      </c>
      <c r="BG270">
        <f>1923.6+(-125.06*F270)+(4.3773*(F270^2))+(-0.085681*(F270^3))+(0.00070284*(F270^4))</f>
        <v>585.40641620249994</v>
      </c>
      <c r="BH270">
        <f>1909.4+(-120.78*F270)+(4.1555*(F270^2))+(-0.080578*(F270^3))+(0.00065777*(F270^4))</f>
        <v>601.73813356062487</v>
      </c>
      <c r="BI270">
        <f>2141.2+(-152.56*F270)+(5.8963*(F270^2))+(-0.12411*(F270^3))+(0.0010655*(F270^4))</f>
        <v>610.59493284374992</v>
      </c>
      <c r="BJ270" s="25">
        <f>VLOOKUP(E270,Wind!$C$2:$E$109,3, FALSE)</f>
        <v>0.97222222222222221</v>
      </c>
      <c r="BK270" s="44">
        <v>1.66</v>
      </c>
      <c r="BL270">
        <f>BK270/(1-(((1.3*10^-3)^0.5)/0.41)*LN(10/1.5))</f>
        <v>1.9923982880693825</v>
      </c>
      <c r="BM270">
        <f>BK270*1.22</f>
        <v>2.0251999999999999</v>
      </c>
      <c r="BN270">
        <f>2.07+0.215*(BM270^1.7)*(24/100)</f>
        <v>2.241255750541113</v>
      </c>
      <c r="BO270">
        <f>BN270*((600/BG270)^0.67)</f>
        <v>2.278537834392937</v>
      </c>
      <c r="BP270">
        <f>BN270*((600/BH270)^0.67)</f>
        <v>2.2369161572053291</v>
      </c>
      <c r="BQ270">
        <f>BN270*((600/BI270)^0.67)</f>
        <v>2.2151243613952487</v>
      </c>
      <c r="BR270" s="39">
        <f>BO270*(AM270-BB270)</f>
        <v>-24.034187350396998</v>
      </c>
      <c r="BS270" s="39">
        <f>BP270*(AD270-BD270)</f>
        <v>4.379675736908121</v>
      </c>
      <c r="BT270" s="39">
        <f>BQ270*(AU270-BF270)</f>
        <v>-3.486082454834257</v>
      </c>
      <c r="BU270">
        <f>(2.51+1.48*BM270)+(0.39*BM270*LOG10(0.0015))</f>
        <v>3.2768938069574309</v>
      </c>
      <c r="BV270">
        <f>BU270*((600/$BG270)^0.67)</f>
        <v>3.3314031728140558</v>
      </c>
      <c r="BW270">
        <f>BU270*((600/$BH270)^0.67)</f>
        <v>3.2705489770453111</v>
      </c>
      <c r="BX270">
        <f>BU270*((600/$BI270)^0.67)</f>
        <v>3.2386876418472674</v>
      </c>
      <c r="BY270" s="39">
        <f>BV270*($AM270-$BB270)</f>
        <v>-35.139889619806176</v>
      </c>
      <c r="BZ270" s="39">
        <f>BW270*($AD270-$BD270)</f>
        <v>6.4034335641039473</v>
      </c>
      <c r="CA270" s="39">
        <f>BX270*($AU270-$BF270)</f>
        <v>-5.0969292567487319</v>
      </c>
      <c r="CB270" s="42">
        <f>AVERAGE(0.72,0.69,0.4,0.22)</f>
        <v>0.50750000000000006</v>
      </c>
      <c r="CC270">
        <f>CB270*((600/$BG270)^0.67)</f>
        <v>0.51594198951870296</v>
      </c>
      <c r="CD270">
        <f>CB270*((600/$BH270)^0.67)</f>
        <v>0.50651736175473128</v>
      </c>
      <c r="CE270">
        <f>CB270*((600/$BI270)^0.67)</f>
        <v>0.50158292427656948</v>
      </c>
      <c r="CF270" s="39">
        <f>CC270*($AM270-$BB270)</f>
        <v>-5.4421946613551961</v>
      </c>
      <c r="CG270" s="39">
        <f>CD270*($AD270-$BD270)</f>
        <v>0.9917143261960365</v>
      </c>
      <c r="CH270" s="39">
        <f>CE270*($AU270-$BF270)</f>
        <v>-0.78937303134693393</v>
      </c>
      <c r="CI270">
        <v>93.862639018895294</v>
      </c>
      <c r="CJ270">
        <f>((BG270/BH270)^0.67)*CI270</f>
        <v>92.148065575236728</v>
      </c>
      <c r="CK270">
        <f>((BH270/BH270)^0.67)*CI270</f>
        <v>93.862639018895294</v>
      </c>
      <c r="CL270">
        <f>((BI270/BH270)^0.67)*CI270</f>
        <v>94.786034336712419</v>
      </c>
      <c r="CM270" s="39">
        <f>CJ270*($AM270-$BB270)</f>
        <v>-971.98468183521015</v>
      </c>
      <c r="CN270" s="39">
        <f>CK270*($AD270-$BD270)</f>
        <v>183.77439913832541</v>
      </c>
      <c r="CO270" s="39">
        <f>CL270*($AU270-$BF270)</f>
        <v>-149.17082626295539</v>
      </c>
      <c r="CP270" s="27">
        <f>VLOOKUP(A270,Water!$A$2:$E$109, 5, FALSE)/1000</f>
        <v>8.9999999999999992E-5</v>
      </c>
      <c r="CQ270">
        <f>0.64*CP270</f>
        <v>5.7599999999999997E-5</v>
      </c>
      <c r="CR270" s="19">
        <f>CQ270*1000*(2.5*10^-5)</f>
        <v>1.44E-6</v>
      </c>
      <c r="CS270" s="18">
        <f>(-0.0000009*F270^3)+(0.0002*F270^2)-(0.0134*F270)+6.579</f>
        <v>6.3805963874999998</v>
      </c>
      <c r="CT270" s="18">
        <f>CS270-(SQRT(CP270))/(1+1.4*SQRT(CP270))</f>
        <v>6.3712339029772247</v>
      </c>
      <c r="CU270" s="18">
        <f>10^(-CT270)</f>
        <v>4.253692554139485E-7</v>
      </c>
      <c r="CV270" s="18">
        <f>(0.000001*F270^3)+(0.00006*F270^2)-(0.014*F270)+10.625</f>
        <v>10.371830125000001</v>
      </c>
      <c r="CW270" s="18">
        <f>CV270-(2*SQRT(CR270))/(1+1.4*SQRT(CR270))</f>
        <v>10.369434150237602</v>
      </c>
      <c r="CX270" s="18">
        <f>10^(-CW270)</f>
        <v>4.2713567884222507E-11</v>
      </c>
      <c r="CY270">
        <f>EXP(1246.98+-61900/H270-183*LN(H270))</f>
        <v>2.4915260008149181E-2</v>
      </c>
      <c r="CZ270">
        <f>12.225*(F270^2)+15.258*F270+1125.7</f>
        <v>6576.0452499999992</v>
      </c>
      <c r="DA270" s="15">
        <f>10^(-4470.99/H270+6.0875-0.01706*H270)</f>
        <v>7.1163342145971668E-15</v>
      </c>
      <c r="DB270">
        <f>(10^-I270)</f>
        <v>1.0000000000000001E-9</v>
      </c>
      <c r="DC270">
        <f>DB270^2</f>
        <v>1.0000000000000001E-18</v>
      </c>
      <c r="DD270" s="20">
        <f>((14.6836*10^-9)*((H270/217.2056)-1)^1.997)*100*100</f>
        <v>1.8244939928067429E-5</v>
      </c>
      <c r="DE270">
        <f>CY270+CZ270*DA270/DB270</f>
        <v>7.1712595817463351E-2</v>
      </c>
      <c r="DF270">
        <f>1+DC270*(CU270*CX270+CU270*DB270)^-1</f>
        <v>1.0022545967587704</v>
      </c>
      <c r="DG270">
        <f>(DE270*DF270/DD270)^0.5</f>
        <v>62.764710657258824</v>
      </c>
      <c r="DH270">
        <f>DD270/(BO270/60/60)</f>
        <v>2.8826286204083205E-2</v>
      </c>
      <c r="DI270" s="16">
        <f>DF270/((DF270-1)+TANH(DG270*DH270)/(DG270*DH270))</f>
        <v>1.9051081138730848</v>
      </c>
      <c r="DJ270">
        <f>$DI270*BR270</f>
        <v>-45.787725331587176</v>
      </c>
      <c r="DK270">
        <f>$DI270*BY270</f>
        <v>-66.945288835297333</v>
      </c>
      <c r="DL270">
        <f>$DI270*CF270</f>
        <v>-10.367969206624569</v>
      </c>
      <c r="DM270">
        <f>$DI270*CM270</f>
        <v>-1851.7359039246076</v>
      </c>
    </row>
    <row r="271" spans="1:117" ht="15.75" x14ac:dyDescent="0.25">
      <c r="A271" s="52" t="s">
        <v>338</v>
      </c>
      <c r="B271" s="55" t="s">
        <v>340</v>
      </c>
      <c r="C271" s="50" t="s">
        <v>469</v>
      </c>
      <c r="D271" s="57">
        <v>43320</v>
      </c>
      <c r="E271" s="42" t="str">
        <f>A271&amp;D271</f>
        <v>4A43320</v>
      </c>
      <c r="F271" s="3">
        <f>VLOOKUP($E271,Water!$C$2:$E$90, 2, FALSE)</f>
        <v>20.5</v>
      </c>
      <c r="G271" s="3">
        <f>VLOOKUP($E271,Water!$C$2:$E$90, 3, FALSE)</f>
        <v>0.11</v>
      </c>
      <c r="H271" s="1">
        <f>F271+273.15</f>
        <v>293.64999999999998</v>
      </c>
      <c r="I271" s="3">
        <f>VLOOKUP($E271,Water!$C$2:$F$90, 4, FALSE)</f>
        <v>9</v>
      </c>
      <c r="J271">
        <f>10^(I271*-1)</f>
        <v>1.0000000000000001E-9</v>
      </c>
      <c r="K271" s="25">
        <v>439.52751160265137</v>
      </c>
      <c r="L271" s="25">
        <v>2.8430237635924795</v>
      </c>
      <c r="M271" s="25">
        <v>0.32236441181786135</v>
      </c>
      <c r="N271" s="21">
        <f>VLOOKUP($C271,Raw!$B$2:$F$353, 3, FALSE)</f>
        <v>128.54536520472851</v>
      </c>
      <c r="O271" s="21">
        <f>VLOOKUP($C271,Raw!$B$2:$F$353, 4, FALSE)</f>
        <v>621.86176261783919</v>
      </c>
      <c r="P271" s="21">
        <f>VLOOKUP($C271,Raw!$B$2:$F$353, 5, FALSE)</f>
        <v>0.28824442420661162</v>
      </c>
      <c r="Q271" s="14">
        <v>60</v>
      </c>
      <c r="R271" s="25">
        <v>1140</v>
      </c>
      <c r="S271">
        <f>EXP(24.4543-(100/H271*(67.4509))-(4.8489*LN(H271/100))-(0.000544*G271))</f>
        <v>2.377995816834676E-2</v>
      </c>
      <c r="T271" s="8">
        <f>EXP(-58.0931+90.5069*(100/H271)+22.294*LN(H271/100)+G271*(0.027766-0.025888*(H271/100)+0.0050578*(H271/100)^2)*G271)</f>
        <v>3.8530802950603522E-2</v>
      </c>
      <c r="U271" s="9">
        <f>(EXP(-67.1962+99.1624*(100/H271)+27.9015*LN(H271/100)+G271*(-0.072909+0.041674*(H271/100)-0.0064603*(H271/100)^2)*G271))</f>
        <v>3.4342972304401718E-2</v>
      </c>
      <c r="V271" s="9">
        <f>(EXP(-64.8539+100.252*(100/H271)+25.2049*LN(H271/100)+(-0.062544+0.035337*(H271/100)-0.0054699*(H271/100)^2)*G271))</f>
        <v>2.8342031807383081E-2</v>
      </c>
      <c r="W271" s="9">
        <f>(EXP(-68.8862+101.4956*(100/H271)+28.7314*LN(H271/100)+G271*(-0.076146+0.04397*(H271/100)-0.0068672*(H271/100)^2)))</f>
        <v>3.4271734331501748E-2</v>
      </c>
      <c r="X271">
        <f>N271*(AZ271-S271)</f>
        <v>117.13311305911786</v>
      </c>
      <c r="Y271">
        <f>O271*(AZ271-S271)</f>
        <v>566.65290134613304</v>
      </c>
      <c r="Z271">
        <f>((Y271/10^6)*AZ271)/(0.082056*H271)</f>
        <v>2.198813425156661E-5</v>
      </c>
      <c r="AA271">
        <f>(((L271/10^6)*AZ271)/(0.082056*H271))</f>
        <v>1.103193648982668E-7</v>
      </c>
      <c r="AB271">
        <f>((Y271/10^6)*U271*1)/(0.082056*H271)</f>
        <v>8.0763410227488648E-7</v>
      </c>
      <c r="AC271">
        <f>(Z271*(Q271/1000))+(AB271*(R271/1000))</f>
        <v>2.2399909316873672E-6</v>
      </c>
      <c r="AD271" s="39">
        <f>((AC271-(AA271*(Q271/1000)))/(R271/1000))*1000000</f>
        <v>1.9590980436784837</v>
      </c>
      <c r="AE271" s="39">
        <f>(AD271/((U271*AZ271*1))*(0.0821*273.15))</f>
        <v>1368.2045880017456</v>
      </c>
      <c r="AF271" s="39">
        <f>L271*U271*AZ271*1/(0.0821*273.15)</f>
        <v>4.0708548576935191E-3</v>
      </c>
      <c r="AG271" s="39">
        <f>AD271-AF271</f>
        <v>1.9550271888207902</v>
      </c>
      <c r="AH271" s="42">
        <f>P271*(AZ271-S271)</f>
        <v>0.26265409628328945</v>
      </c>
      <c r="AI271">
        <f>(((X271/10^6)*(Q271/1000))/(0.082056*H271))</f>
        <v>2.9166921207659684E-7</v>
      </c>
      <c r="AJ271">
        <f>(((K271/10^6)*AZ271)*(Q271/1000))/(0.082056*H271)</f>
        <v>1.0233132038414526E-6</v>
      </c>
      <c r="AK271">
        <f>(X271/10^6)*T271*(R271/1000)</f>
        <v>5.1450855040296623E-6</v>
      </c>
      <c r="AL271">
        <f>AI271+AK271</f>
        <v>5.4367547161062593E-6</v>
      </c>
      <c r="AM271" s="39">
        <f>((AL271-AJ271)/(R271/1000))*1000000</f>
        <v>3.8714399230393051</v>
      </c>
      <c r="AN271" s="39">
        <f>AM271/(T271*AZ271)</f>
        <v>107.46148900930685</v>
      </c>
      <c r="AO271" s="39">
        <f>(K271*AZ271)*T271</f>
        <v>15.834550324770358</v>
      </c>
      <c r="AP271" s="39">
        <f>AM271-AO271</f>
        <v>-11.963110401731054</v>
      </c>
      <c r="AQ271">
        <f>(((AH271/10^6)*(Q271/1000))/(0.082056*H271))</f>
        <v>6.5402610167948845E-10</v>
      </c>
      <c r="AR271">
        <f>(((M271/10^6)*AZ271)*(Q271/1000))/(0.082056*H271)</f>
        <v>7.5053267509685325E-10</v>
      </c>
      <c r="AS271">
        <f>(AH271/10^6)*V271*(R271/1000)</f>
        <v>8.4863318563685096E-9</v>
      </c>
      <c r="AT271">
        <f>AQ271+AS271</f>
        <v>9.1403579580479978E-9</v>
      </c>
      <c r="AU271" s="39">
        <f>((AT271-AR271)/(R271/1000))*1000000000</f>
        <v>7.3594958622378464</v>
      </c>
      <c r="AV271" s="39">
        <f>(AU271/1000)/(V271*AZ271)</f>
        <v>0.27771892370778856</v>
      </c>
      <c r="AW271" s="39">
        <f>(M271*AZ271)*V271*1000</f>
        <v>8.5425923564450059</v>
      </c>
      <c r="AX271" s="39">
        <f>AU271-AW271</f>
        <v>-1.1830964942071596</v>
      </c>
      <c r="AY271" s="26">
        <f>VLOOKUP($E271,Water!$C$2:$G$90, 5, FALSE)</f>
        <v>710.6</v>
      </c>
      <c r="AZ271">
        <f>AY271/760</f>
        <v>0.93500000000000005</v>
      </c>
      <c r="BA271" s="3">
        <f>Assumptions!$B$3</f>
        <v>406.07</v>
      </c>
      <c r="BB271" s="3">
        <f>BA271*AZ271*T271</f>
        <v>14.629199949131721</v>
      </c>
      <c r="BC271" s="3">
        <f>Assumptions!$B$4</f>
        <v>1.8474300000000001</v>
      </c>
      <c r="BD271" s="45">
        <f>BC271*AZ271*U271*1/(0.0821*273.15)</f>
        <v>2.6452889652408651E-3</v>
      </c>
      <c r="BE271" s="3">
        <f>Assumptions!$B$2</f>
        <v>0.33054499999999998</v>
      </c>
      <c r="BF271" s="44">
        <f>BE271*AZ271*V271*1000</f>
        <v>8.7593763050262972</v>
      </c>
      <c r="BG271">
        <f>1923.6+(-125.06*F271)+(4.3773*(F271^2))+(-0.085681*(F271^3))+(0.00070284*(F271^4))</f>
        <v>585.40641620249994</v>
      </c>
      <c r="BH271">
        <f>1909.4+(-120.78*F271)+(4.1555*(F271^2))+(-0.080578*(F271^3))+(0.00065777*(F271^4))</f>
        <v>601.73813356062487</v>
      </c>
      <c r="BI271">
        <f>2141.2+(-152.56*F271)+(5.8963*(F271^2))+(-0.12411*(F271^3))+(0.0010655*(F271^4))</f>
        <v>610.59493284374992</v>
      </c>
      <c r="BJ271" s="25">
        <f>VLOOKUP(E271,Wind!$C$2:$E$109,3, FALSE)</f>
        <v>0.97222222222222221</v>
      </c>
      <c r="BK271" s="44">
        <v>1.66</v>
      </c>
      <c r="BL271">
        <f>BK271/(1-(((1.3*10^-3)^0.5)/0.41)*LN(10/1.5))</f>
        <v>1.9923982880693825</v>
      </c>
      <c r="BM271">
        <f>BK271*1.22</f>
        <v>2.0251999999999999</v>
      </c>
      <c r="BN271">
        <f>2.07+0.215*(BM271^1.7)*(24/100)</f>
        <v>2.241255750541113</v>
      </c>
      <c r="BO271">
        <f>BN271*((600/BG271)^0.67)</f>
        <v>2.278537834392937</v>
      </c>
      <c r="BP271">
        <f>BN271*((600/BH271)^0.67)</f>
        <v>2.2369161572053291</v>
      </c>
      <c r="BQ271">
        <f>BN271*((600/BI271)^0.67)</f>
        <v>2.2151243613952487</v>
      </c>
      <c r="BR271" s="39">
        <f>BO271*(AM271-BB271)</f>
        <v>-24.511963232771521</v>
      </c>
      <c r="BS271" s="39">
        <f>BP271*(AD271-BD271)</f>
        <v>4.3764207778269277</v>
      </c>
      <c r="BT271" s="39">
        <f>BQ271*(AU271-BF271)</f>
        <v>-3.100909271861465</v>
      </c>
      <c r="BU271">
        <f>(2.51+1.48*BM271)+(0.39*BM271*LOG10(0.0015))</f>
        <v>3.2768938069574309</v>
      </c>
      <c r="BV271">
        <f>BU271*((600/$BG271)^0.67)</f>
        <v>3.3314031728140558</v>
      </c>
      <c r="BW271">
        <f>BU271*((600/$BH271)^0.67)</f>
        <v>3.2705489770453111</v>
      </c>
      <c r="BX271">
        <f>BU271*((600/$BI271)^0.67)</f>
        <v>3.2386876418472674</v>
      </c>
      <c r="BY271" s="39">
        <f>BV271*($AM271-$BB271)</f>
        <v>-35.838435883296498</v>
      </c>
      <c r="BZ271" s="39">
        <f>BW271*($AD271-$BD271)</f>
        <v>6.3986745555648774</v>
      </c>
      <c r="CA271" s="39">
        <f>BX271*($AU271-$BF271)</f>
        <v>-4.5337754901226361</v>
      </c>
      <c r="CB271" s="42">
        <f>AVERAGE(0.72,0.69,0.4,0.22)</f>
        <v>0.50750000000000006</v>
      </c>
      <c r="CC271">
        <f>CB271*((600/$BG271)^0.67)</f>
        <v>0.51594198951870296</v>
      </c>
      <c r="CD271">
        <f>CB271*((600/$BH271)^0.67)</f>
        <v>0.50651736175473128</v>
      </c>
      <c r="CE271">
        <f>CB271*((600/$BI271)^0.67)</f>
        <v>0.50158292427656948</v>
      </c>
      <c r="CF271" s="39">
        <f>CC271*($AM271-$BB271)</f>
        <v>-5.5503801106268948</v>
      </c>
      <c r="CG271" s="39">
        <f>CD271*($AD271-$BD271)</f>
        <v>0.99097728771512816</v>
      </c>
      <c r="CH271" s="39">
        <f>CE271*($AU271-$BF271)</f>
        <v>-0.7021561261314101</v>
      </c>
      <c r="CI271">
        <v>94.862639018895294</v>
      </c>
      <c r="CJ271">
        <f>((BG271/BH271)^0.67)*CI271</f>
        <v>93.129798739128347</v>
      </c>
      <c r="CK271">
        <f>((BH271/BH271)^0.67)*CI271</f>
        <v>94.862639018895294</v>
      </c>
      <c r="CL271">
        <f>((BI271/BH271)^0.67)*CI271</f>
        <v>95.795872066904849</v>
      </c>
      <c r="CM271" s="39">
        <f>CJ271*($AM271-$BB271)</f>
        <v>-1001.8680261138269</v>
      </c>
      <c r="CN271" s="39">
        <f>CK271*($AD271-$BD271)</f>
        <v>185.59427142788564</v>
      </c>
      <c r="CO271" s="39">
        <f>CL271*($AU271-$BF271)</f>
        <v>-134.10276780632455</v>
      </c>
      <c r="CP271" s="27">
        <f>VLOOKUP(A271,Water!$A$2:$E$109, 5, FALSE)/1000</f>
        <v>8.9999999999999992E-5</v>
      </c>
      <c r="CQ271">
        <f>0.64*CP271</f>
        <v>5.7599999999999997E-5</v>
      </c>
      <c r="CR271" s="19">
        <f>CQ271*1000*(2.5*10^-5)</f>
        <v>1.44E-6</v>
      </c>
      <c r="CS271" s="18">
        <f>(-0.0000009*F271^3)+(0.0002*F271^2)-(0.0134*F271)+6.579</f>
        <v>6.3805963874999998</v>
      </c>
      <c r="CT271" s="18">
        <f>CS271-(SQRT(CP271))/(1+1.4*SQRT(CP271))</f>
        <v>6.3712339029772247</v>
      </c>
      <c r="CU271" s="18">
        <f>10^(-CT271)</f>
        <v>4.253692554139485E-7</v>
      </c>
      <c r="CV271" s="18">
        <f>(0.000001*F271^3)+(0.00006*F271^2)-(0.014*F271)+10.625</f>
        <v>10.371830125000001</v>
      </c>
      <c r="CW271" s="18">
        <f>CV271-(2*SQRT(CR271))/(1+1.4*SQRT(CR271))</f>
        <v>10.369434150237602</v>
      </c>
      <c r="CX271" s="18">
        <f>10^(-CW271)</f>
        <v>4.2713567884222507E-11</v>
      </c>
      <c r="CY271">
        <f>EXP(1246.98+-61900/H271-183*LN(H271))</f>
        <v>2.4915260008149181E-2</v>
      </c>
      <c r="CZ271">
        <f>12.225*(F271^2)+15.258*F271+1125.7</f>
        <v>6576.0452499999992</v>
      </c>
      <c r="DA271" s="15">
        <f>10^(-4470.99/H271+6.0875-0.01706*H271)</f>
        <v>7.1163342145971668E-15</v>
      </c>
      <c r="DB271">
        <f>(10^-I271)</f>
        <v>1.0000000000000001E-9</v>
      </c>
      <c r="DC271">
        <f>DB271^2</f>
        <v>1.0000000000000001E-18</v>
      </c>
      <c r="DD271" s="20">
        <f>((14.6836*10^-9)*((H271/217.2056)-1)^1.997)*100*100</f>
        <v>1.8244939928067429E-5</v>
      </c>
      <c r="DE271">
        <f>CY271+CZ271*DA271/DB271</f>
        <v>7.1712595817463351E-2</v>
      </c>
      <c r="DF271">
        <f>1+DC271*(CU271*CX271+CU271*DB271)^-1</f>
        <v>1.0022545967587704</v>
      </c>
      <c r="DG271">
        <f>(DE271*DF271/DD271)^0.5</f>
        <v>62.764710657258824</v>
      </c>
      <c r="DH271">
        <f>DD271/(BO271/60/60)</f>
        <v>2.8826286204083205E-2</v>
      </c>
      <c r="DI271" s="16">
        <f>DF271/((DF271-1)+TANH(DG271*DH271)/(DG271*DH271))</f>
        <v>1.9051081138730848</v>
      </c>
      <c r="DJ271">
        <f>$DI271*BR271</f>
        <v>-46.697940041711753</v>
      </c>
      <c r="DK271">
        <f>$DI271*BY271</f>
        <v>-68.276094989788476</v>
      </c>
      <c r="DL271">
        <f>$DI271*CF271</f>
        <v>-10.574074183835087</v>
      </c>
      <c r="DM271">
        <f>$DI271*CM271</f>
        <v>-1908.6669055794632</v>
      </c>
    </row>
    <row r="272" spans="1:117" ht="15.75" x14ac:dyDescent="0.25">
      <c r="A272" s="52" t="s">
        <v>338</v>
      </c>
      <c r="B272" s="55" t="s">
        <v>341</v>
      </c>
      <c r="C272" s="50" t="s">
        <v>470</v>
      </c>
      <c r="D272" s="57">
        <v>43320</v>
      </c>
      <c r="E272" s="42" t="str">
        <f>A272&amp;D272</f>
        <v>4A43320</v>
      </c>
      <c r="F272" s="3">
        <f>VLOOKUP($E272,Water!$C$2:$E$90, 2, FALSE)</f>
        <v>20.5</v>
      </c>
      <c r="G272" s="3">
        <f>VLOOKUP($E272,Water!$C$2:$E$90, 3, FALSE)</f>
        <v>0.11</v>
      </c>
      <c r="H272" s="1">
        <f>F272+273.15</f>
        <v>293.64999999999998</v>
      </c>
      <c r="I272" s="3">
        <f>VLOOKUP($E272,Water!$C$2:$F$90, 4, FALSE)</f>
        <v>9</v>
      </c>
      <c r="J272">
        <f>10^(I272*-1)</f>
        <v>1.0000000000000001E-9</v>
      </c>
      <c r="K272" s="25">
        <v>439.52751160265137</v>
      </c>
      <c r="L272" s="25">
        <v>2.8430237635924795</v>
      </c>
      <c r="M272" s="25">
        <v>0.32236441181786135</v>
      </c>
      <c r="N272" s="21">
        <f>VLOOKUP($C272,Raw!$B$2:$F$353, 3, FALSE)</f>
        <v>172.1583661220555</v>
      </c>
      <c r="O272" s="21">
        <f>VLOOKUP($C272,Raw!$B$2:$F$353, 4, FALSE)</f>
        <v>661.16606543774424</v>
      </c>
      <c r="P272" s="21">
        <f>VLOOKUP($C272,Raw!$B$2:$F$353, 5, FALSE)</f>
        <v>0.2772129355013675</v>
      </c>
      <c r="Q272" s="14">
        <v>60</v>
      </c>
      <c r="R272" s="25">
        <v>1140</v>
      </c>
      <c r="S272">
        <f>EXP(24.4543-(100/H272*(67.4509))-(4.8489*LN(H272/100))-(0.000544*G272))</f>
        <v>2.377995816834676E-2</v>
      </c>
      <c r="T272" s="8">
        <f>EXP(-58.0931+90.5069*(100/H272)+22.294*LN(H272/100)+G272*(0.027766-0.025888*(H272/100)+0.0050578*(H272/100)^2)*G272)</f>
        <v>3.8530802950603522E-2</v>
      </c>
      <c r="U272" s="9">
        <f>(EXP(-67.1962+99.1624*(100/H272)+27.9015*LN(H272/100)+G272*(-0.072909+0.041674*(H272/100)-0.0064603*(H272/100)^2)*G272))</f>
        <v>3.4342972304401718E-2</v>
      </c>
      <c r="V272" s="9">
        <f>(EXP(-64.8539+100.252*(100/H272)+25.2049*LN(H272/100)+(-0.062544+0.035337*(H272/100)-0.0054699*(H272/100)^2)*G272))</f>
        <v>2.8342031807383081E-2</v>
      </c>
      <c r="W272" s="9">
        <f>(EXP(-68.8862+101.4956*(100/H272)+28.7314*LN(H272/100)+G272*(-0.076146+0.04397*(H272/100)-0.0068672*(H272/100)^2)))</f>
        <v>3.4271734331501748E-2</v>
      </c>
      <c r="X272">
        <f>N272*(AZ272-S272)</f>
        <v>156.8741535794085</v>
      </c>
      <c r="Y272">
        <f>O272*(AZ272-S272)</f>
        <v>602.46776980585093</v>
      </c>
      <c r="Z272">
        <f>((Y272/10^6)*AZ272)/(0.082056*H272)</f>
        <v>2.3377877662433649E-5</v>
      </c>
      <c r="AA272">
        <f>(((L272/10^6)*AZ272)/(0.082056*H272))</f>
        <v>1.103193648982668E-7</v>
      </c>
      <c r="AB272">
        <f>((Y272/10^6)*U272*1)/(0.082056*H272)</f>
        <v>8.5868000545096291E-7</v>
      </c>
      <c r="AC272">
        <f>(Z272*(Q272/1000))+(AB272*(R272/1000))</f>
        <v>2.3815678659601165E-6</v>
      </c>
      <c r="AD272" s="39">
        <f>((AC272-(AA272*(Q272/1000)))/(R272/1000))*1000000</f>
        <v>2.0832883369001935</v>
      </c>
      <c r="AE272" s="39">
        <f>(AD272/((U272*AZ272*1))*(0.0821*273.15))</f>
        <v>1454.9372196428762</v>
      </c>
      <c r="AF272" s="39">
        <f>L272*U272*AZ272*1/(0.0821*273.15)</f>
        <v>4.0708548576935191E-3</v>
      </c>
      <c r="AG272" s="39">
        <f>AD272-AF272</f>
        <v>2.0792174820425</v>
      </c>
      <c r="AH272" s="42">
        <f>P272*(AZ272-S272)</f>
        <v>0.25260198268383149</v>
      </c>
      <c r="AI272">
        <f>(((X272/10^6)*(Q272/1000))/(0.082056*H272))</f>
        <v>3.9062703598252433E-7</v>
      </c>
      <c r="AJ272">
        <f>(((K272/10^6)*AZ272)*(Q272/1000))/(0.082056*H272)</f>
        <v>1.0233132038414526E-6</v>
      </c>
      <c r="AK272">
        <f>(X272/10^6)*T272*(R272/1000)</f>
        <v>6.8907152935564289E-6</v>
      </c>
      <c r="AL272">
        <f>AI272+AK272</f>
        <v>7.2813423295389533E-6</v>
      </c>
      <c r="AM272" s="39">
        <f>((AL272-AJ272)/(R272/1000))*1000000</f>
        <v>5.4894992330679839</v>
      </c>
      <c r="AN272" s="39">
        <f>AM272/(T272*AZ272)</f>
        <v>152.37476836210857</v>
      </c>
      <c r="AO272" s="39">
        <f>(K272*AZ272)*T272</f>
        <v>15.834550324770358</v>
      </c>
      <c r="AP272" s="39">
        <f>AM272-AO272</f>
        <v>-10.345051091702373</v>
      </c>
      <c r="AQ272">
        <f>(((AH272/10^6)*(Q272/1000))/(0.082056*H272))</f>
        <v>6.2899567282220536E-10</v>
      </c>
      <c r="AR272">
        <f>(((M272/10^6)*AZ272)*(Q272/1000))/(0.082056*H272)</f>
        <v>7.5053267509685325E-10</v>
      </c>
      <c r="AS272">
        <f>(AH272/10^6)*V272*(R272/1000)</f>
        <v>8.1615489077298265E-9</v>
      </c>
      <c r="AT272">
        <f>AQ272+AS272</f>
        <v>8.7905445805520321E-9</v>
      </c>
      <c r="AU272" s="39">
        <f>((AT272-AR272)/(R272/1000))*1000000000</f>
        <v>7.0526420223291044</v>
      </c>
      <c r="AV272" s="39">
        <f>(AU272/1000)/(V272*AZ272)</f>
        <v>0.26613944601661627</v>
      </c>
      <c r="AW272" s="39">
        <f>(M272*AZ272)*V272*1000</f>
        <v>8.5425923564450059</v>
      </c>
      <c r="AX272" s="39">
        <f>AU272-AW272</f>
        <v>-1.4899503341159015</v>
      </c>
      <c r="AY272" s="26">
        <f>VLOOKUP($E272,Water!$C$2:$G$90, 5, FALSE)</f>
        <v>710.6</v>
      </c>
      <c r="AZ272">
        <f>AY272/760</f>
        <v>0.93500000000000005</v>
      </c>
      <c r="BA272" s="3">
        <f>Assumptions!$B$3</f>
        <v>406.07</v>
      </c>
      <c r="BB272" s="3">
        <f>BA272*AZ272*T272</f>
        <v>14.629199949131721</v>
      </c>
      <c r="BC272" s="3">
        <f>Assumptions!$B$4</f>
        <v>1.8474300000000001</v>
      </c>
      <c r="BD272" s="45">
        <f>BC272*AZ272*U272*1/(0.0821*273.15)</f>
        <v>2.6452889652408651E-3</v>
      </c>
      <c r="BE272" s="3">
        <f>Assumptions!$B$2</f>
        <v>0.33054499999999998</v>
      </c>
      <c r="BF272" s="44">
        <f>BE272*AZ272*V272*1000</f>
        <v>8.7593763050262972</v>
      </c>
      <c r="BG272">
        <f>1923.6+(-125.06*F272)+(4.3773*(F272^2))+(-0.085681*(F272^3))+(0.00070284*(F272^4))</f>
        <v>585.40641620249994</v>
      </c>
      <c r="BH272">
        <f>1909.4+(-120.78*F272)+(4.1555*(F272^2))+(-0.080578*(F272^3))+(0.00065777*(F272^4))</f>
        <v>601.73813356062487</v>
      </c>
      <c r="BI272">
        <f>2141.2+(-152.56*F272)+(5.8963*(F272^2))+(-0.12411*(F272^3))+(0.0010655*(F272^4))</f>
        <v>610.59493284374992</v>
      </c>
      <c r="BJ272" s="25">
        <f>VLOOKUP(E272,Wind!$C$2:$E$109,3, FALSE)</f>
        <v>0.97222222222222221</v>
      </c>
      <c r="BK272" s="44">
        <v>1.66</v>
      </c>
      <c r="BL272">
        <f>BK272/(1-(((1.3*10^-3)^0.5)/0.41)*LN(10/1.5))</f>
        <v>1.9923982880693825</v>
      </c>
      <c r="BM272">
        <f>BK272*1.22</f>
        <v>2.0251999999999999</v>
      </c>
      <c r="BN272">
        <f>2.07+0.215*(BM272^1.7)*(24/100)</f>
        <v>2.241255750541113</v>
      </c>
      <c r="BO272">
        <f>BN272*((600/BG272)^0.67)</f>
        <v>2.278537834392937</v>
      </c>
      <c r="BP272">
        <f>BN272*((600/BH272)^0.67)</f>
        <v>2.2369161572053291</v>
      </c>
      <c r="BQ272">
        <f>BN272*((600/BI272)^0.67)</f>
        <v>2.2151243613952487</v>
      </c>
      <c r="BR272" s="39">
        <f>BO272*(AM272-BB272)</f>
        <v>-20.825153876579439</v>
      </c>
      <c r="BS272" s="39">
        <f>BP272*(AD272-BD272)</f>
        <v>4.6542240513026378</v>
      </c>
      <c r="BT272" s="39">
        <f>BQ272*(AU272-BF272)</f>
        <v>-3.7806286880309972</v>
      </c>
      <c r="BU272">
        <f>(2.51+1.48*BM272)+(0.39*BM272*LOG10(0.0015))</f>
        <v>3.2768938069574309</v>
      </c>
      <c r="BV272">
        <f>BU272*((600/$BG272)^0.67)</f>
        <v>3.3314031728140558</v>
      </c>
      <c r="BW272">
        <f>BU272*((600/$BH272)^0.67)</f>
        <v>3.2705489770453111</v>
      </c>
      <c r="BX272">
        <f>BU272*((600/$BI272)^0.67)</f>
        <v>3.2386876418472674</v>
      </c>
      <c r="BY272" s="39">
        <f>BV272*($AM272-$BB272)</f>
        <v>-30.448027964065627</v>
      </c>
      <c r="BZ272" s="39">
        <f>BW272*($AD272-$BD272)</f>
        <v>6.8048449920200982</v>
      </c>
      <c r="CA272" s="39">
        <f>BX272*($AU272-$BF272)</f>
        <v>-5.5275792292884587</v>
      </c>
      <c r="CB272" s="42">
        <f>AVERAGE(0.72,0.69,0.4,0.22)</f>
        <v>0.50750000000000006</v>
      </c>
      <c r="CC272">
        <f>CB272*((600/$BG272)^0.67)</f>
        <v>0.51594198951870296</v>
      </c>
      <c r="CD272">
        <f>CB272*((600/$BH272)^0.67)</f>
        <v>0.50651736175473128</v>
      </c>
      <c r="CE272">
        <f>CB272*((600/$BI272)^0.67)</f>
        <v>0.50158292427656948</v>
      </c>
      <c r="CF272" s="39">
        <f>CC272*($AM272-$BB272)</f>
        <v>-4.7155553710514377</v>
      </c>
      <c r="CG272" s="39">
        <f>CD272*($AD272-$BD272)</f>
        <v>1.053881827393335</v>
      </c>
      <c r="CH272" s="39">
        <f>CE272*($AU272-$BF272)</f>
        <v>-0.85606877247833113</v>
      </c>
      <c r="CI272">
        <v>95.862639018895294</v>
      </c>
      <c r="CJ272">
        <f>((BG272/BH272)^0.67)*CI272</f>
        <v>94.111531903019966</v>
      </c>
      <c r="CK272">
        <f>((BH272/BH272)^0.67)*CI272</f>
        <v>95.862639018895294</v>
      </c>
      <c r="CL272">
        <f>((BI272/BH272)^0.67)*CI272</f>
        <v>96.805709797097279</v>
      </c>
      <c r="CM272" s="39">
        <f>CJ272*($AM272-$BB272)</f>
        <v>-860.15123552388673</v>
      </c>
      <c r="CN272" s="39">
        <f>CK272*($AD272-$BD272)</f>
        <v>199.45593343136244</v>
      </c>
      <c r="CO272" s="39">
        <f>CL272*($AU272-$BF272)</f>
        <v>-165.22162367154144</v>
      </c>
      <c r="CP272" s="27">
        <f>VLOOKUP(A272,Water!$A$2:$E$109, 5, FALSE)/1000</f>
        <v>8.9999999999999992E-5</v>
      </c>
      <c r="CQ272">
        <f>0.64*CP272</f>
        <v>5.7599999999999997E-5</v>
      </c>
      <c r="CR272" s="19">
        <f>CQ272*1000*(2.5*10^-5)</f>
        <v>1.44E-6</v>
      </c>
      <c r="CS272" s="18">
        <f>(-0.0000009*F272^3)+(0.0002*F272^2)-(0.0134*F272)+6.579</f>
        <v>6.3805963874999998</v>
      </c>
      <c r="CT272" s="18">
        <f>CS272-(SQRT(CP272))/(1+1.4*SQRT(CP272))</f>
        <v>6.3712339029772247</v>
      </c>
      <c r="CU272" s="18">
        <f>10^(-CT272)</f>
        <v>4.253692554139485E-7</v>
      </c>
      <c r="CV272" s="18">
        <f>(0.000001*F272^3)+(0.00006*F272^2)-(0.014*F272)+10.625</f>
        <v>10.371830125000001</v>
      </c>
      <c r="CW272" s="18">
        <f>CV272-(2*SQRT(CR272))/(1+1.4*SQRT(CR272))</f>
        <v>10.369434150237602</v>
      </c>
      <c r="CX272" s="18">
        <f>10^(-CW272)</f>
        <v>4.2713567884222507E-11</v>
      </c>
      <c r="CY272">
        <f>EXP(1246.98+-61900/H272-183*LN(H272))</f>
        <v>2.4915260008149181E-2</v>
      </c>
      <c r="CZ272">
        <f>12.225*(F272^2)+15.258*F272+1125.7</f>
        <v>6576.0452499999992</v>
      </c>
      <c r="DA272" s="15">
        <f>10^(-4470.99/H272+6.0875-0.01706*H272)</f>
        <v>7.1163342145971668E-15</v>
      </c>
      <c r="DB272">
        <f>(10^-I272)</f>
        <v>1.0000000000000001E-9</v>
      </c>
      <c r="DC272">
        <f>DB272^2</f>
        <v>1.0000000000000001E-18</v>
      </c>
      <c r="DD272" s="20">
        <f>((14.6836*10^-9)*((H272/217.2056)-1)^1.997)*100*100</f>
        <v>1.8244939928067429E-5</v>
      </c>
      <c r="DE272">
        <f>CY272+CZ272*DA272/DB272</f>
        <v>7.1712595817463351E-2</v>
      </c>
      <c r="DF272">
        <f>1+DC272*(CU272*CX272+CU272*DB272)^-1</f>
        <v>1.0022545967587704</v>
      </c>
      <c r="DG272">
        <f>(DE272*DF272/DD272)^0.5</f>
        <v>62.764710657258824</v>
      </c>
      <c r="DH272">
        <f>DD272/(BO272/60/60)</f>
        <v>2.8826286204083205E-2</v>
      </c>
      <c r="DI272" s="16">
        <f>DF272/((DF272-1)+TANH(DG272*DH272)/(DG272*DH272))</f>
        <v>1.9051081138730848</v>
      </c>
      <c r="DJ272">
        <f>$DI272*BR272</f>
        <v>-39.67416962292701</v>
      </c>
      <c r="DK272">
        <f>$DI272*BY272</f>
        <v>-58.006785125776005</v>
      </c>
      <c r="DL272">
        <f>$DI272*CF272</f>
        <v>-8.9836427988078995</v>
      </c>
      <c r="DM272">
        <f>$DI272*CM272</f>
        <v>-1638.6810979545153</v>
      </c>
    </row>
    <row r="273" spans="1:117" ht="15.75" x14ac:dyDescent="0.25">
      <c r="A273" s="52" t="s">
        <v>338</v>
      </c>
      <c r="B273" s="55" t="s">
        <v>342</v>
      </c>
      <c r="C273" s="50" t="s">
        <v>471</v>
      </c>
      <c r="D273" s="57">
        <v>43320</v>
      </c>
      <c r="E273" s="42" t="str">
        <f>A273&amp;D273</f>
        <v>4A43320</v>
      </c>
      <c r="F273" s="3">
        <f>VLOOKUP($E273,Water!$C$2:$E$90, 2, FALSE)</f>
        <v>20.5</v>
      </c>
      <c r="G273" s="3">
        <f>VLOOKUP($E273,Water!$C$2:$E$90, 3, FALSE)</f>
        <v>0.11</v>
      </c>
      <c r="H273" s="1">
        <f>F273+273.15</f>
        <v>293.64999999999998</v>
      </c>
      <c r="I273" s="3">
        <f>VLOOKUP($E273,Water!$C$2:$F$90, 4, FALSE)</f>
        <v>9</v>
      </c>
      <c r="J273">
        <f>10^(I273*-1)</f>
        <v>1.0000000000000001E-9</v>
      </c>
      <c r="K273" s="25">
        <v>439.52751160265137</v>
      </c>
      <c r="L273" s="25">
        <v>2.8430237635924795</v>
      </c>
      <c r="M273" s="25">
        <v>0.32236441181786135</v>
      </c>
      <c r="N273" s="21">
        <f>VLOOKUP($C273,Raw!$B$2:$F$353, 3, FALSE)</f>
        <v>116.8029967992171</v>
      </c>
      <c r="O273" s="21">
        <f>VLOOKUP($C273,Raw!$B$2:$F$353, 4, FALSE)</f>
        <v>661.52353418885104</v>
      </c>
      <c r="P273" s="21">
        <f>VLOOKUP($C273,Raw!$B$2:$F$353, 5, FALSE)</f>
        <v>0.27707530391919694</v>
      </c>
      <c r="Q273" s="14">
        <v>60</v>
      </c>
      <c r="R273" s="25">
        <v>1140</v>
      </c>
      <c r="S273">
        <f>EXP(24.4543-(100/H273*(67.4509))-(4.8489*LN(H273/100))-(0.000544*G273))</f>
        <v>2.377995816834676E-2</v>
      </c>
      <c r="T273" s="8">
        <f>EXP(-58.0931+90.5069*(100/H273)+22.294*LN(H273/100)+G273*(0.027766-0.025888*(H273/100)+0.0050578*(H273/100)^2)*G273)</f>
        <v>3.8530802950603522E-2</v>
      </c>
      <c r="U273" s="9">
        <f>(EXP(-67.1962+99.1624*(100/H273)+27.9015*LN(H273/100)+G273*(-0.072909+0.041674*(H273/100)-0.0064603*(H273/100)^2)*G273))</f>
        <v>3.4342972304401718E-2</v>
      </c>
      <c r="V273" s="9">
        <f>(EXP(-64.8539+100.252*(100/H273)+25.2049*LN(H273/100)+(-0.062544+0.035337*(H273/100)-0.0054699*(H273/100)^2)*G273))</f>
        <v>2.8342031807383081E-2</v>
      </c>
      <c r="W273" s="9">
        <f>(EXP(-68.8862+101.4956*(100/H273)+28.7314*LN(H273/100)+G273*(-0.076146+0.04397*(H273/100)-0.0068672*(H273/100)^2)))</f>
        <v>3.4271734331501748E-2</v>
      </c>
      <c r="X273">
        <f>N273*(AZ273-S273)</f>
        <v>106.43323162944507</v>
      </c>
      <c r="Y273">
        <f>O273*(AZ273-S273)</f>
        <v>602.79350249618801</v>
      </c>
      <c r="Z273">
        <f>((Y273/10^6)*AZ273)/(0.082056*H273)</f>
        <v>2.3390517241456783E-5</v>
      </c>
      <c r="AA273">
        <f>(((L273/10^6)*AZ273)/(0.082056*H273))</f>
        <v>1.103193648982668E-7</v>
      </c>
      <c r="AB273">
        <f>((Y273/10^6)*U273*1)/(0.082056*H273)</f>
        <v>8.5914426289730616E-7</v>
      </c>
      <c r="AC273">
        <f>(Z273*(Q273/1000))+(AB273*(R273/1000))</f>
        <v>2.3828554941903361E-6</v>
      </c>
      <c r="AD273" s="39">
        <f>((AC273-(AA273*(Q273/1000)))/(R273/1000))*1000000</f>
        <v>2.0844178353477547</v>
      </c>
      <c r="AE273" s="39">
        <f>(AD273/((U273*AZ273*1))*(0.0821*273.15))</f>
        <v>1455.7260443589644</v>
      </c>
      <c r="AF273" s="39">
        <f>L273*U273*AZ273*1/(0.0821*273.15)</f>
        <v>4.0708548576935191E-3</v>
      </c>
      <c r="AG273" s="39">
        <f>AD273-AF273</f>
        <v>2.0803469804900612</v>
      </c>
      <c r="AH273" s="42">
        <f>P273*(AZ273-S273)</f>
        <v>0.25247657002776869</v>
      </c>
      <c r="AI273">
        <f>(((X273/10^6)*(Q273/1000))/(0.082056*H273))</f>
        <v>2.6502579840474669E-7</v>
      </c>
      <c r="AJ273">
        <f>(((K273/10^6)*AZ273)*(Q273/1000))/(0.082056*H273)</f>
        <v>1.0233132038414526E-6</v>
      </c>
      <c r="AK273">
        <f>(X273/10^6)*T273*(R273/1000)</f>
        <v>4.6750919778535021E-6</v>
      </c>
      <c r="AL273">
        <f>AI273+AK273</f>
        <v>4.940117776258249E-6</v>
      </c>
      <c r="AM273" s="39">
        <f>((AL273-AJ273)/(R273/1000))*1000000</f>
        <v>3.4357934845761378</v>
      </c>
      <c r="AN273" s="39">
        <f>AM273/(T273*AZ273)</f>
        <v>95.369033517423432</v>
      </c>
      <c r="AO273" s="39">
        <f>(K273*AZ273)*T273</f>
        <v>15.834550324770358</v>
      </c>
      <c r="AP273" s="39">
        <f>AM273-AO273</f>
        <v>-12.398756840194221</v>
      </c>
      <c r="AQ273">
        <f>(((AH273/10^6)*(Q273/1000))/(0.082056*H273))</f>
        <v>6.2868338699949533E-10</v>
      </c>
      <c r="AR273">
        <f>(((M273/10^6)*AZ273)*(Q273/1000))/(0.082056*H273)</f>
        <v>7.5053267509685325E-10</v>
      </c>
      <c r="AS273">
        <f>(AH273/10^6)*V273*(R273/1000)</f>
        <v>8.1574968353144408E-9</v>
      </c>
      <c r="AT273">
        <f>AQ273+AS273</f>
        <v>8.7861802223139361E-9</v>
      </c>
      <c r="AU273" s="39">
        <f>((AT273-AR273)/(R273/1000))*1000000000</f>
        <v>7.0488136379097224</v>
      </c>
      <c r="AV273" s="39">
        <f>(AU273/1000)/(V273*AZ273)</f>
        <v>0.2659949775882901</v>
      </c>
      <c r="AW273" s="39">
        <f>(M273*AZ273)*V273*1000</f>
        <v>8.5425923564450059</v>
      </c>
      <c r="AX273" s="39">
        <f>AU273-AW273</f>
        <v>-1.4937787185352835</v>
      </c>
      <c r="AY273" s="26">
        <f>VLOOKUP($E273,Water!$C$2:$G$90, 5, FALSE)</f>
        <v>710.6</v>
      </c>
      <c r="AZ273">
        <f>AY273/760</f>
        <v>0.93500000000000005</v>
      </c>
      <c r="BA273" s="3">
        <f>Assumptions!$B$3</f>
        <v>406.07</v>
      </c>
      <c r="BB273" s="3">
        <f>BA273*AZ273*T273</f>
        <v>14.629199949131721</v>
      </c>
      <c r="BC273" s="3">
        <f>Assumptions!$B$4</f>
        <v>1.8474300000000001</v>
      </c>
      <c r="BD273" s="45">
        <f>BC273*AZ273*U273*1/(0.0821*273.15)</f>
        <v>2.6452889652408651E-3</v>
      </c>
      <c r="BE273" s="3">
        <f>Assumptions!$B$2</f>
        <v>0.33054499999999998</v>
      </c>
      <c r="BF273" s="44">
        <f>BE273*AZ273*V273*1000</f>
        <v>8.7593763050262972</v>
      </c>
      <c r="BG273">
        <f>1923.6+(-125.06*F273)+(4.3773*(F273^2))+(-0.085681*(F273^3))+(0.00070284*(F273^4))</f>
        <v>585.40641620249994</v>
      </c>
      <c r="BH273">
        <f>1909.4+(-120.78*F273)+(4.1555*(F273^2))+(-0.080578*(F273^3))+(0.00065777*(F273^4))</f>
        <v>601.73813356062487</v>
      </c>
      <c r="BI273">
        <f>2141.2+(-152.56*F273)+(5.8963*(F273^2))+(-0.12411*(F273^3))+(0.0010655*(F273^4))</f>
        <v>610.59493284374992</v>
      </c>
      <c r="BJ273" s="25">
        <f>VLOOKUP(E273,Wind!$C$2:$E$109,3, FALSE)</f>
        <v>0.97222222222222221</v>
      </c>
      <c r="BK273" s="44">
        <v>1.66</v>
      </c>
      <c r="BL273">
        <f>BK273/(1-(((1.3*10^-3)^0.5)/0.41)*LN(10/1.5))</f>
        <v>1.9923982880693825</v>
      </c>
      <c r="BM273">
        <f>BK273*1.22</f>
        <v>2.0251999999999999</v>
      </c>
      <c r="BN273">
        <f>2.07+0.215*(BM273^1.7)*(24/100)</f>
        <v>2.241255750541113</v>
      </c>
      <c r="BO273">
        <f>BN273*((600/BG273)^0.67)</f>
        <v>2.278537834392937</v>
      </c>
      <c r="BP273">
        <f>BN273*((600/BH273)^0.67)</f>
        <v>2.2369161572053291</v>
      </c>
      <c r="BQ273">
        <f>BN273*((600/BI273)^0.67)</f>
        <v>2.2151243613952487</v>
      </c>
      <c r="BR273" s="39">
        <f>BO273*(AM273-BB273)</f>
        <v>-25.504600125228379</v>
      </c>
      <c r="BS273" s="39">
        <f>BP273*(AD273-BD273)</f>
        <v>4.6567506446295255</v>
      </c>
      <c r="BT273" s="39">
        <f>BQ273*(AU273-BF273)</f>
        <v>-3.7891090356231563</v>
      </c>
      <c r="BU273">
        <f>(2.51+1.48*BM273)+(0.39*BM273*LOG10(0.0015))</f>
        <v>3.2768938069574309</v>
      </c>
      <c r="BV273">
        <f>BU273*((600/$BG273)^0.67)</f>
        <v>3.3314031728140558</v>
      </c>
      <c r="BW273">
        <f>BU273*((600/$BH273)^0.67)</f>
        <v>3.2705489770453111</v>
      </c>
      <c r="BX273">
        <f>BU273*((600/$BI273)^0.67)</f>
        <v>3.2386876418472674</v>
      </c>
      <c r="BY273" s="39">
        <f>BV273*($AM273-$BB273)</f>
        <v>-37.289749810617835</v>
      </c>
      <c r="BZ273" s="39">
        <f>BW273*($AD273-$BD273)</f>
        <v>6.8085390720123433</v>
      </c>
      <c r="CA273" s="39">
        <f>BX273*($AU273-$BF273)</f>
        <v>-5.5399781705957523</v>
      </c>
      <c r="CB273" s="42">
        <f>AVERAGE(0.72,0.69,0.4,0.22)</f>
        <v>0.50750000000000006</v>
      </c>
      <c r="CC273">
        <f>CB273*((600/$BG273)^0.67)</f>
        <v>0.51594198951870296</v>
      </c>
      <c r="CD273">
        <f>CB273*((600/$BH273)^0.67)</f>
        <v>0.50651736175473128</v>
      </c>
      <c r="CE273">
        <f>CB273*((600/$BI273)^0.67)</f>
        <v>0.50158292427656948</v>
      </c>
      <c r="CF273" s="39">
        <f>CC273*($AM273-$BB273)</f>
        <v>-5.7751484008143184</v>
      </c>
      <c r="CG273" s="39">
        <f>CD273*($AD273-$BD273)</f>
        <v>1.0544539379670999</v>
      </c>
      <c r="CH273" s="39">
        <f>CE273*($AU273-$BF273)</f>
        <v>-0.85798902473065963</v>
      </c>
      <c r="CI273">
        <v>96.862639018895294</v>
      </c>
      <c r="CJ273">
        <f>((BG273/BH273)^0.67)*CI273</f>
        <v>95.09326506691157</v>
      </c>
      <c r="CK273">
        <f>((BH273/BH273)^0.67)*CI273</f>
        <v>96.862639018895294</v>
      </c>
      <c r="CL273">
        <f>((BI273/BH273)^0.67)*CI273</f>
        <v>97.815547527289709</v>
      </c>
      <c r="CM273" s="39">
        <f>CJ273*($AM273-$BB273)</f>
        <v>-1064.4175679356656</v>
      </c>
      <c r="CN273" s="39">
        <f>CK273*($AD273-$BD273)</f>
        <v>201.64598267969589</v>
      </c>
      <c r="CO273" s="39">
        <f>CL273*($AU273-$BF273)</f>
        <v>-167.31962386374877</v>
      </c>
      <c r="CP273" s="27">
        <f>VLOOKUP(A273,Water!$A$2:$E$109, 5, FALSE)/1000</f>
        <v>8.9999999999999992E-5</v>
      </c>
      <c r="CQ273">
        <f>0.64*CP273</f>
        <v>5.7599999999999997E-5</v>
      </c>
      <c r="CR273" s="19">
        <f>CQ273*1000*(2.5*10^-5)</f>
        <v>1.44E-6</v>
      </c>
      <c r="CS273" s="18">
        <f>(-0.0000009*F273^3)+(0.0002*F273^2)-(0.0134*F273)+6.579</f>
        <v>6.3805963874999998</v>
      </c>
      <c r="CT273" s="18">
        <f>CS273-(SQRT(CP273))/(1+1.4*SQRT(CP273))</f>
        <v>6.3712339029772247</v>
      </c>
      <c r="CU273" s="18">
        <f>10^(-CT273)</f>
        <v>4.253692554139485E-7</v>
      </c>
      <c r="CV273" s="18">
        <f>(0.000001*F273^3)+(0.00006*F273^2)-(0.014*F273)+10.625</f>
        <v>10.371830125000001</v>
      </c>
      <c r="CW273" s="18">
        <f>CV273-(2*SQRT(CR273))/(1+1.4*SQRT(CR273))</f>
        <v>10.369434150237602</v>
      </c>
      <c r="CX273" s="18">
        <f>10^(-CW273)</f>
        <v>4.2713567884222507E-11</v>
      </c>
      <c r="CY273">
        <f>EXP(1246.98+-61900/H273-183*LN(H273))</f>
        <v>2.4915260008149181E-2</v>
      </c>
      <c r="CZ273">
        <f>12.225*(F273^2)+15.258*F273+1125.7</f>
        <v>6576.0452499999992</v>
      </c>
      <c r="DA273" s="15">
        <f>10^(-4470.99/H273+6.0875-0.01706*H273)</f>
        <v>7.1163342145971668E-15</v>
      </c>
      <c r="DB273">
        <f>(10^-I273)</f>
        <v>1.0000000000000001E-9</v>
      </c>
      <c r="DC273">
        <f>DB273^2</f>
        <v>1.0000000000000001E-18</v>
      </c>
      <c r="DD273" s="20">
        <f>((14.6836*10^-9)*((H273/217.2056)-1)^1.997)*100*100</f>
        <v>1.8244939928067429E-5</v>
      </c>
      <c r="DE273">
        <f>CY273+CZ273*DA273/DB273</f>
        <v>7.1712595817463351E-2</v>
      </c>
      <c r="DF273">
        <f>1+DC273*(CU273*CX273+CU273*DB273)^-1</f>
        <v>1.0022545967587704</v>
      </c>
      <c r="DG273">
        <f>(DE273*DF273/DD273)^0.5</f>
        <v>62.764710657258824</v>
      </c>
      <c r="DH273">
        <f>DD273/(BO273/60/60)</f>
        <v>2.8826286204083205E-2</v>
      </c>
      <c r="DI273" s="16">
        <f>DF273/((DF273-1)+TANH(DG273*DH273)/(DG273*DH273))</f>
        <v>1.9051081138730848</v>
      </c>
      <c r="DJ273">
        <f>$DI273*BR273</f>
        <v>-48.589020639661079</v>
      </c>
      <c r="DK273">
        <f>$DI273*BY273</f>
        <v>-71.041004928505359</v>
      </c>
      <c r="DL273">
        <f>$DI273*CF273</f>
        <v>-11.002282077212527</v>
      </c>
      <c r="DM273">
        <f>$DI273*CM273</f>
        <v>-2027.8305452232919</v>
      </c>
    </row>
    <row r="274" spans="1:117" ht="15.75" x14ac:dyDescent="0.25">
      <c r="A274" s="52" t="s">
        <v>336</v>
      </c>
      <c r="B274" s="55" t="s">
        <v>339</v>
      </c>
      <c r="C274" s="50" t="s">
        <v>575</v>
      </c>
      <c r="D274" s="57">
        <v>43320</v>
      </c>
      <c r="E274" s="42" t="str">
        <f>A274&amp;D274</f>
        <v>4D43320</v>
      </c>
      <c r="F274" s="3">
        <f>VLOOKUP($E274,Water!$C$2:$E$90, 2, FALSE)</f>
        <v>20.399999999999999</v>
      </c>
      <c r="G274" s="3">
        <f>VLOOKUP($E274,Water!$C$2:$E$90, 3, FALSE)</f>
        <v>0.09</v>
      </c>
      <c r="H274" s="1">
        <f>F274+273.15</f>
        <v>293.54999999999995</v>
      </c>
      <c r="I274" s="3">
        <f>VLOOKUP($E274,Water!$C$2:$F$90, 4, FALSE)</f>
        <v>8.99</v>
      </c>
      <c r="J274">
        <f>10^(I274*-1)</f>
        <v>1.0232929922807512E-9</v>
      </c>
      <c r="K274" s="25">
        <v>439.52751160265137</v>
      </c>
      <c r="L274" s="25">
        <v>2.8430237635924795</v>
      </c>
      <c r="M274" s="25">
        <v>0.32236441181786135</v>
      </c>
      <c r="N274" s="21" t="str">
        <f>VLOOKUP($C274,Raw!$B$2:$F$353, 3, FALSE)</f>
        <v>NA</v>
      </c>
      <c r="O274" s="21" t="str">
        <f>VLOOKUP($C274,Raw!$B$2:$F$353, 4, FALSE)</f>
        <v>NA</v>
      </c>
      <c r="P274" s="21" t="str">
        <f>VLOOKUP($C274,Raw!$B$2:$F$353, 5, FALSE)</f>
        <v>NA</v>
      </c>
      <c r="Q274" s="14">
        <v>60</v>
      </c>
      <c r="R274" s="25">
        <v>1140</v>
      </c>
      <c r="S274">
        <f>EXP(24.4543-(100/H274*(67.4509))-(4.8489*LN(H274/100))-(0.000544*G274))</f>
        <v>2.3633866425029699E-2</v>
      </c>
      <c r="T274" s="8">
        <f>EXP(-58.0931+90.5069*(100/H274)+22.294*LN(H274/100)+G274*(0.027766-0.025888*(H274/100)+0.0050578*(H274/100)^2)*G274)</f>
        <v>3.864366013107029E-2</v>
      </c>
      <c r="U274" s="9">
        <f>(EXP(-67.1962+99.1624*(100/H274)+27.9015*LN(H274/100)+G274*(-0.072909+0.041674*(H274/100)-0.0064603*(H274/100)^2)*G274))</f>
        <v>3.4412598556303103E-2</v>
      </c>
      <c r="V274" s="9">
        <f>(EXP(-64.8539+100.252*(100/H274)+25.2049*LN(H274/100)+(-0.062544+0.035337*(H274/100)-0.0054699*(H274/100)^2)*G274))</f>
        <v>2.843184371186799E-2</v>
      </c>
      <c r="W274" s="9">
        <f>(EXP(-68.8862+101.4956*(100/H274)+28.7314*LN(H274/100)+G274*(-0.076146+0.04397*(H274/100)-0.0068672*(H274/100)^2)))</f>
        <v>3.4344225591253177E-2</v>
      </c>
      <c r="X274" t="e">
        <f>N274*(AZ274-S274)</f>
        <v>#VALUE!</v>
      </c>
      <c r="Y274" t="e">
        <f>O274*(AZ274-S274)</f>
        <v>#VALUE!</v>
      </c>
      <c r="Z274" t="e">
        <f>((Y274/10^6)*AZ274)/(0.082056*H274)</f>
        <v>#VALUE!</v>
      </c>
      <c r="AA274">
        <f>(((L274/10^6)*AZ274)/(0.082056*H274))</f>
        <v>1.1037247612168355E-7</v>
      </c>
      <c r="AB274" t="e">
        <f>((Y274/10^6)*U274*1)/(0.082056*H274)</f>
        <v>#VALUE!</v>
      </c>
      <c r="AC274" t="e">
        <f>(Z274*(Q274/1000))+(AB274*(R274/1000))</f>
        <v>#VALUE!</v>
      </c>
      <c r="AD274" s="39" t="e">
        <f>((AC274-(AA274*(Q274/1000)))/(R274/1000))*1000000</f>
        <v>#VALUE!</v>
      </c>
      <c r="AE274" s="39" t="e">
        <f>(AD274/((U274*AZ274*1))*(0.0821*273.15))</f>
        <v>#VALUE!</v>
      </c>
      <c r="AF274" s="39">
        <f>L274*U274*AZ274*1/(0.0821*273.15)</f>
        <v>4.0796820641805405E-3</v>
      </c>
      <c r="AG274" s="39" t="e">
        <f>AD274-AF274</f>
        <v>#VALUE!</v>
      </c>
      <c r="AH274" s="42" t="e">
        <f>P274*(AZ274-S274)</f>
        <v>#VALUE!</v>
      </c>
      <c r="AI274" t="e">
        <f>(((X274/10^6)*(Q274/1000))/(0.082056*H274))</f>
        <v>#VALUE!</v>
      </c>
      <c r="AJ274">
        <f>(((K274/10^6)*AZ274)*(Q274/1000))/(0.082056*H274)</f>
        <v>1.0238058591086822E-6</v>
      </c>
      <c r="AK274" t="e">
        <f>(X274/10^6)*T274*(R274/1000)</f>
        <v>#VALUE!</v>
      </c>
      <c r="AL274" t="e">
        <f>AI274+AK274</f>
        <v>#VALUE!</v>
      </c>
      <c r="AM274" s="39" t="e">
        <f>((AL274-AJ274)/(R274/1000))*1000000</f>
        <v>#VALUE!</v>
      </c>
      <c r="AN274" s="39" t="e">
        <f>AM274/(T274*AZ274)</f>
        <v>#VALUE!</v>
      </c>
      <c r="AO274" s="39">
        <f>(K274*AZ274)*T274</f>
        <v>15.883164773222973</v>
      </c>
      <c r="AP274" s="39" t="e">
        <f>AM274-AO274</f>
        <v>#VALUE!</v>
      </c>
      <c r="AQ274" t="e">
        <f>(((AH274/10^6)*(Q274/1000))/(0.082056*H274))</f>
        <v>#VALUE!</v>
      </c>
      <c r="AR274">
        <f>(((M274/10^6)*AZ274)*(Q274/1000))/(0.082056*H274)</f>
        <v>7.5089400520988822E-10</v>
      </c>
      <c r="AS274" t="e">
        <f>(AH274/10^6)*V274*(R274/1000)</f>
        <v>#VALUE!</v>
      </c>
      <c r="AT274" t="e">
        <f>AQ274+AS274</f>
        <v>#VALUE!</v>
      </c>
      <c r="AU274" s="39" t="e">
        <f>((AT274-AR274)/(R274/1000))*1000000000</f>
        <v>#VALUE!</v>
      </c>
      <c r="AV274" s="39" t="e">
        <f>(AU274/1000)/(V274*AZ274)</f>
        <v>#VALUE!</v>
      </c>
      <c r="AW274" s="39">
        <f>(M274*AZ274)*V274*1000</f>
        <v>8.5708686032958799</v>
      </c>
      <c r="AX274" s="39" t="e">
        <f>AU274-AW274</f>
        <v>#VALUE!</v>
      </c>
      <c r="AY274" s="26">
        <f>VLOOKUP($E274,Water!$C$2:$G$90, 5, FALSE)</f>
        <v>710.7</v>
      </c>
      <c r="AZ274">
        <f>AY274/760</f>
        <v>0.93513157894736854</v>
      </c>
      <c r="BA274" s="3">
        <f>Assumptions!$B$3</f>
        <v>406.07</v>
      </c>
      <c r="BB274" s="3">
        <f>BA274*AZ274*T274</f>
        <v>14.674113790841359</v>
      </c>
      <c r="BC274" s="3">
        <f>Assumptions!$B$4</f>
        <v>1.8474300000000001</v>
      </c>
      <c r="BD274" s="45">
        <f>BC274*AZ274*U274*1/(0.0821*273.15)</f>
        <v>2.6510249869685586E-3</v>
      </c>
      <c r="BE274" s="3">
        <f>Assumptions!$B$2</f>
        <v>0.33054499999999998</v>
      </c>
      <c r="BF274" s="44">
        <f>BE274*AZ274*V274*1000</f>
        <v>8.7883701135010472</v>
      </c>
      <c r="BG274">
        <f>1923.6+(-125.06*F274)+(4.3773*(F274^2))+(-0.085681*(F274^3))+(0.00070284*(F274^4))</f>
        <v>588.35452590950433</v>
      </c>
      <c r="BH274">
        <f>1909.4+(-120.78*F274)+(4.1555*(F274^2))+(-0.080578*(F274^3))+(0.00065777*(F274^4))</f>
        <v>604.67935850931235</v>
      </c>
      <c r="BI274">
        <f>2141.2+(-152.56*F274)+(5.8963*(F274^2))+(-0.12411*(F274^3))+(0.0010655*(F274^4))</f>
        <v>613.66104359680014</v>
      </c>
      <c r="BJ274" s="25">
        <f>VLOOKUP(E274,Wind!$C$2:$E$109,3, FALSE)</f>
        <v>0.3611111111111111</v>
      </c>
      <c r="BK274" s="44">
        <v>1.66</v>
      </c>
      <c r="BL274">
        <f>BK274/(1-(((1.3*10^-3)^0.5)/0.41)*LN(10/1.5))</f>
        <v>1.9923982880693825</v>
      </c>
      <c r="BM274">
        <f>BK274*1.22</f>
        <v>2.0251999999999999</v>
      </c>
      <c r="BN274">
        <f>2.07+0.215*(BM274^1.7)*(24/100)</f>
        <v>2.241255750541113</v>
      </c>
      <c r="BO274">
        <f>BN274*((600/BG274)^0.67)</f>
        <v>2.2708819510915492</v>
      </c>
      <c r="BP274">
        <f>BN274*((600/BH274)^0.67)</f>
        <v>2.2296202924461546</v>
      </c>
      <c r="BQ274">
        <f>BN274*((600/BI274)^0.67)</f>
        <v>2.2077028751998324</v>
      </c>
      <c r="BR274" s="39" t="e">
        <f>BO274*(AM274-BB274)</f>
        <v>#VALUE!</v>
      </c>
      <c r="BS274" s="39" t="e">
        <f>BP274*(AD274-BD274)</f>
        <v>#VALUE!</v>
      </c>
      <c r="BT274" s="39" t="e">
        <f>BQ274*(AU274-BF274)</f>
        <v>#VALUE!</v>
      </c>
      <c r="BU274">
        <f>(2.51+1.48*BM274)+(0.39*BM274*LOG10(0.0015))</f>
        <v>3.2768938069574309</v>
      </c>
      <c r="BV274">
        <f>BU274*((600/$BG274)^0.67)</f>
        <v>3.3202096637417196</v>
      </c>
      <c r="BW274">
        <f>BU274*((600/$BH274)^0.67)</f>
        <v>3.2598818436581616</v>
      </c>
      <c r="BX274">
        <f>BU274*((600/$BI274)^0.67)</f>
        <v>3.2278368399491315</v>
      </c>
      <c r="BY274" s="39" t="e">
        <f>BV274*($AM274-$BB274)</f>
        <v>#VALUE!</v>
      </c>
      <c r="BZ274" s="39" t="e">
        <f>BW274*($AD274-$BD274)</f>
        <v>#VALUE!</v>
      </c>
      <c r="CA274" s="39" t="e">
        <f>BX274*($AU274-$BF274)</f>
        <v>#VALUE!</v>
      </c>
      <c r="CB274" s="42">
        <f>AVERAGE(0.72,0.69,0.4,0.22)</f>
        <v>0.50750000000000006</v>
      </c>
      <c r="CC274">
        <f>CB274*((600/$BG274)^0.67)</f>
        <v>0.51420842529939581</v>
      </c>
      <c r="CD274">
        <f>CB274*((600/$BH274)^0.67)</f>
        <v>0.50486531853548366</v>
      </c>
      <c r="CE274">
        <f>CB274*((600/$BI274)^0.67)</f>
        <v>0.49990243589711325</v>
      </c>
      <c r="CF274" s="39" t="e">
        <f>CC274*($AM274-$BB274)</f>
        <v>#VALUE!</v>
      </c>
      <c r="CG274" s="39" t="e">
        <f>CD274*($AD274-$BD274)</f>
        <v>#VALUE!</v>
      </c>
      <c r="CH274" s="39" t="e">
        <f>CE274*($AU274-$BF274)</f>
        <v>#VALUE!</v>
      </c>
      <c r="CI274">
        <v>97.862639018895294</v>
      </c>
      <c r="CJ274">
        <f>((BG274/BH274)^0.67)*CI274</f>
        <v>96.084486348566401</v>
      </c>
      <c r="CK274">
        <f>((BH274/BH274)^0.67)*CI274</f>
        <v>97.862639018895294</v>
      </c>
      <c r="CL274">
        <f>((BI274/BH274)^0.67)*CI274</f>
        <v>98.834190180194184</v>
      </c>
      <c r="CM274" s="39" t="e">
        <f>CJ274*($AM274-$BB274)</f>
        <v>#VALUE!</v>
      </c>
      <c r="CN274" s="39" t="e">
        <f>CK274*($AD274-$BD274)</f>
        <v>#VALUE!</v>
      </c>
      <c r="CO274" s="39" t="e">
        <f>CL274*($AU274-$BF274)</f>
        <v>#VALUE!</v>
      </c>
      <c r="CP274" s="27">
        <f>VLOOKUP(A274,Water!$A$2:$E$109, 5, FALSE)/1000</f>
        <v>4.0000000000000003E-5</v>
      </c>
      <c r="CQ274">
        <f>0.64*CP274</f>
        <v>2.5600000000000002E-5</v>
      </c>
      <c r="CR274" s="19">
        <f>CQ274*1000*(2.5*10^-5)</f>
        <v>6.4000000000000001E-7</v>
      </c>
      <c r="CS274" s="18">
        <f>(-0.0000009*F274^3)+(0.0002*F274^2)-(0.0134*F274)+6.579</f>
        <v>6.3812313023999998</v>
      </c>
      <c r="CT274" s="18">
        <f>CS274-(SQRT(CP274))/(1+1.4*SQRT(CP274))</f>
        <v>6.374962255586393</v>
      </c>
      <c r="CU274" s="18">
        <f>10^(-CT274)</f>
        <v>4.2173315454800169E-7</v>
      </c>
      <c r="CV274" s="18">
        <f>(0.000001*F274^3)+(0.00006*F274^2)-(0.014*F274)+10.625</f>
        <v>10.372859264000001</v>
      </c>
      <c r="CW274" s="18">
        <f>CV274-(2*SQRT(CR274))/(1+1.4*SQRT(CR274))</f>
        <v>10.371261053995205</v>
      </c>
      <c r="CX274" s="18">
        <f>10^(-CW274)</f>
        <v>4.2534266321032448E-11</v>
      </c>
      <c r="CY274">
        <f>EXP(1246.98+-61900/H274-183*LN(H274))</f>
        <v>2.4680197988455877E-2</v>
      </c>
      <c r="CZ274">
        <f>12.225*(F274^2)+15.258*F274+1125.7</f>
        <v>6524.5191999999997</v>
      </c>
      <c r="DA274" s="15">
        <f>10^(-4470.99/H274+6.0875-0.01706*H274)</f>
        <v>7.0595274385625876E-15</v>
      </c>
      <c r="DB274">
        <f>(10^-I274)</f>
        <v>1.0232929922807512E-9</v>
      </c>
      <c r="DC274">
        <f>DB274^2</f>
        <v>1.0471285480508934E-18</v>
      </c>
      <c r="DD274" s="20">
        <f>((14.6836*10^-9)*((H274/217.2056)-1)^1.997)*100*100</f>
        <v>1.8197308727668175E-5</v>
      </c>
      <c r="DE274">
        <f>CY274+CZ274*DA274/DB274</f>
        <v>6.9691766193538798E-2</v>
      </c>
      <c r="DF274">
        <f>1+DC274*(CU274*CX274+CU274*DB274)^-1</f>
        <v>1.002329568216821</v>
      </c>
      <c r="DG274">
        <f>(DE274*DF274/DD274)^0.5</f>
        <v>61.957291617926472</v>
      </c>
      <c r="DH274">
        <f>DD274/(BO274/60/60)</f>
        <v>2.8847959881012953E-2</v>
      </c>
      <c r="DI274" s="16">
        <f>DF274/((DF274-1)+TANH(DG274*DH274)/(DG274*DH274))</f>
        <v>1.8865038345702612</v>
      </c>
      <c r="DJ274" t="e">
        <f>$DI274*BR274</f>
        <v>#VALUE!</v>
      </c>
      <c r="DK274" t="e">
        <f>$DI274*BY274</f>
        <v>#VALUE!</v>
      </c>
      <c r="DL274" t="e">
        <f>$DI274*CF274</f>
        <v>#VALUE!</v>
      </c>
      <c r="DM274" t="e">
        <f>$DI274*CM274</f>
        <v>#VALUE!</v>
      </c>
    </row>
    <row r="275" spans="1:117" ht="15.75" x14ac:dyDescent="0.25">
      <c r="A275" s="52" t="s">
        <v>336</v>
      </c>
      <c r="B275" s="55" t="s">
        <v>340</v>
      </c>
      <c r="C275" s="50" t="s">
        <v>576</v>
      </c>
      <c r="D275" s="57">
        <v>43320</v>
      </c>
      <c r="E275" s="42" t="str">
        <f>A275&amp;D275</f>
        <v>4D43320</v>
      </c>
      <c r="F275" s="3">
        <f>VLOOKUP($E275,Water!$C$2:$E$90, 2, FALSE)</f>
        <v>20.399999999999999</v>
      </c>
      <c r="G275" s="3">
        <f>VLOOKUP($E275,Water!$C$2:$E$90, 3, FALSE)</f>
        <v>0.09</v>
      </c>
      <c r="H275" s="1">
        <f>F275+273.15</f>
        <v>293.54999999999995</v>
      </c>
      <c r="I275" s="3">
        <f>VLOOKUP($E275,Water!$C$2:$F$90, 4, FALSE)</f>
        <v>8.99</v>
      </c>
      <c r="J275">
        <f>10^(I275*-1)</f>
        <v>1.0232929922807512E-9</v>
      </c>
      <c r="K275" s="25">
        <v>439.52751160265137</v>
      </c>
      <c r="L275" s="25">
        <v>2.8430237635924795</v>
      </c>
      <c r="M275" s="25">
        <v>0.32236441181786135</v>
      </c>
      <c r="N275" s="21">
        <f>VLOOKUP($C275,Raw!$B$2:$F$353, 3, FALSE)</f>
        <v>561.07673460568697</v>
      </c>
      <c r="O275" s="21">
        <f>VLOOKUP($C275,Raw!$B$2:$F$353, 4, FALSE)</f>
        <v>89.607739992164184</v>
      </c>
      <c r="P275" s="21">
        <f>VLOOKUP($C275,Raw!$B$2:$F$353, 5, FALSE)</f>
        <v>0.30099067657555606</v>
      </c>
      <c r="Q275" s="14">
        <v>60</v>
      </c>
      <c r="R275" s="25">
        <v>1140</v>
      </c>
      <c r="S275">
        <f>EXP(24.4543-(100/H275*(67.4509))-(4.8489*LN(H275/100))-(0.000544*G275))</f>
        <v>2.3633866425029699E-2</v>
      </c>
      <c r="T275" s="8">
        <f>EXP(-58.0931+90.5069*(100/H275)+22.294*LN(H275/100)+G275*(0.027766-0.025888*(H275/100)+0.0050578*(H275/100)^2)*G275)</f>
        <v>3.864366013107029E-2</v>
      </c>
      <c r="U275" s="9">
        <f>(EXP(-67.1962+99.1624*(100/H275)+27.9015*LN(H275/100)+G275*(-0.072909+0.041674*(H275/100)-0.0064603*(H275/100)^2)*G275))</f>
        <v>3.4412598556303103E-2</v>
      </c>
      <c r="V275" s="9">
        <f>(EXP(-64.8539+100.252*(100/H275)+25.2049*LN(H275/100)+(-0.062544+0.035337*(H275/100)-0.0054699*(H275/100)^2)*G275))</f>
        <v>2.843184371186799E-2</v>
      </c>
      <c r="W275" s="9">
        <f>(EXP(-68.8862+101.4956*(100/H275)+28.7314*LN(H275/100)+G275*(-0.076146+0.04397*(H275/100)-0.0068672*(H275/100)^2)))</f>
        <v>3.4344225591253177E-2</v>
      </c>
      <c r="X275">
        <f>N275*(AZ275-S275)</f>
        <v>511.42016014258706</v>
      </c>
      <c r="Y275">
        <f>O275*(AZ275-S275)</f>
        <v>81.677250027154145</v>
      </c>
      <c r="Z275">
        <f>((Y275/10^6)*AZ275)/(0.082056*H275)</f>
        <v>3.1708916554800385E-6</v>
      </c>
      <c r="AA275">
        <f>(((L275/10^6)*AZ275)/(0.082056*H275))</f>
        <v>1.1037247612168355E-7</v>
      </c>
      <c r="AB275">
        <f>((Y275/10^6)*U275*1)/(0.082056*H275)</f>
        <v>1.1668798708348122E-7</v>
      </c>
      <c r="AC275">
        <f>(Z275*(Q275/1000))+(AB275*(R275/1000))</f>
        <v>3.2327780460397091E-7</v>
      </c>
      <c r="AD275" s="39">
        <f>((AC275-(AA275*(Q275/1000)))/(R275/1000))*1000000</f>
        <v>0.27776794389181569</v>
      </c>
      <c r="AE275" s="39">
        <f>(AD275/((U275*AZ275*1))*(0.0821*273.15))</f>
        <v>193.56921760697958</v>
      </c>
      <c r="AF275" s="39">
        <f>L275*U275*AZ275*1/(0.0821*273.15)</f>
        <v>4.0796820641805405E-3</v>
      </c>
      <c r="AG275" s="39">
        <f>AD275-AF275</f>
        <v>0.27368826182763517</v>
      </c>
      <c r="AH275" s="42">
        <f>P275*(AZ275-S275)</f>
        <v>0.27435231318917047</v>
      </c>
      <c r="AI275">
        <f>(((X275/10^6)*(Q275/1000))/(0.082056*H275))</f>
        <v>1.2739038995779522E-6</v>
      </c>
      <c r="AJ275">
        <f>(((K275/10^6)*AZ275)*(Q275/1000))/(0.082056*H275)</f>
        <v>1.0238058591086822E-6</v>
      </c>
      <c r="AK275">
        <f>(X275/10^6)*T275*(R275/1000)</f>
        <v>2.2529987412109546E-5</v>
      </c>
      <c r="AL275">
        <f>AI275+AK275</f>
        <v>2.3803891311687497E-5</v>
      </c>
      <c r="AM275" s="39">
        <f>((AL275-AJ275)/(R275/1000))*1000000</f>
        <v>19.982531098753348</v>
      </c>
      <c r="AN275" s="39">
        <f>AM275/(T275*AZ275)</f>
        <v>552.9673899854314</v>
      </c>
      <c r="AO275" s="39">
        <f>(K275*AZ275)*T275</f>
        <v>15.883164773222973</v>
      </c>
      <c r="AP275" s="39">
        <f>AM275-AO275</f>
        <v>4.0993663255303758</v>
      </c>
      <c r="AQ275">
        <f>(((AH275/10^6)*(Q275/1000))/(0.082056*H275))</f>
        <v>6.8338815883299087E-10</v>
      </c>
      <c r="AR275">
        <f>(((M275/10^6)*AZ275)*(Q275/1000))/(0.082056*H275)</f>
        <v>7.5089400520988822E-10</v>
      </c>
      <c r="AS275">
        <f>(AH275/10^6)*V275*(R275/1000)</f>
        <v>8.8923899832657058E-9</v>
      </c>
      <c r="AT275">
        <f>AQ275+AS275</f>
        <v>9.5757781420986968E-9</v>
      </c>
      <c r="AU275" s="39">
        <f>((AT275-AR275)/(R275/1000))*1000000000</f>
        <v>7.7411264358673773</v>
      </c>
      <c r="AV275" s="39">
        <f>(AU275/1000)/(V275*AZ275)</f>
        <v>0.29115644934125673</v>
      </c>
      <c r="AW275" s="39">
        <f>(M275*AZ275)*V275*1000</f>
        <v>8.5708686032958799</v>
      </c>
      <c r="AX275" s="39">
        <f>AU275-AW275</f>
        <v>-0.8297421674285026</v>
      </c>
      <c r="AY275" s="26">
        <f>VLOOKUP($E275,Water!$C$2:$G$90, 5, FALSE)</f>
        <v>710.7</v>
      </c>
      <c r="AZ275">
        <f>AY275/760</f>
        <v>0.93513157894736854</v>
      </c>
      <c r="BA275" s="3">
        <f>Assumptions!$B$3</f>
        <v>406.07</v>
      </c>
      <c r="BB275" s="3">
        <f>BA275*AZ275*T275</f>
        <v>14.674113790841359</v>
      </c>
      <c r="BC275" s="3">
        <f>Assumptions!$B$4</f>
        <v>1.8474300000000001</v>
      </c>
      <c r="BD275" s="45">
        <f>BC275*AZ275*U275*1/(0.0821*273.15)</f>
        <v>2.6510249869685586E-3</v>
      </c>
      <c r="BE275" s="3">
        <f>Assumptions!$B$2</f>
        <v>0.33054499999999998</v>
      </c>
      <c r="BF275" s="44">
        <f>BE275*AZ275*V275*1000</f>
        <v>8.7883701135010472</v>
      </c>
      <c r="BG275">
        <f>1923.6+(-125.06*F275)+(4.3773*(F275^2))+(-0.085681*(F275^3))+(0.00070284*(F275^4))</f>
        <v>588.35452590950433</v>
      </c>
      <c r="BH275">
        <f>1909.4+(-120.78*F275)+(4.1555*(F275^2))+(-0.080578*(F275^3))+(0.00065777*(F275^4))</f>
        <v>604.67935850931235</v>
      </c>
      <c r="BI275">
        <f>2141.2+(-152.56*F275)+(5.8963*(F275^2))+(-0.12411*(F275^3))+(0.0010655*(F275^4))</f>
        <v>613.66104359680014</v>
      </c>
      <c r="BJ275" s="25">
        <f>VLOOKUP(E275,Wind!$C$2:$E$109,3, FALSE)</f>
        <v>0.3611111111111111</v>
      </c>
      <c r="BK275" s="44">
        <v>1.66</v>
      </c>
      <c r="BL275">
        <f>BK275/(1-(((1.3*10^-3)^0.5)/0.41)*LN(10/1.5))</f>
        <v>1.9923982880693825</v>
      </c>
      <c r="BM275">
        <f>BK275*1.22</f>
        <v>2.0251999999999999</v>
      </c>
      <c r="BN275">
        <f>2.07+0.215*(BM275^1.7)*(24/100)</f>
        <v>2.241255750541113</v>
      </c>
      <c r="BO275">
        <f>BN275*((600/BG275)^0.67)</f>
        <v>2.2708819510915492</v>
      </c>
      <c r="BP275">
        <f>BN275*((600/BH275)^0.67)</f>
        <v>2.2296202924461546</v>
      </c>
      <c r="BQ275">
        <f>BN275*((600/BI275)^0.67)</f>
        <v>2.2077028751998324</v>
      </c>
      <c r="BR275" s="39">
        <f>BO275*(AM275-BB275)</f>
        <v>12.054789053399329</v>
      </c>
      <c r="BS275" s="39">
        <f>BP275*(AD275-BD275)</f>
        <v>0.61340626518551022</v>
      </c>
      <c r="BT275" s="39">
        <f>BQ275*(AU275-BF275)</f>
        <v>-2.3120028781466995</v>
      </c>
      <c r="BU275">
        <f>(2.51+1.48*BM275)+(0.39*BM275*LOG10(0.0015))</f>
        <v>3.2768938069574309</v>
      </c>
      <c r="BV275">
        <f>BU275*((600/$BG275)^0.67)</f>
        <v>3.3202096637417196</v>
      </c>
      <c r="BW275">
        <f>BU275*((600/$BH275)^0.67)</f>
        <v>3.2598818436581616</v>
      </c>
      <c r="BX275">
        <f>BU275*((600/$BI275)^0.67)</f>
        <v>3.2278368399491315</v>
      </c>
      <c r="BY275" s="39">
        <f>BV275*($AM275-$BB275)</f>
        <v>17.625058444903193</v>
      </c>
      <c r="BZ275" s="39">
        <f>BW275*($AD275-$BD275)</f>
        <v>0.89684864882108595</v>
      </c>
      <c r="CA275" s="39">
        <f>BX275*($AU275-$BF275)</f>
        <v>-3.3803317230697725</v>
      </c>
      <c r="CB275" s="42">
        <f>AVERAGE(0.72,0.69,0.4,0.22)</f>
        <v>0.50750000000000006</v>
      </c>
      <c r="CC275">
        <f>CB275*((600/$BG275)^0.67)</f>
        <v>0.51420842529939581</v>
      </c>
      <c r="CD275">
        <f>CB275*((600/$BH275)^0.67)</f>
        <v>0.50486531853548366</v>
      </c>
      <c r="CE275">
        <f>CB275*((600/$BI275)^0.67)</f>
        <v>0.49990243589711325</v>
      </c>
      <c r="CF275" s="39">
        <f>CC275*($AM275-$BB275)</f>
        <v>2.729632904733482</v>
      </c>
      <c r="CG275" s="39">
        <f>CD275*($AD275-$BD275)</f>
        <v>0.13889699089739646</v>
      </c>
      <c r="CH275" s="39">
        <f>CE275*($AU275-$BF275)</f>
        <v>-0.52351966542692285</v>
      </c>
      <c r="CI275">
        <v>98.862639018895294</v>
      </c>
      <c r="CJ275">
        <f>((BG275/BH275)^0.67)*CI275</f>
        <v>97.066316465880263</v>
      </c>
      <c r="CK275">
        <f>((BH275/BH275)^0.67)*CI275</f>
        <v>98.862639018895294</v>
      </c>
      <c r="CL275">
        <f>((BI275/BH275)^0.67)*CI275</f>
        <v>99.844117882645691</v>
      </c>
      <c r="CM275" s="39">
        <f>CJ275*($AM275-$BB275)</f>
        <v>515.26851434274135</v>
      </c>
      <c r="CN275" s="39">
        <f>CK275*($AD275-$BD275)</f>
        <v>27.198784641680593</v>
      </c>
      <c r="CO275" s="39">
        <f>CL275*($AU275-$BF275)</f>
        <v>-104.56112120151155</v>
      </c>
      <c r="CP275" s="27">
        <f>VLOOKUP(A275,Water!$A$2:$E$109, 5, FALSE)/1000</f>
        <v>4.0000000000000003E-5</v>
      </c>
      <c r="CQ275">
        <f>0.64*CP275</f>
        <v>2.5600000000000002E-5</v>
      </c>
      <c r="CR275" s="19">
        <f>CQ275*1000*(2.5*10^-5)</f>
        <v>6.4000000000000001E-7</v>
      </c>
      <c r="CS275" s="18">
        <f>(-0.0000009*F275^3)+(0.0002*F275^2)-(0.0134*F275)+6.579</f>
        <v>6.3812313023999998</v>
      </c>
      <c r="CT275" s="18">
        <f>CS275-(SQRT(CP275))/(1+1.4*SQRT(CP275))</f>
        <v>6.374962255586393</v>
      </c>
      <c r="CU275" s="18">
        <f>10^(-CT275)</f>
        <v>4.2173315454800169E-7</v>
      </c>
      <c r="CV275" s="18">
        <f>(0.000001*F275^3)+(0.00006*F275^2)-(0.014*F275)+10.625</f>
        <v>10.372859264000001</v>
      </c>
      <c r="CW275" s="18">
        <f>CV275-(2*SQRT(CR275))/(1+1.4*SQRT(CR275))</f>
        <v>10.371261053995205</v>
      </c>
      <c r="CX275" s="18">
        <f>10^(-CW275)</f>
        <v>4.2534266321032448E-11</v>
      </c>
      <c r="CY275">
        <f>EXP(1246.98+-61900/H275-183*LN(H275))</f>
        <v>2.4680197988455877E-2</v>
      </c>
      <c r="CZ275">
        <f>12.225*(F275^2)+15.258*F275+1125.7</f>
        <v>6524.5191999999997</v>
      </c>
      <c r="DA275" s="15">
        <f>10^(-4470.99/H275+6.0875-0.01706*H275)</f>
        <v>7.0595274385625876E-15</v>
      </c>
      <c r="DB275">
        <f>(10^-I275)</f>
        <v>1.0232929922807512E-9</v>
      </c>
      <c r="DC275">
        <f>DB275^2</f>
        <v>1.0471285480508934E-18</v>
      </c>
      <c r="DD275" s="20">
        <f>((14.6836*10^-9)*((H275/217.2056)-1)^1.997)*100*100</f>
        <v>1.8197308727668175E-5</v>
      </c>
      <c r="DE275">
        <f>CY275+CZ275*DA275/DB275</f>
        <v>6.9691766193538798E-2</v>
      </c>
      <c r="DF275">
        <f>1+DC275*(CU275*CX275+CU275*DB275)^-1</f>
        <v>1.002329568216821</v>
      </c>
      <c r="DG275">
        <f>(DE275*DF275/DD275)^0.5</f>
        <v>61.957291617926472</v>
      </c>
      <c r="DH275">
        <f>DD275/(BO275/60/60)</f>
        <v>2.8847959881012953E-2</v>
      </c>
      <c r="DI275" s="16">
        <f>DF275/((DF275-1)+TANH(DG275*DH275)/(DG275*DH275))</f>
        <v>1.8865038345702612</v>
      </c>
      <c r="DJ275">
        <f>$DI275*BR275</f>
        <v>22.741405774173444</v>
      </c>
      <c r="DK275">
        <f>$DI275*BY275</f>
        <v>33.24974034083484</v>
      </c>
      <c r="DL275">
        <f>$DI275*CF275</f>
        <v>5.1494629417488742</v>
      </c>
      <c r="DM275">
        <f>$DI275*CM275</f>
        <v>972.05602814090321</v>
      </c>
    </row>
    <row r="276" spans="1:117" ht="15.75" x14ac:dyDescent="0.25">
      <c r="A276" s="52" t="s">
        <v>336</v>
      </c>
      <c r="B276" s="55" t="s">
        <v>341</v>
      </c>
      <c r="C276" s="50" t="s">
        <v>577</v>
      </c>
      <c r="D276" s="57">
        <v>43320</v>
      </c>
      <c r="E276" s="42" t="str">
        <f>A276&amp;D276</f>
        <v>4D43320</v>
      </c>
      <c r="F276" s="3">
        <f>VLOOKUP($E276,Water!$C$2:$E$90, 2, FALSE)</f>
        <v>20.399999999999999</v>
      </c>
      <c r="G276" s="3">
        <f>VLOOKUP($E276,Water!$C$2:$E$90, 3, FALSE)</f>
        <v>0.09</v>
      </c>
      <c r="H276" s="1">
        <f>F276+273.15</f>
        <v>293.54999999999995</v>
      </c>
      <c r="I276" s="3">
        <f>VLOOKUP($E276,Water!$C$2:$F$90, 4, FALSE)</f>
        <v>8.99</v>
      </c>
      <c r="J276">
        <f>10^(I276*-1)</f>
        <v>1.0232929922807512E-9</v>
      </c>
      <c r="K276" s="25">
        <v>439.52751160265137</v>
      </c>
      <c r="L276" s="25">
        <v>2.8430237635924795</v>
      </c>
      <c r="M276" s="25">
        <v>0.32236441181786135</v>
      </c>
      <c r="N276" s="21">
        <f>VLOOKUP($C276,Raw!$B$2:$F$353, 3, FALSE)</f>
        <v>526.49211917324658</v>
      </c>
      <c r="O276" s="21">
        <f>VLOOKUP($C276,Raw!$B$2:$F$353, 4, FALSE)</f>
        <v>87.232363630823002</v>
      </c>
      <c r="P276" s="21">
        <f>VLOOKUP($C276,Raw!$B$2:$F$353, 5, FALSE)</f>
        <v>0.29457976895131632</v>
      </c>
      <c r="Q276" s="14">
        <v>60</v>
      </c>
      <c r="R276" s="25">
        <v>1140</v>
      </c>
      <c r="S276">
        <f>EXP(24.4543-(100/H276*(67.4509))-(4.8489*LN(H276/100))-(0.000544*G276))</f>
        <v>2.3633866425029699E-2</v>
      </c>
      <c r="T276" s="8">
        <f>EXP(-58.0931+90.5069*(100/H276)+22.294*LN(H276/100)+G276*(0.027766-0.025888*(H276/100)+0.0050578*(H276/100)^2)*G276)</f>
        <v>3.864366013107029E-2</v>
      </c>
      <c r="U276" s="9">
        <f>(EXP(-67.1962+99.1624*(100/H276)+27.9015*LN(H276/100)+G276*(-0.072909+0.041674*(H276/100)-0.0064603*(H276/100)^2)*G276))</f>
        <v>3.4412598556303103E-2</v>
      </c>
      <c r="V276" s="9">
        <f>(EXP(-64.8539+100.252*(100/H276)+25.2049*LN(H276/100)+(-0.062544+0.035337*(H276/100)-0.0054699*(H276/100)^2)*G276))</f>
        <v>2.843184371186799E-2</v>
      </c>
      <c r="W276" s="9">
        <f>(EXP(-68.8862+101.4956*(100/H276)+28.7314*LN(H276/100)+G276*(-0.076146+0.04397*(H276/100)-0.0068672*(H276/100)^2)))</f>
        <v>3.4344225591253177E-2</v>
      </c>
      <c r="X276">
        <f>N276*(AZ276-S276)</f>
        <v>479.89636228745286</v>
      </c>
      <c r="Y276">
        <f>O276*(AZ276-S276)</f>
        <v>79.512099907412022</v>
      </c>
      <c r="Z276">
        <f>((Y276/10^6)*AZ276)/(0.082056*H276)</f>
        <v>3.0868357348256408E-6</v>
      </c>
      <c r="AA276">
        <f>(((L276/10^6)*AZ276)/(0.082056*H276))</f>
        <v>1.1037247612168355E-7</v>
      </c>
      <c r="AB276">
        <f>((Y276/10^6)*U276*1)/(0.082056*H276)</f>
        <v>1.1359475109521922E-7</v>
      </c>
      <c r="AC276">
        <f>(Z276*(Q276/1000))+(AB276*(R276/1000))</f>
        <v>3.1470816033808832E-7</v>
      </c>
      <c r="AD276" s="39">
        <f>((AC276-(AA276*(Q276/1000)))/(R276/1000))*1000000</f>
        <v>0.27025071207963808</v>
      </c>
      <c r="AE276" s="39">
        <f>(AD276/((U276*AZ276*1))*(0.0821*273.15))</f>
        <v>188.33065530181938</v>
      </c>
      <c r="AF276" s="39">
        <f>L276*U276*AZ276*1/(0.0821*273.15)</f>
        <v>4.0796820641805405E-3</v>
      </c>
      <c r="AG276" s="39">
        <f>AD276-AF276</f>
        <v>0.26617103001545755</v>
      </c>
      <c r="AH276" s="42">
        <f>P276*(AZ276-S276)</f>
        <v>0.26850878555448393</v>
      </c>
      <c r="AI276">
        <f>(((X276/10^6)*(Q276/1000))/(0.082056*H276))</f>
        <v>1.1953808139687221E-6</v>
      </c>
      <c r="AJ276">
        <f>(((K276/10^6)*AZ276)*(Q276/1000))/(0.082056*H276)</f>
        <v>1.0238058591086822E-6</v>
      </c>
      <c r="AK276">
        <f>(X276/10^6)*T276*(R276/1000)</f>
        <v>2.1141245191505564E-5</v>
      </c>
      <c r="AL276">
        <f>AI276+AK276</f>
        <v>2.2336626005474286E-5</v>
      </c>
      <c r="AM276" s="39">
        <f>((AL276-AJ276)/(R276/1000))*1000000</f>
        <v>18.695456268741758</v>
      </c>
      <c r="AN276" s="39">
        <f>AM276/(T276*AZ276)</f>
        <v>517.35076034276051</v>
      </c>
      <c r="AO276" s="39">
        <f>(K276*AZ276)*T276</f>
        <v>15.883164773222973</v>
      </c>
      <c r="AP276" s="39">
        <f>AM276-AO276</f>
        <v>2.8122914955187852</v>
      </c>
      <c r="AQ276">
        <f>(((AH276/10^6)*(Q276/1000))/(0.082056*H276))</f>
        <v>6.6883243103562891E-10</v>
      </c>
      <c r="AR276">
        <f>(((M276/10^6)*AZ276)*(Q276/1000))/(0.082056*H276)</f>
        <v>7.5089400520988822E-10</v>
      </c>
      <c r="AS276">
        <f>(AH276/10^6)*V276*(R276/1000)</f>
        <v>8.7029878018093613E-9</v>
      </c>
      <c r="AT276">
        <f>AQ276+AS276</f>
        <v>9.3718202328449897E-9</v>
      </c>
      <c r="AU276" s="39">
        <f>((AT276-AR276)/(R276/1000))*1000000000</f>
        <v>7.5622159891535983</v>
      </c>
      <c r="AV276" s="39">
        <f>(AU276/1000)/(V276*AZ276)</f>
        <v>0.28442733428974609</v>
      </c>
      <c r="AW276" s="39">
        <f>(M276*AZ276)*V276*1000</f>
        <v>8.5708686032958799</v>
      </c>
      <c r="AX276" s="39">
        <f>AU276-AW276</f>
        <v>-1.0086526141422816</v>
      </c>
      <c r="AY276" s="26">
        <f>VLOOKUP($E276,Water!$C$2:$G$90, 5, FALSE)</f>
        <v>710.7</v>
      </c>
      <c r="AZ276">
        <f>AY276/760</f>
        <v>0.93513157894736854</v>
      </c>
      <c r="BA276" s="3">
        <f>Assumptions!$B$3</f>
        <v>406.07</v>
      </c>
      <c r="BB276" s="3">
        <f>BA276*AZ276*T276</f>
        <v>14.674113790841359</v>
      </c>
      <c r="BC276" s="3">
        <f>Assumptions!$B$4</f>
        <v>1.8474300000000001</v>
      </c>
      <c r="BD276" s="45">
        <f>BC276*AZ276*U276*1/(0.0821*273.15)</f>
        <v>2.6510249869685586E-3</v>
      </c>
      <c r="BE276" s="3">
        <f>Assumptions!$B$2</f>
        <v>0.33054499999999998</v>
      </c>
      <c r="BF276" s="44">
        <f>BE276*AZ276*V276*1000</f>
        <v>8.7883701135010472</v>
      </c>
      <c r="BG276">
        <f>1923.6+(-125.06*F276)+(4.3773*(F276^2))+(-0.085681*(F276^3))+(0.00070284*(F276^4))</f>
        <v>588.35452590950433</v>
      </c>
      <c r="BH276">
        <f>1909.4+(-120.78*F276)+(4.1555*(F276^2))+(-0.080578*(F276^3))+(0.00065777*(F276^4))</f>
        <v>604.67935850931235</v>
      </c>
      <c r="BI276">
        <f>2141.2+(-152.56*F276)+(5.8963*(F276^2))+(-0.12411*(F276^3))+(0.0010655*(F276^4))</f>
        <v>613.66104359680014</v>
      </c>
      <c r="BJ276" s="25">
        <f>VLOOKUP(E276,Wind!$C$2:$E$109,3, FALSE)</f>
        <v>0.3611111111111111</v>
      </c>
      <c r="BK276" s="44">
        <v>1.66</v>
      </c>
      <c r="BL276">
        <f>BK276/(1-(((1.3*10^-3)^0.5)/0.41)*LN(10/1.5))</f>
        <v>1.9923982880693825</v>
      </c>
      <c r="BM276">
        <f>BK276*1.22</f>
        <v>2.0251999999999999</v>
      </c>
      <c r="BN276">
        <f>2.07+0.215*(BM276^1.7)*(24/100)</f>
        <v>2.241255750541113</v>
      </c>
      <c r="BO276">
        <f>BN276*((600/BG276)^0.67)</f>
        <v>2.2708819510915492</v>
      </c>
      <c r="BP276">
        <f>BN276*((600/BH276)^0.67)</f>
        <v>2.2296202924461546</v>
      </c>
      <c r="BQ276">
        <f>BN276*((600/BI276)^0.67)</f>
        <v>2.2077028751998324</v>
      </c>
      <c r="BR276" s="39">
        <f>BO276*(AM276-BB276)</f>
        <v>9.1319940522217831</v>
      </c>
      <c r="BS276" s="39">
        <f>BP276*(AD276-BD276)</f>
        <v>0.59664569259405731</v>
      </c>
      <c r="BT276" s="39">
        <f>BQ276*(AU276-BF276)</f>
        <v>-2.706983985759996</v>
      </c>
      <c r="BU276">
        <f>(2.51+1.48*BM276)+(0.39*BM276*LOG10(0.0015))</f>
        <v>3.2768938069574309</v>
      </c>
      <c r="BV276">
        <f>BU276*((600/$BG276)^0.67)</f>
        <v>3.3202096637417196</v>
      </c>
      <c r="BW276">
        <f>BU276*((600/$BH276)^0.67)</f>
        <v>3.2598818436581616</v>
      </c>
      <c r="BX276">
        <f>BU276*((600/$BI276)^0.67)</f>
        <v>3.2278368399491315</v>
      </c>
      <c r="BY276" s="39">
        <f>BV276*($AM276-$BB276)</f>
        <v>13.351700156339977</v>
      </c>
      <c r="BZ276" s="39">
        <f>BW276*($AD276-$BD276)</f>
        <v>0.87234336132199863</v>
      </c>
      <c r="CA276" s="39">
        <f>BX276*($AU276-$BF276)</f>
        <v>-3.9578254540242641</v>
      </c>
      <c r="CB276" s="42">
        <f>AVERAGE(0.72,0.69,0.4,0.22)</f>
        <v>0.50750000000000006</v>
      </c>
      <c r="CC276">
        <f>CB276*((600/$BG276)^0.67)</f>
        <v>0.51420842529939581</v>
      </c>
      <c r="CD276">
        <f>CB276*((600/$BH276)^0.67)</f>
        <v>0.50486531853548366</v>
      </c>
      <c r="CE276">
        <f>CB276*((600/$BI276)^0.67)</f>
        <v>0.49990243589711325</v>
      </c>
      <c r="CF276" s="39">
        <f>CC276*($AM276-$BB276)</f>
        <v>2.0678081831507344</v>
      </c>
      <c r="CG276" s="39">
        <f>CD276*($AD276-$BD276)</f>
        <v>0.13510180126403634</v>
      </c>
      <c r="CH276" s="39">
        <f>CE276*($AU276-$BF276)</f>
        <v>-0.61295743354658161</v>
      </c>
      <c r="CI276">
        <v>99.862639018895294</v>
      </c>
      <c r="CJ276">
        <f>((BG276/BH276)^0.67)*CI276</f>
        <v>98.048146583194139</v>
      </c>
      <c r="CK276">
        <f>((BH276/BH276)^0.67)*CI276</f>
        <v>99.862639018895294</v>
      </c>
      <c r="CL276">
        <f>((BI276/BH276)^0.67)*CI276</f>
        <v>100.85404558509721</v>
      </c>
      <c r="CM276" s="39">
        <f>CJ276*($AM276-$BB276)</f>
        <v>394.28517673440348</v>
      </c>
      <c r="CN276" s="39">
        <f>CK276*($AD276-$BD276)</f>
        <v>26.723210953704591</v>
      </c>
      <c r="CO276" s="39">
        <f>CL276*($AU276-$BF276)</f>
        <v>-123.66260395129257</v>
      </c>
      <c r="CP276" s="27">
        <f>VLOOKUP(A276,Water!$A$2:$E$109, 5, FALSE)/1000</f>
        <v>4.0000000000000003E-5</v>
      </c>
      <c r="CQ276">
        <f>0.64*CP276</f>
        <v>2.5600000000000002E-5</v>
      </c>
      <c r="CR276" s="19">
        <f>CQ276*1000*(2.5*10^-5)</f>
        <v>6.4000000000000001E-7</v>
      </c>
      <c r="CS276" s="18">
        <f>(-0.0000009*F276^3)+(0.0002*F276^2)-(0.0134*F276)+6.579</f>
        <v>6.3812313023999998</v>
      </c>
      <c r="CT276" s="18">
        <f>CS276-(SQRT(CP276))/(1+1.4*SQRT(CP276))</f>
        <v>6.374962255586393</v>
      </c>
      <c r="CU276" s="18">
        <f>10^(-CT276)</f>
        <v>4.2173315454800169E-7</v>
      </c>
      <c r="CV276" s="18">
        <f>(0.000001*F276^3)+(0.00006*F276^2)-(0.014*F276)+10.625</f>
        <v>10.372859264000001</v>
      </c>
      <c r="CW276" s="18">
        <f>CV276-(2*SQRT(CR276))/(1+1.4*SQRT(CR276))</f>
        <v>10.371261053995205</v>
      </c>
      <c r="CX276" s="18">
        <f>10^(-CW276)</f>
        <v>4.2534266321032448E-11</v>
      </c>
      <c r="CY276">
        <f>EXP(1246.98+-61900/H276-183*LN(H276))</f>
        <v>2.4680197988455877E-2</v>
      </c>
      <c r="CZ276">
        <f>12.225*(F276^2)+15.258*F276+1125.7</f>
        <v>6524.5191999999997</v>
      </c>
      <c r="DA276" s="15">
        <f>10^(-4470.99/H276+6.0875-0.01706*H276)</f>
        <v>7.0595274385625876E-15</v>
      </c>
      <c r="DB276">
        <f>(10^-I276)</f>
        <v>1.0232929922807512E-9</v>
      </c>
      <c r="DC276">
        <f>DB276^2</f>
        <v>1.0471285480508934E-18</v>
      </c>
      <c r="DD276" s="20">
        <f>((14.6836*10^-9)*((H276/217.2056)-1)^1.997)*100*100</f>
        <v>1.8197308727668175E-5</v>
      </c>
      <c r="DE276">
        <f>CY276+CZ276*DA276/DB276</f>
        <v>6.9691766193538798E-2</v>
      </c>
      <c r="DF276">
        <f>1+DC276*(CU276*CX276+CU276*DB276)^-1</f>
        <v>1.002329568216821</v>
      </c>
      <c r="DG276">
        <f>(DE276*DF276/DD276)^0.5</f>
        <v>61.957291617926472</v>
      </c>
      <c r="DH276">
        <f>DD276/(BO276/60/60)</f>
        <v>2.8847959881012953E-2</v>
      </c>
      <c r="DI276" s="16">
        <f>DF276/((DF276-1)+TANH(DG276*DH276)/(DG276*DH276))</f>
        <v>1.8865038345702612</v>
      </c>
      <c r="DJ276">
        <f>$DI276*BR276</f>
        <v>17.227541796789211</v>
      </c>
      <c r="DK276">
        <f>$DI276*BY276</f>
        <v>25.188033542967723</v>
      </c>
      <c r="DL276">
        <f>$DI276*CF276</f>
        <v>3.9009280666696253</v>
      </c>
      <c r="DM276">
        <f>$DI276*CM276</f>
        <v>743.82049782366528</v>
      </c>
    </row>
    <row r="277" spans="1:117" ht="15.75" x14ac:dyDescent="0.25">
      <c r="A277" s="52" t="s">
        <v>336</v>
      </c>
      <c r="B277" s="55" t="s">
        <v>342</v>
      </c>
      <c r="C277" s="50" t="s">
        <v>578</v>
      </c>
      <c r="D277" s="57">
        <v>43320</v>
      </c>
      <c r="E277" s="42" t="str">
        <f>A277&amp;D277</f>
        <v>4D43320</v>
      </c>
      <c r="F277" s="3">
        <f>VLOOKUP($E277,Water!$C$2:$E$90, 2, FALSE)</f>
        <v>20.399999999999999</v>
      </c>
      <c r="G277" s="3">
        <f>VLOOKUP($E277,Water!$C$2:$E$90, 3, FALSE)</f>
        <v>0.09</v>
      </c>
      <c r="H277" s="1">
        <f>F277+273.15</f>
        <v>293.54999999999995</v>
      </c>
      <c r="I277" s="3">
        <f>VLOOKUP($E277,Water!$C$2:$F$90, 4, FALSE)</f>
        <v>8.99</v>
      </c>
      <c r="J277">
        <f>10^(I277*-1)</f>
        <v>1.0232929922807512E-9</v>
      </c>
      <c r="K277" s="25">
        <v>439.52751160265137</v>
      </c>
      <c r="L277" s="25">
        <v>2.8430237635924795</v>
      </c>
      <c r="M277" s="25">
        <v>0.32236441181786135</v>
      </c>
      <c r="N277" s="21">
        <f>VLOOKUP($C277,Raw!$B$2:$F$353, 3, FALSE)</f>
        <v>575.98959877405241</v>
      </c>
      <c r="O277" s="21">
        <f>VLOOKUP($C277,Raw!$B$2:$F$353, 4, FALSE)</f>
        <v>135.72836861372701</v>
      </c>
      <c r="P277" s="21">
        <f>VLOOKUP($C277,Raw!$B$2:$F$353, 5, FALSE)</f>
        <v>0.30285853216043923</v>
      </c>
      <c r="Q277" s="14">
        <v>60</v>
      </c>
      <c r="R277" s="25">
        <v>1140</v>
      </c>
      <c r="S277">
        <f>EXP(24.4543-(100/H277*(67.4509))-(4.8489*LN(H277/100))-(0.000544*G277))</f>
        <v>2.3633866425029699E-2</v>
      </c>
      <c r="T277" s="8">
        <f>EXP(-58.0931+90.5069*(100/H277)+22.294*LN(H277/100)+G277*(0.027766-0.025888*(H277/100)+0.0050578*(H277/100)^2)*G277)</f>
        <v>3.864366013107029E-2</v>
      </c>
      <c r="U277" s="9">
        <f>(EXP(-67.1962+99.1624*(100/H277)+27.9015*LN(H277/100)+G277*(-0.072909+0.041674*(H277/100)-0.0064603*(H277/100)^2)*G277))</f>
        <v>3.4412598556303103E-2</v>
      </c>
      <c r="V277" s="9">
        <f>(EXP(-64.8539+100.252*(100/H277)+25.2049*LN(H277/100)+(-0.062544+0.035337*(H277/100)-0.0054699*(H277/100)^2)*G277))</f>
        <v>2.843184371186799E-2</v>
      </c>
      <c r="W277" s="9">
        <f>(EXP(-68.8862+101.4956*(100/H277)+28.7314*LN(H277/100)+G277*(-0.076146+0.04397*(H277/100)-0.0068672*(H277/100)^2)))</f>
        <v>3.4344225591253177E-2</v>
      </c>
      <c r="X277">
        <f>N277*(AZ277-S277)</f>
        <v>525.0132017192085</v>
      </c>
      <c r="Y277">
        <f>O277*(AZ277-S277)</f>
        <v>123.71609751580098</v>
      </c>
      <c r="Z277">
        <f>((Y277/10^6)*AZ277)/(0.082056*H277)</f>
        <v>4.8029327766420701E-6</v>
      </c>
      <c r="AA277">
        <f>(((L277/10^6)*AZ277)/(0.082056*H277))</f>
        <v>1.1037247612168355E-7</v>
      </c>
      <c r="AB277">
        <f>((Y277/10^6)*U277*1)/(0.082056*H277)</f>
        <v>1.7674667528770964E-7</v>
      </c>
      <c r="AC277">
        <f>(Z277*(Q277/1000))+(AB277*(R277/1000))</f>
        <v>4.8966717642651316E-7</v>
      </c>
      <c r="AD277" s="39">
        <f>((AC277-(AA277*(Q277/1000)))/(R277/1000))*1000000</f>
        <v>0.42372353320983525</v>
      </c>
      <c r="AE277" s="39">
        <f>(AD277/((U277*AZ277*1))*(0.0821*273.15))</f>
        <v>295.28185166333554</v>
      </c>
      <c r="AF277" s="39">
        <f>L277*U277*AZ277*1/(0.0821*273.15)</f>
        <v>4.0796820641805405E-3</v>
      </c>
      <c r="AG277" s="39">
        <f>AD277-AF277</f>
        <v>0.41964385114565472</v>
      </c>
      <c r="AH277" s="42">
        <f>P277*(AZ277-S277)</f>
        <v>0.27605485928211354</v>
      </c>
      <c r="AI277">
        <f>(((X277/10^6)*(Q277/1000))/(0.082056*H277))</f>
        <v>1.3077630041286123E-6</v>
      </c>
      <c r="AJ277">
        <f>(((K277/10^6)*AZ277)*(Q277/1000))/(0.082056*H277)</f>
        <v>1.0238058591086822E-6</v>
      </c>
      <c r="AK277">
        <f>(X277/10^6)*T277*(R277/1000)</f>
        <v>2.3128812173980836E-5</v>
      </c>
      <c r="AL277">
        <f>AI277+AK277</f>
        <v>2.4436575178109447E-5</v>
      </c>
      <c r="AM277" s="39">
        <f>((AL277-AJ277)/(R277/1000))*1000000</f>
        <v>20.537516946491902</v>
      </c>
      <c r="AN277" s="39">
        <f>AM277/(T277*AZ277)</f>
        <v>568.32525802458019</v>
      </c>
      <c r="AO277" s="39">
        <f>(K277*AZ277)*T277</f>
        <v>15.883164773222973</v>
      </c>
      <c r="AP277" s="39">
        <f>AM277-AO277</f>
        <v>4.6543521732689292</v>
      </c>
      <c r="AQ277">
        <f>(((AH277/10^6)*(Q277/1000))/(0.082056*H277))</f>
        <v>6.8762905560641227E-10</v>
      </c>
      <c r="AR277">
        <f>(((M277/10^6)*AZ277)*(Q277/1000))/(0.082056*H277)</f>
        <v>7.5089400520988822E-10</v>
      </c>
      <c r="AS277">
        <f>(AH277/10^6)*V277*(R277/1000)</f>
        <v>8.9475734211122695E-9</v>
      </c>
      <c r="AT277">
        <f>AQ277+AS277</f>
        <v>9.6352024767186823E-9</v>
      </c>
      <c r="AU277" s="39">
        <f>((AT277-AR277)/(R277/1000))*1000000000</f>
        <v>7.7932530451831532</v>
      </c>
      <c r="AV277" s="39">
        <f>(AU277/1000)/(V277*AZ277)</f>
        <v>0.29311701652877348</v>
      </c>
      <c r="AW277" s="39">
        <f>(M277*AZ277)*V277*1000</f>
        <v>8.5708686032958799</v>
      </c>
      <c r="AX277" s="39">
        <f>AU277-AW277</f>
        <v>-0.77761555811272665</v>
      </c>
      <c r="AY277" s="26">
        <f>VLOOKUP($E277,Water!$C$2:$G$90, 5, FALSE)</f>
        <v>710.7</v>
      </c>
      <c r="AZ277">
        <f>AY277/760</f>
        <v>0.93513157894736854</v>
      </c>
      <c r="BA277" s="3">
        <f>Assumptions!$B$3</f>
        <v>406.07</v>
      </c>
      <c r="BB277" s="3">
        <f>BA277*AZ277*T277</f>
        <v>14.674113790841359</v>
      </c>
      <c r="BC277" s="3">
        <f>Assumptions!$B$4</f>
        <v>1.8474300000000001</v>
      </c>
      <c r="BD277" s="45">
        <f>BC277*AZ277*U277*1/(0.0821*273.15)</f>
        <v>2.6510249869685586E-3</v>
      </c>
      <c r="BE277" s="3">
        <f>Assumptions!$B$2</f>
        <v>0.33054499999999998</v>
      </c>
      <c r="BF277" s="44">
        <f>BE277*AZ277*V277*1000</f>
        <v>8.7883701135010472</v>
      </c>
      <c r="BG277">
        <f>1923.6+(-125.06*F277)+(4.3773*(F277^2))+(-0.085681*(F277^3))+(0.00070284*(F277^4))</f>
        <v>588.35452590950433</v>
      </c>
      <c r="BH277">
        <f>1909.4+(-120.78*F277)+(4.1555*(F277^2))+(-0.080578*(F277^3))+(0.00065777*(F277^4))</f>
        <v>604.67935850931235</v>
      </c>
      <c r="BI277">
        <f>2141.2+(-152.56*F277)+(5.8963*(F277^2))+(-0.12411*(F277^3))+(0.0010655*(F277^4))</f>
        <v>613.66104359680014</v>
      </c>
      <c r="BJ277" s="25">
        <f>VLOOKUP(E277,Wind!$C$2:$E$109,3, FALSE)</f>
        <v>0.3611111111111111</v>
      </c>
      <c r="BK277" s="44">
        <v>1.66</v>
      </c>
      <c r="BL277">
        <f>BK277/(1-(((1.3*10^-3)^0.5)/0.41)*LN(10/1.5))</f>
        <v>1.9923982880693825</v>
      </c>
      <c r="BM277">
        <f>BK277*1.22</f>
        <v>2.0251999999999999</v>
      </c>
      <c r="BN277">
        <f>2.07+0.215*(BM277^1.7)*(24/100)</f>
        <v>2.241255750541113</v>
      </c>
      <c r="BO277">
        <f>BN277*((600/BG277)^0.67)</f>
        <v>2.2708819510915492</v>
      </c>
      <c r="BP277">
        <f>BN277*((600/BH277)^0.67)</f>
        <v>2.2296202924461546</v>
      </c>
      <c r="BQ277">
        <f>BN277*((600/BI277)^0.67)</f>
        <v>2.2077028751998324</v>
      </c>
      <c r="BR277" s="39">
        <f>BO277*(AM277-BB277)</f>
        <v>13.315096398140051</v>
      </c>
      <c r="BS277" s="39">
        <f>BP277*(AD277-BD277)</f>
        <v>0.93883180892490381</v>
      </c>
      <c r="BT277" s="39">
        <f>BQ277*(AU277-BF277)</f>
        <v>-2.1969228128858429</v>
      </c>
      <c r="BU277">
        <f>(2.51+1.48*BM277)+(0.39*BM277*LOG10(0.0015))</f>
        <v>3.2768938069574309</v>
      </c>
      <c r="BV277">
        <f>BU277*((600/$BG277)^0.67)</f>
        <v>3.3202096637417196</v>
      </c>
      <c r="BW277">
        <f>BU277*((600/$BH277)^0.67)</f>
        <v>3.2598818436581616</v>
      </c>
      <c r="BX277">
        <f>BU277*((600/$BI277)^0.67)</f>
        <v>3.2278368399491315</v>
      </c>
      <c r="BY277" s="39">
        <f>BV277*($AM277-$BB277)</f>
        <v>19.467727819804626</v>
      </c>
      <c r="BZ277" s="39">
        <f>BW277*($AD277-$BD277)</f>
        <v>1.3726466244193249</v>
      </c>
      <c r="CA277" s="39">
        <f>BX277*($AU277-$BF277)</f>
        <v>-3.212075533178675</v>
      </c>
      <c r="CB277" s="42">
        <f>AVERAGE(0.72,0.69,0.4,0.22)</f>
        <v>0.50750000000000006</v>
      </c>
      <c r="CC277">
        <f>CB277*((600/$BG277)^0.67)</f>
        <v>0.51420842529939581</v>
      </c>
      <c r="CD277">
        <f>CB277*((600/$BH277)^0.67)</f>
        <v>0.50486531853548366</v>
      </c>
      <c r="CE277">
        <f>CB277*((600/$BI277)^0.67)</f>
        <v>0.49990243589711325</v>
      </c>
      <c r="CF277" s="39">
        <f>CC277*($AM277-$BB277)</f>
        <v>3.0150113035625741</v>
      </c>
      <c r="CG277" s="39">
        <f>CD277*($AD277-$BD277)</f>
        <v>0.21258490599047264</v>
      </c>
      <c r="CH277" s="39">
        <f>CE277*($AU277-$BF277)</f>
        <v>-0.49746144645490931</v>
      </c>
      <c r="CI277">
        <v>100.862639018895</v>
      </c>
      <c r="CJ277">
        <f>((BG277/BH277)^0.67)*CI277</f>
        <v>99.029976700507703</v>
      </c>
      <c r="CK277">
        <f>((BH277/BH277)^0.67)*CI277</f>
        <v>100.862639018895</v>
      </c>
      <c r="CL277">
        <f>((BI277/BH277)^0.67)*CI277</f>
        <v>101.8639732875484</v>
      </c>
      <c r="CM277" s="39">
        <f>CJ277*($AM277-$BB277)</f>
        <v>580.65267788975666</v>
      </c>
      <c r="CN277" s="39">
        <f>CK277*($AD277-$BD277)</f>
        <v>42.470484397663697</v>
      </c>
      <c r="CO277" s="39">
        <f>CL277*($AU277-$BF277)</f>
        <v>-101.36657846511744</v>
      </c>
      <c r="CP277" s="27">
        <f>VLOOKUP(A277,Water!$A$2:$E$109, 5, FALSE)/1000</f>
        <v>4.0000000000000003E-5</v>
      </c>
      <c r="CQ277">
        <f>0.64*CP277</f>
        <v>2.5600000000000002E-5</v>
      </c>
      <c r="CR277" s="19">
        <f>CQ277*1000*(2.5*10^-5)</f>
        <v>6.4000000000000001E-7</v>
      </c>
      <c r="CS277" s="18">
        <f>(-0.0000009*F277^3)+(0.0002*F277^2)-(0.0134*F277)+6.579</f>
        <v>6.3812313023999998</v>
      </c>
      <c r="CT277" s="18">
        <f>CS277-(SQRT(CP277))/(1+1.4*SQRT(CP277))</f>
        <v>6.374962255586393</v>
      </c>
      <c r="CU277" s="18">
        <f>10^(-CT277)</f>
        <v>4.2173315454800169E-7</v>
      </c>
      <c r="CV277" s="18">
        <f>(0.000001*F277^3)+(0.00006*F277^2)-(0.014*F277)+10.625</f>
        <v>10.372859264000001</v>
      </c>
      <c r="CW277" s="18">
        <f>CV277-(2*SQRT(CR277))/(1+1.4*SQRT(CR277))</f>
        <v>10.371261053995205</v>
      </c>
      <c r="CX277" s="18">
        <f>10^(-CW277)</f>
        <v>4.2534266321032448E-11</v>
      </c>
      <c r="CY277">
        <f>EXP(1246.98+-61900/H277-183*LN(H277))</f>
        <v>2.4680197988455877E-2</v>
      </c>
      <c r="CZ277">
        <f>12.225*(F277^2)+15.258*F277+1125.7</f>
        <v>6524.5191999999997</v>
      </c>
      <c r="DA277" s="15">
        <f>10^(-4470.99/H277+6.0875-0.01706*H277)</f>
        <v>7.0595274385625876E-15</v>
      </c>
      <c r="DB277">
        <f>(10^-I277)</f>
        <v>1.0232929922807512E-9</v>
      </c>
      <c r="DC277">
        <f>DB277^2</f>
        <v>1.0471285480508934E-18</v>
      </c>
      <c r="DD277" s="20">
        <f>((14.6836*10^-9)*((H277/217.2056)-1)^1.997)*100*100</f>
        <v>1.8197308727668175E-5</v>
      </c>
      <c r="DE277">
        <f>CY277+CZ277*DA277/DB277</f>
        <v>6.9691766193538798E-2</v>
      </c>
      <c r="DF277">
        <f>1+DC277*(CU277*CX277+CU277*DB277)^-1</f>
        <v>1.002329568216821</v>
      </c>
      <c r="DG277">
        <f>(DE277*DF277/DD277)^0.5</f>
        <v>61.957291617926472</v>
      </c>
      <c r="DH277">
        <f>DD277/(BO277/60/60)</f>
        <v>2.8847959881012953E-2</v>
      </c>
      <c r="DI277" s="16">
        <f>DF277/((DF277-1)+TANH(DG277*DH277)/(DG277*DH277))</f>
        <v>1.8865038345702612</v>
      </c>
      <c r="DJ277">
        <f>$DI277*BR277</f>
        <v>25.118980412763879</v>
      </c>
      <c r="DK277">
        <f>$DI277*BY277</f>
        <v>36.725943182431578</v>
      </c>
      <c r="DL277">
        <f>$DI277*CF277</f>
        <v>5.687830385443478</v>
      </c>
      <c r="DM277">
        <f>$DI277*CM277</f>
        <v>1095.4035033925165</v>
      </c>
    </row>
    <row r="278" spans="1:117" ht="15.75" x14ac:dyDescent="0.25">
      <c r="A278" s="52" t="s">
        <v>478</v>
      </c>
      <c r="B278" t="s">
        <v>339</v>
      </c>
      <c r="C278" s="68" t="s">
        <v>501</v>
      </c>
      <c r="D278" s="65">
        <v>43370</v>
      </c>
      <c r="E278" s="42" t="str">
        <f>A278&amp;D278</f>
        <v>23A43370</v>
      </c>
      <c r="F278" s="3">
        <f>VLOOKUP($E278,Water!$C$2:$E$90, 2, FALSE)</f>
        <v>7.6</v>
      </c>
      <c r="G278" s="3">
        <f>VLOOKUP($E278,Water!$C$2:$E$90, 3, FALSE)</f>
        <v>0.11</v>
      </c>
      <c r="H278" s="1">
        <f>F278+273.15</f>
        <v>280.75</v>
      </c>
      <c r="I278" s="3">
        <f>VLOOKUP($E278,Water!$C$2:$F$90, 4, FALSE)</f>
        <v>9.31</v>
      </c>
      <c r="J278">
        <f>10^(I278*-1)</f>
        <v>4.8977881936844456E-10</v>
      </c>
      <c r="K278" s="25">
        <f>VLOOKUP($E278,Atm!$D$2:$G$100, 2, FALSE)</f>
        <v>455.81548365394713</v>
      </c>
      <c r="L278" s="25">
        <f>VLOOKUP($E278,Atm!$D$2:$G$100, 3, FALSE)</f>
        <v>2.1174285952504839</v>
      </c>
      <c r="M278" s="25">
        <f>VLOOKUP($E278,Atm!$D$2:$G$100, 4, FALSE)</f>
        <v>0.30024551436183244</v>
      </c>
      <c r="N278" s="21">
        <f>VLOOKUP($C278,Raw!$B$2:$F$353, 3, FALSE)</f>
        <v>362.24935468497779</v>
      </c>
      <c r="O278" s="21">
        <f>VLOOKUP($C278,Raw!$B$2:$F$353, 4, FALSE)</f>
        <v>30.176155874095841</v>
      </c>
      <c r="P278" s="21">
        <f>VLOOKUP($C278,Raw!$B$2:$F$353, 5, FALSE)</f>
        <v>0.27503009347504626</v>
      </c>
      <c r="Q278" s="14">
        <v>60</v>
      </c>
      <c r="R278" s="25">
        <v>1140</v>
      </c>
      <c r="S278">
        <f>EXP(24.4543-(100/H278*(67.4509))-(4.8489*LN(H278/100))-(0.000544*G278))</f>
        <v>1.0290789802945944E-2</v>
      </c>
      <c r="T278" s="8">
        <f>EXP(-58.0931+90.5069*(100/H278)+22.294*LN(H278/100)+G278*(0.027766-0.025888*(H278/100)+0.0050578*(H278/100)^2)*G278)</f>
        <v>5.8329502454650545E-2</v>
      </c>
      <c r="U278" s="9">
        <f>(EXP(-67.1962+99.1624*(100/H278)+27.9015*LN(H278/100)+G278*(-0.072909+0.041674*(H278/100)-0.0064603*(H278/100)^2)*G278))</f>
        <v>4.6273495110973603E-2</v>
      </c>
      <c r="V278" s="9">
        <f>(EXP(-64.8539+100.252*(100/H278)+25.2049*LN(H278/100)+(-0.062544+0.035337*(H278/100)-0.0054699*(H278/100)^2)*G278))</f>
        <v>4.3845002062210967E-2</v>
      </c>
      <c r="W278" s="9">
        <f>(EXP(-68.8862+101.4956*(100/H278)+28.7314*LN(H278/100)+G278*(-0.076146+0.04397*(H278/100)-0.0068672*(H278/100)^2)))</f>
        <v>4.6139143992651191E-2</v>
      </c>
      <c r="X278">
        <f>N278*(AZ278-S278)</f>
        <v>335.78560927430209</v>
      </c>
      <c r="Y278">
        <f>O278*(AZ278-S278)</f>
        <v>27.971668561152519</v>
      </c>
      <c r="Z278">
        <f>((Y278/10^6)*AZ278)/(0.082056*H278)</f>
        <v>1.1379878316348063E-6</v>
      </c>
      <c r="AA278">
        <f>(((L278/10^6)*AZ278)/(0.082056*H278))</f>
        <v>8.6144591999675438E-8</v>
      </c>
      <c r="AB278">
        <f>((Y278/10^6)*U278*1)/(0.082056*H278)</f>
        <v>5.6185023889176616E-8</v>
      </c>
      <c r="AC278">
        <f>(Z278*(Q278/1000))+(AB278*(R278/1000))</f>
        <v>1.3233019713174972E-7</v>
      </c>
      <c r="AD278" s="39">
        <f>((AC278-(AA278*(Q278/1000)))/(R278/1000))*1000000</f>
        <v>0.11154519439628877</v>
      </c>
      <c r="AE278" s="39">
        <f>(AD278/((U278*AZ278*1))*(0.0821*273.15))</f>
        <v>57.678448656884953</v>
      </c>
      <c r="AF278" s="39">
        <f>L278*U278*AZ278*1/(0.0821*273.15)</f>
        <v>4.0949260907224925E-3</v>
      </c>
      <c r="AG278" s="39">
        <f>AD278-AF278</f>
        <v>0.10745026830556627</v>
      </c>
      <c r="AH278" s="42">
        <f>P278*(AZ278-S278)</f>
        <v>0.25493805941103143</v>
      </c>
      <c r="AI278">
        <f>(((X278/10^6)*(Q278/1000))/(0.082056*H278))</f>
        <v>8.7454713751762792E-7</v>
      </c>
      <c r="AJ278">
        <f>(((K278/10^6)*AZ278)*(Q278/1000))/(0.082056*H278)</f>
        <v>1.1126525528534003E-6</v>
      </c>
      <c r="AK278">
        <f>(X278/10^6)*T278*(R278/1000)</f>
        <v>2.2328276573257976E-5</v>
      </c>
      <c r="AL278">
        <f>AI278+AK278</f>
        <v>2.3202823710775602E-5</v>
      </c>
      <c r="AM278" s="39">
        <f>((AL278-AJ278)/(R278/1000))*1000000</f>
        <v>19.377343120984392</v>
      </c>
      <c r="AN278" s="39">
        <f>AM278/(T278*AZ278)</f>
        <v>354.45132610209117</v>
      </c>
      <c r="AO278" s="39">
        <f>(K278*AZ278)*T278</f>
        <v>24.918775516376538</v>
      </c>
      <c r="AP278" s="39">
        <f>AM278-AO278</f>
        <v>-5.541432395392146</v>
      </c>
      <c r="AQ278">
        <f>(((AH278/10^6)*(Q278/1000))/(0.082056*H278))</f>
        <v>6.639812545393662E-10</v>
      </c>
      <c r="AR278">
        <f>(((M278/10^6)*AZ278)*(Q278/1000))/(0.082056*H278)</f>
        <v>7.3290388329830984E-10</v>
      </c>
      <c r="AS278">
        <f>(AH278/10^6)*V278*(R278/1000)</f>
        <v>1.2742646104298517E-8</v>
      </c>
      <c r="AT278">
        <f>AQ278+AS278</f>
        <v>1.3406627358837884E-8</v>
      </c>
      <c r="AU278" s="39">
        <f>((AT278-AR278)/(R278/1000))*1000000000</f>
        <v>11.117301294332961</v>
      </c>
      <c r="AV278" s="39">
        <f>(AU278/1000)/(V278*AZ278)</f>
        <v>0.27053903021371473</v>
      </c>
      <c r="AW278" s="39">
        <f>(M278*AZ278)*V278*1000</f>
        <v>12.338034341276545</v>
      </c>
      <c r="AX278" s="39">
        <f>AU278-AW278</f>
        <v>-1.2207330469435842</v>
      </c>
      <c r="AY278" s="26">
        <f>VLOOKUP($E278,Water!$C$2:$G$90, 5, FALSE)</f>
        <v>712.3</v>
      </c>
      <c r="AZ278">
        <f>AY278/760</f>
        <v>0.93723684210526315</v>
      </c>
      <c r="BA278" s="3">
        <f>Assumptions!$B$3</f>
        <v>406.07</v>
      </c>
      <c r="BB278" s="3">
        <f>BA278*AZ278*T278</f>
        <v>22.199261624067908</v>
      </c>
      <c r="BC278" s="3">
        <f>Assumptions!$B$4</f>
        <v>1.8474300000000001</v>
      </c>
      <c r="BD278" s="45">
        <f>BC278*AZ278*U278*1/(0.0821*273.15)</f>
        <v>3.5727718633593556E-3</v>
      </c>
      <c r="BE278" s="3">
        <f>Assumptions!$B$2</f>
        <v>0.33054499999999998</v>
      </c>
      <c r="BF278" s="44">
        <f>BE278*AZ278*V278*1000</f>
        <v>13.583135688156979</v>
      </c>
      <c r="BG278">
        <f>1923.6+(-125.06*F278)+(4.3773*(F278^2))+(-0.085681*(F278^3))+(0.00070284*(F278^4))</f>
        <v>1190.7097725219837</v>
      </c>
      <c r="BH278">
        <f>1909.4+(-120.78*F278)+(4.1555*(F278^2))+(-0.080578*(F278^3))+(0.00065777*(F278^4))</f>
        <v>1198.3163357227522</v>
      </c>
      <c r="BI278">
        <f>2141.2+(-152.56*F278)+(5.8963*(F278^2))+(-0.12411*(F278^3))+(0.0010655*(F278^4))</f>
        <v>1271.3877164927999</v>
      </c>
      <c r="BJ278" s="25">
        <f>VLOOKUP(E278,Wind!$C$2:$E$109,3, FALSE)</f>
        <v>3.2222222222222223</v>
      </c>
      <c r="BK278" s="44">
        <v>1.66</v>
      </c>
      <c r="BL278">
        <f>BK278/(1-(((1.3*10^-3)^0.5)/0.41)*LN(10/1.5))</f>
        <v>1.9923982880693825</v>
      </c>
      <c r="BM278">
        <f>BK278*1.22</f>
        <v>2.0251999999999999</v>
      </c>
      <c r="BN278">
        <f>2.07+0.215*(BM278^1.7)*(24/100)</f>
        <v>2.241255750541113</v>
      </c>
      <c r="BO278">
        <f>BN278*((600/BG278)^0.67)</f>
        <v>1.4159984877779184</v>
      </c>
      <c r="BP278">
        <f>BN278*((600/BH278)^0.67)</f>
        <v>1.409969970584954</v>
      </c>
      <c r="BQ278">
        <f>BN278*((600/BI278)^0.67)</f>
        <v>1.3551472469416663</v>
      </c>
      <c r="BR278" s="39">
        <f>BO278*(AM278-BB278)</f>
        <v>-3.9958323329987864</v>
      </c>
      <c r="BS278" s="39">
        <f>BP278*(AD278-BD278)</f>
        <v>0.1522378734227407</v>
      </c>
      <c r="BT278" s="39">
        <f>BQ278*(AU278-BF278)</f>
        <v>-3.3415686902046904</v>
      </c>
      <c r="BU278">
        <f>(2.51+1.48*BM278)+(0.39*BM278*LOG10(0.0015))</f>
        <v>3.2768938069574309</v>
      </c>
      <c r="BV278">
        <f>BU278*((600/$BG278)^0.67)</f>
        <v>2.0703021840056763</v>
      </c>
      <c r="BW278">
        <f>BU278*((600/$BH278)^0.67)</f>
        <v>2.0614880133560343</v>
      </c>
      <c r="BX278">
        <f>BU278*((600/$BI278)^0.67)</f>
        <v>1.9813328398360757</v>
      </c>
      <c r="BY278" s="39">
        <f>BV278*($AM278-$BB278)</f>
        <v>-5.8422240400198326</v>
      </c>
      <c r="BZ278" s="39">
        <f>BW278*($AD278-$BD278)</f>
        <v>0.22258385482464696</v>
      </c>
      <c r="CA278" s="39">
        <f>BX278*($AU278-$BF278)</f>
        <v>-4.8856386620808099</v>
      </c>
      <c r="CB278" s="42">
        <f>AVERAGE(0.72,0.69,0.4,0.22)</f>
        <v>0.50750000000000006</v>
      </c>
      <c r="CC278">
        <f>CB278*((600/$BG278)^0.67)</f>
        <v>0.32063240992189102</v>
      </c>
      <c r="CD278">
        <f>CB278*((600/$BH278)^0.67)</f>
        <v>0.31926733925796041</v>
      </c>
      <c r="CE278">
        <f>CB278*((600/$BI278)^0.67)</f>
        <v>0.30685352515296538</v>
      </c>
      <c r="CF278" s="39">
        <f>CC278*($AM278-$BB278)</f>
        <v>-0.90479853024684309</v>
      </c>
      <c r="CG278" s="39">
        <f>CD278*($AD278-$BD278)</f>
        <v>3.4472068055324621E-2</v>
      </c>
      <c r="CH278" s="39">
        <f>CE278*($AU278-$BF278)</f>
        <v>-0.75664997618832541</v>
      </c>
      <c r="CI278">
        <v>101.862639018895</v>
      </c>
      <c r="CJ278">
        <f>((BG278/BH278)^0.67)*CI278</f>
        <v>101.4289657657478</v>
      </c>
      <c r="CK278">
        <f>((BH278/BH278)^0.67)*CI278</f>
        <v>101.862639018895</v>
      </c>
      <c r="CL278">
        <f>((BI278/BH278)^0.67)*CI278</f>
        <v>105.98351025345039</v>
      </c>
      <c r="CM278" s="39">
        <f>CJ278*($AM278-$BB278)</f>
        <v>-286.22427524298826</v>
      </c>
      <c r="CN278" s="39">
        <f>CK278*($AD278-$BD278)</f>
        <v>10.998355900467391</v>
      </c>
      <c r="CO278" s="39">
        <f>CL278*($AU278-$BF278)</f>
        <v>-261.33778476115845</v>
      </c>
      <c r="CP278" s="27">
        <f>VLOOKUP(A278,Water!$A$2:$E$109, 5, FALSE)/1000</f>
        <v>1E-4</v>
      </c>
      <c r="CQ278">
        <f>0.64*CP278</f>
        <v>6.4000000000000011E-5</v>
      </c>
      <c r="CR278" s="19">
        <f>CQ278*1000*(2.5*10^-5)</f>
        <v>1.6000000000000004E-6</v>
      </c>
      <c r="CS278" s="18">
        <f>(-0.0000009*F278^3)+(0.0002*F278^2)-(0.0134*F278)+6.579</f>
        <v>6.4883169216000001</v>
      </c>
      <c r="CT278" s="18">
        <f>CS278-(SQRT(CP278))/(1+1.4*SQRT(CP278))</f>
        <v>6.4784549886611442</v>
      </c>
      <c r="CU278" s="18">
        <f>10^(-CT278)</f>
        <v>3.3231122497181973E-7</v>
      </c>
      <c r="CV278" s="18">
        <f>(0.000001*F278^3)+(0.00006*F278^2)-(0.014*F278)+10.625</f>
        <v>10.522504575999999</v>
      </c>
      <c r="CW278" s="18">
        <f>CV278-(2*SQRT(CR278))/(1+1.4*SQRT(CR278))</f>
        <v>10.519979225952367</v>
      </c>
      <c r="CX278" s="18">
        <f>10^(-CW278)</f>
        <v>3.0200961802650664E-11</v>
      </c>
      <c r="CY278">
        <f>EXP(1246.98+-61900/H278-183*LN(H278))</f>
        <v>5.7596677670631695E-3</v>
      </c>
      <c r="CZ278">
        <f>12.225*(F278^2)+15.258*F278+1125.7</f>
        <v>1947.7768000000001</v>
      </c>
      <c r="DA278" s="15">
        <f>10^(-4470.99/H278+6.0875-0.01706*H278)</f>
        <v>2.3590669305006747E-15</v>
      </c>
      <c r="DB278">
        <f>(10^-I278)</f>
        <v>4.8977881936844456E-10</v>
      </c>
      <c r="DC278">
        <f>DB278^2</f>
        <v>2.3988329190194744E-19</v>
      </c>
      <c r="DD278" s="20">
        <f>((14.6836*10^-9)*((H278/217.2056)-1)^1.997)*100*100</f>
        <v>1.2613814997650085E-5</v>
      </c>
      <c r="DE278">
        <f>CY278+CZ278*DA278/DB278</f>
        <v>1.514132261853564E-2</v>
      </c>
      <c r="DF278">
        <f>1+DC278*(CU278*CX278+CU278*DB278)^-1</f>
        <v>1.001388252715822</v>
      </c>
      <c r="DG278">
        <f>(DE278*DF278/DD278)^0.5</f>
        <v>34.670485578913379</v>
      </c>
      <c r="DH278">
        <f>DD278/(BO278/60/60)</f>
        <v>3.2069055428724617E-2</v>
      </c>
      <c r="DI278" s="16">
        <f>DF278/((DF278-1)+TANH(DG278*DH278)/(DG278*DH278))</f>
        <v>1.3809378065848774</v>
      </c>
      <c r="DJ278">
        <f>$DI278*BR278</f>
        <v>-5.5179959374122776</v>
      </c>
      <c r="DK278">
        <f>$DI278*BY278</f>
        <v>-8.0677480514024289</v>
      </c>
      <c r="DL278">
        <f>$DI278*CF278</f>
        <v>-1.2494704977602964</v>
      </c>
      <c r="DM278">
        <f>$DI278*CM278</f>
        <v>-395.25792284539841</v>
      </c>
    </row>
    <row r="279" spans="1:117" ht="15.75" x14ac:dyDescent="0.25">
      <c r="A279" s="52" t="s">
        <v>478</v>
      </c>
      <c r="B279" t="s">
        <v>340</v>
      </c>
      <c r="C279" s="68" t="s">
        <v>502</v>
      </c>
      <c r="D279" s="65">
        <v>43370</v>
      </c>
      <c r="E279" s="42" t="str">
        <f>A279&amp;D279</f>
        <v>23A43370</v>
      </c>
      <c r="F279" s="3">
        <f>VLOOKUP($E279,Water!$C$2:$E$90, 2, FALSE)</f>
        <v>7.6</v>
      </c>
      <c r="G279" s="3">
        <f>VLOOKUP($E279,Water!$C$2:$E$90, 3, FALSE)</f>
        <v>0.11</v>
      </c>
      <c r="H279" s="1">
        <f>F279+273.15</f>
        <v>280.75</v>
      </c>
      <c r="I279" s="3">
        <f>VLOOKUP($E279,Water!$C$2:$F$90, 4, FALSE)</f>
        <v>9.31</v>
      </c>
      <c r="J279">
        <f>10^(I279*-1)</f>
        <v>4.8977881936844456E-10</v>
      </c>
      <c r="K279" s="25">
        <f>VLOOKUP($E279,Atm!$D$2:$G$100, 2, FALSE)</f>
        <v>455.81548365394713</v>
      </c>
      <c r="L279" s="25">
        <f>VLOOKUP($E279,Atm!$D$2:$G$100, 3, FALSE)</f>
        <v>2.1174285952504839</v>
      </c>
      <c r="M279" s="25">
        <f>VLOOKUP($E279,Atm!$D$2:$G$100, 4, FALSE)</f>
        <v>0.30024551436183244</v>
      </c>
      <c r="N279" s="21">
        <f>VLOOKUP($C279,Raw!$B$2:$F$353, 3, FALSE)</f>
        <v>95.506459069880862</v>
      </c>
      <c r="O279" s="21">
        <f>VLOOKUP($C279,Raw!$B$2:$F$353, 4, FALSE)</f>
        <v>46.931180917946961</v>
      </c>
      <c r="P279" s="21">
        <f>VLOOKUP($C279,Raw!$B$2:$F$353, 5, FALSE)</f>
        <v>0.27409674086427649</v>
      </c>
      <c r="Q279" s="14">
        <v>60</v>
      </c>
      <c r="R279" s="25">
        <v>1140</v>
      </c>
      <c r="S279">
        <f>EXP(24.4543-(100/H279*(67.4509))-(4.8489*LN(H279/100))-(0.000544*G279))</f>
        <v>1.0290789802945944E-2</v>
      </c>
      <c r="T279" s="8">
        <f>EXP(-58.0931+90.5069*(100/H279)+22.294*LN(H279/100)+G279*(0.027766-0.025888*(H279/100)+0.0050578*(H279/100)^2)*G279)</f>
        <v>5.8329502454650545E-2</v>
      </c>
      <c r="U279" s="9">
        <f>(EXP(-67.1962+99.1624*(100/H279)+27.9015*LN(H279/100)+G279*(-0.072909+0.041674*(H279/100)-0.0064603*(H279/100)^2)*G279))</f>
        <v>4.6273495110973603E-2</v>
      </c>
      <c r="V279" s="9">
        <f>(EXP(-64.8539+100.252*(100/H279)+25.2049*LN(H279/100)+(-0.062544+0.035337*(H279/100)-0.0054699*(H279/100)^2)*G279))</f>
        <v>4.3845002062210967E-2</v>
      </c>
      <c r="W279" s="9">
        <f>(EXP(-68.8862+101.4956*(100/H279)+28.7314*LN(H279/100)+G279*(-0.076146+0.04397*(H279/100)-0.0068672*(H279/100)^2)))</f>
        <v>4.6139143992651191E-2</v>
      </c>
      <c r="X279">
        <f>N279*(AZ279-S279)</f>
        <v>88.529335204198901</v>
      </c>
      <c r="Y279">
        <f>O279*(AZ279-S279)</f>
        <v>43.502672881776775</v>
      </c>
      <c r="Z279">
        <f>((Y279/10^6)*AZ279)/(0.082056*H279)</f>
        <v>1.7698448083217125E-6</v>
      </c>
      <c r="AA279">
        <f>(((L279/10^6)*AZ279)/(0.082056*H279))</f>
        <v>8.6144591999675438E-8</v>
      </c>
      <c r="AB279">
        <f>((Y279/10^6)*U279*1)/(0.082056*H279)</f>
        <v>8.7381226821062963E-8</v>
      </c>
      <c r="AC279">
        <f>(Z279*(Q279/1000))+(AB279*(R279/1000))</f>
        <v>2.0580528707531451E-7</v>
      </c>
      <c r="AD279" s="39">
        <f>((AC279-(AA279*(Q279/1000)))/(R279/1000))*1000000</f>
        <v>0.17599702768011755</v>
      </c>
      <c r="AE279" s="39">
        <f>(AD279/((U279*AZ279*1))*(0.0821*273.15))</f>
        <v>91.005583698635462</v>
      </c>
      <c r="AF279" s="39">
        <f>L279*U279*AZ279*1/(0.0821*273.15)</f>
        <v>4.0949260907224925E-3</v>
      </c>
      <c r="AG279" s="39">
        <f>AD279-AF279</f>
        <v>0.17190210158939506</v>
      </c>
      <c r="AH279" s="42">
        <f>P279*(AZ279-S279)</f>
        <v>0.25407289189307231</v>
      </c>
      <c r="AI279">
        <f>(((X279/10^6)*(Q279/1000))/(0.082056*H279))</f>
        <v>2.3057294461337109E-7</v>
      </c>
      <c r="AJ279">
        <f>(((K279/10^6)*AZ279)*(Q279/1000))/(0.082056*H279)</f>
        <v>1.1126525528534003E-6</v>
      </c>
      <c r="AK279">
        <f>(X279/10^6)*T279*(R279/1000)</f>
        <v>5.8868141656161662E-6</v>
      </c>
      <c r="AL279">
        <f>AI279+AK279</f>
        <v>6.1173871102295376E-6</v>
      </c>
      <c r="AM279" s="39">
        <f>((AL279-AJ279)/(R279/1000))*1000000</f>
        <v>4.3901180327860851</v>
      </c>
      <c r="AN279" s="39">
        <f>AM279/(T279*AZ279)</f>
        <v>80.304257851562511</v>
      </c>
      <c r="AO279" s="39">
        <f>(K279*AZ279)*T279</f>
        <v>24.918775516376538</v>
      </c>
      <c r="AP279" s="39">
        <f>AM279-AO279</f>
        <v>-20.528657483590454</v>
      </c>
      <c r="AQ279">
        <f>(((AH279/10^6)*(Q279/1000))/(0.082056*H279))</f>
        <v>6.6172794243960231E-10</v>
      </c>
      <c r="AR279">
        <f>(((M279/10^6)*AZ279)*(Q279/1000))/(0.082056*H279)</f>
        <v>7.3290388329830984E-10</v>
      </c>
      <c r="AS279">
        <f>(AH279/10^6)*V279*(R279/1000)</f>
        <v>1.2699402174664172E-8</v>
      </c>
      <c r="AT279">
        <f>AQ279+AS279</f>
        <v>1.3361130117103774E-8</v>
      </c>
      <c r="AU279" s="39">
        <f>((AT279-AR279)/(R279/1000))*1000000000</f>
        <v>11.077391433162688</v>
      </c>
      <c r="AV279" s="39">
        <f>(AU279/1000)/(V279*AZ279)</f>
        <v>0.26956782552553443</v>
      </c>
      <c r="AW279" s="39">
        <f>(M279*AZ279)*V279*1000</f>
        <v>12.338034341276545</v>
      </c>
      <c r="AX279" s="39">
        <f>AU279-AW279</f>
        <v>-1.2606429081138568</v>
      </c>
      <c r="AY279" s="26">
        <f>VLOOKUP($E279,Water!$C$2:$G$90, 5, FALSE)</f>
        <v>712.3</v>
      </c>
      <c r="AZ279">
        <f>AY279/760</f>
        <v>0.93723684210526315</v>
      </c>
      <c r="BA279" s="3">
        <f>Assumptions!$B$3</f>
        <v>406.07</v>
      </c>
      <c r="BB279" s="3">
        <f>BA279*AZ279*T279</f>
        <v>22.199261624067908</v>
      </c>
      <c r="BC279" s="3">
        <f>Assumptions!$B$4</f>
        <v>1.8474300000000001</v>
      </c>
      <c r="BD279" s="45">
        <f>BC279*AZ279*U279*1/(0.0821*273.15)</f>
        <v>3.5727718633593556E-3</v>
      </c>
      <c r="BE279" s="3">
        <f>Assumptions!$B$2</f>
        <v>0.33054499999999998</v>
      </c>
      <c r="BF279" s="44">
        <f>BE279*AZ279*V279*1000</f>
        <v>13.583135688156979</v>
      </c>
      <c r="BG279">
        <f>1923.6+(-125.06*F279)+(4.3773*(F279^2))+(-0.085681*(F279^3))+(0.00070284*(F279^4))</f>
        <v>1190.7097725219837</v>
      </c>
      <c r="BH279">
        <f>1909.4+(-120.78*F279)+(4.1555*(F279^2))+(-0.080578*(F279^3))+(0.00065777*(F279^4))</f>
        <v>1198.3163357227522</v>
      </c>
      <c r="BI279">
        <f>2141.2+(-152.56*F279)+(5.8963*(F279^2))+(-0.12411*(F279^3))+(0.0010655*(F279^4))</f>
        <v>1271.3877164927999</v>
      </c>
      <c r="BJ279" s="25">
        <f>VLOOKUP(E279,Wind!$C$2:$E$109,3, FALSE)</f>
        <v>3.2222222222222223</v>
      </c>
      <c r="BK279" s="44">
        <v>1.66</v>
      </c>
      <c r="BL279">
        <f>BK279/(1-(((1.3*10^-3)^0.5)/0.41)*LN(10/1.5))</f>
        <v>1.9923982880693825</v>
      </c>
      <c r="BM279">
        <f>BK279*1.22</f>
        <v>2.0251999999999999</v>
      </c>
      <c r="BN279">
        <f>2.07+0.215*(BM279^1.7)*(24/100)</f>
        <v>2.241255750541113</v>
      </c>
      <c r="BO279">
        <f>BN279*((600/BG279)^0.67)</f>
        <v>1.4159984877779184</v>
      </c>
      <c r="BP279">
        <f>BN279*((600/BH279)^0.67)</f>
        <v>1.409969970584954</v>
      </c>
      <c r="BQ279">
        <f>BN279*((600/BI279)^0.67)</f>
        <v>1.3551472469416663</v>
      </c>
      <c r="BR279" s="39">
        <f>BO279*(AM279-BB279)</f>
        <v>-25.21772039387487</v>
      </c>
      <c r="BS279" s="39">
        <f>BP279*(AD279-BD279)</f>
        <v>0.24311302290208711</v>
      </c>
      <c r="BT279" s="39">
        <f>BQ279*(AU279-BF279)</f>
        <v>-3.3956524286954095</v>
      </c>
      <c r="BU279">
        <f>(2.51+1.48*BM279)+(0.39*BM279*LOG10(0.0015))</f>
        <v>3.2768938069574309</v>
      </c>
      <c r="BV279">
        <f>BU279*((600/$BG279)^0.67)</f>
        <v>2.0703021840056763</v>
      </c>
      <c r="BW279">
        <f>BU279*((600/$BH279)^0.67)</f>
        <v>2.0614880133560343</v>
      </c>
      <c r="BX279">
        <f>BU279*((600/$BI279)^0.67)</f>
        <v>1.9813328398360757</v>
      </c>
      <c r="BY279" s="39">
        <f>BV279*($AM279-$BB279)</f>
        <v>-36.870308872301457</v>
      </c>
      <c r="BZ279" s="39">
        <f>BW279*($AD279-$BD279)</f>
        <v>0.35545053657808146</v>
      </c>
      <c r="CA279" s="39">
        <f>BX279*($AU279-$BF279)</f>
        <v>-4.9647133806507693</v>
      </c>
      <c r="CB279" s="42">
        <f>AVERAGE(0.72,0.69,0.4,0.22)</f>
        <v>0.50750000000000006</v>
      </c>
      <c r="CC279">
        <f>CB279*((600/$BG279)^0.67)</f>
        <v>0.32063240992189102</v>
      </c>
      <c r="CD279">
        <f>CB279*((600/$BH279)^0.67)</f>
        <v>0.31926733925796041</v>
      </c>
      <c r="CE279">
        <f>CB279*((600/$BI279)^0.67)</f>
        <v>0.30685352515296538</v>
      </c>
      <c r="CF279" s="39">
        <f>CC279*($AM279-$BB279)</f>
        <v>-5.7101886283176917</v>
      </c>
      <c r="CG279" s="39">
        <f>CD279*($AD279-$BD279)</f>
        <v>5.5049433378150291E-2</v>
      </c>
      <c r="CH279" s="39">
        <f>CE279*($AU279-$BF279)</f>
        <v>-0.76889645777678906</v>
      </c>
      <c r="CI279">
        <v>102.862639018895</v>
      </c>
      <c r="CJ279">
        <f>((BG279/BH279)^0.67)*CI279</f>
        <v>102.4247083338049</v>
      </c>
      <c r="CK279">
        <f>((BH279/BH279)^0.67)*CI279</f>
        <v>102.862639018895</v>
      </c>
      <c r="CL279">
        <f>((BI279/BH279)^0.67)*CI279</f>
        <v>107.02396543185776</v>
      </c>
      <c r="CM279" s="39">
        <f>CJ279*($AM279-$BB279)</f>
        <v>-1824.0963380118917</v>
      </c>
      <c r="CN279" s="39">
        <f>CK279*($AD279-$BD279)</f>
        <v>17.736013984180804</v>
      </c>
      <c r="CO279" s="39">
        <f>CL279*($AU279-$BF279)</f>
        <v>-268.17468652758515</v>
      </c>
      <c r="CP279" s="27">
        <f>VLOOKUP(A279,Water!$A$2:$E$109, 5, FALSE)/1000</f>
        <v>1E-4</v>
      </c>
      <c r="CQ279">
        <f>0.64*CP279</f>
        <v>6.4000000000000011E-5</v>
      </c>
      <c r="CR279" s="19">
        <f>CQ279*1000*(2.5*10^-5)</f>
        <v>1.6000000000000004E-6</v>
      </c>
      <c r="CS279" s="18">
        <f>(-0.0000009*F279^3)+(0.0002*F279^2)-(0.0134*F279)+6.579</f>
        <v>6.4883169216000001</v>
      </c>
      <c r="CT279" s="18">
        <f>CS279-(SQRT(CP279))/(1+1.4*SQRT(CP279))</f>
        <v>6.4784549886611442</v>
      </c>
      <c r="CU279" s="18">
        <f>10^(-CT279)</f>
        <v>3.3231122497181973E-7</v>
      </c>
      <c r="CV279" s="18">
        <f>(0.000001*F279^3)+(0.00006*F279^2)-(0.014*F279)+10.625</f>
        <v>10.522504575999999</v>
      </c>
      <c r="CW279" s="18">
        <f>CV279-(2*SQRT(CR279))/(1+1.4*SQRT(CR279))</f>
        <v>10.519979225952367</v>
      </c>
      <c r="CX279" s="18">
        <f>10^(-CW279)</f>
        <v>3.0200961802650664E-11</v>
      </c>
      <c r="CY279">
        <f>EXP(1246.98+-61900/H279-183*LN(H279))</f>
        <v>5.7596677670631695E-3</v>
      </c>
      <c r="CZ279">
        <f>12.225*(F279^2)+15.258*F279+1125.7</f>
        <v>1947.7768000000001</v>
      </c>
      <c r="DA279" s="15">
        <f>10^(-4470.99/H279+6.0875-0.01706*H279)</f>
        <v>2.3590669305006747E-15</v>
      </c>
      <c r="DB279">
        <f>(10^-I279)</f>
        <v>4.8977881936844456E-10</v>
      </c>
      <c r="DC279">
        <f>DB279^2</f>
        <v>2.3988329190194744E-19</v>
      </c>
      <c r="DD279" s="20">
        <f>((14.6836*10^-9)*((H279/217.2056)-1)^1.997)*100*100</f>
        <v>1.2613814997650085E-5</v>
      </c>
      <c r="DE279">
        <f>CY279+CZ279*DA279/DB279</f>
        <v>1.514132261853564E-2</v>
      </c>
      <c r="DF279">
        <f>1+DC279*(CU279*CX279+CU279*DB279)^-1</f>
        <v>1.001388252715822</v>
      </c>
      <c r="DG279">
        <f>(DE279*DF279/DD279)^0.5</f>
        <v>34.670485578913379</v>
      </c>
      <c r="DH279">
        <f>DD279/(BO279/60/60)</f>
        <v>3.2069055428724617E-2</v>
      </c>
      <c r="DI279" s="16">
        <f>DF279/((DF279-1)+TANH(DG279*DH279)/(DG279*DH279))</f>
        <v>1.3809378065848774</v>
      </c>
      <c r="DJ279">
        <f>$DI279*BR279</f>
        <v>-34.824103487788292</v>
      </c>
      <c r="DK279">
        <f>$DI279*BY279</f>
        <v>-50.915603462222919</v>
      </c>
      <c r="DL279">
        <f>$DI279*CF279</f>
        <v>-7.8854153595749432</v>
      </c>
      <c r="DM279">
        <f>$DI279*CM279</f>
        <v>-2518.9635960136488</v>
      </c>
    </row>
    <row r="280" spans="1:117" ht="15.75" x14ac:dyDescent="0.25">
      <c r="A280" s="52" t="s">
        <v>478</v>
      </c>
      <c r="B280" t="s">
        <v>341</v>
      </c>
      <c r="C280" s="68" t="s">
        <v>503</v>
      </c>
      <c r="D280" s="65">
        <v>43370</v>
      </c>
      <c r="E280" s="42" t="str">
        <f>A280&amp;D280</f>
        <v>23A43370</v>
      </c>
      <c r="F280" s="3">
        <f>VLOOKUP($E280,Water!$C$2:$E$90, 2, FALSE)</f>
        <v>7.6</v>
      </c>
      <c r="G280" s="3">
        <f>VLOOKUP($E280,Water!$C$2:$E$90, 3, FALSE)</f>
        <v>0.11</v>
      </c>
      <c r="H280" s="1">
        <f>F280+273.15</f>
        <v>280.75</v>
      </c>
      <c r="I280" s="3">
        <f>VLOOKUP($E280,Water!$C$2:$F$90, 4, FALSE)</f>
        <v>9.31</v>
      </c>
      <c r="J280">
        <f>10^(I280*-1)</f>
        <v>4.8977881936844456E-10</v>
      </c>
      <c r="K280" s="25">
        <f>VLOOKUP($E280,Atm!$D$2:$G$100, 2, FALSE)</f>
        <v>455.81548365394713</v>
      </c>
      <c r="L280" s="25">
        <f>VLOOKUP($E280,Atm!$D$2:$G$100, 3, FALSE)</f>
        <v>2.1174285952504839</v>
      </c>
      <c r="M280" s="25">
        <f>VLOOKUP($E280,Atm!$D$2:$G$100, 4, FALSE)</f>
        <v>0.30024551436183244</v>
      </c>
      <c r="N280" s="21">
        <f>VLOOKUP($C280,Raw!$B$2:$F$353, 3, FALSE)</f>
        <v>91.660462812206845</v>
      </c>
      <c r="O280" s="21">
        <f>VLOOKUP($C280,Raw!$B$2:$F$353, 4, FALSE)</f>
        <v>48.62941128820276</v>
      </c>
      <c r="P280" s="21">
        <f>VLOOKUP($C280,Raw!$B$2:$F$353, 5, FALSE)</f>
        <v>0.27449961267060358</v>
      </c>
      <c r="Q280" s="14">
        <v>60</v>
      </c>
      <c r="R280" s="25">
        <v>1140</v>
      </c>
      <c r="S280">
        <f>EXP(24.4543-(100/H280*(67.4509))-(4.8489*LN(H280/100))-(0.000544*G280))</f>
        <v>1.0290789802945944E-2</v>
      </c>
      <c r="T280" s="8">
        <f>EXP(-58.0931+90.5069*(100/H280)+22.294*LN(H280/100)+G280*(0.027766-0.025888*(H280/100)+0.0050578*(H280/100)^2)*G280)</f>
        <v>5.8329502454650545E-2</v>
      </c>
      <c r="U280" s="9">
        <f>(EXP(-67.1962+99.1624*(100/H280)+27.9015*LN(H280/100)+G280*(-0.072909+0.041674*(H280/100)-0.0064603*(H280/100)^2)*G280))</f>
        <v>4.6273495110973603E-2</v>
      </c>
      <c r="V280" s="9">
        <f>(EXP(-64.8539+100.252*(100/H280)+25.2049*LN(H280/100)+(-0.062544+0.035337*(H280/100)-0.0054699*(H280/100)^2)*G280))</f>
        <v>4.3845002062210967E-2</v>
      </c>
      <c r="W280" s="9">
        <f>(EXP(-68.8862+101.4956*(100/H280)+28.7314*LN(H280/100)+G280*(-0.076146+0.04397*(H280/100)-0.0068672*(H280/100)^2)))</f>
        <v>4.6139143992651191E-2</v>
      </c>
      <c r="X280">
        <f>N280*(AZ280-S280)</f>
        <v>84.964304155978482</v>
      </c>
      <c r="Y280">
        <f>O280*(AZ280-S280)</f>
        <v>45.076840819385289</v>
      </c>
      <c r="Z280">
        <f>((Y280/10^6)*AZ280)/(0.082056*H280)</f>
        <v>1.8338876077003681E-6</v>
      </c>
      <c r="AA280">
        <f>(((L280/10^6)*AZ280)/(0.082056*H280))</f>
        <v>8.6144591999675438E-8</v>
      </c>
      <c r="AB280">
        <f>((Y280/10^6)*U280*1)/(0.082056*H280)</f>
        <v>9.0543164157291217E-8</v>
      </c>
      <c r="AC280">
        <f>(Z280*(Q280/1000))+(AB280*(R280/1000))</f>
        <v>2.1325246360133407E-7</v>
      </c>
      <c r="AD280" s="39">
        <f>((AC280-(AA280*(Q280/1000)))/(R280/1000))*1000000</f>
        <v>0.18252963866785399</v>
      </c>
      <c r="AE280" s="39">
        <f>(AD280/((U280*AZ280*1))*(0.0821*273.15))</f>
        <v>94.383504813846628</v>
      </c>
      <c r="AF280" s="39">
        <f>L280*U280*AZ280*1/(0.0821*273.15)</f>
        <v>4.0949260907224925E-3</v>
      </c>
      <c r="AG280" s="39">
        <f>AD280-AF280</f>
        <v>0.1784347125771315</v>
      </c>
      <c r="AH280" s="42">
        <f>P280*(AZ280-S280)</f>
        <v>0.25444633232353109</v>
      </c>
      <c r="AI280">
        <f>(((X280/10^6)*(Q280/1000))/(0.082056*H280))</f>
        <v>2.2128789006585553E-7</v>
      </c>
      <c r="AJ280">
        <f>(((K280/10^6)*AZ280)*(Q280/1000))/(0.082056*H280)</f>
        <v>1.1126525528534003E-6</v>
      </c>
      <c r="AK280">
        <f>(X280/10^6)*T280*(R280/1000)</f>
        <v>5.6497551701191575E-6</v>
      </c>
      <c r="AL280">
        <f>AI280+AK280</f>
        <v>5.8710430601850133E-6</v>
      </c>
      <c r="AM280" s="39">
        <f>((AL280-AJ280)/(R280/1000))*1000000</f>
        <v>4.1740267608172044</v>
      </c>
      <c r="AN280" s="39">
        <f>AM280/(T280*AZ280)</f>
        <v>76.351505535094972</v>
      </c>
      <c r="AO280" s="39">
        <f>(K280*AZ280)*T280</f>
        <v>24.918775516376538</v>
      </c>
      <c r="AP280" s="39">
        <f>AM280-AO280</f>
        <v>-20.744748755559336</v>
      </c>
      <c r="AQ280">
        <f>(((AH280/10^6)*(Q280/1000))/(0.082056*H280))</f>
        <v>6.6270056083202501E-10</v>
      </c>
      <c r="AR280">
        <f>(((M280/10^6)*AZ280)*(Q280/1000))/(0.082056*H280)</f>
        <v>7.3290388329830984E-10</v>
      </c>
      <c r="AS280">
        <f>(AH280/10^6)*V280*(R280/1000)</f>
        <v>1.271806796060985E-8</v>
      </c>
      <c r="AT280">
        <f>AQ280+AS280</f>
        <v>1.3380768521441875E-8</v>
      </c>
      <c r="AU280" s="39">
        <f>((AT280-AR280)/(R280/1000))*1000000000</f>
        <v>11.094618103634707</v>
      </c>
      <c r="AV280" s="39">
        <f>(AU280/1000)/(V280*AZ280)</f>
        <v>0.26998703578168598</v>
      </c>
      <c r="AW280" s="39">
        <f>(M280*AZ280)*V280*1000</f>
        <v>12.338034341276545</v>
      </c>
      <c r="AX280" s="39">
        <f>AU280-AW280</f>
        <v>-1.2434162376418385</v>
      </c>
      <c r="AY280" s="26">
        <f>VLOOKUP($E280,Water!$C$2:$G$90, 5, FALSE)</f>
        <v>712.3</v>
      </c>
      <c r="AZ280">
        <f>AY280/760</f>
        <v>0.93723684210526315</v>
      </c>
      <c r="BA280" s="3">
        <f>Assumptions!$B$3</f>
        <v>406.07</v>
      </c>
      <c r="BB280" s="3">
        <f>BA280*AZ280*T280</f>
        <v>22.199261624067908</v>
      </c>
      <c r="BC280" s="3">
        <f>Assumptions!$B$4</f>
        <v>1.8474300000000001</v>
      </c>
      <c r="BD280" s="45">
        <f>BC280*AZ280*U280*1/(0.0821*273.15)</f>
        <v>3.5727718633593556E-3</v>
      </c>
      <c r="BE280" s="3">
        <f>Assumptions!$B$2</f>
        <v>0.33054499999999998</v>
      </c>
      <c r="BF280" s="44">
        <f>BE280*AZ280*V280*1000</f>
        <v>13.583135688156979</v>
      </c>
      <c r="BG280">
        <f>1923.6+(-125.06*F280)+(4.3773*(F280^2))+(-0.085681*(F280^3))+(0.00070284*(F280^4))</f>
        <v>1190.7097725219837</v>
      </c>
      <c r="BH280">
        <f>1909.4+(-120.78*F280)+(4.1555*(F280^2))+(-0.080578*(F280^3))+(0.00065777*(F280^4))</f>
        <v>1198.3163357227522</v>
      </c>
      <c r="BI280">
        <f>2141.2+(-152.56*F280)+(5.8963*(F280^2))+(-0.12411*(F280^3))+(0.0010655*(F280^4))</f>
        <v>1271.3877164927999</v>
      </c>
      <c r="BJ280" s="25">
        <f>VLOOKUP(E280,Wind!$C$2:$E$109,3, FALSE)</f>
        <v>3.2222222222222223</v>
      </c>
      <c r="BK280" s="44">
        <v>1.66</v>
      </c>
      <c r="BL280">
        <f>BK280/(1-(((1.3*10^-3)^0.5)/0.41)*LN(10/1.5))</f>
        <v>1.9923982880693825</v>
      </c>
      <c r="BM280">
        <f>BK280*1.22</f>
        <v>2.0251999999999999</v>
      </c>
      <c r="BN280">
        <f>2.07+0.215*(BM280^1.7)*(24/100)</f>
        <v>2.241255750541113</v>
      </c>
      <c r="BO280">
        <f>BN280*((600/BG280)^0.67)</f>
        <v>1.4159984877779184</v>
      </c>
      <c r="BP280">
        <f>BN280*((600/BH280)^0.67)</f>
        <v>1.409969970584954</v>
      </c>
      <c r="BQ280">
        <f>BN280*((600/BI280)^0.67)</f>
        <v>1.3551472469416663</v>
      </c>
      <c r="BR280" s="39">
        <f>BO280*(AM280-BB280)</f>
        <v>-25.523705308204807</v>
      </c>
      <c r="BS280" s="39">
        <f>BP280*(AD280-BD280)</f>
        <v>0.25232380822430883</v>
      </c>
      <c r="BT280" s="39">
        <f>BQ280*(AU280-BF280)</f>
        <v>-3.3723077536312824</v>
      </c>
      <c r="BU280">
        <f>(2.51+1.48*BM280)+(0.39*BM280*LOG10(0.0015))</f>
        <v>3.2768938069574309</v>
      </c>
      <c r="BV280">
        <f>BU280*((600/$BG280)^0.67)</f>
        <v>2.0703021840056763</v>
      </c>
      <c r="BW280">
        <f>BU280*((600/$BH280)^0.67)</f>
        <v>2.0614880133560343</v>
      </c>
      <c r="BX280">
        <f>BU280*((600/$BI280)^0.67)</f>
        <v>1.9813328398360757</v>
      </c>
      <c r="BY280" s="39">
        <f>BV280*($AM280-$BB280)</f>
        <v>-37.317683104603191</v>
      </c>
      <c r="BZ280" s="39">
        <f>BW280*($AD280-$BD280)</f>
        <v>0.36891743582521808</v>
      </c>
      <c r="CA280" s="39">
        <f>BX280*($AU280-$BF280)</f>
        <v>-4.9305816127235254</v>
      </c>
      <c r="CB280" s="42">
        <f>AVERAGE(0.72,0.69,0.4,0.22)</f>
        <v>0.50750000000000006</v>
      </c>
      <c r="CC280">
        <f>CB280*((600/$BG280)^0.67)</f>
        <v>0.32063240992189102</v>
      </c>
      <c r="CD280">
        <f>CB280*((600/$BH280)^0.67)</f>
        <v>0.31926733925796041</v>
      </c>
      <c r="CE280">
        <f>CB280*((600/$BI280)^0.67)</f>
        <v>0.30685352515296538</v>
      </c>
      <c r="CF280" s="39">
        <f>CC280*($AM280-$BB280)</f>
        <v>-5.7794744936121605</v>
      </c>
      <c r="CG280" s="39">
        <f>CD280*($AD280-$BD280)</f>
        <v>5.7135082706612224E-2</v>
      </c>
      <c r="CH280" s="39">
        <f>CE280*($AU280-$BF280)</f>
        <v>-0.76361039321580171</v>
      </c>
      <c r="CI280">
        <v>103.862639018895</v>
      </c>
      <c r="CJ280">
        <f>((BG280/BH280)^0.67)*CI280</f>
        <v>103.42045090186201</v>
      </c>
      <c r="CK280">
        <f>((BH280/BH280)^0.67)*CI280</f>
        <v>103.862639018895</v>
      </c>
      <c r="CL280">
        <f>((BI280/BH280)^0.67)*CI280</f>
        <v>108.06442061026513</v>
      </c>
      <c r="CM280" s="39">
        <f>CJ280*($AM280-$BB280)</f>
        <v>-1864.1779171693506</v>
      </c>
      <c r="CN280" s="39">
        <f>CK280*($AD280-$BD280)</f>
        <v>18.5869324568677</v>
      </c>
      <c r="CO280" s="39">
        <f>CL280*($AU280-$BF280)</f>
        <v>-268.92021094985586</v>
      </c>
      <c r="CP280" s="27">
        <f>VLOOKUP(A280,Water!$A$2:$E$109, 5, FALSE)/1000</f>
        <v>1E-4</v>
      </c>
      <c r="CQ280">
        <f>0.64*CP280</f>
        <v>6.4000000000000011E-5</v>
      </c>
      <c r="CR280" s="19">
        <f>CQ280*1000*(2.5*10^-5)</f>
        <v>1.6000000000000004E-6</v>
      </c>
      <c r="CS280" s="18">
        <f>(-0.0000009*F280^3)+(0.0002*F280^2)-(0.0134*F280)+6.579</f>
        <v>6.4883169216000001</v>
      </c>
      <c r="CT280" s="18">
        <f>CS280-(SQRT(CP280))/(1+1.4*SQRT(CP280))</f>
        <v>6.4784549886611442</v>
      </c>
      <c r="CU280" s="18">
        <f>10^(-CT280)</f>
        <v>3.3231122497181973E-7</v>
      </c>
      <c r="CV280" s="18">
        <f>(0.000001*F280^3)+(0.00006*F280^2)-(0.014*F280)+10.625</f>
        <v>10.522504575999999</v>
      </c>
      <c r="CW280" s="18">
        <f>CV280-(2*SQRT(CR280))/(1+1.4*SQRT(CR280))</f>
        <v>10.519979225952367</v>
      </c>
      <c r="CX280" s="18">
        <f>10^(-CW280)</f>
        <v>3.0200961802650664E-11</v>
      </c>
      <c r="CY280">
        <f>EXP(1246.98+-61900/H280-183*LN(H280))</f>
        <v>5.7596677670631695E-3</v>
      </c>
      <c r="CZ280">
        <f>12.225*(F280^2)+15.258*F280+1125.7</f>
        <v>1947.7768000000001</v>
      </c>
      <c r="DA280" s="15">
        <f>10^(-4470.99/H280+6.0875-0.01706*H280)</f>
        <v>2.3590669305006747E-15</v>
      </c>
      <c r="DB280">
        <f>(10^-I280)</f>
        <v>4.8977881936844456E-10</v>
      </c>
      <c r="DC280">
        <f>DB280^2</f>
        <v>2.3988329190194744E-19</v>
      </c>
      <c r="DD280" s="20">
        <f>((14.6836*10^-9)*((H280/217.2056)-1)^1.997)*100*100</f>
        <v>1.2613814997650085E-5</v>
      </c>
      <c r="DE280">
        <f>CY280+CZ280*DA280/DB280</f>
        <v>1.514132261853564E-2</v>
      </c>
      <c r="DF280">
        <f>1+DC280*(CU280*CX280+CU280*DB280)^-1</f>
        <v>1.001388252715822</v>
      </c>
      <c r="DG280">
        <f>(DE280*DF280/DD280)^0.5</f>
        <v>34.670485578913379</v>
      </c>
      <c r="DH280">
        <f>DD280/(BO280/60/60)</f>
        <v>3.2069055428724617E-2</v>
      </c>
      <c r="DI280" s="16">
        <f>DF280/((DF280-1)+TANH(DG280*DH280)/(DG280*DH280))</f>
        <v>1.3809378065848774</v>
      </c>
      <c r="DJ280">
        <f>$DI280*BR280</f>
        <v>-35.246649624231139</v>
      </c>
      <c r="DK280">
        <f>$DI280*BY280</f>
        <v>-51.533399453300269</v>
      </c>
      <c r="DL280">
        <f>$DI280*CF280</f>
        <v>-7.9810948304220224</v>
      </c>
      <c r="DM280">
        <f>$DI280*CM280</f>
        <v>-2574.3137640198083</v>
      </c>
    </row>
    <row r="281" spans="1:117" ht="15.75" x14ac:dyDescent="0.25">
      <c r="A281" s="52" t="s">
        <v>478</v>
      </c>
      <c r="B281" t="s">
        <v>342</v>
      </c>
      <c r="C281" s="68" t="s">
        <v>504</v>
      </c>
      <c r="D281" s="65">
        <v>43370</v>
      </c>
      <c r="E281" s="42" t="str">
        <f>A281&amp;D281</f>
        <v>23A43370</v>
      </c>
      <c r="F281" s="3">
        <f>VLOOKUP($E281,Water!$C$2:$E$90, 2, FALSE)</f>
        <v>7.6</v>
      </c>
      <c r="G281" s="3">
        <f>VLOOKUP($E281,Water!$C$2:$E$90, 3, FALSE)</f>
        <v>0.11</v>
      </c>
      <c r="H281" s="1">
        <f>F281+273.15</f>
        <v>280.75</v>
      </c>
      <c r="I281" s="3">
        <f>VLOOKUP($E281,Water!$C$2:$F$90, 4, FALSE)</f>
        <v>9.31</v>
      </c>
      <c r="J281">
        <f>10^(I281*-1)</f>
        <v>4.8977881936844456E-10</v>
      </c>
      <c r="K281" s="25">
        <f>VLOOKUP($E281,Atm!$D$2:$G$100, 2, FALSE)</f>
        <v>455.81548365394713</v>
      </c>
      <c r="L281" s="25">
        <f>VLOOKUP($E281,Atm!$D$2:$G$100, 3, FALSE)</f>
        <v>2.1174285952504839</v>
      </c>
      <c r="M281" s="25">
        <f>VLOOKUP($E281,Atm!$D$2:$G$100, 4, FALSE)</f>
        <v>0.30024551436183244</v>
      </c>
      <c r="N281" s="21">
        <f>VLOOKUP($C281,Raw!$B$2:$F$353, 3, FALSE)</f>
        <v>218.29277401589931</v>
      </c>
      <c r="O281" s="21">
        <f>VLOOKUP($C281,Raw!$B$2:$F$353, 4, FALSE)</f>
        <v>29.001445770535199</v>
      </c>
      <c r="P281" s="21">
        <f>VLOOKUP($C281,Raw!$B$2:$F$353, 5, FALSE)</f>
        <v>0.27292208681040903</v>
      </c>
      <c r="Q281" s="14">
        <v>60</v>
      </c>
      <c r="R281" s="25">
        <v>1140</v>
      </c>
      <c r="S281">
        <f>EXP(24.4543-(100/H281*(67.4509))-(4.8489*LN(H281/100))-(0.000544*G281))</f>
        <v>1.0290789802945944E-2</v>
      </c>
      <c r="T281" s="8">
        <f>EXP(-58.0931+90.5069*(100/H281)+22.294*LN(H281/100)+G281*(0.027766-0.025888*(H281/100)+0.0050578*(H281/100)^2)*G281)</f>
        <v>5.8329502454650545E-2</v>
      </c>
      <c r="U281" s="9">
        <f>(EXP(-67.1962+99.1624*(100/H281)+27.9015*LN(H281/100)+G281*(-0.072909+0.041674*(H281/100)-0.0064603*(H281/100)^2)*G281))</f>
        <v>4.6273495110973603E-2</v>
      </c>
      <c r="V281" s="9">
        <f>(EXP(-64.8539+100.252*(100/H281)+25.2049*LN(H281/100)+(-0.062544+0.035337*(H281/100)-0.0054699*(H281/100)^2)*G281))</f>
        <v>4.3845002062210967E-2</v>
      </c>
      <c r="W281" s="9">
        <f>(EXP(-68.8862+101.4956*(100/H281)+28.7314*LN(H281/100)+G281*(-0.076146+0.04397*(H281/100)-0.0068672*(H281/100)^2)))</f>
        <v>4.6139143992651191E-2</v>
      </c>
      <c r="X281">
        <f>N281*(AZ281-S281)</f>
        <v>202.34562512015972</v>
      </c>
      <c r="Y281">
        <f>O281*(AZ281-S281)</f>
        <v>26.882775668057334</v>
      </c>
      <c r="Z281">
        <f>((Y281/10^6)*AZ281)/(0.082056*H281)</f>
        <v>1.0936877620988442E-6</v>
      </c>
      <c r="AA281">
        <f>(((L281/10^6)*AZ281)/(0.082056*H281))</f>
        <v>8.6144591999675438E-8</v>
      </c>
      <c r="AB281">
        <f>((Y281/10^6)*U281*1)/(0.082056*H281)</f>
        <v>5.3997829618747046E-8</v>
      </c>
      <c r="AC281">
        <f>(Z281*(Q281/1000))+(AB281*(R281/1000))</f>
        <v>1.2717879149130226E-7</v>
      </c>
      <c r="AD281" s="39">
        <f>((AC281-(AA281*(Q281/1000)))/(R281/1000))*1000000</f>
        <v>0.10702641751870329</v>
      </c>
      <c r="AE281" s="39">
        <f>(AD281/((U281*AZ281*1))*(0.0821*273.15))</f>
        <v>55.341852790641127</v>
      </c>
      <c r="AF281" s="39">
        <f>L281*U281*AZ281*1/(0.0821*273.15)</f>
        <v>4.0949260907224925E-3</v>
      </c>
      <c r="AG281" s="39">
        <f>AD281-AF281</f>
        <v>0.10293149142798079</v>
      </c>
      <c r="AH281" s="42">
        <f>P281*(AZ281-S281)</f>
        <v>0.25298405095501897</v>
      </c>
      <c r="AI281">
        <f>(((X281/10^6)*(Q281/1000))/(0.082056*H281))</f>
        <v>5.2700527464681221E-7</v>
      </c>
      <c r="AJ281">
        <f>(((K281/10^6)*AZ281)*(Q281/1000))/(0.082056*H281)</f>
        <v>1.1126525528534003E-6</v>
      </c>
      <c r="AK281">
        <f>(X281/10^6)*T281*(R281/1000)</f>
        <v>1.3455100386332936E-5</v>
      </c>
      <c r="AL281">
        <f>AI281+AK281</f>
        <v>1.3982105660979748E-5</v>
      </c>
      <c r="AM281" s="39">
        <f>((AL281-AJ281)/(R281/1000))*1000000</f>
        <v>11.288993954496798</v>
      </c>
      <c r="AN281" s="39">
        <f>AM281/(T281*AZ281)</f>
        <v>206.49884003945968</v>
      </c>
      <c r="AO281" s="39">
        <f>(K281*AZ281)*T281</f>
        <v>24.918775516376538</v>
      </c>
      <c r="AP281" s="39">
        <f>AM281-AO281</f>
        <v>-13.62978156187974</v>
      </c>
      <c r="AQ281">
        <f>(((AH281/10^6)*(Q281/1000))/(0.082056*H281))</f>
        <v>6.588920772348826E-10</v>
      </c>
      <c r="AR281">
        <f>(((M281/10^6)*AZ281)*(Q281/1000))/(0.082056*H281)</f>
        <v>7.3290388329830984E-10</v>
      </c>
      <c r="AS281">
        <f>(AH281/10^6)*V281*(R281/1000)</f>
        <v>1.2644978308845389E-8</v>
      </c>
      <c r="AT281">
        <f>AQ281+AS281</f>
        <v>1.3303870386080272E-8</v>
      </c>
      <c r="AU281" s="39">
        <f>((AT281-AR281)/(R281/1000))*1000000000</f>
        <v>11.027163598931546</v>
      </c>
      <c r="AV281" s="39">
        <f>(AU281/1000)/(V281*AZ281)</f>
        <v>0.26834553342398321</v>
      </c>
      <c r="AW281" s="39">
        <f>(M281*AZ281)*V281*1000</f>
        <v>12.338034341276545</v>
      </c>
      <c r="AX281" s="39">
        <f>AU281-AW281</f>
        <v>-1.3108707423449992</v>
      </c>
      <c r="AY281" s="26">
        <f>VLOOKUP($E281,Water!$C$2:$G$90, 5, FALSE)</f>
        <v>712.3</v>
      </c>
      <c r="AZ281">
        <f>AY281/760</f>
        <v>0.93723684210526315</v>
      </c>
      <c r="BA281" s="3">
        <f>Assumptions!$B$3</f>
        <v>406.07</v>
      </c>
      <c r="BB281" s="3">
        <f>BA281*AZ281*T281</f>
        <v>22.199261624067908</v>
      </c>
      <c r="BC281" s="3">
        <f>Assumptions!$B$4</f>
        <v>1.8474300000000001</v>
      </c>
      <c r="BD281" s="45">
        <f>BC281*AZ281*U281*1/(0.0821*273.15)</f>
        <v>3.5727718633593556E-3</v>
      </c>
      <c r="BE281" s="3">
        <f>Assumptions!$B$2</f>
        <v>0.33054499999999998</v>
      </c>
      <c r="BF281" s="44">
        <f>BE281*AZ281*V281*1000</f>
        <v>13.583135688156979</v>
      </c>
      <c r="BG281">
        <f>1923.6+(-125.06*F281)+(4.3773*(F281^2))+(-0.085681*(F281^3))+(0.00070284*(F281^4))</f>
        <v>1190.7097725219837</v>
      </c>
      <c r="BH281">
        <f>1909.4+(-120.78*F281)+(4.1555*(F281^2))+(-0.080578*(F281^3))+(0.00065777*(F281^4))</f>
        <v>1198.3163357227522</v>
      </c>
      <c r="BI281">
        <f>2141.2+(-152.56*F281)+(5.8963*(F281^2))+(-0.12411*(F281^3))+(0.0010655*(F281^4))</f>
        <v>1271.3877164927999</v>
      </c>
      <c r="BJ281" s="25">
        <f>VLOOKUP(E281,Wind!$C$2:$E$109,3, FALSE)</f>
        <v>3.2222222222222223</v>
      </c>
      <c r="BK281" s="44">
        <v>1.66</v>
      </c>
      <c r="BL281">
        <f>BK281/(1-(((1.3*10^-3)^0.5)/0.41)*LN(10/1.5))</f>
        <v>1.9923982880693825</v>
      </c>
      <c r="BM281">
        <f>BK281*1.22</f>
        <v>2.0251999999999999</v>
      </c>
      <c r="BN281">
        <f>2.07+0.215*(BM281^1.7)*(24/100)</f>
        <v>2.241255750541113</v>
      </c>
      <c r="BO281">
        <f>BN281*((600/BG281)^0.67)</f>
        <v>1.4159984877779184</v>
      </c>
      <c r="BP281">
        <f>BN281*((600/BH281)^0.67)</f>
        <v>1.409969970584954</v>
      </c>
      <c r="BQ281">
        <f>BN281*((600/BI281)^0.67)</f>
        <v>1.3551472469416663</v>
      </c>
      <c r="BR281" s="39">
        <f>BO281*(AM281-BB281)</f>
        <v>-15.448922521365006</v>
      </c>
      <c r="BS281" s="39">
        <f>BP281*(AD281-BD281)</f>
        <v>0.14586653372157155</v>
      </c>
      <c r="BT281" s="39">
        <f>BQ281*(AU281-BF281)</f>
        <v>-3.4637185399735846</v>
      </c>
      <c r="BU281">
        <f>(2.51+1.48*BM281)+(0.39*BM281*LOG10(0.0015))</f>
        <v>3.2768938069574309</v>
      </c>
      <c r="BV281">
        <f>BU281*((600/$BG281)^0.67)</f>
        <v>2.0703021840056763</v>
      </c>
      <c r="BW281">
        <f>BU281*((600/$BH281)^0.67)</f>
        <v>2.0614880133560343</v>
      </c>
      <c r="BX281">
        <f>BU281*((600/$BI281)^0.67)</f>
        <v>1.9813328398360757</v>
      </c>
      <c r="BY281" s="39">
        <f>BV281*($AM281-$BB281)</f>
        <v>-22.587550984399591</v>
      </c>
      <c r="BZ281" s="39">
        <f>BW281*($AD281-$BD281)</f>
        <v>0.21326845045647408</v>
      </c>
      <c r="CA281" s="39">
        <f>BX281*($AU281-$BF281)</f>
        <v>-5.0642314380867743</v>
      </c>
      <c r="CB281" s="42">
        <f>AVERAGE(0.72,0.69,0.4,0.22)</f>
        <v>0.50750000000000006</v>
      </c>
      <c r="CC281">
        <f>CB281*((600/$BG281)^0.67)</f>
        <v>0.32063240992189102</v>
      </c>
      <c r="CD281">
        <f>CB281*((600/$BH281)^0.67)</f>
        <v>0.31926733925796041</v>
      </c>
      <c r="CE281">
        <f>CB281*((600/$BI281)^0.67)</f>
        <v>0.30685352515296538</v>
      </c>
      <c r="CF281" s="39">
        <f>CC281*($AM281-$BB281)</f>
        <v>-3.498185415787479</v>
      </c>
      <c r="CG281" s="39">
        <f>CD281*($AD281-$BD281)</f>
        <v>3.3029370184917514E-2</v>
      </c>
      <c r="CH281" s="39">
        <f>CE281*($AU281-$BF281)</f>
        <v>-0.7843090457714138</v>
      </c>
      <c r="CI281">
        <v>104.862639018895</v>
      </c>
      <c r="CJ281">
        <f>((BG281/BH281)^0.67)*CI281</f>
        <v>104.41619346991911</v>
      </c>
      <c r="CK281">
        <f>((BH281/BH281)^0.67)*CI281</f>
        <v>104.862639018895</v>
      </c>
      <c r="CL281">
        <f>((BI281/BH281)^0.67)*CI281</f>
        <v>109.10487578867252</v>
      </c>
      <c r="CM281" s="39">
        <f>CJ281*($AM281-$BB281)</f>
        <v>-1139.2086197945405</v>
      </c>
      <c r="CN281" s="39">
        <f>CK281*($AD281-$BD281)</f>
        <v>10.848422299545005</v>
      </c>
      <c r="CO281" s="39">
        <f>CL281*($AU281-$BF281)</f>
        <v>-278.86901731425462</v>
      </c>
      <c r="CP281" s="27">
        <f>VLOOKUP(A281,Water!$A$2:$E$109, 5, FALSE)/1000</f>
        <v>1E-4</v>
      </c>
      <c r="CQ281">
        <f>0.64*CP281</f>
        <v>6.4000000000000011E-5</v>
      </c>
      <c r="CR281" s="19">
        <f>CQ281*1000*(2.5*10^-5)</f>
        <v>1.6000000000000004E-6</v>
      </c>
      <c r="CS281" s="18">
        <f>(-0.0000009*F281^3)+(0.0002*F281^2)-(0.0134*F281)+6.579</f>
        <v>6.4883169216000001</v>
      </c>
      <c r="CT281" s="18">
        <f>CS281-(SQRT(CP281))/(1+1.4*SQRT(CP281))</f>
        <v>6.4784549886611442</v>
      </c>
      <c r="CU281" s="18">
        <f>10^(-CT281)</f>
        <v>3.3231122497181973E-7</v>
      </c>
      <c r="CV281" s="18">
        <f>(0.000001*F281^3)+(0.00006*F281^2)-(0.014*F281)+10.625</f>
        <v>10.522504575999999</v>
      </c>
      <c r="CW281" s="18">
        <f>CV281-(2*SQRT(CR281))/(1+1.4*SQRT(CR281))</f>
        <v>10.519979225952367</v>
      </c>
      <c r="CX281" s="18">
        <f>10^(-CW281)</f>
        <v>3.0200961802650664E-11</v>
      </c>
      <c r="CY281">
        <f>EXP(1246.98+-61900/H281-183*LN(H281))</f>
        <v>5.7596677670631695E-3</v>
      </c>
      <c r="CZ281">
        <f>12.225*(F281^2)+15.258*F281+1125.7</f>
        <v>1947.7768000000001</v>
      </c>
      <c r="DA281" s="15">
        <f>10^(-4470.99/H281+6.0875-0.01706*H281)</f>
        <v>2.3590669305006747E-15</v>
      </c>
      <c r="DB281">
        <f>(10^-I281)</f>
        <v>4.8977881936844456E-10</v>
      </c>
      <c r="DC281">
        <f>DB281^2</f>
        <v>2.3988329190194744E-19</v>
      </c>
      <c r="DD281" s="20">
        <f>((14.6836*10^-9)*((H281/217.2056)-1)^1.997)*100*100</f>
        <v>1.2613814997650085E-5</v>
      </c>
      <c r="DE281">
        <f>CY281+CZ281*DA281/DB281</f>
        <v>1.514132261853564E-2</v>
      </c>
      <c r="DF281">
        <f>1+DC281*(CU281*CX281+CU281*DB281)^-1</f>
        <v>1.001388252715822</v>
      </c>
      <c r="DG281">
        <f>(DE281*DF281/DD281)^0.5</f>
        <v>34.670485578913379</v>
      </c>
      <c r="DH281">
        <f>DD281/(BO281/60/60)</f>
        <v>3.2069055428724617E-2</v>
      </c>
      <c r="DI281" s="16">
        <f>DF281/((DF281-1)+TANH(DG281*DH281)/(DG281*DH281))</f>
        <v>1.3809378065848774</v>
      </c>
      <c r="DJ281">
        <f>$DI281*BR281</f>
        <v>-21.334001180753503</v>
      </c>
      <c r="DK281">
        <f>$DI281*BY281</f>
        <v>-31.192003112520862</v>
      </c>
      <c r="DL281">
        <f>$DI281*CF281</f>
        <v>-4.8307764951047689</v>
      </c>
      <c r="DM281">
        <f>$DI281*CM281</f>
        <v>-1573.1762526616583</v>
      </c>
    </row>
    <row r="282" spans="1:117" ht="15.75" x14ac:dyDescent="0.25">
      <c r="A282" s="52" t="s">
        <v>324</v>
      </c>
      <c r="B282" t="s">
        <v>339</v>
      </c>
      <c r="C282" s="69" t="s">
        <v>505</v>
      </c>
      <c r="D282" s="65">
        <v>43370</v>
      </c>
      <c r="E282" s="42" t="str">
        <f>A282&amp;D282</f>
        <v>32B43370</v>
      </c>
      <c r="F282" s="3">
        <f>VLOOKUP($E282,Water!$C$2:$E$90, 2, FALSE)</f>
        <v>6.7</v>
      </c>
      <c r="G282" s="3">
        <f>VLOOKUP($E282,Water!$C$2:$E$90, 3, FALSE)</f>
        <v>1.1100000000000001</v>
      </c>
      <c r="H282" s="1">
        <f>F282+273.15</f>
        <v>279.84999999999997</v>
      </c>
      <c r="I282" s="3">
        <f>VLOOKUP($E282,Water!$C$2:$F$90, 4, FALSE)</f>
        <v>8.7200000000000006</v>
      </c>
      <c r="J282">
        <f>10^(I282*-1)</f>
        <v>1.9054607179632436E-9</v>
      </c>
      <c r="K282" s="25">
        <f>VLOOKUP($E282,Atm!$D$2:$G$100, 2, FALSE)</f>
        <v>442.63163769115482</v>
      </c>
      <c r="L282" s="25">
        <f>VLOOKUP($E282,Atm!$D$2:$G$100, 3, FALSE)</f>
        <v>2.141493176072649</v>
      </c>
      <c r="M282" s="25">
        <f>VLOOKUP($E282,Atm!$D$2:$G$100, 4, FALSE)</f>
        <v>0.31052938715797113</v>
      </c>
      <c r="N282" s="21">
        <f>VLOOKUP($C282,Raw!$B$2:$F$353, 3, FALSE)</f>
        <v>342.58494620152572</v>
      </c>
      <c r="O282" s="21">
        <f>VLOOKUP($C282,Raw!$B$2:$F$353, 4, FALSE)</f>
        <v>39.094142226747891</v>
      </c>
      <c r="P282" s="21">
        <f>VLOOKUP($C282,Raw!$B$2:$F$353, 5, FALSE)</f>
        <v>0.54025340512247622</v>
      </c>
      <c r="Q282" s="14">
        <v>60</v>
      </c>
      <c r="R282" s="25">
        <v>1140</v>
      </c>
      <c r="S282">
        <f>EXP(24.4543-(100/H282*(67.4509))-(4.8489*LN(H282/100))-(0.000544*G282))</f>
        <v>9.6698129053961017E-3</v>
      </c>
      <c r="T282" s="8">
        <f>EXP(-58.0931+90.5069*(100/H282)+22.294*LN(H282/100)+G282*(0.027766-0.025888*(H282/100)+0.0050578*(H282/100)^2)*G282)</f>
        <v>5.9860378009010611E-2</v>
      </c>
      <c r="U282" s="9">
        <f>(EXP(-67.1962+99.1624*(100/H282)+27.9015*LN(H282/100)+G282*(-0.072909+0.041674*(H282/100)-0.0064603*(H282/100)^2)*G282))</f>
        <v>4.7001534562736938E-2</v>
      </c>
      <c r="V282" s="9">
        <f>(EXP(-64.8539+100.252*(100/H282)+25.2049*LN(H282/100)+(-0.062544+0.035337*(H282/100)-0.0054699*(H282/100)^2)*G282))</f>
        <v>4.5063598700504436E-2</v>
      </c>
      <c r="W282" s="9">
        <f>(EXP(-68.8862+101.4956*(100/H282)+28.7314*LN(H282/100)+G282*(-0.076146+0.04397*(H282/100)-0.0068672*(H282/100)^2)))</f>
        <v>4.6936274421159142E-2</v>
      </c>
      <c r="X282">
        <f>N282*(AZ282-S282)</f>
        <v>316.32803786537062</v>
      </c>
      <c r="Y282">
        <f>O282*(AZ282-S282)</f>
        <v>36.097830449742681</v>
      </c>
      <c r="Z282">
        <f>((Y282/10^6)*AZ282)/(0.082056*H282)</f>
        <v>1.4666934080584445E-6</v>
      </c>
      <c r="AA282">
        <f>(((L282/10^6)*AZ282)/(0.082056*H282))</f>
        <v>8.7011155119719548E-8</v>
      </c>
      <c r="AB282">
        <f>((Y282/10^6)*U282*1)/(0.082056*H282)</f>
        <v>7.3885205320781322E-8</v>
      </c>
      <c r="AC282">
        <f>(Z282*(Q282/1000))+(AB282*(R282/1000))</f>
        <v>1.7223073854919737E-7</v>
      </c>
      <c r="AD282" s="39">
        <f>((AC282-(AA282*(Q282/1000)))/(R282/1000))*1000000</f>
        <v>0.14650006073860894</v>
      </c>
      <c r="AE282" s="39">
        <f>(AD282/((U282*AZ282*1))*(0.0821*273.15))</f>
        <v>74.916285507502039</v>
      </c>
      <c r="AF282" s="39">
        <f>L282*U282*AZ282*1/(0.0821*273.15)</f>
        <v>4.1877260496924022E-3</v>
      </c>
      <c r="AG282" s="39">
        <f>AD282-AF282</f>
        <v>0.14231233468891655</v>
      </c>
      <c r="AH282" s="42">
        <f>P282*(AZ282-S282)</f>
        <v>0.4988464948251044</v>
      </c>
      <c r="AI282">
        <f>(((X282/10^6)*(Q282/1000))/(0.082056*H282))</f>
        <v>8.2651984223093086E-7</v>
      </c>
      <c r="AJ282">
        <f>(((K282/10^6)*AZ282)*(Q282/1000))/(0.082056*H282)</f>
        <v>1.0790757734378327E-6</v>
      </c>
      <c r="AK282">
        <f>(X282/10^6)*T282*(R282/1000)</f>
        <v>2.1586488150475465E-5</v>
      </c>
      <c r="AL282">
        <f>AI282+AK282</f>
        <v>2.2413007992706395E-5</v>
      </c>
      <c r="AM282" s="39">
        <f>((AL282-AJ282)/(R282/1000))*1000000</f>
        <v>18.713975630937338</v>
      </c>
      <c r="AN282" s="39">
        <f>AM282/(T282*AZ282)</f>
        <v>335.06781337768672</v>
      </c>
      <c r="AO282" s="39">
        <f>(K282*AZ282)*T282</f>
        <v>24.721555907541479</v>
      </c>
      <c r="AP282" s="39">
        <f>AM282-AO282</f>
        <v>-6.0075802766041413</v>
      </c>
      <c r="AQ282">
        <f>(((AH282/10^6)*(Q282/1000))/(0.082056*H282))</f>
        <v>1.3034144206204576E-9</v>
      </c>
      <c r="AR282">
        <f>(((M282/10^6)*AZ282)*(Q282/1000))/(0.082056*H282)</f>
        <v>7.5702844100915456E-10</v>
      </c>
      <c r="AS282">
        <f>(AH282/10^6)*V282*(R282/1000)</f>
        <v>2.5626992811785014E-8</v>
      </c>
      <c r="AT282">
        <f>AQ282+AS282</f>
        <v>2.693040723240547E-8</v>
      </c>
      <c r="AU282" s="39">
        <f>((AT282-AR282)/(R282/1000))*1000000000</f>
        <v>22.959104202979226</v>
      </c>
      <c r="AV282" s="39">
        <f>(AU282/1000)/(V282*AZ282)</f>
        <v>0.54605347507224855</v>
      </c>
      <c r="AW282" s="39">
        <f>(M282*AZ282)*V282*1000</f>
        <v>13.056370636417677</v>
      </c>
      <c r="AX282" s="39">
        <f>AU282-AW282</f>
        <v>9.9027335665615492</v>
      </c>
      <c r="AY282" s="26">
        <f>VLOOKUP($E282,Water!$C$2:$G$90, 5, FALSE)</f>
        <v>709.1</v>
      </c>
      <c r="AZ282">
        <f>AY282/760</f>
        <v>0.9330263157894737</v>
      </c>
      <c r="BA282" s="3">
        <f>Assumptions!$B$3</f>
        <v>406.07</v>
      </c>
      <c r="BB282" s="3">
        <f>BA282*AZ282*T282</f>
        <v>22.679540621494919</v>
      </c>
      <c r="BC282" s="3">
        <f>Assumptions!$B$4</f>
        <v>1.8474300000000001</v>
      </c>
      <c r="BD282" s="45">
        <f>BC282*AZ282*U282*1/(0.0821*273.15)</f>
        <v>3.612680545716937E-3</v>
      </c>
      <c r="BE282" s="3">
        <f>Assumptions!$B$2</f>
        <v>0.33054499999999998</v>
      </c>
      <c r="BF282" s="44">
        <f>BE282*AZ282*V282*1000</f>
        <v>13.897937555968602</v>
      </c>
      <c r="BG282">
        <f>1923.6+(-125.06*F282)+(4.3773*(F282^2))+(-0.085681*(F282^3))+(0.00070284*(F282^4))</f>
        <v>1257.8416237853637</v>
      </c>
      <c r="BH282">
        <f>1909.4+(-120.78*F282)+(4.1555*(F282^2))+(-0.080578*(F282^3))+(0.00065777*(F282^4))</f>
        <v>1263.804994272017</v>
      </c>
      <c r="BI282">
        <f>2141.2+(-152.56*F282)+(5.8963*(F282^2))+(-0.12411*(F282^3))+(0.0010655*(F282^4))</f>
        <v>1348.55231301255</v>
      </c>
      <c r="BJ282" s="25">
        <f>VLOOKUP(E282,Wind!$C$2:$E$109,3, FALSE)</f>
        <v>0.80555555555555558</v>
      </c>
      <c r="BK282" s="44">
        <v>1.66</v>
      </c>
      <c r="BL282">
        <f>BK282/(1-(((1.3*10^-3)^0.5)/0.41)*LN(10/1.5))</f>
        <v>1.9923982880693825</v>
      </c>
      <c r="BM282">
        <f>BK282*1.22</f>
        <v>2.0251999999999999</v>
      </c>
      <c r="BN282">
        <f>2.07+0.215*(BM282^1.7)*(24/100)</f>
        <v>2.241255750541113</v>
      </c>
      <c r="BO282">
        <f>BN282*((600/BG282)^0.67)</f>
        <v>1.364907939619959</v>
      </c>
      <c r="BP282">
        <f>BN282*((600/BH282)^0.67)</f>
        <v>1.3605894827014708</v>
      </c>
      <c r="BQ282">
        <f>BN282*((600/BI282)^0.67)</f>
        <v>1.3026907512837669</v>
      </c>
      <c r="BR282" s="39">
        <f>BO282*(AM282-BB282)</f>
        <v>-5.4126311406909906</v>
      </c>
      <c r="BS282" s="39">
        <f>BP282*(AD282-BD282)</f>
        <v>0.1944110667012153</v>
      </c>
      <c r="BT282" s="39">
        <f>BQ282*(AU282-BF282)</f>
        <v>11.803897986901681</v>
      </c>
      <c r="BU282">
        <f>(2.51+1.48*BM282)+(0.39*BM282*LOG10(0.0015))</f>
        <v>3.2768938069574309</v>
      </c>
      <c r="BV282">
        <f>BU282*((600/$BG282)^0.67)</f>
        <v>1.9956037472866823</v>
      </c>
      <c r="BW282">
        <f>BU282*((600/$BH282)^0.67)</f>
        <v>1.9892898204943517</v>
      </c>
      <c r="BX282">
        <f>BU282*((600/$BI282)^0.67)</f>
        <v>1.9046372794500916</v>
      </c>
      <c r="BY282" s="39">
        <f>BV282*($AM282-$BB282)</f>
        <v>-7.9136963552655866</v>
      </c>
      <c r="BZ282" s="39">
        <f>BW282*($AD282-$BD282)</f>
        <v>0.28424441089482627</v>
      </c>
      <c r="CA282" s="39">
        <f>BX282*($AU282-$BF282)</f>
        <v>17.258235791206225</v>
      </c>
      <c r="CB282" s="42">
        <f>AVERAGE(0.72,0.69,0.4,0.22)</f>
        <v>0.50750000000000006</v>
      </c>
      <c r="CC282">
        <f>CB282*((600/$BG282)^0.67)</f>
        <v>0.30906369306130765</v>
      </c>
      <c r="CD282">
        <f>CB282*((600/$BH282)^0.67)</f>
        <v>0.30808584085251639</v>
      </c>
      <c r="CE282">
        <f>CB282*((600/$BI282)^0.67)</f>
        <v>0.29497550920589793</v>
      </c>
      <c r="CF282" s="39">
        <f>CC282*($AM282-$BB282)</f>
        <v>-1.2256121610563557</v>
      </c>
      <c r="CG282" s="39">
        <f>CD282*($AD282-$BD282)</f>
        <v>4.4021578673940326E-2</v>
      </c>
      <c r="CH282" s="39">
        <f>CE282*($AU282-$BF282)</f>
        <v>2.6728222457014579</v>
      </c>
      <c r="CI282">
        <v>105.862639018895</v>
      </c>
      <c r="CJ282">
        <f>((BG282/BH282)^0.67)*CI282</f>
        <v>105.52769830046978</v>
      </c>
      <c r="CK282">
        <f>((BH282/BH282)^0.67)*CI282</f>
        <v>105.862639018895</v>
      </c>
      <c r="CL282">
        <f>((BI282/BH282)^0.67)*CI282</f>
        <v>110.56775609881903</v>
      </c>
      <c r="CM282" s="39">
        <f>CJ282*($AM282-$BB282)</f>
        <v>-418.47694591446572</v>
      </c>
      <c r="CN282" s="39">
        <f>CK282*($AD282-$BD282)</f>
        <v>15.126435149715732</v>
      </c>
      <c r="CO282" s="39">
        <f>CL282*($AU282-$BF282)</f>
        <v>1001.8728637974245</v>
      </c>
      <c r="CP282" s="27">
        <f>VLOOKUP(A282,Water!$A$2:$E$109, 5, FALSE)/1000</f>
        <v>6.6E-4</v>
      </c>
      <c r="CQ282">
        <f>0.64*CP282</f>
        <v>4.2240000000000002E-4</v>
      </c>
      <c r="CR282" s="19">
        <f>CQ282*1000*(2.5*10^-5)</f>
        <v>1.0560000000000001E-5</v>
      </c>
      <c r="CS282" s="18">
        <f>(-0.0000009*F282^3)+(0.0002*F282^2)-(0.0134*F282)+6.579</f>
        <v>6.4979273133</v>
      </c>
      <c r="CT282" s="18">
        <f>CS282-(SQRT(CP282))/(1+1.4*SQRT(CP282))</f>
        <v>6.4731287687454335</v>
      </c>
      <c r="CU282" s="18">
        <f>10^(-CT282)</f>
        <v>3.3641180815116809E-7</v>
      </c>
      <c r="CV282" s="18">
        <f>(0.000001*F282^3)+(0.00006*F282^2)-(0.014*F282)+10.625</f>
        <v>10.534194163</v>
      </c>
      <c r="CW282" s="18">
        <f>CV282-(2*SQRT(CR282))/(1+1.4*SQRT(CR282))</f>
        <v>10.527724366367028</v>
      </c>
      <c r="CX282" s="18">
        <f>10^(-CW282)</f>
        <v>2.9667136760013586E-11</v>
      </c>
      <c r="CY282">
        <f>EXP(1246.98+-61900/H282-183*LN(H282))</f>
        <v>5.100796526057016E-3</v>
      </c>
      <c r="CZ282">
        <f>12.225*(F282^2)+15.258*F282+1125.7</f>
        <v>1776.70885</v>
      </c>
      <c r="DA282" s="15">
        <f>10^(-4470.99/H282+6.0875-0.01706*H282)</f>
        <v>2.1720949021382075E-15</v>
      </c>
      <c r="DB282">
        <f>(10^-I282)</f>
        <v>1.9054607179632436E-9</v>
      </c>
      <c r="DC282">
        <f>DB282^2</f>
        <v>3.6307805477009994E-18</v>
      </c>
      <c r="DD282" s="20">
        <f>((14.6836*10^-9)*((H282/217.2056)-1)^1.997)*100*100</f>
        <v>1.2259562820646385E-5</v>
      </c>
      <c r="DE282">
        <f>CY282+CZ282*DA282/DB282</f>
        <v>7.1261231041845011E-3</v>
      </c>
      <c r="DF282">
        <f>1+DC282*(CU282*CX282+CU282*DB282)^-1</f>
        <v>1.0055772370585341</v>
      </c>
      <c r="DG282">
        <f>(DE282*DF282/DD282)^0.5</f>
        <v>24.176692426259763</v>
      </c>
      <c r="DH282">
        <f>DD282/(BO282/60/60)</f>
        <v>3.2335093725526752E-2</v>
      </c>
      <c r="DI282" s="16">
        <f>DF282/((DF282-1)+TANH(DG282*DH282)/(DG282*DH282))</f>
        <v>1.1945716276732083</v>
      </c>
      <c r="DJ282">
        <f>$DI282*BR282</f>
        <v>-6.4657755917299307</v>
      </c>
      <c r="DK282">
        <f>$DI282*BY282</f>
        <v>-9.4534771360211476</v>
      </c>
      <c r="DL282">
        <f>$DI282*CF282</f>
        <v>-1.4640815141291692</v>
      </c>
      <c r="DM282">
        <f>$DI282*CM282</f>
        <v>-499.90068642475649</v>
      </c>
    </row>
    <row r="283" spans="1:117" ht="15.75" x14ac:dyDescent="0.25">
      <c r="A283" s="52" t="s">
        <v>324</v>
      </c>
      <c r="B283" t="s">
        <v>340</v>
      </c>
      <c r="C283" s="68" t="s">
        <v>506</v>
      </c>
      <c r="D283" s="65">
        <v>43370</v>
      </c>
      <c r="E283" s="42" t="str">
        <f>A283&amp;D283</f>
        <v>32B43370</v>
      </c>
      <c r="F283" s="3">
        <f>VLOOKUP($E283,Water!$C$2:$E$90, 2, FALSE)</f>
        <v>6.7</v>
      </c>
      <c r="G283" s="3">
        <f>VLOOKUP($E283,Water!$C$2:$E$90, 3, FALSE)</f>
        <v>1.1100000000000001</v>
      </c>
      <c r="H283" s="1">
        <f>F283+273.15</f>
        <v>279.84999999999997</v>
      </c>
      <c r="I283" s="3">
        <f>VLOOKUP($E283,Water!$C$2:$F$90, 4, FALSE)</f>
        <v>8.7200000000000006</v>
      </c>
      <c r="J283">
        <f>10^(I283*-1)</f>
        <v>1.9054607179632436E-9</v>
      </c>
      <c r="K283" s="25">
        <f>VLOOKUP($E283,Atm!$D$2:$G$100, 2, FALSE)</f>
        <v>442.63163769115482</v>
      </c>
      <c r="L283" s="25">
        <f>VLOOKUP($E283,Atm!$D$2:$G$100, 3, FALSE)</f>
        <v>2.141493176072649</v>
      </c>
      <c r="M283" s="25">
        <f>VLOOKUP($E283,Atm!$D$2:$G$100, 4, FALSE)</f>
        <v>0.31052938715797113</v>
      </c>
      <c r="N283" s="21">
        <f>VLOOKUP($C283,Raw!$B$2:$F$353, 3, FALSE)</f>
        <v>335.88539871556009</v>
      </c>
      <c r="O283" s="21">
        <f>VLOOKUP($C283,Raw!$B$2:$F$353, 4, FALSE)</f>
        <v>39.302333169681738</v>
      </c>
      <c r="P283" s="21">
        <f>VLOOKUP($C283,Raw!$B$2:$F$353, 5, FALSE)</f>
        <v>0.54855564343983831</v>
      </c>
      <c r="Q283" s="14">
        <v>60</v>
      </c>
      <c r="R283" s="25">
        <v>1140</v>
      </c>
      <c r="S283">
        <f>EXP(24.4543-(100/H283*(67.4509))-(4.8489*LN(H283/100))-(0.000544*G283))</f>
        <v>9.6698129053961017E-3</v>
      </c>
      <c r="T283" s="8">
        <f>EXP(-58.0931+90.5069*(100/H283)+22.294*LN(H283/100)+G283*(0.027766-0.025888*(H283/100)+0.0050578*(H283/100)^2)*G283)</f>
        <v>5.9860378009010611E-2</v>
      </c>
      <c r="U283" s="9">
        <f>(EXP(-67.1962+99.1624*(100/H283)+27.9015*LN(H283/100)+G283*(-0.072909+0.041674*(H283/100)-0.0064603*(H283/100)^2)*G283))</f>
        <v>4.7001534562736938E-2</v>
      </c>
      <c r="V283" s="9">
        <f>(EXP(-64.8539+100.252*(100/H283)+25.2049*LN(H283/100)+(-0.062544+0.035337*(H283/100)-0.0054699*(H283/100)^2)*G283))</f>
        <v>4.5063598700504436E-2</v>
      </c>
      <c r="W283" s="9">
        <f>(EXP(-68.8862+101.4956*(100/H283)+28.7314*LN(H283/100)+G283*(-0.076146+0.04397*(H283/100)-0.0068672*(H283/100)^2)))</f>
        <v>4.6936274421159142E-2</v>
      </c>
      <c r="X283">
        <f>N283*(AZ283-S283)</f>
        <v>310.14196712782359</v>
      </c>
      <c r="Y283">
        <f>O283*(AZ283-S283)</f>
        <v>36.29006491074221</v>
      </c>
      <c r="Z283">
        <f>((Y283/10^6)*AZ283)/(0.082056*H283)</f>
        <v>1.4745040995387045E-6</v>
      </c>
      <c r="AA283">
        <f>(((L283/10^6)*AZ283)/(0.082056*H283))</f>
        <v>8.7011155119719548E-8</v>
      </c>
      <c r="AB283">
        <f>((Y283/10^6)*U283*1)/(0.082056*H283)</f>
        <v>7.4278671699334301E-8</v>
      </c>
      <c r="AC283">
        <f>(Z283*(Q283/1000))+(AB283*(R283/1000))</f>
        <v>1.7314793170956336E-7</v>
      </c>
      <c r="AD283" s="39">
        <f>((AC283-(AA283*(Q283/1000)))/(R283/1000))*1000000</f>
        <v>0.14730461614243878</v>
      </c>
      <c r="AE283" s="39">
        <f>(AD283/((U283*AZ283*1))*(0.0821*273.15))</f>
        <v>75.327714021838716</v>
      </c>
      <c r="AF283" s="39">
        <f>L283*U283*AZ283*1/(0.0821*273.15)</f>
        <v>4.1877260496924022E-3</v>
      </c>
      <c r="AG283" s="39">
        <f>AD283-AF283</f>
        <v>0.14311689009274639</v>
      </c>
      <c r="AH283" s="42">
        <f>P283*(AZ283-S283)</f>
        <v>0.50651242056393408</v>
      </c>
      <c r="AI283">
        <f>(((X283/10^6)*(Q283/1000))/(0.082056*H283))</f>
        <v>8.1035652567976623E-7</v>
      </c>
      <c r="AJ283">
        <f>(((K283/10^6)*AZ283)*(Q283/1000))/(0.082056*H283)</f>
        <v>1.0790757734378327E-6</v>
      </c>
      <c r="AK283">
        <f>(X283/10^6)*T283*(R283/1000)</f>
        <v>2.1164345543151813E-5</v>
      </c>
      <c r="AL283">
        <f>AI283+AK283</f>
        <v>2.1974702068831578E-5</v>
      </c>
      <c r="AM283" s="39">
        <f>((AL283-AJ283)/(R283/1000))*1000000</f>
        <v>18.329496750345395</v>
      </c>
      <c r="AN283" s="39">
        <f>AM283/(T283*AZ283)</f>
        <v>328.18384065321277</v>
      </c>
      <c r="AO283" s="39">
        <f>(K283*AZ283)*T283</f>
        <v>24.721555907541479</v>
      </c>
      <c r="AP283" s="39">
        <f>AM283-AO283</f>
        <v>-6.3920591571960834</v>
      </c>
      <c r="AQ283">
        <f>(((AH283/10^6)*(Q283/1000))/(0.082056*H283))</f>
        <v>1.3234443862693075E-9</v>
      </c>
      <c r="AR283">
        <f>(((M283/10^6)*AZ283)*(Q283/1000))/(0.082056*H283)</f>
        <v>7.5702844100915456E-10</v>
      </c>
      <c r="AS283">
        <f>(AH283/10^6)*V283*(R283/1000)</f>
        <v>2.6020810601110249E-8</v>
      </c>
      <c r="AT283">
        <f>AQ283+AS283</f>
        <v>2.7344254987379558E-8</v>
      </c>
      <c r="AU283" s="39">
        <f>((AT283-AR283)/(R283/1000))*1000000000</f>
        <v>23.322128549447722</v>
      </c>
      <c r="AV283" s="39">
        <f>(AU283/1000)/(V283*AZ283)</f>
        <v>0.55468755348281784</v>
      </c>
      <c r="AW283" s="39">
        <f>(M283*AZ283)*V283*1000</f>
        <v>13.056370636417677</v>
      </c>
      <c r="AX283" s="39">
        <f>AU283-AW283</f>
        <v>10.265757913030045</v>
      </c>
      <c r="AY283" s="26">
        <f>VLOOKUP($E283,Water!$C$2:$G$90, 5, FALSE)</f>
        <v>709.1</v>
      </c>
      <c r="AZ283">
        <f>AY283/760</f>
        <v>0.9330263157894737</v>
      </c>
      <c r="BA283" s="3">
        <f>Assumptions!$B$3</f>
        <v>406.07</v>
      </c>
      <c r="BB283" s="3">
        <f>BA283*AZ283*T283</f>
        <v>22.679540621494919</v>
      </c>
      <c r="BC283" s="3">
        <f>Assumptions!$B$4</f>
        <v>1.8474300000000001</v>
      </c>
      <c r="BD283" s="45">
        <f>BC283*AZ283*U283*1/(0.0821*273.15)</f>
        <v>3.612680545716937E-3</v>
      </c>
      <c r="BE283" s="3">
        <f>Assumptions!$B$2</f>
        <v>0.33054499999999998</v>
      </c>
      <c r="BF283" s="44">
        <f>BE283*AZ283*V283*1000</f>
        <v>13.897937555968602</v>
      </c>
      <c r="BG283">
        <f>1923.6+(-125.06*F283)+(4.3773*(F283^2))+(-0.085681*(F283^3))+(0.00070284*(F283^4))</f>
        <v>1257.8416237853637</v>
      </c>
      <c r="BH283">
        <f>1909.4+(-120.78*F283)+(4.1555*(F283^2))+(-0.080578*(F283^3))+(0.00065777*(F283^4))</f>
        <v>1263.804994272017</v>
      </c>
      <c r="BI283">
        <f>2141.2+(-152.56*F283)+(5.8963*(F283^2))+(-0.12411*(F283^3))+(0.0010655*(F283^4))</f>
        <v>1348.55231301255</v>
      </c>
      <c r="BJ283" s="25">
        <f>VLOOKUP(E283,Wind!$C$2:$E$109,3, FALSE)</f>
        <v>0.80555555555555558</v>
      </c>
      <c r="BK283" s="44">
        <v>1.66</v>
      </c>
      <c r="BL283">
        <f>BK283/(1-(((1.3*10^-3)^0.5)/0.41)*LN(10/1.5))</f>
        <v>1.9923982880693825</v>
      </c>
      <c r="BM283">
        <f>BK283*1.22</f>
        <v>2.0251999999999999</v>
      </c>
      <c r="BN283">
        <f>2.07+0.215*(BM283^1.7)*(24/100)</f>
        <v>2.241255750541113</v>
      </c>
      <c r="BO283">
        <f>BN283*((600/BG283)^0.67)</f>
        <v>1.364907939619959</v>
      </c>
      <c r="BP283">
        <f>BN283*((600/BH283)^0.67)</f>
        <v>1.3605894827014708</v>
      </c>
      <c r="BQ283">
        <f>BN283*((600/BI283)^0.67)</f>
        <v>1.3026907512837669</v>
      </c>
      <c r="BR283" s="39">
        <f>BO283*(AM283-BB283)</f>
        <v>-5.9374094174271264</v>
      </c>
      <c r="BS283" s="39">
        <f>BP283*(AD283-BD283)</f>
        <v>0.19550573632191681</v>
      </c>
      <c r="BT283" s="39">
        <f>BQ283*(AU283-BF283)</f>
        <v>12.276806445537025</v>
      </c>
      <c r="BU283">
        <f>(2.51+1.48*BM283)+(0.39*BM283*LOG10(0.0015))</f>
        <v>3.2768938069574309</v>
      </c>
      <c r="BV283">
        <f>BU283*((600/$BG283)^0.67)</f>
        <v>1.9956037472866823</v>
      </c>
      <c r="BW283">
        <f>BU283*((600/$BH283)^0.67)</f>
        <v>1.9892898204943517</v>
      </c>
      <c r="BX283">
        <f>BU283*((600/$BI283)^0.67)</f>
        <v>1.9046372794500916</v>
      </c>
      <c r="BY283" s="39">
        <f>BV283*($AM283-$BB283)</f>
        <v>-8.6809638501274549</v>
      </c>
      <c r="BZ283" s="39">
        <f>BW283*($AD283-$BD283)</f>
        <v>0.28584490476968871</v>
      </c>
      <c r="CA283" s="39">
        <f>BX283*($AU283-$BF283)</f>
        <v>17.949665494838129</v>
      </c>
      <c r="CB283" s="42">
        <f>AVERAGE(0.72,0.69,0.4,0.22)</f>
        <v>0.50750000000000006</v>
      </c>
      <c r="CC283">
        <f>CB283*((600/$BG283)^0.67)</f>
        <v>0.30906369306130765</v>
      </c>
      <c r="CD283">
        <f>CB283*((600/$BH283)^0.67)</f>
        <v>0.30808584085251639</v>
      </c>
      <c r="CE283">
        <f>CB283*((600/$BI283)^0.67)</f>
        <v>0.29497550920589793</v>
      </c>
      <c r="CF283" s="39">
        <f>CC283*($AM283-$BB283)</f>
        <v>-1.3444406237961788</v>
      </c>
      <c r="CG283" s="39">
        <f>CD283*($AD283-$BD283)</f>
        <v>4.4269450802041678E-2</v>
      </c>
      <c r="CH283" s="39">
        <f>CE283*($AU283-$BF283)</f>
        <v>2.7799055371551407</v>
      </c>
      <c r="CI283">
        <v>106.862639018895</v>
      </c>
      <c r="CJ283">
        <f>((BG283/BH283)^0.67)*CI283</f>
        <v>106.52453438238189</v>
      </c>
      <c r="CK283">
        <f>((BH283/BH283)^0.67)*CI283</f>
        <v>106.862639018895</v>
      </c>
      <c r="CL283">
        <f>((BI283/BH283)^0.67)*CI283</f>
        <v>111.61220159085975</v>
      </c>
      <c r="CM283" s="39">
        <f>CJ283*($AM283-$BB283)</f>
        <v>-463.386397917137</v>
      </c>
      <c r="CN283" s="39">
        <f>CK283*($AD283-$BD283)</f>
        <v>15.355299443598794</v>
      </c>
      <c r="CO283" s="39">
        <f>CL283*($AU283-$BF283)</f>
        <v>1051.8547049949564</v>
      </c>
      <c r="CP283" s="27">
        <f>VLOOKUP(A283,Water!$A$2:$E$109, 5, FALSE)/1000</f>
        <v>6.6E-4</v>
      </c>
      <c r="CQ283">
        <f>0.64*CP283</f>
        <v>4.2240000000000002E-4</v>
      </c>
      <c r="CR283" s="19">
        <f>CQ283*1000*(2.5*10^-5)</f>
        <v>1.0560000000000001E-5</v>
      </c>
      <c r="CS283" s="18">
        <f>(-0.0000009*F283^3)+(0.0002*F283^2)-(0.0134*F283)+6.579</f>
        <v>6.4979273133</v>
      </c>
      <c r="CT283" s="18">
        <f>CS283-(SQRT(CP283))/(1+1.4*SQRT(CP283))</f>
        <v>6.4731287687454335</v>
      </c>
      <c r="CU283" s="18">
        <f>10^(-CT283)</f>
        <v>3.3641180815116809E-7</v>
      </c>
      <c r="CV283" s="18">
        <f>(0.000001*F283^3)+(0.00006*F283^2)-(0.014*F283)+10.625</f>
        <v>10.534194163</v>
      </c>
      <c r="CW283" s="18">
        <f>CV283-(2*SQRT(CR283))/(1+1.4*SQRT(CR283))</f>
        <v>10.527724366367028</v>
      </c>
      <c r="CX283" s="18">
        <f>10^(-CW283)</f>
        <v>2.9667136760013586E-11</v>
      </c>
      <c r="CY283">
        <f>EXP(1246.98+-61900/H283-183*LN(H283))</f>
        <v>5.100796526057016E-3</v>
      </c>
      <c r="CZ283">
        <f>12.225*(F283^2)+15.258*F283+1125.7</f>
        <v>1776.70885</v>
      </c>
      <c r="DA283" s="15">
        <f>10^(-4470.99/H283+6.0875-0.01706*H283)</f>
        <v>2.1720949021382075E-15</v>
      </c>
      <c r="DB283">
        <f>(10^-I283)</f>
        <v>1.9054607179632436E-9</v>
      </c>
      <c r="DC283">
        <f>DB283^2</f>
        <v>3.6307805477009994E-18</v>
      </c>
      <c r="DD283" s="20">
        <f>((14.6836*10^-9)*((H283/217.2056)-1)^1.997)*100*100</f>
        <v>1.2259562820646385E-5</v>
      </c>
      <c r="DE283">
        <f>CY283+CZ283*DA283/DB283</f>
        <v>7.1261231041845011E-3</v>
      </c>
      <c r="DF283">
        <f>1+DC283*(CU283*CX283+CU283*DB283)^-1</f>
        <v>1.0055772370585341</v>
      </c>
      <c r="DG283">
        <f>(DE283*DF283/DD283)^0.5</f>
        <v>24.176692426259763</v>
      </c>
      <c r="DH283">
        <f>DD283/(BO283/60/60)</f>
        <v>3.2335093725526752E-2</v>
      </c>
      <c r="DI283" s="16">
        <f>DF283/((DF283-1)+TANH(DG283*DH283)/(DG283*DH283))</f>
        <v>1.1945716276732083</v>
      </c>
      <c r="DJ283">
        <f>$DI283*BR283</f>
        <v>-7.0926608319381579</v>
      </c>
      <c r="DK283">
        <f>$DI283*BY283</f>
        <v>-10.370033116219036</v>
      </c>
      <c r="DL283">
        <f>$DI283*CF283</f>
        <v>-1.6060306242781848</v>
      </c>
      <c r="DM283">
        <f>$DI283*CM283</f>
        <v>-553.54824360149939</v>
      </c>
    </row>
    <row r="284" spans="1:117" ht="15.75" x14ac:dyDescent="0.25">
      <c r="A284" s="52" t="s">
        <v>324</v>
      </c>
      <c r="B284" t="s">
        <v>341</v>
      </c>
      <c r="C284" s="69" t="s">
        <v>507</v>
      </c>
      <c r="D284" s="65">
        <v>43370</v>
      </c>
      <c r="E284" s="42" t="str">
        <f>A284&amp;D284</f>
        <v>32B43370</v>
      </c>
      <c r="F284" s="3">
        <f>VLOOKUP($E284,Water!$C$2:$E$90, 2, FALSE)</f>
        <v>6.7</v>
      </c>
      <c r="G284" s="3">
        <f>VLOOKUP($E284,Water!$C$2:$E$90, 3, FALSE)</f>
        <v>1.1100000000000001</v>
      </c>
      <c r="H284" s="1">
        <f>F284+273.15</f>
        <v>279.84999999999997</v>
      </c>
      <c r="I284" s="3">
        <f>VLOOKUP($E284,Water!$C$2:$F$90, 4, FALSE)</f>
        <v>8.7200000000000006</v>
      </c>
      <c r="J284">
        <f>10^(I284*-1)</f>
        <v>1.9054607179632436E-9</v>
      </c>
      <c r="K284" s="25">
        <f>VLOOKUP($E284,Atm!$D$2:$G$100, 2, FALSE)</f>
        <v>442.63163769115482</v>
      </c>
      <c r="L284" s="25">
        <f>VLOOKUP($E284,Atm!$D$2:$G$100, 3, FALSE)</f>
        <v>2.141493176072649</v>
      </c>
      <c r="M284" s="25">
        <f>VLOOKUP($E284,Atm!$D$2:$G$100, 4, FALSE)</f>
        <v>0.31052938715797113</v>
      </c>
      <c r="N284" s="21">
        <f>VLOOKUP($C284,Raw!$B$2:$F$353, 3, FALSE)</f>
        <v>477.52449253638912</v>
      </c>
      <c r="O284" s="21">
        <f>VLOOKUP($C284,Raw!$B$2:$F$353, 4, FALSE)</f>
        <v>50.249349830342886</v>
      </c>
      <c r="P284" s="21">
        <f>VLOOKUP($C284,Raw!$B$2:$F$353, 5, FALSE)</f>
        <v>0.42232722538658973</v>
      </c>
      <c r="Q284" s="14">
        <v>60</v>
      </c>
      <c r="R284" s="25">
        <v>1140</v>
      </c>
      <c r="S284">
        <f>EXP(24.4543-(100/H284*(67.4509))-(4.8489*LN(H284/100))-(0.000544*G284))</f>
        <v>9.6698129053961017E-3</v>
      </c>
      <c r="T284" s="8">
        <f>EXP(-58.0931+90.5069*(100/H284)+22.294*LN(H284/100)+G284*(0.027766-0.025888*(H284/100)+0.0050578*(H284/100)^2)*G284)</f>
        <v>5.9860378009010611E-2</v>
      </c>
      <c r="U284" s="9">
        <f>(EXP(-67.1962+99.1624*(100/H284)+27.9015*LN(H284/100)+G284*(-0.072909+0.041674*(H284/100)-0.0064603*(H284/100)^2)*G284))</f>
        <v>4.7001534562736938E-2</v>
      </c>
      <c r="V284" s="9">
        <f>(EXP(-64.8539+100.252*(100/H284)+25.2049*LN(H284/100)+(-0.062544+0.035337*(H284/100)-0.0054699*(H284/100)^2)*G284))</f>
        <v>4.5063598700504436E-2</v>
      </c>
      <c r="W284" s="9">
        <f>(EXP(-68.8862+101.4956*(100/H284)+28.7314*LN(H284/100)+G284*(-0.076146+0.04397*(H284/100)-0.0068672*(H284/100)^2)))</f>
        <v>4.6936274421159142E-2</v>
      </c>
      <c r="X284">
        <f>N284*(AZ284-S284)</f>
        <v>440.92534546989407</v>
      </c>
      <c r="Y284">
        <f>O284*(AZ284-S284)</f>
        <v>46.398063931544023</v>
      </c>
      <c r="Z284">
        <f>((Y284/10^6)*AZ284)/(0.082056*H284)</f>
        <v>1.8852028963296048E-6</v>
      </c>
      <c r="AA284">
        <f>(((L284/10^6)*AZ284)/(0.082056*H284))</f>
        <v>8.7011155119719548E-8</v>
      </c>
      <c r="AB284">
        <f>((Y284/10^6)*U284*1)/(0.082056*H284)</f>
        <v>9.4967770565649191E-8</v>
      </c>
      <c r="AC284">
        <f>(Z284*(Q284/1000))+(AB284*(R284/1000))</f>
        <v>2.2137543222461634E-7</v>
      </c>
      <c r="AD284" s="39">
        <f>((AC284-(AA284*(Q284/1000)))/(R284/1000))*1000000</f>
        <v>0.18960944115564315</v>
      </c>
      <c r="AE284" s="39">
        <f>(AD284/((U284*AZ284*1))*(0.0821*273.15))</f>
        <v>96.961291052833644</v>
      </c>
      <c r="AF284" s="39">
        <f>L284*U284*AZ284*1/(0.0821*273.15)</f>
        <v>4.1877260496924022E-3</v>
      </c>
      <c r="AG284" s="39">
        <f>AD284-AF284</f>
        <v>0.18542171510595076</v>
      </c>
      <c r="AH284" s="42">
        <f>P284*(AZ284-S284)</f>
        <v>0.3899585899056971</v>
      </c>
      <c r="AI284">
        <f>(((X284/10^6)*(Q284/1000))/(0.082056*H284))</f>
        <v>1.1520747557903755E-6</v>
      </c>
      <c r="AJ284">
        <f>(((K284/10^6)*AZ284)*(Q284/1000))/(0.082056*H284)</f>
        <v>1.0790757734378327E-6</v>
      </c>
      <c r="AK284">
        <f>(X284/10^6)*T284*(R284/1000)</f>
        <v>3.0089111953082851E-5</v>
      </c>
      <c r="AL284">
        <f>AI284+AK284</f>
        <v>3.1241186708873224E-5</v>
      </c>
      <c r="AM284" s="39">
        <f>((AL284-AJ284)/(R284/1000))*1000000</f>
        <v>26.457992048627538</v>
      </c>
      <c r="AN284" s="39">
        <f>AM284/(T284*AZ284)</f>
        <v>473.72197746384546</v>
      </c>
      <c r="AO284" s="39">
        <f>(K284*AZ284)*T284</f>
        <v>24.721555907541479</v>
      </c>
      <c r="AP284" s="39">
        <f>AM284-AO284</f>
        <v>1.7364361410860596</v>
      </c>
      <c r="AQ284">
        <f>(((AH284/10^6)*(Q284/1000))/(0.082056*H284))</f>
        <v>1.0189059255715666E-9</v>
      </c>
      <c r="AR284">
        <f>(((M284/10^6)*AZ284)*(Q284/1000))/(0.082056*H284)</f>
        <v>7.5702844100915456E-10</v>
      </c>
      <c r="AS284">
        <f>(AH284/10^6)*V284*(R284/1000)</f>
        <v>2.0033148642070399E-8</v>
      </c>
      <c r="AT284">
        <f>AQ284+AS284</f>
        <v>2.1052054567641965E-8</v>
      </c>
      <c r="AU284" s="39">
        <f>((AT284-AR284)/(R284/1000))*1000000000</f>
        <v>17.802654497046326</v>
      </c>
      <c r="AV284" s="39">
        <f>(AU284/1000)/(V284*AZ284)</f>
        <v>0.42341379122105705</v>
      </c>
      <c r="AW284" s="39">
        <f>(M284*AZ284)*V284*1000</f>
        <v>13.056370636417677</v>
      </c>
      <c r="AX284" s="39">
        <f>AU284-AW284</f>
        <v>4.7462838606286493</v>
      </c>
      <c r="AY284" s="26">
        <f>VLOOKUP($E284,Water!$C$2:$G$90, 5, FALSE)</f>
        <v>709.1</v>
      </c>
      <c r="AZ284">
        <f>AY284/760</f>
        <v>0.9330263157894737</v>
      </c>
      <c r="BA284" s="3">
        <f>Assumptions!$B$3</f>
        <v>406.07</v>
      </c>
      <c r="BB284" s="3">
        <f>BA284*AZ284*T284</f>
        <v>22.679540621494919</v>
      </c>
      <c r="BC284" s="3">
        <f>Assumptions!$B$4</f>
        <v>1.8474300000000001</v>
      </c>
      <c r="BD284" s="45">
        <f>BC284*AZ284*U284*1/(0.0821*273.15)</f>
        <v>3.612680545716937E-3</v>
      </c>
      <c r="BE284" s="3">
        <f>Assumptions!$B$2</f>
        <v>0.33054499999999998</v>
      </c>
      <c r="BF284" s="44">
        <f>BE284*AZ284*V284*1000</f>
        <v>13.897937555968602</v>
      </c>
      <c r="BG284">
        <f>1923.6+(-125.06*F284)+(4.3773*(F284^2))+(-0.085681*(F284^3))+(0.00070284*(F284^4))</f>
        <v>1257.8416237853637</v>
      </c>
      <c r="BH284">
        <f>1909.4+(-120.78*F284)+(4.1555*(F284^2))+(-0.080578*(F284^3))+(0.00065777*(F284^4))</f>
        <v>1263.804994272017</v>
      </c>
      <c r="BI284">
        <f>2141.2+(-152.56*F284)+(5.8963*(F284^2))+(-0.12411*(F284^3))+(0.0010655*(F284^4))</f>
        <v>1348.55231301255</v>
      </c>
      <c r="BJ284" s="25">
        <f>VLOOKUP(E284,Wind!$C$2:$E$109,3, FALSE)</f>
        <v>0.80555555555555558</v>
      </c>
      <c r="BK284" s="44">
        <v>1.66</v>
      </c>
      <c r="BL284">
        <f>BK284/(1-(((1.3*10^-3)^0.5)/0.41)*LN(10/1.5))</f>
        <v>1.9923982880693825</v>
      </c>
      <c r="BM284">
        <f>BK284*1.22</f>
        <v>2.0251999999999999</v>
      </c>
      <c r="BN284">
        <f>2.07+0.215*(BM284^1.7)*(24/100)</f>
        <v>2.241255750541113</v>
      </c>
      <c r="BO284">
        <f>BN284*((600/BG284)^0.67)</f>
        <v>1.364907939619959</v>
      </c>
      <c r="BP284">
        <f>BN284*((600/BH284)^0.67)</f>
        <v>1.3605894827014708</v>
      </c>
      <c r="BQ284">
        <f>BN284*((600/BI284)^0.67)</f>
        <v>1.3026907512837669</v>
      </c>
      <c r="BR284" s="39">
        <f>BO284*(AM284-BB284)</f>
        <v>5.1572383523616772</v>
      </c>
      <c r="BS284" s="39">
        <f>BP284*(AD284-BD284)</f>
        <v>0.25306523630240879</v>
      </c>
      <c r="BT284" s="39">
        <f>BQ284*(AU284-BF284)</f>
        <v>5.0866386455229931</v>
      </c>
      <c r="BU284">
        <f>(2.51+1.48*BM284)+(0.39*BM284*LOG10(0.0015))</f>
        <v>3.2768938069574309</v>
      </c>
      <c r="BV284">
        <f>BU284*((600/$BG284)^0.67)</f>
        <v>1.9956037472866823</v>
      </c>
      <c r="BW284">
        <f>BU284*((600/$BH284)^0.67)</f>
        <v>1.9892898204943517</v>
      </c>
      <c r="BX284">
        <f>BU284*((600/$BI284)^0.67)</f>
        <v>1.9046372794500916</v>
      </c>
      <c r="BY284" s="39">
        <f>BV284*($AM284-$BB284)</f>
        <v>7.540291826926568</v>
      </c>
      <c r="BZ284" s="39">
        <f>BW284*($AD284-$BD284)</f>
        <v>0.37000146252625099</v>
      </c>
      <c r="CA284" s="39">
        <f>BX284*($AU284-$BF284)</f>
        <v>7.4370694516769618</v>
      </c>
      <c r="CB284" s="42">
        <f>AVERAGE(0.72,0.69,0.4,0.22)</f>
        <v>0.50750000000000006</v>
      </c>
      <c r="CC284">
        <f>CB284*((600/$BG284)^0.67)</f>
        <v>0.30906369306130765</v>
      </c>
      <c r="CD284">
        <f>CB284*((600/$BH284)^0.67)</f>
        <v>0.30808584085251639</v>
      </c>
      <c r="CE284">
        <f>CB284*((600/$BI284)^0.67)</f>
        <v>0.29497550920589793</v>
      </c>
      <c r="CF284" s="39">
        <f>CC284*($AM284-$BB284)</f>
        <v>1.1677821521223757</v>
      </c>
      <c r="CG284" s="39">
        <f>CD284*($AD284-$BD284)</f>
        <v>5.7302968388353311E-2</v>
      </c>
      <c r="CH284" s="39">
        <f>CE284*($AU284-$BF284)</f>
        <v>1.1517958679992981</v>
      </c>
      <c r="CI284">
        <v>107.862639018895</v>
      </c>
      <c r="CJ284">
        <f>((BG284/BH284)^0.67)*CI284</f>
        <v>107.52137046429398</v>
      </c>
      <c r="CK284">
        <f>((BH284/BH284)^0.67)*CI284</f>
        <v>107.862639018895</v>
      </c>
      <c r="CL284">
        <f>((BI284/BH284)^0.67)*CI284</f>
        <v>112.65664708290046</v>
      </c>
      <c r="CM284" s="39">
        <f>CJ284*($AM284-$BB284)</f>
        <v>406.26427567806667</v>
      </c>
      <c r="CN284" s="39">
        <f>CK284*($AD284-$BD284)</f>
        <v>20.062101448352298</v>
      </c>
      <c r="CO284" s="39">
        <f>CL284*($AU284-$BF284)</f>
        <v>439.89231838961587</v>
      </c>
      <c r="CP284" s="27">
        <f>VLOOKUP(A284,Water!$A$2:$E$109, 5, FALSE)/1000</f>
        <v>6.6E-4</v>
      </c>
      <c r="CQ284">
        <f>0.64*CP284</f>
        <v>4.2240000000000002E-4</v>
      </c>
      <c r="CR284" s="19">
        <f>CQ284*1000*(2.5*10^-5)</f>
        <v>1.0560000000000001E-5</v>
      </c>
      <c r="CS284" s="18">
        <f>(-0.0000009*F284^3)+(0.0002*F284^2)-(0.0134*F284)+6.579</f>
        <v>6.4979273133</v>
      </c>
      <c r="CT284" s="18">
        <f>CS284-(SQRT(CP284))/(1+1.4*SQRT(CP284))</f>
        <v>6.4731287687454335</v>
      </c>
      <c r="CU284" s="18">
        <f>10^(-CT284)</f>
        <v>3.3641180815116809E-7</v>
      </c>
      <c r="CV284" s="18">
        <f>(0.000001*F284^3)+(0.00006*F284^2)-(0.014*F284)+10.625</f>
        <v>10.534194163</v>
      </c>
      <c r="CW284" s="18">
        <f>CV284-(2*SQRT(CR284))/(1+1.4*SQRT(CR284))</f>
        <v>10.527724366367028</v>
      </c>
      <c r="CX284" s="18">
        <f>10^(-CW284)</f>
        <v>2.9667136760013586E-11</v>
      </c>
      <c r="CY284">
        <f>EXP(1246.98+-61900/H284-183*LN(H284))</f>
        <v>5.100796526057016E-3</v>
      </c>
      <c r="CZ284">
        <f>12.225*(F284^2)+15.258*F284+1125.7</f>
        <v>1776.70885</v>
      </c>
      <c r="DA284" s="15">
        <f>10^(-4470.99/H284+6.0875-0.01706*H284)</f>
        <v>2.1720949021382075E-15</v>
      </c>
      <c r="DB284">
        <f>(10^-I284)</f>
        <v>1.9054607179632436E-9</v>
      </c>
      <c r="DC284">
        <f>DB284^2</f>
        <v>3.6307805477009994E-18</v>
      </c>
      <c r="DD284" s="20">
        <f>((14.6836*10^-9)*((H284/217.2056)-1)^1.997)*100*100</f>
        <v>1.2259562820646385E-5</v>
      </c>
      <c r="DE284">
        <f>CY284+CZ284*DA284/DB284</f>
        <v>7.1261231041845011E-3</v>
      </c>
      <c r="DF284">
        <f>1+DC284*(CU284*CX284+CU284*DB284)^-1</f>
        <v>1.0055772370585341</v>
      </c>
      <c r="DG284">
        <f>(DE284*DF284/DD284)^0.5</f>
        <v>24.176692426259763</v>
      </c>
      <c r="DH284">
        <f>DD284/(BO284/60/60)</f>
        <v>3.2335093725526752E-2</v>
      </c>
      <c r="DI284" s="16">
        <f>DF284/((DF284-1)+TANH(DG284*DH284)/(DG284*DH284))</f>
        <v>1.1945716276732083</v>
      </c>
      <c r="DJ284">
        <f>$DI284*BR284</f>
        <v>6.1606906128793835</v>
      </c>
      <c r="DK284">
        <f>$DI284*BY284</f>
        <v>9.00741868082266</v>
      </c>
      <c r="DL284">
        <f>$DI284*CF284</f>
        <v>1.3949994262285486</v>
      </c>
      <c r="DM284">
        <f>$DI284*CM284</f>
        <v>485.31177706222513</v>
      </c>
    </row>
    <row r="285" spans="1:117" ht="15.75" x14ac:dyDescent="0.25">
      <c r="A285" s="52" t="s">
        <v>324</v>
      </c>
      <c r="B285" t="s">
        <v>342</v>
      </c>
      <c r="C285" s="69" t="s">
        <v>508</v>
      </c>
      <c r="D285" s="65">
        <v>43370</v>
      </c>
      <c r="E285" s="42" t="str">
        <f>A285&amp;D285</f>
        <v>32B43370</v>
      </c>
      <c r="F285" s="3">
        <f>VLOOKUP($E285,Water!$C$2:$E$90, 2, FALSE)</f>
        <v>6.7</v>
      </c>
      <c r="G285" s="3">
        <f>VLOOKUP($E285,Water!$C$2:$E$90, 3, FALSE)</f>
        <v>1.1100000000000001</v>
      </c>
      <c r="H285" s="1">
        <f>F285+273.15</f>
        <v>279.84999999999997</v>
      </c>
      <c r="I285" s="3">
        <f>VLOOKUP($E285,Water!$C$2:$F$90, 4, FALSE)</f>
        <v>8.7200000000000006</v>
      </c>
      <c r="J285">
        <f>10^(I285*-1)</f>
        <v>1.9054607179632436E-9</v>
      </c>
      <c r="K285" s="25">
        <f>VLOOKUP($E285,Atm!$D$2:$G$100, 2, FALSE)</f>
        <v>442.63163769115482</v>
      </c>
      <c r="L285" s="25">
        <f>VLOOKUP($E285,Atm!$D$2:$G$100, 3, FALSE)</f>
        <v>2.141493176072649</v>
      </c>
      <c r="M285" s="25">
        <f>VLOOKUP($E285,Atm!$D$2:$G$100, 4, FALSE)</f>
        <v>0.31052938715797113</v>
      </c>
      <c r="N285" s="21">
        <f>VLOOKUP($C285,Raw!$B$2:$F$353, 3, FALSE)</f>
        <v>317.92252911597831</v>
      </c>
      <c r="O285" s="21">
        <f>VLOOKUP($C285,Raw!$B$2:$F$353, 4, FALSE)</f>
        <v>41.314099633596577</v>
      </c>
      <c r="P285" s="21">
        <f>VLOOKUP($C285,Raw!$B$2:$F$353, 5, FALSE)</f>
        <v>0.55131471306765922</v>
      </c>
      <c r="Q285" s="14">
        <v>60</v>
      </c>
      <c r="R285" s="25">
        <v>1140</v>
      </c>
      <c r="S285">
        <f>EXP(24.4543-(100/H285*(67.4509))-(4.8489*LN(H285/100))-(0.000544*G285))</f>
        <v>9.6698129053961017E-3</v>
      </c>
      <c r="T285" s="8">
        <f>EXP(-58.0931+90.5069*(100/H285)+22.294*LN(H285/100)+G285*(0.027766-0.025888*(H285/100)+0.0050578*(H285/100)^2)*G285)</f>
        <v>5.9860378009010611E-2</v>
      </c>
      <c r="U285" s="9">
        <f>(EXP(-67.1962+99.1624*(100/H285)+27.9015*LN(H285/100)+G285*(-0.072909+0.041674*(H285/100)-0.0064603*(H285/100)^2)*G285))</f>
        <v>4.7001534562736938E-2</v>
      </c>
      <c r="V285" s="9">
        <f>(EXP(-64.8539+100.252*(100/H285)+25.2049*LN(H285/100)+(-0.062544+0.035337*(H285/100)-0.0054699*(H285/100)^2)*G285))</f>
        <v>4.5063598700504436E-2</v>
      </c>
      <c r="W285" s="9">
        <f>(EXP(-68.8862+101.4956*(100/H285)+28.7314*LN(H285/100)+G285*(-0.076146+0.04397*(H285/100)-0.0068672*(H285/100)^2)))</f>
        <v>4.6936274421159142E-2</v>
      </c>
      <c r="X285">
        <f>N285*(AZ285-S285)</f>
        <v>293.55583467259106</v>
      </c>
      <c r="Y285">
        <f>O285*(AZ285-S285)</f>
        <v>38.147642557482087</v>
      </c>
      <c r="Z285">
        <f>((Y285/10^6)*AZ285)/(0.082056*H285)</f>
        <v>1.549979463445222E-6</v>
      </c>
      <c r="AA285">
        <f>(((L285/10^6)*AZ285)/(0.082056*H285))</f>
        <v>8.7011155119719548E-8</v>
      </c>
      <c r="AB285">
        <f>((Y285/10^6)*U285*1)/(0.082056*H285)</f>
        <v>7.8080770166713192E-8</v>
      </c>
      <c r="AC285">
        <f>(Z285*(Q285/1000))+(AB285*(R285/1000))</f>
        <v>1.8201084579676635E-7</v>
      </c>
      <c r="AD285" s="39">
        <f>((AC285-(AA285*(Q285/1000)))/(R285/1000))*1000000</f>
        <v>0.15507910218384491</v>
      </c>
      <c r="AE285" s="39">
        <f>(AD285/((U285*AZ285*1))*(0.0821*273.15))</f>
        <v>79.303382106995855</v>
      </c>
      <c r="AF285" s="39">
        <f>L285*U285*AZ285*1/(0.0821*273.15)</f>
        <v>4.1877260496924022E-3</v>
      </c>
      <c r="AG285" s="39">
        <f>AD285-AF285</f>
        <v>0.15089137613415252</v>
      </c>
      <c r="AH285" s="42">
        <f>P285*(AZ285-S285)</f>
        <v>0.50906002544669249</v>
      </c>
      <c r="AI285">
        <f>(((X285/10^6)*(Q285/1000))/(0.082056*H285))</f>
        <v>7.6701933789006251E-7</v>
      </c>
      <c r="AJ285">
        <f>(((K285/10^6)*AZ285)*(Q285/1000))/(0.082056*H285)</f>
        <v>1.0790757734378327E-6</v>
      </c>
      <c r="AK285">
        <f>(X285/10^6)*T285*(R285/1000)</f>
        <v>2.0032494082487191E-5</v>
      </c>
      <c r="AL285">
        <f>AI285+AK285</f>
        <v>2.0799513420377253E-5</v>
      </c>
      <c r="AM285" s="39">
        <f>((AL285-AJ285)/(R285/1000))*1000000</f>
        <v>17.29862951485914</v>
      </c>
      <c r="AN285" s="39">
        <f>AM285/(T285*AZ285)</f>
        <v>309.7264889237353</v>
      </c>
      <c r="AO285" s="39">
        <f>(K285*AZ285)*T285</f>
        <v>24.721555907541479</v>
      </c>
      <c r="AP285" s="39">
        <f>AM285-AO285</f>
        <v>-7.4229263926823386</v>
      </c>
      <c r="AQ285">
        <f>(((AH285/10^6)*(Q285/1000))/(0.082056*H285))</f>
        <v>1.3301009128294361E-9</v>
      </c>
      <c r="AR285">
        <f>(((M285/10^6)*AZ285)*(Q285/1000))/(0.082056*H285)</f>
        <v>7.5702844100915456E-10</v>
      </c>
      <c r="AS285">
        <f>(AH285/10^6)*V285*(R285/1000)</f>
        <v>2.6151687439366092E-8</v>
      </c>
      <c r="AT285">
        <f>AQ285+AS285</f>
        <v>2.7481788352195528E-8</v>
      </c>
      <c r="AU285" s="39">
        <f>((AT285-AR285)/(R285/1000))*1000000000</f>
        <v>23.442771851917875</v>
      </c>
      <c r="AV285" s="39">
        <f>(AU285/1000)/(V285*AZ285)</f>
        <v>0.55755690299992455</v>
      </c>
      <c r="AW285" s="39">
        <f>(M285*AZ285)*V285*1000</f>
        <v>13.056370636417677</v>
      </c>
      <c r="AX285" s="39">
        <f>AU285-AW285</f>
        <v>10.386401215500198</v>
      </c>
      <c r="AY285" s="26">
        <f>VLOOKUP($E285,Water!$C$2:$G$90, 5, FALSE)</f>
        <v>709.1</v>
      </c>
      <c r="AZ285">
        <f>AY285/760</f>
        <v>0.9330263157894737</v>
      </c>
      <c r="BA285" s="3">
        <f>Assumptions!$B$3</f>
        <v>406.07</v>
      </c>
      <c r="BB285" s="3">
        <f>BA285*AZ285*T285</f>
        <v>22.679540621494919</v>
      </c>
      <c r="BC285" s="3">
        <f>Assumptions!$B$4</f>
        <v>1.8474300000000001</v>
      </c>
      <c r="BD285" s="45">
        <f>BC285*AZ285*U285*1/(0.0821*273.15)</f>
        <v>3.612680545716937E-3</v>
      </c>
      <c r="BE285" s="3">
        <f>Assumptions!$B$2</f>
        <v>0.33054499999999998</v>
      </c>
      <c r="BF285" s="44">
        <f>BE285*AZ285*V285*1000</f>
        <v>13.897937555968602</v>
      </c>
      <c r="BG285">
        <f>1923.6+(-125.06*F285)+(4.3773*(F285^2))+(-0.085681*(F285^3))+(0.00070284*(F285^4))</f>
        <v>1257.8416237853637</v>
      </c>
      <c r="BH285">
        <f>1909.4+(-120.78*F285)+(4.1555*(F285^2))+(-0.080578*(F285^3))+(0.00065777*(F285^4))</f>
        <v>1263.804994272017</v>
      </c>
      <c r="BI285">
        <f>2141.2+(-152.56*F285)+(5.8963*(F285^2))+(-0.12411*(F285^3))+(0.0010655*(F285^4))</f>
        <v>1348.55231301255</v>
      </c>
      <c r="BJ285" s="25">
        <f>VLOOKUP(E285,Wind!$C$2:$E$109,3, FALSE)</f>
        <v>0.80555555555555558</v>
      </c>
      <c r="BK285" s="44">
        <v>1.66</v>
      </c>
      <c r="BL285">
        <f>BK285/(1-(((1.3*10^-3)^0.5)/0.41)*LN(10/1.5))</f>
        <v>1.9923982880693825</v>
      </c>
      <c r="BM285">
        <f>BK285*1.22</f>
        <v>2.0251999999999999</v>
      </c>
      <c r="BN285">
        <f>2.07+0.215*(BM285^1.7)*(24/100)</f>
        <v>2.241255750541113</v>
      </c>
      <c r="BO285">
        <f>BN285*((600/BG285)^0.67)</f>
        <v>1.364907939619959</v>
      </c>
      <c r="BP285">
        <f>BN285*((600/BH285)^0.67)</f>
        <v>1.3605894827014708</v>
      </c>
      <c r="BQ285">
        <f>BN285*((600/BI285)^0.67)</f>
        <v>1.3026907512837669</v>
      </c>
      <c r="BR285" s="39">
        <f>BO285*(AM285-BB285)</f>
        <v>-7.344448291836394</v>
      </c>
      <c r="BS285" s="39">
        <f>BP285*(AD285-BD285)</f>
        <v>0.20608362026326338</v>
      </c>
      <c r="BT285" s="39">
        <f>BQ285*(AU285-BF285)</f>
        <v>12.433967359869223</v>
      </c>
      <c r="BU285">
        <f>(2.51+1.48*BM285)+(0.39*BM285*LOG10(0.0015))</f>
        <v>3.2768938069574309</v>
      </c>
      <c r="BV285">
        <f>BU285*((600/$BG285)^0.67)</f>
        <v>1.9956037472866823</v>
      </c>
      <c r="BW285">
        <f>BU285*((600/$BH285)^0.67)</f>
        <v>1.9892898204943517</v>
      </c>
      <c r="BX285">
        <f>BU285*((600/$BI285)^0.67)</f>
        <v>1.9046372794500916</v>
      </c>
      <c r="BY285" s="39">
        <f>BV285*($AM285-$BB285)</f>
        <v>-10.738166368218888</v>
      </c>
      <c r="BZ285" s="39">
        <f>BW285*($AD285-$BD285)</f>
        <v>0.30131061071143334</v>
      </c>
      <c r="CA285" s="39">
        <f>BX285*($AU285-$BF285)</f>
        <v>18.179447226238757</v>
      </c>
      <c r="CB285" s="42">
        <f>AVERAGE(0.72,0.69,0.4,0.22)</f>
        <v>0.50750000000000006</v>
      </c>
      <c r="CC285">
        <f>CB285*((600/$BG285)^0.67)</f>
        <v>0.30906369306130765</v>
      </c>
      <c r="CD285">
        <f>CB285*((600/$BH285)^0.67)</f>
        <v>0.30808584085251639</v>
      </c>
      <c r="CE285">
        <f>CB285*((600/$BI285)^0.67)</f>
        <v>0.29497550920589793</v>
      </c>
      <c r="CF285" s="39">
        <f>CC285*($AM285-$BB285)</f>
        <v>-1.6630442586514615</v>
      </c>
      <c r="CG285" s="39">
        <f>CD285*($AD285-$BD285)</f>
        <v>4.6664659871304436E-2</v>
      </c>
      <c r="CH285" s="39">
        <f>CE285*($AU285-$BF285)</f>
        <v>2.8154923567335555</v>
      </c>
      <c r="CI285">
        <v>108.862639018895</v>
      </c>
      <c r="CJ285">
        <f>((BG285/BH285)^0.67)*CI285</f>
        <v>108.51820654620607</v>
      </c>
      <c r="CK285">
        <f>((BH285/BH285)^0.67)*CI285</f>
        <v>108.862639018895</v>
      </c>
      <c r="CL285">
        <f>((BI285/BH285)^0.67)*CI285</f>
        <v>113.70109257494119</v>
      </c>
      <c r="CM285" s="39">
        <f>CJ285*($AM285-$BB285)</f>
        <v>-583.92682287667571</v>
      </c>
      <c r="CN285" s="39">
        <f>CK285*($AD285-$BD285)</f>
        <v>16.489034382275271</v>
      </c>
      <c r="CO285" s="39">
        <f>CL285*($AU285-$BF285)</f>
        <v>1085.2580878962019</v>
      </c>
      <c r="CP285" s="27">
        <f>VLOOKUP(A285,Water!$A$2:$E$109, 5, FALSE)/1000</f>
        <v>6.6E-4</v>
      </c>
      <c r="CQ285">
        <f>0.64*CP285</f>
        <v>4.2240000000000002E-4</v>
      </c>
      <c r="CR285" s="19">
        <f>CQ285*1000*(2.5*10^-5)</f>
        <v>1.0560000000000001E-5</v>
      </c>
      <c r="CS285" s="18">
        <f>(-0.0000009*F285^3)+(0.0002*F285^2)-(0.0134*F285)+6.579</f>
        <v>6.4979273133</v>
      </c>
      <c r="CT285" s="18">
        <f>CS285-(SQRT(CP285))/(1+1.4*SQRT(CP285))</f>
        <v>6.4731287687454335</v>
      </c>
      <c r="CU285" s="18">
        <f>10^(-CT285)</f>
        <v>3.3641180815116809E-7</v>
      </c>
      <c r="CV285" s="18">
        <f>(0.000001*F285^3)+(0.00006*F285^2)-(0.014*F285)+10.625</f>
        <v>10.534194163</v>
      </c>
      <c r="CW285" s="18">
        <f>CV285-(2*SQRT(CR285))/(1+1.4*SQRT(CR285))</f>
        <v>10.527724366367028</v>
      </c>
      <c r="CX285" s="18">
        <f>10^(-CW285)</f>
        <v>2.9667136760013586E-11</v>
      </c>
      <c r="CY285">
        <f>EXP(1246.98+-61900/H285-183*LN(H285))</f>
        <v>5.100796526057016E-3</v>
      </c>
      <c r="CZ285">
        <f>12.225*(F285^2)+15.258*F285+1125.7</f>
        <v>1776.70885</v>
      </c>
      <c r="DA285" s="15">
        <f>10^(-4470.99/H285+6.0875-0.01706*H285)</f>
        <v>2.1720949021382075E-15</v>
      </c>
      <c r="DB285">
        <f>(10^-I285)</f>
        <v>1.9054607179632436E-9</v>
      </c>
      <c r="DC285">
        <f>DB285^2</f>
        <v>3.6307805477009994E-18</v>
      </c>
      <c r="DD285" s="20">
        <f>((14.6836*10^-9)*((H285/217.2056)-1)^1.997)*100*100</f>
        <v>1.2259562820646385E-5</v>
      </c>
      <c r="DE285">
        <f>CY285+CZ285*DA285/DB285</f>
        <v>7.1261231041845011E-3</v>
      </c>
      <c r="DF285">
        <f>1+DC285*(CU285*CX285+CU285*DB285)^-1</f>
        <v>1.0055772370585341</v>
      </c>
      <c r="DG285">
        <f>(DE285*DF285/DD285)^0.5</f>
        <v>24.176692426259763</v>
      </c>
      <c r="DH285">
        <f>DD285/(BO285/60/60)</f>
        <v>3.2335093725526752E-2</v>
      </c>
      <c r="DI285" s="16">
        <f>DF285/((DF285-1)+TANH(DG285*DH285)/(DG285*DH285))</f>
        <v>1.1945716276732083</v>
      </c>
      <c r="DJ285">
        <f>$DI285*BR285</f>
        <v>-8.7734695503407156</v>
      </c>
      <c r="DK285">
        <f>$DI285*BY285</f>
        <v>-12.827508876708942</v>
      </c>
      <c r="DL285">
        <f>$DI285*CF285</f>
        <v>-1.9866254869498605</v>
      </c>
      <c r="DM285">
        <f>$DI285*CM285</f>
        <v>-697.54241524583574</v>
      </c>
    </row>
    <row r="286" spans="1:117" ht="15.75" x14ac:dyDescent="0.25">
      <c r="A286" s="51" t="s">
        <v>322</v>
      </c>
      <c r="B286" t="s">
        <v>339</v>
      </c>
      <c r="C286" s="71" t="s">
        <v>509</v>
      </c>
      <c r="D286" s="67">
        <v>43370</v>
      </c>
      <c r="E286" s="42" t="str">
        <f>A286&amp;D286</f>
        <v>32A43370</v>
      </c>
      <c r="F286" s="3">
        <f>VLOOKUP($E286,Water!$C$2:$E$90, 2, FALSE)</f>
        <v>6.5</v>
      </c>
      <c r="G286" s="3">
        <f>VLOOKUP($E286,Water!$C$2:$E$90, 3, FALSE)</f>
        <v>1.35</v>
      </c>
      <c r="H286" s="1">
        <f>F286+273.15</f>
        <v>279.64999999999998</v>
      </c>
      <c r="I286" s="3">
        <f>VLOOKUP($E286,Water!$C$2:$F$90, 4, FALSE)</f>
        <v>8.82</v>
      </c>
      <c r="J286">
        <f>10^(I286*-1)</f>
        <v>1.5135612484362064E-9</v>
      </c>
      <c r="K286" s="25">
        <f>VLOOKUP($E286,Atm!$D$2:$G$100, 2, FALSE)</f>
        <v>452.49260634430271</v>
      </c>
      <c r="L286" s="25">
        <f>VLOOKUP($E286,Atm!$D$2:$G$100, 3, FALSE)</f>
        <v>2.009482919733991</v>
      </c>
      <c r="M286" s="25">
        <f>VLOOKUP($E286,Atm!$D$2:$G$100, 4, FALSE)</f>
        <v>0.31593658876179576</v>
      </c>
      <c r="N286" s="21">
        <f>VLOOKUP($C286,Raw!$B$2:$F$353, 3, FALSE)</f>
        <v>387.56257064259472</v>
      </c>
      <c r="O286" s="21">
        <f>VLOOKUP($C286,Raw!$B$2:$F$353, 4, FALSE)</f>
        <v>367.41934175022658</v>
      </c>
      <c r="P286" s="21">
        <f>VLOOKUP($C286,Raw!$B$2:$F$353, 5, FALSE)</f>
        <v>0.28927546566163231</v>
      </c>
      <c r="Q286" s="14">
        <v>60</v>
      </c>
      <c r="R286" s="25">
        <v>1140</v>
      </c>
      <c r="S286">
        <f>EXP(24.4543-(100/H286*(67.4509))-(4.8489*LN(H286/100))-(0.000544*G286))</f>
        <v>9.5363171168143766E-3</v>
      </c>
      <c r="T286" s="8">
        <f>EXP(-58.0931+90.5069*(100/H286)+22.294*LN(H286/100)+G286*(0.027766-0.025888*(H286/100)+0.0050578*(H286/100)^2)*G286)</f>
        <v>6.0111636589498085E-2</v>
      </c>
      <c r="U286" s="9">
        <f>(EXP(-67.1962+99.1624*(100/H286)+27.9015*LN(H286/100)+G286*(-0.072909+0.041674*(H286/100)-0.0064603*(H286/100)^2)*G286))</f>
        <v>4.7063283922049275E-2</v>
      </c>
      <c r="V286" s="9">
        <f>(EXP(-64.8539+100.252*(100/H286)+25.2049*LN(H286/100)+(-0.062544+0.035337*(H286/100)-0.0054699*(H286/100)^2)*G286))</f>
        <v>4.5336148488542526E-2</v>
      </c>
      <c r="W286" s="9">
        <f>(EXP(-68.8862+101.4956*(100/H286)+28.7314*LN(H286/100)+G286*(-0.076146+0.04397*(H286/100)-0.0068672*(H286/100)^2)))</f>
        <v>4.711175721854232E-2</v>
      </c>
      <c r="X286">
        <f>N286*(AZ286-S286)</f>
        <v>358.36911352406321</v>
      </c>
      <c r="Y286">
        <f>O286*(AZ286-S286)</f>
        <v>339.74318927729877</v>
      </c>
      <c r="Z286">
        <f>((Y286/10^6)*AZ286)/(0.082056*H286)</f>
        <v>1.3831534030404752E-5</v>
      </c>
      <c r="AA286">
        <f>(((L286/10^6)*AZ286)/(0.082056*H286))</f>
        <v>8.1809532214440088E-8</v>
      </c>
      <c r="AB286">
        <f>((Y286/10^6)*U286*1)/(0.082056*H286)</f>
        <v>6.967994844990468E-7</v>
      </c>
      <c r="AC286">
        <f>(Z286*(Q286/1000))+(AB286*(R286/1000))</f>
        <v>1.6242434541531983E-6</v>
      </c>
      <c r="AD286" s="39">
        <f>((AC286-(AA286*(Q286/1000)))/(R286/1000))*1000000</f>
        <v>1.420469194930116</v>
      </c>
      <c r="AE286" s="39">
        <f>(AD286/((U286*AZ286*1))*(0.0821*273.15))</f>
        <v>724.51803036500655</v>
      </c>
      <c r="AF286" s="39">
        <f>L286*U286*AZ286*1/(0.0821*273.15)</f>
        <v>3.9397343690430065E-3</v>
      </c>
      <c r="AG286" s="39">
        <f>AD286-AF286</f>
        <v>1.416529460561073</v>
      </c>
      <c r="AH286" s="42">
        <f>P286*(AZ286-S286)</f>
        <v>0.26748556245133515</v>
      </c>
      <c r="AI286">
        <f>(((X286/10^6)*(Q286/1000))/(0.082056*H286))</f>
        <v>9.3703682041669419E-7</v>
      </c>
      <c r="AJ286">
        <f>(((K286/10^6)*AZ286)*(Q286/1000))/(0.082056*H286)</f>
        <v>1.1053054920343551E-6</v>
      </c>
      <c r="AK286">
        <f>(X286/10^6)*T286*(R286/1000)</f>
        <v>2.455805546544734E-5</v>
      </c>
      <c r="AL286">
        <f>AI286+AK286</f>
        <v>2.5495092285864035E-5</v>
      </c>
      <c r="AM286" s="39">
        <f>((AL286-AJ286)/(R286/1000))*1000000</f>
        <v>21.394549819148843</v>
      </c>
      <c r="AN286" s="39">
        <f>AM286/(T286*AZ286)</f>
        <v>380.97795296290548</v>
      </c>
      <c r="AO286" s="39">
        <f>(K286*AZ286)*T286</f>
        <v>25.41059274937173</v>
      </c>
      <c r="AP286" s="39">
        <f>AM286-AO286</f>
        <v>-4.0160429302228877</v>
      </c>
      <c r="AQ286">
        <f>(((AH286/10^6)*(Q286/1000))/(0.082056*H286))</f>
        <v>6.9940129181902946E-10</v>
      </c>
      <c r="AR286">
        <f>(((M286/10^6)*AZ286)*(Q286/1000))/(0.082056*H286)</f>
        <v>7.7173956391079772E-10</v>
      </c>
      <c r="AS286">
        <f>(AH286/10^6)*V286*(R286/1000)</f>
        <v>1.3824512302731952E-8</v>
      </c>
      <c r="AT286">
        <f>AQ286+AS286</f>
        <v>1.4523913594550981E-8</v>
      </c>
      <c r="AU286" s="39">
        <f>((AT286-AR286)/(R286/1000))*1000000000</f>
        <v>12.063310553193144</v>
      </c>
      <c r="AV286" s="39">
        <f>(AU286/1000)/(V286*AZ286)</f>
        <v>0.28482435971933551</v>
      </c>
      <c r="AW286" s="39">
        <f>(M286*AZ286)*V286*1000</f>
        <v>13.381022568103345</v>
      </c>
      <c r="AX286" s="39">
        <f>AU286-AW286</f>
        <v>-1.3177120149102013</v>
      </c>
      <c r="AY286" s="26">
        <f>VLOOKUP($E286,Water!$C$2:$G$90, 5, FALSE)</f>
        <v>710</v>
      </c>
      <c r="AZ286">
        <f>AY286/760</f>
        <v>0.93421052631578949</v>
      </c>
      <c r="BA286" s="3">
        <f>Assumptions!$B$3</f>
        <v>406.07</v>
      </c>
      <c r="BB286" s="3">
        <f>BA286*AZ286*T286</f>
        <v>22.803641988983181</v>
      </c>
      <c r="BC286" s="3">
        <f>Assumptions!$B$4</f>
        <v>1.8474300000000001</v>
      </c>
      <c r="BD286" s="45">
        <f>BC286*AZ286*U286*1/(0.0821*273.15)</f>
        <v>3.6220180793398392E-3</v>
      </c>
      <c r="BE286" s="3">
        <f>Assumptions!$B$2</f>
        <v>0.33054499999999998</v>
      </c>
      <c r="BF286" s="44">
        <f>BE286*AZ286*V286*1000</f>
        <v>13.999740017793624</v>
      </c>
      <c r="BG286">
        <f>1923.6+(-125.06*F286)+(4.3773*(F286^2))+(-0.085681*(F286^3))+(0.00070284*(F286^4))</f>
        <v>1273.3753937024999</v>
      </c>
      <c r="BH286">
        <f>1909.4+(-120.78*F286)+(4.1555*(F286^2))+(-0.080578*(F286^3))+(0.00065777*(F286^4))</f>
        <v>1278.9453023106248</v>
      </c>
      <c r="BI286">
        <f>2141.2+(-152.56*F286)+(5.8963*(F286^2))+(-0.12411*(F286^3))+(0.0010655*(F286^4))</f>
        <v>1366.4969503437499</v>
      </c>
      <c r="BJ286" s="25">
        <f>VLOOKUP(E286,Wind!$C$2:$E$109,3, FALSE)</f>
        <v>1.6388888888888888</v>
      </c>
      <c r="BK286" s="44">
        <v>1.66</v>
      </c>
      <c r="BL286">
        <f>BK286/(1-(((1.3*10^-3)^0.5)/0.41)*LN(10/1.5))</f>
        <v>1.9923982880693825</v>
      </c>
      <c r="BM286">
        <f>BK286*1.22</f>
        <v>2.0251999999999999</v>
      </c>
      <c r="BN286">
        <f>2.07+0.215*(BM286^1.7)*(24/100)</f>
        <v>2.241255750541113</v>
      </c>
      <c r="BO286">
        <f>BN286*((600/BG286)^0.67)</f>
        <v>1.3537296178620655</v>
      </c>
      <c r="BP286">
        <f>BN286*((600/BH286)^0.67)</f>
        <v>1.3497767217356704</v>
      </c>
      <c r="BQ286">
        <f>BN286*((600/BI286)^0.67)</f>
        <v>1.2912042530028842</v>
      </c>
      <c r="BR286" s="39">
        <f>BO286*(AM286-BB286)</f>
        <v>-1.9075298046022671</v>
      </c>
      <c r="BS286" s="39">
        <f>BP286*(AD286-BD286)</f>
        <v>1.9124273375700804</v>
      </c>
      <c r="BT286" s="39">
        <f>BQ286*(AU286-BF286)</f>
        <v>-2.500325960332237</v>
      </c>
      <c r="BU286">
        <f>(2.51+1.48*BM286)+(0.39*BM286*LOG10(0.0015))</f>
        <v>3.2768938069574309</v>
      </c>
      <c r="BV286">
        <f>BU286*((600/$BG286)^0.67)</f>
        <v>1.9792601535973966</v>
      </c>
      <c r="BW286">
        <f>BU286*((600/$BH286)^0.67)</f>
        <v>1.9734807056994927</v>
      </c>
      <c r="BX286">
        <f>BU286*((600/$BI286)^0.67)</f>
        <v>1.8878431072226856</v>
      </c>
      <c r="BY286" s="39">
        <f>BV286*($AM286-$BB286)</f>
        <v>-2.7889599844992006</v>
      </c>
      <c r="BZ286" s="39">
        <f>BW286*($AD286-$BD286)</f>
        <v>2.7961205664398037</v>
      </c>
      <c r="CA286" s="39">
        <f>BX286*($AU286-$BF286)</f>
        <v>-3.6556750173689303</v>
      </c>
      <c r="CB286" s="42">
        <f>AVERAGE(0.72,0.69,0.4,0.22)</f>
        <v>0.50750000000000006</v>
      </c>
      <c r="CC286">
        <f>CB286*((600/$BG286)^0.67)</f>
        <v>0.30653252351907168</v>
      </c>
      <c r="CD286">
        <f>CB286*((600/$BH286)^0.67)</f>
        <v>0.30563744727279268</v>
      </c>
      <c r="CE286">
        <f>CB286*((600/$BI286)^0.67)</f>
        <v>0.29237455754023439</v>
      </c>
      <c r="CF286" s="39">
        <f>CC286*($AM286-$BB286)</f>
        <v>-0.43193257869028395</v>
      </c>
      <c r="CG286" s="39">
        <f>CD286*($AD286-$BD286)</f>
        <v>0.4330415543083343</v>
      </c>
      <c r="CH286" s="39">
        <f>CE286*($AU286-$BF286)</f>
        <v>-0.5661627079204381</v>
      </c>
      <c r="CI286">
        <v>109.862639018895</v>
      </c>
      <c r="CJ286">
        <f>((BG286/BH286)^0.67)*CI286</f>
        <v>109.54183965506104</v>
      </c>
      <c r="CK286">
        <f>((BH286/BH286)^0.67)*CI286</f>
        <v>109.862639018895</v>
      </c>
      <c r="CL286">
        <f>((BI286/BH286)^0.67)*CI286</f>
        <v>114.84630134332605</v>
      </c>
      <c r="CM286" s="39">
        <f>CJ286*($AM286-$BB286)</f>
        <v>-154.35454852719508</v>
      </c>
      <c r="CN286" s="39">
        <f>CK286*($AD286-$BD286)</f>
        <v>155.65856993529729</v>
      </c>
      <c r="CO286" s="39">
        <f>CL286*($AU286-$BF286)</f>
        <v>-222.39176182160216</v>
      </c>
      <c r="CP286" s="27">
        <f>VLOOKUP(A286,Water!$A$2:$E$109, 5, FALSE)/1000</f>
        <v>7.0999999999999991E-4</v>
      </c>
      <c r="CQ286">
        <f>0.64*CP286</f>
        <v>4.5439999999999993E-4</v>
      </c>
      <c r="CR286" s="19">
        <f>CQ286*1000*(2.5*10^-5)</f>
        <v>1.1359999999999998E-5</v>
      </c>
      <c r="CS286" s="18">
        <f>(-0.0000009*F286^3)+(0.0002*F286^2)-(0.0134*F286)+6.579</f>
        <v>6.5001028375000001</v>
      </c>
      <c r="CT286" s="18">
        <f>CS286-(SQRT(CP286))/(1+1.4*SQRT(CP286))</f>
        <v>6.4744152654858365</v>
      </c>
      <c r="CU286" s="18">
        <f>10^(-CT286)</f>
        <v>3.3541674070016749E-7</v>
      </c>
      <c r="CV286" s="18">
        <f>(0.000001*F286^3)+(0.00006*F286^2)-(0.014*F286)+10.625</f>
        <v>10.536809625</v>
      </c>
      <c r="CW286" s="18">
        <f>CV286-(2*SQRT(CR286))/(1+1.4*SQRT(CR286))</f>
        <v>10.530100363795732</v>
      </c>
      <c r="CX286" s="18">
        <f>10^(-CW286)</f>
        <v>2.9505272922871794E-11</v>
      </c>
      <c r="CY286">
        <f>EXP(1246.98+-61900/H286-183*LN(H286))</f>
        <v>4.9631333915302351E-3</v>
      </c>
      <c r="CZ286">
        <f>12.225*(F286^2)+15.258*F286+1125.7</f>
        <v>1741.3832500000001</v>
      </c>
      <c r="DA286" s="15">
        <f>10^(-4470.99/H286+6.0875-0.01706*H286)</f>
        <v>2.1323810465869301E-15</v>
      </c>
      <c r="DB286">
        <f>(10^-I286)</f>
        <v>1.5135612484362064E-9</v>
      </c>
      <c r="DC286">
        <f>DB286^2</f>
        <v>2.290867652767768E-18</v>
      </c>
      <c r="DD286" s="20">
        <f>((14.6836*10^-9)*((H286/217.2056)-1)^1.997)*100*100</f>
        <v>1.2181524296496105E-5</v>
      </c>
      <c r="DE286">
        <f>CY286+CZ286*DA286/DB286</f>
        <v>7.4164815074260933E-3</v>
      </c>
      <c r="DF286">
        <f>1+DC286*(CU286*CX286+CU286*DB286)^-1</f>
        <v>1.0044261957481171</v>
      </c>
      <c r="DG286">
        <f>(DE286*DF286/DD286)^0.5</f>
        <v>24.729034278513943</v>
      </c>
      <c r="DH286">
        <f>DD286/(BO286/60/60)</f>
        <v>3.2394568966174687E-2</v>
      </c>
      <c r="DI286" s="16">
        <f>DF286/((DF286-1)+TANH(DG286*DH286)/(DG286*DH286))</f>
        <v>1.204197643882829</v>
      </c>
      <c r="DJ286">
        <f>$DI286*BR286</f>
        <v>-2.2970428963383234</v>
      </c>
      <c r="DK286">
        <f>$DI286*BY286</f>
        <v>-3.3584590422174285</v>
      </c>
      <c r="DL286">
        <f>$DI286*CF286</f>
        <v>-0.52013219357507456</v>
      </c>
      <c r="DM286">
        <f>$DI286*CM286</f>
        <v>-185.87338365904611</v>
      </c>
    </row>
    <row r="287" spans="1:117" ht="15.75" x14ac:dyDescent="0.25">
      <c r="A287" s="52" t="s">
        <v>322</v>
      </c>
      <c r="B287" t="s">
        <v>340</v>
      </c>
      <c r="C287" s="68" t="s">
        <v>510</v>
      </c>
      <c r="D287" s="65">
        <v>43370</v>
      </c>
      <c r="E287" s="42" t="str">
        <f>A287&amp;D287</f>
        <v>32A43370</v>
      </c>
      <c r="F287" s="3">
        <f>VLOOKUP($E287,Water!$C$2:$E$90, 2, FALSE)</f>
        <v>6.5</v>
      </c>
      <c r="G287" s="3">
        <f>VLOOKUP($E287,Water!$C$2:$E$90, 3, FALSE)</f>
        <v>1.35</v>
      </c>
      <c r="H287" s="1">
        <f>F287+273.15</f>
        <v>279.64999999999998</v>
      </c>
      <c r="I287" s="3">
        <f>VLOOKUP($E287,Water!$C$2:$F$90, 4, FALSE)</f>
        <v>8.82</v>
      </c>
      <c r="J287">
        <f>10^(I287*-1)</f>
        <v>1.5135612484362064E-9</v>
      </c>
      <c r="K287" s="25">
        <f>VLOOKUP($E287,Atm!$D$2:$G$100, 2, FALSE)</f>
        <v>452.49260634430271</v>
      </c>
      <c r="L287" s="25">
        <f>VLOOKUP($E287,Atm!$D$2:$G$100, 3, FALSE)</f>
        <v>2.009482919733991</v>
      </c>
      <c r="M287" s="25">
        <f>VLOOKUP($E287,Atm!$D$2:$G$100, 4, FALSE)</f>
        <v>0.31593658876179576</v>
      </c>
      <c r="N287" s="21">
        <f>VLOOKUP($C287,Raw!$B$2:$F$353, 3, FALSE)</f>
        <v>356.58916072123651</v>
      </c>
      <c r="O287" s="21">
        <f>VLOOKUP($C287,Raw!$B$2:$F$353, 4, FALSE)</f>
        <v>612.87345151396698</v>
      </c>
      <c r="P287" s="21">
        <f>VLOOKUP($C287,Raw!$B$2:$F$353, 5, FALSE)</f>
        <v>0.29678664238790536</v>
      </c>
      <c r="Q287" s="14">
        <v>60</v>
      </c>
      <c r="R287" s="25">
        <v>1140</v>
      </c>
      <c r="S287">
        <f>EXP(24.4543-(100/H287*(67.4509))-(4.8489*LN(H287/100))-(0.000544*G287))</f>
        <v>9.5363171168143766E-3</v>
      </c>
      <c r="T287" s="8">
        <f>EXP(-58.0931+90.5069*(100/H287)+22.294*LN(H287/100)+G287*(0.027766-0.025888*(H287/100)+0.0050578*(H287/100)^2)*G287)</f>
        <v>6.0111636589498085E-2</v>
      </c>
      <c r="U287" s="9">
        <f>(EXP(-67.1962+99.1624*(100/H287)+27.9015*LN(H287/100)+G287*(-0.072909+0.041674*(H287/100)-0.0064603*(H287/100)^2)*G287))</f>
        <v>4.7063283922049275E-2</v>
      </c>
      <c r="V287" s="9">
        <f>(EXP(-64.8539+100.252*(100/H287)+25.2049*LN(H287/100)+(-0.062544+0.035337*(H287/100)-0.0054699*(H287/100)^2)*G287))</f>
        <v>4.5336148488542526E-2</v>
      </c>
      <c r="W287" s="9">
        <f>(EXP(-68.8862+101.4956*(100/H287)+28.7314*LN(H287/100)+G287*(-0.076146+0.04397*(H287/100)-0.0068672*(H287/100)^2)))</f>
        <v>4.711175721854232E-2</v>
      </c>
      <c r="X287">
        <f>N287*(AZ287-S287)</f>
        <v>329.72880019883564</v>
      </c>
      <c r="Y287">
        <f>O287*(AZ287-S287)</f>
        <v>566.70827411772382</v>
      </c>
      <c r="Z287">
        <f>((Y287/10^6)*AZ287)/(0.082056*H287)</f>
        <v>2.3071675978097363E-5</v>
      </c>
      <c r="AA287">
        <f>(((L287/10^6)*AZ287)/(0.082056*H287))</f>
        <v>8.1809532214440088E-8</v>
      </c>
      <c r="AB287">
        <f>((Y287/10^6)*U287*1)/(0.082056*H287)</f>
        <v>1.1622956566298414E-6</v>
      </c>
      <c r="AC287">
        <f>(Z287*(Q287/1000))+(AB287*(R287/1000))</f>
        <v>2.7093176072438609E-6</v>
      </c>
      <c r="AD287" s="39">
        <f>((AC287-(AA287*(Q287/1000)))/(R287/1000))*1000000</f>
        <v>2.3722886274657853</v>
      </c>
      <c r="AE287" s="39">
        <f>(AD287/((U287*AZ287*1))*(0.0821*273.15))</f>
        <v>1209.99870321959</v>
      </c>
      <c r="AF287" s="39">
        <f>L287*U287*AZ287*1/(0.0821*273.15)</f>
        <v>3.9397343690430065E-3</v>
      </c>
      <c r="AG287" s="39">
        <f>AD287-AF287</f>
        <v>2.3683488930967425</v>
      </c>
      <c r="AH287" s="42">
        <f>P287*(AZ287-S287)</f>
        <v>0.27443095385085542</v>
      </c>
      <c r="AI287">
        <f>(((X287/10^6)*(Q287/1000))/(0.082056*H287))</f>
        <v>8.6215026596420766E-7</v>
      </c>
      <c r="AJ287">
        <f>(((K287/10^6)*AZ287)*(Q287/1000))/(0.082056*H287)</f>
        <v>1.1053054920343551E-6</v>
      </c>
      <c r="AK287">
        <f>(X287/10^6)*T287*(R287/1000)</f>
        <v>2.2595413104133739E-5</v>
      </c>
      <c r="AL287">
        <f>AI287+AK287</f>
        <v>2.3457563370097947E-5</v>
      </c>
      <c r="AM287" s="39">
        <f>((AL287-AJ287)/(R287/1000))*1000000</f>
        <v>19.607243752687364</v>
      </c>
      <c r="AN287" s="39">
        <f>AM287/(T287*AZ287)</f>
        <v>349.15095906611282</v>
      </c>
      <c r="AO287" s="39">
        <f>(K287*AZ287)*T287</f>
        <v>25.41059274937173</v>
      </c>
      <c r="AP287" s="39">
        <f>AM287-AO287</f>
        <v>-5.8033489966843668</v>
      </c>
      <c r="AQ287">
        <f>(((AH287/10^6)*(Q287/1000))/(0.082056*H287))</f>
        <v>7.1756158306053152E-10</v>
      </c>
      <c r="AR287">
        <f>(((M287/10^6)*AZ287)*(Q287/1000))/(0.082056*H287)</f>
        <v>7.7173956391079772E-10</v>
      </c>
      <c r="AS287">
        <f>(AH287/10^6)*V287*(R287/1000)</f>
        <v>1.4183472419943606E-8</v>
      </c>
      <c r="AT287">
        <f>AQ287+AS287</f>
        <v>1.4901034003004138E-8</v>
      </c>
      <c r="AU287" s="39">
        <f>((AT287-AR287)/(R287/1000))*1000000000</f>
        <v>12.394117929029246</v>
      </c>
      <c r="AV287" s="39">
        <f>(AU287/1000)/(V287*AZ287)</f>
        <v>0.29263498505286062</v>
      </c>
      <c r="AW287" s="39">
        <f>(M287*AZ287)*V287*1000</f>
        <v>13.381022568103345</v>
      </c>
      <c r="AX287" s="39">
        <f>AU287-AW287</f>
        <v>-0.98690463907409942</v>
      </c>
      <c r="AY287" s="26">
        <f>VLOOKUP($E287,Water!$C$2:$G$90, 5, FALSE)</f>
        <v>710</v>
      </c>
      <c r="AZ287">
        <f>AY287/760</f>
        <v>0.93421052631578949</v>
      </c>
      <c r="BA287" s="3">
        <f>Assumptions!$B$3</f>
        <v>406.07</v>
      </c>
      <c r="BB287" s="3">
        <f>BA287*AZ287*T287</f>
        <v>22.803641988983181</v>
      </c>
      <c r="BC287" s="3">
        <f>Assumptions!$B$4</f>
        <v>1.8474300000000001</v>
      </c>
      <c r="BD287" s="45">
        <f>BC287*AZ287*U287*1/(0.0821*273.15)</f>
        <v>3.6220180793398392E-3</v>
      </c>
      <c r="BE287" s="3">
        <f>Assumptions!$B$2</f>
        <v>0.33054499999999998</v>
      </c>
      <c r="BF287" s="44">
        <f>BE287*AZ287*V287*1000</f>
        <v>13.999740017793624</v>
      </c>
      <c r="BG287">
        <f>1923.6+(-125.06*F287)+(4.3773*(F287^2))+(-0.085681*(F287^3))+(0.00070284*(F287^4))</f>
        <v>1273.3753937024999</v>
      </c>
      <c r="BH287">
        <f>1909.4+(-120.78*F287)+(4.1555*(F287^2))+(-0.080578*(F287^3))+(0.00065777*(F287^4))</f>
        <v>1278.9453023106248</v>
      </c>
      <c r="BI287">
        <f>2141.2+(-152.56*F287)+(5.8963*(F287^2))+(-0.12411*(F287^3))+(0.0010655*(F287^4))</f>
        <v>1366.4969503437499</v>
      </c>
      <c r="BJ287" s="25">
        <f>VLOOKUP(E287,Wind!$C$2:$E$109,3, FALSE)</f>
        <v>1.6388888888888888</v>
      </c>
      <c r="BK287" s="44">
        <v>1.66</v>
      </c>
      <c r="BL287">
        <f>BK287/(1-(((1.3*10^-3)^0.5)/0.41)*LN(10/1.5))</f>
        <v>1.9923982880693825</v>
      </c>
      <c r="BM287">
        <f>BK287*1.22</f>
        <v>2.0251999999999999</v>
      </c>
      <c r="BN287">
        <f>2.07+0.215*(BM287^1.7)*(24/100)</f>
        <v>2.241255750541113</v>
      </c>
      <c r="BO287">
        <f>BN287*((600/BG287)^0.67)</f>
        <v>1.3537296178620655</v>
      </c>
      <c r="BP287">
        <f>BN287*((600/BH287)^0.67)</f>
        <v>1.3497767217356704</v>
      </c>
      <c r="BQ287">
        <f>BN287*((600/BI287)^0.67)</f>
        <v>1.2912042530028842</v>
      </c>
      <c r="BR287" s="39">
        <f>BO287*(AM287-BB287)</f>
        <v>-4.3270589629557161</v>
      </c>
      <c r="BS287" s="39">
        <f>BP287*(AD287-BD287)</f>
        <v>3.1971710509023823</v>
      </c>
      <c r="BT287" s="39">
        <f>BQ287*(AU287-BF287)</f>
        <v>-2.0731860697279387</v>
      </c>
      <c r="BU287">
        <f>(2.51+1.48*BM287)+(0.39*BM287*LOG10(0.0015))</f>
        <v>3.2768938069574309</v>
      </c>
      <c r="BV287">
        <f>BU287*((600/$BG287)^0.67)</f>
        <v>1.9792601535973966</v>
      </c>
      <c r="BW287">
        <f>BU287*((600/$BH287)^0.67)</f>
        <v>1.9734807056994927</v>
      </c>
      <c r="BX287">
        <f>BU287*((600/$BI287)^0.67)</f>
        <v>1.8878431072226856</v>
      </c>
      <c r="BY287" s="39">
        <f>BV287*($AM287-$BB287)</f>
        <v>-6.326503664129306</v>
      </c>
      <c r="BZ287" s="39">
        <f>BW287*($AD287-$BD287)</f>
        <v>4.6745178518587869</v>
      </c>
      <c r="CA287" s="39">
        <f>BX287*($AU287-$BF287)</f>
        <v>-3.0311625930783213</v>
      </c>
      <c r="CB287" s="42">
        <f>AVERAGE(0.72,0.69,0.4,0.22)</f>
        <v>0.50750000000000006</v>
      </c>
      <c r="CC287">
        <f>CB287*((600/$BG287)^0.67)</f>
        <v>0.30653252351907168</v>
      </c>
      <c r="CD287">
        <f>CB287*((600/$BH287)^0.67)</f>
        <v>0.30563744727279268</v>
      </c>
      <c r="CE287">
        <f>CB287*((600/$BI287)^0.67)</f>
        <v>0.29237455754023439</v>
      </c>
      <c r="CF287" s="39">
        <f>CC287*($AM287-$BB287)</f>
        <v>-0.97980001754366675</v>
      </c>
      <c r="CG287" s="39">
        <f>CD287*($AD287-$BD287)</f>
        <v>0.7239532159331743</v>
      </c>
      <c r="CH287" s="39">
        <f>CE287*($AU287-$BF287)</f>
        <v>-0.46944304777931184</v>
      </c>
      <c r="CI287">
        <v>110.862639018895</v>
      </c>
      <c r="CJ287">
        <f>((BG287/BH287)^0.67)*CI287</f>
        <v>110.53891965089312</v>
      </c>
      <c r="CK287">
        <f>((BH287/BH287)^0.67)*CI287</f>
        <v>110.862639018895</v>
      </c>
      <c r="CL287">
        <f>((BI287/BH287)^0.67)*CI287</f>
        <v>115.89166401046145</v>
      </c>
      <c r="CM287" s="39">
        <f>CJ287*($AM287-$BB287)</f>
        <v>-353.32640781415978</v>
      </c>
      <c r="CN287" s="39">
        <f>CK287*($AD287-$BD287)</f>
        <v>262.59663127251946</v>
      </c>
      <c r="CO287" s="39">
        <f>CL287*($AU287-$BF287)</f>
        <v>-186.07821563885656</v>
      </c>
      <c r="CP287" s="27">
        <f>VLOOKUP(A287,Water!$A$2:$E$109, 5, FALSE)/1000</f>
        <v>7.0999999999999991E-4</v>
      </c>
      <c r="CQ287">
        <f>0.64*CP287</f>
        <v>4.5439999999999993E-4</v>
      </c>
      <c r="CR287" s="19">
        <f>CQ287*1000*(2.5*10^-5)</f>
        <v>1.1359999999999998E-5</v>
      </c>
      <c r="CS287" s="18">
        <f>(-0.0000009*F287^3)+(0.0002*F287^2)-(0.0134*F287)+6.579</f>
        <v>6.5001028375000001</v>
      </c>
      <c r="CT287" s="18">
        <f>CS287-(SQRT(CP287))/(1+1.4*SQRT(CP287))</f>
        <v>6.4744152654858365</v>
      </c>
      <c r="CU287" s="18">
        <f>10^(-CT287)</f>
        <v>3.3541674070016749E-7</v>
      </c>
      <c r="CV287" s="18">
        <f>(0.000001*F287^3)+(0.00006*F287^2)-(0.014*F287)+10.625</f>
        <v>10.536809625</v>
      </c>
      <c r="CW287" s="18">
        <f>CV287-(2*SQRT(CR287))/(1+1.4*SQRT(CR287))</f>
        <v>10.530100363795732</v>
      </c>
      <c r="CX287" s="18">
        <f>10^(-CW287)</f>
        <v>2.9505272922871794E-11</v>
      </c>
      <c r="CY287">
        <f>EXP(1246.98+-61900/H287-183*LN(H287))</f>
        <v>4.9631333915302351E-3</v>
      </c>
      <c r="CZ287">
        <f>12.225*(F287^2)+15.258*F287+1125.7</f>
        <v>1741.3832500000001</v>
      </c>
      <c r="DA287" s="15">
        <f>10^(-4470.99/H287+6.0875-0.01706*H287)</f>
        <v>2.1323810465869301E-15</v>
      </c>
      <c r="DB287">
        <f>(10^-I287)</f>
        <v>1.5135612484362064E-9</v>
      </c>
      <c r="DC287">
        <f>DB287^2</f>
        <v>2.290867652767768E-18</v>
      </c>
      <c r="DD287" s="20">
        <f>((14.6836*10^-9)*((H287/217.2056)-1)^1.997)*100*100</f>
        <v>1.2181524296496105E-5</v>
      </c>
      <c r="DE287">
        <f>CY287+CZ287*DA287/DB287</f>
        <v>7.4164815074260933E-3</v>
      </c>
      <c r="DF287">
        <f>1+DC287*(CU287*CX287+CU287*DB287)^-1</f>
        <v>1.0044261957481171</v>
      </c>
      <c r="DG287">
        <f>(DE287*DF287/DD287)^0.5</f>
        <v>24.729034278513943</v>
      </c>
      <c r="DH287">
        <f>DD287/(BO287/60/60)</f>
        <v>3.2394568966174687E-2</v>
      </c>
      <c r="DI287" s="16">
        <f>DF287/((DF287-1)+TANH(DG287*DH287)/(DG287*DH287))</f>
        <v>1.204197643882829</v>
      </c>
      <c r="DJ287">
        <f>$DI287*BR287</f>
        <v>-5.2106342081333512</v>
      </c>
      <c r="DK287">
        <f>$DI287*BY287</f>
        <v>-7.6183608063605952</v>
      </c>
      <c r="DL287">
        <f>$DI287*CF287</f>
        <v>-1.1798728726024381</v>
      </c>
      <c r="DM287">
        <f>$DI287*CM287</f>
        <v>-425.47482781139479</v>
      </c>
    </row>
    <row r="288" spans="1:117" ht="15.75" x14ac:dyDescent="0.25">
      <c r="A288" s="52" t="s">
        <v>322</v>
      </c>
      <c r="B288" t="s">
        <v>341</v>
      </c>
      <c r="C288" s="71" t="s">
        <v>511</v>
      </c>
      <c r="D288" s="67">
        <v>43370</v>
      </c>
      <c r="E288" s="42" t="str">
        <f>A288&amp;D288</f>
        <v>32A43370</v>
      </c>
      <c r="F288" s="3">
        <f>VLOOKUP($E288,Water!$C$2:$E$90, 2, FALSE)</f>
        <v>6.5</v>
      </c>
      <c r="G288" s="3">
        <f>VLOOKUP($E288,Water!$C$2:$E$90, 3, FALSE)</f>
        <v>1.35</v>
      </c>
      <c r="H288" s="1">
        <f>F288+273.15</f>
        <v>279.64999999999998</v>
      </c>
      <c r="I288" s="3">
        <f>VLOOKUP($E288,Water!$C$2:$F$90, 4, FALSE)</f>
        <v>8.82</v>
      </c>
      <c r="J288">
        <f>10^(I288*-1)</f>
        <v>1.5135612484362064E-9</v>
      </c>
      <c r="K288" s="25">
        <f>VLOOKUP($E288,Atm!$D$2:$G$100, 2, FALSE)</f>
        <v>452.49260634430271</v>
      </c>
      <c r="L288" s="25">
        <f>VLOOKUP($E288,Atm!$D$2:$G$100, 3, FALSE)</f>
        <v>2.009482919733991</v>
      </c>
      <c r="M288" s="25">
        <f>VLOOKUP($E288,Atm!$D$2:$G$100, 4, FALSE)</f>
        <v>0.31593658876179576</v>
      </c>
      <c r="N288" s="21">
        <f>VLOOKUP($C288,Raw!$B$2:$F$353, 3, FALSE)</f>
        <v>323.80873140088022</v>
      </c>
      <c r="O288" s="21">
        <f>VLOOKUP($C288,Raw!$B$2:$F$353, 4, FALSE)</f>
        <v>600.60413077918111</v>
      </c>
      <c r="P288" s="21">
        <f>VLOOKUP($C288,Raw!$B$2:$F$353, 5, FALSE)</f>
        <v>0.27962318654558477</v>
      </c>
      <c r="Q288" s="14">
        <v>60</v>
      </c>
      <c r="R288" s="25">
        <v>1140</v>
      </c>
      <c r="S288">
        <f>EXP(24.4543-(100/H288*(67.4509))-(4.8489*LN(H288/100))-(0.000544*G288))</f>
        <v>9.5363171168143766E-3</v>
      </c>
      <c r="T288" s="8">
        <f>EXP(-58.0931+90.5069*(100/H288)+22.294*LN(H288/100)+G288*(0.027766-0.025888*(H288/100)+0.0050578*(H288/100)^2)*G288)</f>
        <v>6.0111636589498085E-2</v>
      </c>
      <c r="U288" s="9">
        <f>(EXP(-67.1962+99.1624*(100/H288)+27.9015*LN(H288/100)+G288*(-0.072909+0.041674*(H288/100)-0.0064603*(H288/100)^2)*G288))</f>
        <v>4.7063283922049275E-2</v>
      </c>
      <c r="V288" s="9">
        <f>(EXP(-64.8539+100.252*(100/H288)+25.2049*LN(H288/100)+(-0.062544+0.035337*(H288/100)-0.0054699*(H288/100)^2)*G288))</f>
        <v>4.5336148488542526E-2</v>
      </c>
      <c r="W288" s="9">
        <f>(EXP(-68.8862+101.4956*(100/H288)+28.7314*LN(H288/100)+G288*(-0.076146+0.04397*(H288/100)-0.0068672*(H288/100)^2)))</f>
        <v>4.711175721854232E-2</v>
      </c>
      <c r="X288">
        <f>N288*(AZ288-S288)</f>
        <v>299.41758263983229</v>
      </c>
      <c r="Y288">
        <f>O288*(AZ288-S288)</f>
        <v>555.36314966987709</v>
      </c>
      <c r="Z288">
        <f>((Y288/10^6)*AZ288)/(0.082056*H288)</f>
        <v>2.2609796300057695E-5</v>
      </c>
      <c r="AA288">
        <f>(((L288/10^6)*AZ288)/(0.082056*H288))</f>
        <v>8.1809532214440088E-8</v>
      </c>
      <c r="AB288">
        <f>((Y288/10^6)*U288*1)/(0.082056*H288)</f>
        <v>1.139027267104055E-6</v>
      </c>
      <c r="AC288">
        <f>(Z288*(Q288/1000))+(AB288*(R288/1000))</f>
        <v>2.6550788625020838E-6</v>
      </c>
      <c r="AD288" s="39">
        <f>((AC288-(AA288*(Q288/1000)))/(R288/1000))*1000000</f>
        <v>2.3247107812010683</v>
      </c>
      <c r="AE288" s="39">
        <f>(AD288/((U288*AZ288*1))*(0.0821*273.15))</f>
        <v>1185.7313642390939</v>
      </c>
      <c r="AF288" s="39">
        <f>L288*U288*AZ288*1/(0.0821*273.15)</f>
        <v>3.9397343690430065E-3</v>
      </c>
      <c r="AG288" s="39">
        <f>AD288-AF288</f>
        <v>2.3207710468320255</v>
      </c>
      <c r="AH288" s="42">
        <f>P288*(AZ288-S288)</f>
        <v>0.2585603488927361</v>
      </c>
      <c r="AI288">
        <f>(((X288/10^6)*(Q288/1000))/(0.082056*H288))</f>
        <v>7.8289475578604031E-7</v>
      </c>
      <c r="AJ288">
        <f>(((K288/10^6)*AZ288)*(Q288/1000))/(0.082056*H288)</f>
        <v>1.1053054920343551E-6</v>
      </c>
      <c r="AK288">
        <f>(X288/10^6)*T288*(R288/1000)</f>
        <v>2.051826824441283E-5</v>
      </c>
      <c r="AL288">
        <f>AI288+AK288</f>
        <v>2.1301163000198871E-5</v>
      </c>
      <c r="AM288" s="39">
        <f>((AL288-AJ288)/(R288/1000))*1000000</f>
        <v>17.715664480846069</v>
      </c>
      <c r="AN288" s="39">
        <f>AM288/(T288*AZ288)</f>
        <v>315.46714683613294</v>
      </c>
      <c r="AO288" s="39">
        <f>(K288*AZ288)*T288</f>
        <v>25.41059274937173</v>
      </c>
      <c r="AP288" s="39">
        <f>AM288-AO288</f>
        <v>-7.6949282685256613</v>
      </c>
      <c r="AQ288">
        <f>(((AH288/10^6)*(Q288/1000))/(0.082056*H288))</f>
        <v>6.7606430930887768E-10</v>
      </c>
      <c r="AR288">
        <f>(((M288/10^6)*AZ288)*(Q288/1000))/(0.082056*H288)</f>
        <v>7.7173956391079772E-10</v>
      </c>
      <c r="AS288">
        <f>(AH288/10^6)*V288*(R288/1000)</f>
        <v>1.3363228622541506E-8</v>
      </c>
      <c r="AT288">
        <f>AQ288+AS288</f>
        <v>1.4039292931850384E-8</v>
      </c>
      <c r="AU288" s="39">
        <f>((AT288-AR288)/(R288/1000))*1000000000</f>
        <v>11.638204708718936</v>
      </c>
      <c r="AV288" s="39">
        <f>(AU288/1000)/(V288*AZ288)</f>
        <v>0.27478727251749235</v>
      </c>
      <c r="AW288" s="39">
        <f>(M288*AZ288)*V288*1000</f>
        <v>13.381022568103345</v>
      </c>
      <c r="AX288" s="39">
        <f>AU288-AW288</f>
        <v>-1.7428178593844095</v>
      </c>
      <c r="AY288" s="26">
        <f>VLOOKUP($E288,Water!$C$2:$G$90, 5, FALSE)</f>
        <v>710</v>
      </c>
      <c r="AZ288">
        <f>AY288/760</f>
        <v>0.93421052631578949</v>
      </c>
      <c r="BA288" s="3">
        <f>Assumptions!$B$3</f>
        <v>406.07</v>
      </c>
      <c r="BB288" s="3">
        <f>BA288*AZ288*T288</f>
        <v>22.803641988983181</v>
      </c>
      <c r="BC288" s="3">
        <f>Assumptions!$B$4</f>
        <v>1.8474300000000001</v>
      </c>
      <c r="BD288" s="45">
        <f>BC288*AZ288*U288*1/(0.0821*273.15)</f>
        <v>3.6220180793398392E-3</v>
      </c>
      <c r="BE288" s="3">
        <f>Assumptions!$B$2</f>
        <v>0.33054499999999998</v>
      </c>
      <c r="BF288" s="44">
        <f>BE288*AZ288*V288*1000</f>
        <v>13.999740017793624</v>
      </c>
      <c r="BG288">
        <f>1923.6+(-125.06*F288)+(4.3773*(F288^2))+(-0.085681*(F288^3))+(0.00070284*(F288^4))</f>
        <v>1273.3753937024999</v>
      </c>
      <c r="BH288">
        <f>1909.4+(-120.78*F288)+(4.1555*(F288^2))+(-0.080578*(F288^3))+(0.00065777*(F288^4))</f>
        <v>1278.9453023106248</v>
      </c>
      <c r="BI288">
        <f>2141.2+(-152.56*F288)+(5.8963*(F288^2))+(-0.12411*(F288^3))+(0.0010655*(F288^4))</f>
        <v>1366.4969503437499</v>
      </c>
      <c r="BJ288" s="25">
        <f>VLOOKUP(E288,Wind!$C$2:$E$109,3, FALSE)</f>
        <v>1.6388888888888888</v>
      </c>
      <c r="BK288" s="44">
        <v>1.66</v>
      </c>
      <c r="BL288">
        <f>BK288/(1-(((1.3*10^-3)^0.5)/0.41)*LN(10/1.5))</f>
        <v>1.9923982880693825</v>
      </c>
      <c r="BM288">
        <f>BK288*1.22</f>
        <v>2.0251999999999999</v>
      </c>
      <c r="BN288">
        <f>2.07+0.215*(BM288^1.7)*(24/100)</f>
        <v>2.241255750541113</v>
      </c>
      <c r="BO288">
        <f>BN288*((600/BG288)^0.67)</f>
        <v>1.3537296178620655</v>
      </c>
      <c r="BP288">
        <f>BN288*((600/BH288)^0.67)</f>
        <v>1.3497767217356704</v>
      </c>
      <c r="BQ288">
        <f>BN288*((600/BI288)^0.67)</f>
        <v>1.2912042530028842</v>
      </c>
      <c r="BR288" s="39">
        <f>BO288*(AM288-BB288)</f>
        <v>-6.8877458477812361</v>
      </c>
      <c r="BS288" s="39">
        <f>BP288*(AD288-BD288)</f>
        <v>3.1329515815439488</v>
      </c>
      <c r="BT288" s="39">
        <f>BQ288*(AU288-BF288)</f>
        <v>-3.0492244346937172</v>
      </c>
      <c r="BU288">
        <f>(2.51+1.48*BM288)+(0.39*BM288*LOG10(0.0015))</f>
        <v>3.2768938069574309</v>
      </c>
      <c r="BV288">
        <f>BU288*((600/$BG288)^0.67)</f>
        <v>1.9792601535973966</v>
      </c>
      <c r="BW288">
        <f>BU288*((600/$BH288)^0.67)</f>
        <v>1.9734807056994927</v>
      </c>
      <c r="BX288">
        <f>BU288*((600/$BI288)^0.67)</f>
        <v>1.8878431072226856</v>
      </c>
      <c r="BY288" s="39">
        <f>BV288*($AM288-$BB288)</f>
        <v>-10.070431144255558</v>
      </c>
      <c r="BZ288" s="39">
        <f>BW288*($AD288-$BD288)</f>
        <v>4.5806238902366312</v>
      </c>
      <c r="CA288" s="39">
        <f>BX288*($AU288-$BF288)</f>
        <v>-4.4582081556996433</v>
      </c>
      <c r="CB288" s="42">
        <f>AVERAGE(0.72,0.69,0.4,0.22)</f>
        <v>0.50750000000000006</v>
      </c>
      <c r="CC288">
        <f>CB288*((600/$BG288)^0.67)</f>
        <v>0.30653252351907168</v>
      </c>
      <c r="CD288">
        <f>CB288*((600/$BH288)^0.67)</f>
        <v>0.30563744727279268</v>
      </c>
      <c r="CE288">
        <f>CB288*((600/$BI288)^0.67)</f>
        <v>0.29237455754023439</v>
      </c>
      <c r="CF288" s="39">
        <f>CC288*($AM288-$BB288)</f>
        <v>-1.5596305851775467</v>
      </c>
      <c r="CG288" s="39">
        <f>CD288*($AD288-$BD288)</f>
        <v>0.70941164445408889</v>
      </c>
      <c r="CH288" s="39">
        <f>CE288*($AU288-$BF288)</f>
        <v>-0.69045284110635241</v>
      </c>
      <c r="CI288">
        <v>111.862639018895</v>
      </c>
      <c r="CJ288">
        <f>((BG288/BH288)^0.67)*CI288</f>
        <v>111.5359996467252</v>
      </c>
      <c r="CK288">
        <f>((BH288/BH288)^0.67)*CI288</f>
        <v>111.862639018895</v>
      </c>
      <c r="CL288">
        <f>((BI288/BH288)^0.67)*CI288</f>
        <v>116.93702667759685</v>
      </c>
      <c r="CM288" s="39">
        <f>CJ288*($AM288-$BB288)</f>
        <v>-567.49265755012664</v>
      </c>
      <c r="CN288" s="39">
        <f>CK288*($AD288-$BD288)</f>
        <v>259.64311443989936</v>
      </c>
      <c r="CO288" s="39">
        <f>CL288*($AU288-$BF288)</f>
        <v>-276.15091743735366</v>
      </c>
      <c r="CP288" s="27">
        <f>VLOOKUP(A288,Water!$A$2:$E$109, 5, FALSE)/1000</f>
        <v>7.0999999999999991E-4</v>
      </c>
      <c r="CQ288">
        <f>0.64*CP288</f>
        <v>4.5439999999999993E-4</v>
      </c>
      <c r="CR288" s="19">
        <f>CQ288*1000*(2.5*10^-5)</f>
        <v>1.1359999999999998E-5</v>
      </c>
      <c r="CS288" s="18">
        <f>(-0.0000009*F288^3)+(0.0002*F288^2)-(0.0134*F288)+6.579</f>
        <v>6.5001028375000001</v>
      </c>
      <c r="CT288" s="18">
        <f>CS288-(SQRT(CP288))/(1+1.4*SQRT(CP288))</f>
        <v>6.4744152654858365</v>
      </c>
      <c r="CU288" s="18">
        <f>10^(-CT288)</f>
        <v>3.3541674070016749E-7</v>
      </c>
      <c r="CV288" s="18">
        <f>(0.000001*F288^3)+(0.00006*F288^2)-(0.014*F288)+10.625</f>
        <v>10.536809625</v>
      </c>
      <c r="CW288" s="18">
        <f>CV288-(2*SQRT(CR288))/(1+1.4*SQRT(CR288))</f>
        <v>10.530100363795732</v>
      </c>
      <c r="CX288" s="18">
        <f>10^(-CW288)</f>
        <v>2.9505272922871794E-11</v>
      </c>
      <c r="CY288">
        <f>EXP(1246.98+-61900/H288-183*LN(H288))</f>
        <v>4.9631333915302351E-3</v>
      </c>
      <c r="CZ288">
        <f>12.225*(F288^2)+15.258*F288+1125.7</f>
        <v>1741.3832500000001</v>
      </c>
      <c r="DA288" s="15">
        <f>10^(-4470.99/H288+6.0875-0.01706*H288)</f>
        <v>2.1323810465869301E-15</v>
      </c>
      <c r="DB288">
        <f>(10^-I288)</f>
        <v>1.5135612484362064E-9</v>
      </c>
      <c r="DC288">
        <f>DB288^2</f>
        <v>2.290867652767768E-18</v>
      </c>
      <c r="DD288" s="20">
        <f>((14.6836*10^-9)*((H288/217.2056)-1)^1.997)*100*100</f>
        <v>1.2181524296496105E-5</v>
      </c>
      <c r="DE288">
        <f>CY288+CZ288*DA288/DB288</f>
        <v>7.4164815074260933E-3</v>
      </c>
      <c r="DF288">
        <f>1+DC288*(CU288*CX288+CU288*DB288)^-1</f>
        <v>1.0044261957481171</v>
      </c>
      <c r="DG288">
        <f>(DE288*DF288/DD288)^0.5</f>
        <v>24.729034278513943</v>
      </c>
      <c r="DH288">
        <f>DD288/(BO288/60/60)</f>
        <v>3.2394568966174687E-2</v>
      </c>
      <c r="DI288" s="16">
        <f>DF288/((DF288-1)+TANH(DG288*DH288)/(DG288*DH288))</f>
        <v>1.204197643882829</v>
      </c>
      <c r="DJ288">
        <f>$DI288*BR288</f>
        <v>-8.2942073215619025</v>
      </c>
      <c r="DK288">
        <f>$DI288*BY288</f>
        <v>-12.126789456796805</v>
      </c>
      <c r="DL288">
        <f>$DI288*CF288</f>
        <v>-1.8781034759983997</v>
      </c>
      <c r="DM288">
        <f>$DI288*CM288</f>
        <v>-683.37332114266769</v>
      </c>
    </row>
    <row r="289" spans="1:117" ht="15.75" x14ac:dyDescent="0.25">
      <c r="A289" s="52" t="s">
        <v>322</v>
      </c>
      <c r="B289" t="s">
        <v>342</v>
      </c>
      <c r="C289" s="68" t="s">
        <v>512</v>
      </c>
      <c r="D289" s="65">
        <v>43370</v>
      </c>
      <c r="E289" s="42" t="str">
        <f>A289&amp;D289</f>
        <v>32A43370</v>
      </c>
      <c r="F289" s="3">
        <f>VLOOKUP($E289,Water!$C$2:$E$90, 2, FALSE)</f>
        <v>6.5</v>
      </c>
      <c r="G289" s="3">
        <f>VLOOKUP($E289,Water!$C$2:$E$90, 3, FALSE)</f>
        <v>1.35</v>
      </c>
      <c r="H289" s="1">
        <f>F289+273.15</f>
        <v>279.64999999999998</v>
      </c>
      <c r="I289" s="3">
        <f>VLOOKUP($E289,Water!$C$2:$F$90, 4, FALSE)</f>
        <v>8.82</v>
      </c>
      <c r="J289">
        <f>10^(I289*-1)</f>
        <v>1.5135612484362064E-9</v>
      </c>
      <c r="K289" s="25">
        <f>VLOOKUP($E289,Atm!$D$2:$G$100, 2, FALSE)</f>
        <v>452.49260634430271</v>
      </c>
      <c r="L289" s="25">
        <f>VLOOKUP($E289,Atm!$D$2:$G$100, 3, FALSE)</f>
        <v>2.009482919733991</v>
      </c>
      <c r="M289" s="25">
        <f>VLOOKUP($E289,Atm!$D$2:$G$100, 4, FALSE)</f>
        <v>0.31593658876179576</v>
      </c>
      <c r="N289" s="21">
        <f>VLOOKUP($C289,Raw!$B$2:$F$353, 3, FALSE)</f>
        <v>335.34407622409782</v>
      </c>
      <c r="O289" s="21">
        <f>VLOOKUP($C289,Raw!$B$2:$F$353, 4, FALSE)</f>
        <v>602.42299293898327</v>
      </c>
      <c r="P289" s="21">
        <f>VLOOKUP($C289,Raw!$B$2:$F$353, 5, FALSE)</f>
        <v>0.28027820625014144</v>
      </c>
      <c r="Q289" s="14">
        <v>60</v>
      </c>
      <c r="R289" s="25">
        <v>1140</v>
      </c>
      <c r="S289">
        <f>EXP(24.4543-(100/H289*(67.4509))-(4.8489*LN(H289/100))-(0.000544*G289))</f>
        <v>9.5363171168143766E-3</v>
      </c>
      <c r="T289" s="8">
        <f>EXP(-58.0931+90.5069*(100/H289)+22.294*LN(H289/100)+G289*(0.027766-0.025888*(H289/100)+0.0050578*(H289/100)^2)*G289)</f>
        <v>6.0111636589498085E-2</v>
      </c>
      <c r="U289" s="9">
        <f>(EXP(-67.1962+99.1624*(100/H289)+27.9015*LN(H289/100)+G289*(-0.072909+0.041674*(H289/100)-0.0064603*(H289/100)^2)*G289))</f>
        <v>4.7063283922049275E-2</v>
      </c>
      <c r="V289" s="9">
        <f>(EXP(-64.8539+100.252*(100/H289)+25.2049*LN(H289/100)+(-0.062544+0.035337*(H289/100)-0.0054699*(H289/100)^2)*G289))</f>
        <v>4.5336148488542526E-2</v>
      </c>
      <c r="W289" s="9">
        <f>(EXP(-68.8862+101.4956*(100/H289)+28.7314*LN(H289/100)+G289*(-0.076146+0.04397*(H289/100)-0.0068672*(H289/100)^2)))</f>
        <v>4.711175721854232E-2</v>
      </c>
      <c r="X289">
        <f>N289*(AZ289-S289)</f>
        <v>310.08401849207848</v>
      </c>
      <c r="Y289">
        <f>O289*(AZ289-S289)</f>
        <v>557.04500459913413</v>
      </c>
      <c r="Z289">
        <f>((Y289/10^6)*AZ289)/(0.082056*H289)</f>
        <v>2.267826752898125E-5</v>
      </c>
      <c r="AA289">
        <f>(((L289/10^6)*AZ289)/(0.082056*H289))</f>
        <v>8.1809532214440088E-8</v>
      </c>
      <c r="AB289">
        <f>((Y289/10^6)*U289*1)/(0.082056*H289)</f>
        <v>1.1424766832651307E-6</v>
      </c>
      <c r="AC289">
        <f>(Z289*(Q289/1000))+(AB289*(R289/1000))</f>
        <v>2.6631194706611241E-6</v>
      </c>
      <c r="AD289" s="39">
        <f>((AC289-(AA289*(Q289/1000)))/(R289/1000))*1000000</f>
        <v>2.3317639462528583</v>
      </c>
      <c r="AE289" s="39">
        <f>(AD289/((U289*AZ289*1))*(0.0821*273.15))</f>
        <v>1189.328869394011</v>
      </c>
      <c r="AF289" s="39">
        <f>L289*U289*AZ289*1/(0.0821*273.15)</f>
        <v>3.9397343690430065E-3</v>
      </c>
      <c r="AG289" s="39">
        <f>AD289-AF289</f>
        <v>2.3278242118838155</v>
      </c>
      <c r="AH289" s="42">
        <f>P289*(AZ289-S289)</f>
        <v>0.25916602872005678</v>
      </c>
      <c r="AI289">
        <f>(((X289/10^6)*(Q289/1000))/(0.082056*H289))</f>
        <v>8.1078455643845138E-7</v>
      </c>
      <c r="AJ289">
        <f>(((K289/10^6)*AZ289)*(Q289/1000))/(0.082056*H289)</f>
        <v>1.1053054920343551E-6</v>
      </c>
      <c r="AK289">
        <f>(X289/10^6)*T289*(R289/1000)</f>
        <v>2.124920992826001E-5</v>
      </c>
      <c r="AL289">
        <f>AI289+AK289</f>
        <v>2.2059994484698462E-5</v>
      </c>
      <c r="AM289" s="39">
        <f>((AL289-AJ289)/(R289/1000))*1000000</f>
        <v>18.381306133915885</v>
      </c>
      <c r="AN289" s="39">
        <f>AM289/(T289*AZ289)</f>
        <v>327.32038967307295</v>
      </c>
      <c r="AO289" s="39">
        <f>(K289*AZ289)*T289</f>
        <v>25.41059274937173</v>
      </c>
      <c r="AP289" s="39">
        <f>AM289-AO289</f>
        <v>-7.0292866154558453</v>
      </c>
      <c r="AQ289">
        <f>(((AH289/10^6)*(Q289/1000))/(0.082056*H289))</f>
        <v>6.7764799573207986E-10</v>
      </c>
      <c r="AR289">
        <f>(((M289/10^6)*AZ289)*(Q289/1000))/(0.082056*H289)</f>
        <v>7.7173956391079772E-10</v>
      </c>
      <c r="AS289">
        <f>(AH289/10^6)*V289*(R289/1000)</f>
        <v>1.339453209981174E-8</v>
      </c>
      <c r="AT289">
        <f>AQ289+AS289</f>
        <v>1.4072180095543821E-8</v>
      </c>
      <c r="AU289" s="39">
        <f>((AT289-AR289)/(R289/1000))*1000000000</f>
        <v>11.667053097923706</v>
      </c>
      <c r="AV289" s="39">
        <f>(AU289/1000)/(V289*AZ289)</f>
        <v>0.27546840593836813</v>
      </c>
      <c r="AW289" s="39">
        <f>(M289*AZ289)*V289*1000</f>
        <v>13.381022568103345</v>
      </c>
      <c r="AX289" s="39">
        <f>AU289-AW289</f>
        <v>-1.7139694701796397</v>
      </c>
      <c r="AY289" s="26">
        <f>VLOOKUP($E289,Water!$C$2:$G$90, 5, FALSE)</f>
        <v>710</v>
      </c>
      <c r="AZ289">
        <f>AY289/760</f>
        <v>0.93421052631578949</v>
      </c>
      <c r="BA289" s="3">
        <f>Assumptions!$B$3</f>
        <v>406.07</v>
      </c>
      <c r="BB289" s="3">
        <f>BA289*AZ289*T289</f>
        <v>22.803641988983181</v>
      </c>
      <c r="BC289" s="3">
        <f>Assumptions!$B$4</f>
        <v>1.8474300000000001</v>
      </c>
      <c r="BD289" s="45">
        <f>BC289*AZ289*U289*1/(0.0821*273.15)</f>
        <v>3.6220180793398392E-3</v>
      </c>
      <c r="BE289" s="3">
        <f>Assumptions!$B$2</f>
        <v>0.33054499999999998</v>
      </c>
      <c r="BF289" s="44">
        <f>BE289*AZ289*V289*1000</f>
        <v>13.999740017793624</v>
      </c>
      <c r="BG289">
        <f>1923.6+(-125.06*F289)+(4.3773*(F289^2))+(-0.085681*(F289^3))+(0.00070284*(F289^4))</f>
        <v>1273.3753937024999</v>
      </c>
      <c r="BH289">
        <f>1909.4+(-120.78*F289)+(4.1555*(F289^2))+(-0.080578*(F289^3))+(0.00065777*(F289^4))</f>
        <v>1278.9453023106248</v>
      </c>
      <c r="BI289">
        <f>2141.2+(-152.56*F289)+(5.8963*(F289^2))+(-0.12411*(F289^3))+(0.0010655*(F289^4))</f>
        <v>1366.4969503437499</v>
      </c>
      <c r="BJ289" s="25">
        <f>VLOOKUP(E289,Wind!$C$2:$E$109,3, FALSE)</f>
        <v>1.6388888888888888</v>
      </c>
      <c r="BK289" s="44">
        <v>1.66</v>
      </c>
      <c r="BL289">
        <f>BK289/(1-(((1.3*10^-3)^0.5)/0.41)*LN(10/1.5))</f>
        <v>1.9923982880693825</v>
      </c>
      <c r="BM289">
        <f>BK289*1.22</f>
        <v>2.0251999999999999</v>
      </c>
      <c r="BN289">
        <f>2.07+0.215*(BM289^1.7)*(24/100)</f>
        <v>2.241255750541113</v>
      </c>
      <c r="BO289">
        <f>BN289*((600/BG289)^0.67)</f>
        <v>1.3537296178620655</v>
      </c>
      <c r="BP289">
        <f>BN289*((600/BH289)^0.67)</f>
        <v>1.3497767217356704</v>
      </c>
      <c r="BQ289">
        <f>BN289*((600/BI289)^0.67)</f>
        <v>1.2912042530028842</v>
      </c>
      <c r="BR289" s="39">
        <f>BO289*(AM289-BB289)</f>
        <v>-5.9866470271379608</v>
      </c>
      <c r="BS289" s="39">
        <f>BP289*(AD289-BD289)</f>
        <v>3.1424717795454145</v>
      </c>
      <c r="BT289" s="39">
        <f>BQ289*(AU289-BF289)</f>
        <v>-3.0119752718602362</v>
      </c>
      <c r="BU289">
        <f>(2.51+1.48*BM289)+(0.39*BM289*LOG10(0.0015))</f>
        <v>3.2768938069574309</v>
      </c>
      <c r="BV289">
        <f>BU289*((600/$BG289)^0.67)</f>
        <v>1.9792601535973966</v>
      </c>
      <c r="BW289">
        <f>BU289*((600/$BH289)^0.67)</f>
        <v>1.9734807056994927</v>
      </c>
      <c r="BX289">
        <f>BU289*((600/$BI289)^0.67)</f>
        <v>1.8878431072226856</v>
      </c>
      <c r="BY289" s="39">
        <f>BV289*($AM289-$BB289)</f>
        <v>-8.7529531437597701</v>
      </c>
      <c r="BZ289" s="39">
        <f>BW289*($AD289-$BD289)</f>
        <v>4.5945431753804531</v>
      </c>
      <c r="CA289" s="39">
        <f>BX289*($AU289-$BF289)</f>
        <v>-4.4037469229849417</v>
      </c>
      <c r="CB289" s="42">
        <f>AVERAGE(0.72,0.69,0.4,0.22)</f>
        <v>0.50750000000000006</v>
      </c>
      <c r="CC289">
        <f>CB289*((600/$BG289)^0.67)</f>
        <v>0.30653252351907168</v>
      </c>
      <c r="CD289">
        <f>CB289*((600/$BH289)^0.67)</f>
        <v>0.30563744727279268</v>
      </c>
      <c r="CE289">
        <f>CB289*((600/$BI289)^0.67)</f>
        <v>0.29237455754023439</v>
      </c>
      <c r="CF289" s="39">
        <f>CC289*($AM289-$BB289)</f>
        <v>-1.3555897695026498</v>
      </c>
      <c r="CG289" s="39">
        <f>CD289*($AD289-$BD289)</f>
        <v>0.71156735581571162</v>
      </c>
      <c r="CH289" s="39">
        <f>CE289*($AU289-$BF289)</f>
        <v>-0.68201830607685943</v>
      </c>
      <c r="CI289">
        <v>112.862639018895</v>
      </c>
      <c r="CJ289">
        <f>((BG289/BH289)^0.67)*CI289</f>
        <v>112.53307964255728</v>
      </c>
      <c r="CK289">
        <f>((BH289/BH289)^0.67)*CI289</f>
        <v>112.862639018895</v>
      </c>
      <c r="CL289">
        <f>((BI289/BH289)^0.67)*CI289</f>
        <v>117.98238934473225</v>
      </c>
      <c r="CM289" s="39">
        <f>CJ289*($AM289-$BB289)</f>
        <v>-497.65907298442465</v>
      </c>
      <c r="CN289" s="39">
        <f>CK289*($AD289-$BD289)</f>
        <v>262.760242024202</v>
      </c>
      <c r="CO289" s="39">
        <f>CL289*($AU289-$BF289)</f>
        <v>-275.21597639945691</v>
      </c>
      <c r="CP289" s="27">
        <f>VLOOKUP(A289,Water!$A$2:$E$109, 5, FALSE)/1000</f>
        <v>7.0999999999999991E-4</v>
      </c>
      <c r="CQ289">
        <f>0.64*CP289</f>
        <v>4.5439999999999993E-4</v>
      </c>
      <c r="CR289" s="19">
        <f>CQ289*1000*(2.5*10^-5)</f>
        <v>1.1359999999999998E-5</v>
      </c>
      <c r="CS289" s="18">
        <f>(-0.0000009*F289^3)+(0.0002*F289^2)-(0.0134*F289)+6.579</f>
        <v>6.5001028375000001</v>
      </c>
      <c r="CT289" s="18">
        <f>CS289-(SQRT(CP289))/(1+1.4*SQRT(CP289))</f>
        <v>6.4744152654858365</v>
      </c>
      <c r="CU289" s="18">
        <f>10^(-CT289)</f>
        <v>3.3541674070016749E-7</v>
      </c>
      <c r="CV289" s="18">
        <f>(0.000001*F289^3)+(0.00006*F289^2)-(0.014*F289)+10.625</f>
        <v>10.536809625</v>
      </c>
      <c r="CW289" s="18">
        <f>CV289-(2*SQRT(CR289))/(1+1.4*SQRT(CR289))</f>
        <v>10.530100363795732</v>
      </c>
      <c r="CX289" s="18">
        <f>10^(-CW289)</f>
        <v>2.9505272922871794E-11</v>
      </c>
      <c r="CY289">
        <f>EXP(1246.98+-61900/H289-183*LN(H289))</f>
        <v>4.9631333915302351E-3</v>
      </c>
      <c r="CZ289">
        <f>12.225*(F289^2)+15.258*F289+1125.7</f>
        <v>1741.3832500000001</v>
      </c>
      <c r="DA289" s="15">
        <f>10^(-4470.99/H289+6.0875-0.01706*H289)</f>
        <v>2.1323810465869301E-15</v>
      </c>
      <c r="DB289">
        <f>(10^-I289)</f>
        <v>1.5135612484362064E-9</v>
      </c>
      <c r="DC289">
        <f>DB289^2</f>
        <v>2.290867652767768E-18</v>
      </c>
      <c r="DD289" s="20">
        <f>((14.6836*10^-9)*((H289/217.2056)-1)^1.997)*100*100</f>
        <v>1.2181524296496105E-5</v>
      </c>
      <c r="DE289">
        <f>CY289+CZ289*DA289/DB289</f>
        <v>7.4164815074260933E-3</v>
      </c>
      <c r="DF289">
        <f>1+DC289*(CU289*CX289+CU289*DB289)^-1</f>
        <v>1.0044261957481171</v>
      </c>
      <c r="DG289">
        <f>(DE289*DF289/DD289)^0.5</f>
        <v>24.729034278513943</v>
      </c>
      <c r="DH289">
        <f>DD289/(BO289/60/60)</f>
        <v>3.2394568966174687E-2</v>
      </c>
      <c r="DI289" s="16">
        <f>DF289/((DF289-1)+TANH(DG289*DH289)/(DG289*DH289))</f>
        <v>1.204197643882829</v>
      </c>
      <c r="DJ289">
        <f>$DI289*BR289</f>
        <v>-7.2091062448376748</v>
      </c>
      <c r="DK289">
        <f>$DI289*BY289</f>
        <v>-10.540285552732316</v>
      </c>
      <c r="DL289">
        <f>$DI289*CF289</f>
        <v>-1.632398006506758</v>
      </c>
      <c r="DM289">
        <f>$DI289*CM289</f>
        <v>-599.27988314475704</v>
      </c>
    </row>
    <row r="290" spans="1:117" ht="15.75" x14ac:dyDescent="0.25">
      <c r="A290" s="59" t="s">
        <v>325</v>
      </c>
      <c r="B290" t="s">
        <v>339</v>
      </c>
      <c r="C290" s="68" t="s">
        <v>513</v>
      </c>
      <c r="D290" s="65">
        <v>43370</v>
      </c>
      <c r="E290" s="42" t="str">
        <f>A290&amp;D290</f>
        <v>32C43370</v>
      </c>
      <c r="F290" s="3">
        <f>VLOOKUP($E290,Water!$C$2:$E$90, 2, FALSE)</f>
        <v>6.4</v>
      </c>
      <c r="G290" s="3">
        <f>VLOOKUP($E290,Water!$C$2:$E$90, 3, FALSE)</f>
        <v>1.79</v>
      </c>
      <c r="H290" s="1">
        <f>F290+273.15</f>
        <v>279.54999999999995</v>
      </c>
      <c r="I290" s="3">
        <f>VLOOKUP($E290,Water!$C$2:$F$90, 4, FALSE)</f>
        <v>8.98</v>
      </c>
      <c r="J290">
        <f>10^(I290*-1)</f>
        <v>1.0471285480508964E-9</v>
      </c>
      <c r="K290" s="25">
        <f>VLOOKUP($E290,Atm!$D$2:$G$100, 2, FALSE)</f>
        <v>427.92718106246252</v>
      </c>
      <c r="L290" s="25">
        <f>VLOOKUP($E290,Atm!$D$2:$G$100, 3, FALSE)</f>
        <v>2.02049727104994</v>
      </c>
      <c r="M290" s="25">
        <f>VLOOKUP($E290,Atm!$D$2:$G$100, 4, FALSE)</f>
        <v>0.30153296619833742</v>
      </c>
      <c r="N290" s="21" t="e">
        <f>VLOOKUP($C290,Raw!$B$2:$F$353, 3, FALSE)</f>
        <v>#N/A</v>
      </c>
      <c r="O290" s="21" t="e">
        <f>VLOOKUP($C290,Raw!$B$2:$F$353, 4, FALSE)</f>
        <v>#N/A</v>
      </c>
      <c r="P290" s="21" t="e">
        <f>VLOOKUP($C290,Raw!$B$2:$F$353, 5, FALSE)</f>
        <v>#N/A</v>
      </c>
      <c r="Q290" s="14">
        <v>60</v>
      </c>
      <c r="R290" s="25">
        <v>1140</v>
      </c>
      <c r="S290">
        <f>EXP(24.4543-(100/H290*(67.4509))-(4.8489*LN(H290/100))-(0.000544*G290))</f>
        <v>9.4685347194464753E-3</v>
      </c>
      <c r="T290" s="8">
        <f>EXP(-58.0931+90.5069*(100/H290)+22.294*LN(H290/100)+G290*(0.027766-0.025888*(H290/100)+0.0050578*(H290/100)^2)*G290)</f>
        <v>5.9906615116354298E-2</v>
      </c>
      <c r="U290" s="9">
        <f>(EXP(-67.1962+99.1624*(100/H290)+27.9015*LN(H290/100)+G290*(-0.072909+0.041674*(H290/100)-0.0064603*(H290/100)^2)*G290))</f>
        <v>4.674287080527334E-2</v>
      </c>
      <c r="V290" s="9">
        <f>(EXP(-64.8539+100.252*(100/H290)+25.2049*LN(H290/100)+(-0.062544+0.035337*(H290/100)-0.0054699*(H290/100)^2)*G290))</f>
        <v>4.5378798581746808E-2</v>
      </c>
      <c r="W290" s="9">
        <f>(EXP(-68.8862+101.4956*(100/H290)+28.7314*LN(H290/100)+G290*(-0.076146+0.04397*(H290/100)-0.0068672*(H290/100)^2)))</f>
        <v>4.7096036391824726E-2</v>
      </c>
      <c r="X290" t="e">
        <f>N290*(AZ290-S290)</f>
        <v>#N/A</v>
      </c>
      <c r="Y290" t="e">
        <f>O290*(AZ290-S290)</f>
        <v>#N/A</v>
      </c>
      <c r="Z290" t="e">
        <f>((Y290/10^6)*AZ290)/(0.082056*H290)</f>
        <v>#N/A</v>
      </c>
      <c r="AA290">
        <f>(((L290/10^6)*AZ290)/(0.082056*H290))</f>
        <v>8.2275780902592642E-8</v>
      </c>
      <c r="AB290" t="e">
        <f>((Y290/10^6)*U290*1)/(0.082056*H290)</f>
        <v>#N/A</v>
      </c>
      <c r="AC290" t="e">
        <f>(Z290*(Q290/1000))+(AB290*(R290/1000))</f>
        <v>#N/A</v>
      </c>
      <c r="AD290" s="39" t="e">
        <f>((AC290-(AA290*(Q290/1000)))/(R290/1000))*1000000</f>
        <v>#N/A</v>
      </c>
      <c r="AE290" s="39" t="e">
        <f>(AD290/((U290*AZ290*1))*(0.0821*273.15))</f>
        <v>#N/A</v>
      </c>
      <c r="AF290" s="39">
        <f>L290*U290*AZ290*1/(0.0821*273.15)</f>
        <v>3.9338053990649186E-3</v>
      </c>
      <c r="AG290" s="39" t="e">
        <f>AD290-AF290</f>
        <v>#N/A</v>
      </c>
      <c r="AH290" s="42" t="e">
        <f>P290*(AZ290-S290)</f>
        <v>#N/A</v>
      </c>
      <c r="AI290" t="e">
        <f>(((X290/10^6)*(Q290/1000))/(0.082056*H290))</f>
        <v>#N/A</v>
      </c>
      <c r="AJ290">
        <f>(((K290/10^6)*AZ290)*(Q290/1000))/(0.082056*H290)</f>
        <v>1.0455260740757228E-6</v>
      </c>
      <c r="AK290" t="e">
        <f>(X290/10^6)*T290*(R290/1000)</f>
        <v>#N/A</v>
      </c>
      <c r="AL290" t="e">
        <f>AI290+AK290</f>
        <v>#N/A</v>
      </c>
      <c r="AM290" s="39" t="e">
        <f>((AL290-AJ290)/(R290/1000))*1000000</f>
        <v>#N/A</v>
      </c>
      <c r="AN290" s="39" t="e">
        <f>AM290/(T290*AZ290)</f>
        <v>#N/A</v>
      </c>
      <c r="AO290" s="39">
        <f>(K290*AZ290)*T290</f>
        <v>23.945738652708894</v>
      </c>
      <c r="AP290" s="39" t="e">
        <f>AM290-AO290</f>
        <v>#N/A</v>
      </c>
      <c r="AQ290" t="e">
        <f>(((AH290/10^6)*(Q290/1000))/(0.082056*H290))</f>
        <v>#N/A</v>
      </c>
      <c r="AR290">
        <f>(((M290/10^6)*AZ290)*(Q290/1000))/(0.082056*H290)</f>
        <v>7.3671547942110793E-10</v>
      </c>
      <c r="AS290" t="e">
        <f>(AH290/10^6)*V290*(R290/1000)</f>
        <v>#N/A</v>
      </c>
      <c r="AT290" t="e">
        <f>AQ290+AS290</f>
        <v>#N/A</v>
      </c>
      <c r="AU290" s="39" t="e">
        <f>((AT290-AR290)/(R290/1000))*1000000000</f>
        <v>#N/A</v>
      </c>
      <c r="AV290" s="39" t="e">
        <f>(AU290/1000)/(V290*AZ290)</f>
        <v>#N/A</v>
      </c>
      <c r="AW290" s="39">
        <f>(M290*AZ290)*V290*1000</f>
        <v>12.781192545032287</v>
      </c>
      <c r="AX290" s="39" t="e">
        <f>AU290-AW290</f>
        <v>#N/A</v>
      </c>
      <c r="AY290" s="26">
        <f>VLOOKUP($E290,Water!$C$2:$G$90, 5, FALSE)</f>
        <v>709.9</v>
      </c>
      <c r="AZ290">
        <f>AY290/760</f>
        <v>0.93407894736842101</v>
      </c>
      <c r="BA290" s="3">
        <f>Assumptions!$B$3</f>
        <v>406.07</v>
      </c>
      <c r="BB290" s="3">
        <f>BA290*AZ290*T290</f>
        <v>22.722665268804661</v>
      </c>
      <c r="BC290" s="3">
        <f>Assumptions!$B$4</f>
        <v>1.8474300000000001</v>
      </c>
      <c r="BD290" s="45">
        <f>BC290*AZ290*U290*1/(0.0821*273.15)</f>
        <v>3.5968522266887413E-3</v>
      </c>
      <c r="BE290" s="3">
        <f>Assumptions!$B$2</f>
        <v>0.33054499999999998</v>
      </c>
      <c r="BF290" s="44">
        <f>BE290*AZ290*V290*1000</f>
        <v>14.010936658311531</v>
      </c>
      <c r="BG290">
        <f>1923.6+(-125.06*F290)+(4.3773*(F290^2))+(-0.085681*(F290^3))+(0.00070284*(F290^4))</f>
        <v>1281.2286177853439</v>
      </c>
      <c r="BH290">
        <f>1909.4+(-120.78*F290)+(4.1555*(F290^2))+(-0.080578*(F290^3))+(0.00065777*(F290^4))</f>
        <v>1286.5977957048319</v>
      </c>
      <c r="BI290">
        <f>2141.2+(-152.56*F290)+(5.8963*(F290^2))+(-0.12411*(F290^3))+(0.0010655*(F290^4))</f>
        <v>1375.5813685247997</v>
      </c>
      <c r="BJ290" s="25">
        <f>VLOOKUP(E290,Wind!$C$2:$E$109,3, FALSE)</f>
        <v>3.7222222222222223</v>
      </c>
      <c r="BK290" s="44">
        <v>1.66</v>
      </c>
      <c r="BL290">
        <f>BK290/(1-(((1.3*10^-3)^0.5)/0.41)*LN(10/1.5))</f>
        <v>1.9923982880693825</v>
      </c>
      <c r="BM290">
        <f>BK290*1.22</f>
        <v>2.0251999999999999</v>
      </c>
      <c r="BN290">
        <f>2.07+0.215*(BM290^1.7)*(24/100)</f>
        <v>2.241255750541113</v>
      </c>
      <c r="BO290">
        <f>BN290*((600/BG290)^0.67)</f>
        <v>1.3481645778025992</v>
      </c>
      <c r="BP290">
        <f>BN290*((600/BH290)^0.67)</f>
        <v>1.3443924864549108</v>
      </c>
      <c r="BQ290">
        <f>BN290*((600/BI290)^0.67)</f>
        <v>1.2854847939829288</v>
      </c>
      <c r="BR290" s="39" t="e">
        <f>BO290*(AM290-BB290)</f>
        <v>#N/A</v>
      </c>
      <c r="BS290" s="39" t="e">
        <f>BP290*(AD290-BD290)</f>
        <v>#N/A</v>
      </c>
      <c r="BT290" s="39" t="e">
        <f>BQ290*(AU290-BF290)</f>
        <v>#N/A</v>
      </c>
      <c r="BU290">
        <f>(2.51+1.48*BM290)+(0.39*BM290*LOG10(0.0015))</f>
        <v>3.2768938069574309</v>
      </c>
      <c r="BV290">
        <f>BU290*((600/$BG290)^0.67)</f>
        <v>1.9711236233054243</v>
      </c>
      <c r="BW290">
        <f>BU290*((600/$BH290)^0.67)</f>
        <v>1.9656085263453682</v>
      </c>
      <c r="BX290">
        <f>BU290*((600/$BI290)^0.67)</f>
        <v>1.8794808041534736</v>
      </c>
      <c r="BY290" s="39" t="e">
        <f>BV290*($AM290-$BB290)</f>
        <v>#N/A</v>
      </c>
      <c r="BZ290" s="39" t="e">
        <f>BW290*($AD290-$BD290)</f>
        <v>#N/A</v>
      </c>
      <c r="CA290" s="39" t="e">
        <f>BX290*($AU290-$BF290)</f>
        <v>#N/A</v>
      </c>
      <c r="CB290" s="42">
        <f>AVERAGE(0.72,0.69,0.4,0.22)</f>
        <v>0.50750000000000006</v>
      </c>
      <c r="CC290">
        <f>CB290*((600/$BG290)^0.67)</f>
        <v>0.30527240055920984</v>
      </c>
      <c r="CD290">
        <f>CB290*((600/$BH290)^0.67)</f>
        <v>0.30441826494416918</v>
      </c>
      <c r="CE290">
        <f>CB290*((600/$BI290)^0.67)</f>
        <v>0.29107946863664691</v>
      </c>
      <c r="CF290" s="39" t="e">
        <f>CC290*($AM290-$BB290)</f>
        <v>#N/A</v>
      </c>
      <c r="CG290" s="39" t="e">
        <f>CD290*($AD290-$BD290)</f>
        <v>#N/A</v>
      </c>
      <c r="CH290" s="39" t="e">
        <f>CE290*($AU290-$BF290)</f>
        <v>#N/A</v>
      </c>
      <c r="CI290">
        <v>113.862639018895</v>
      </c>
      <c r="CJ290">
        <f>((BG290/BH290)^0.67)*CI290</f>
        <v>113.54405753222801</v>
      </c>
      <c r="CK290">
        <f>((BH290/BH290)^0.67)*CI290</f>
        <v>113.862639018895</v>
      </c>
      <c r="CL290">
        <f>((BI290/BH290)^0.67)*CI290</f>
        <v>119.08042561175797</v>
      </c>
      <c r="CM290" s="39" t="e">
        <f>CJ290*($AM290-$BB290)</f>
        <v>#N/A</v>
      </c>
      <c r="CN290" s="39" t="e">
        <f>CK290*($AD290-$BD290)</f>
        <v>#N/A</v>
      </c>
      <c r="CO290" s="39" t="e">
        <f>CL290*($AU290-$BF290)</f>
        <v>#N/A</v>
      </c>
      <c r="CP290" s="27">
        <f>VLOOKUP(A290,Water!$A$2:$E$109, 5, FALSE)/1000</f>
        <v>7.9000000000000001E-4</v>
      </c>
      <c r="CQ290">
        <f>0.64*CP290</f>
        <v>5.0560000000000004E-4</v>
      </c>
      <c r="CR290" s="19">
        <f>CQ290*1000*(2.5*10^-5)</f>
        <v>1.2640000000000003E-5</v>
      </c>
      <c r="CS290" s="18">
        <f>(-0.0000009*F290^3)+(0.0002*F290^2)-(0.0134*F290)+6.579</f>
        <v>6.5011960703999998</v>
      </c>
      <c r="CT290" s="18">
        <f>CS290-(SQRT(CP290))/(1+1.4*SQRT(CP290))</f>
        <v>6.4741532586651989</v>
      </c>
      <c r="CU290" s="18">
        <f>10^(-CT290)</f>
        <v>3.3561915632355954E-7</v>
      </c>
      <c r="CV290" s="18">
        <f>(0.000001*F290^3)+(0.00006*F290^2)-(0.014*F290)+10.625</f>
        <v>10.538119743999999</v>
      </c>
      <c r="CW290" s="18">
        <f>CV290-(2*SQRT(CR290))/(1+1.4*SQRT(CR290))</f>
        <v>10.531044405178873</v>
      </c>
      <c r="CX290" s="18">
        <f>10^(-CW290)</f>
        <v>2.9441205917852198E-11</v>
      </c>
      <c r="CY290">
        <f>EXP(1246.98+-61900/H290-183*LN(H290))</f>
        <v>4.8954576567226118E-3</v>
      </c>
      <c r="CZ290">
        <f>12.225*(F290^2)+15.258*F290+1125.7</f>
        <v>1724.0872000000002</v>
      </c>
      <c r="DA290" s="15">
        <f>10^(-4470.99/H290+6.0875-0.01706*H290)</f>
        <v>2.1127674213153213E-15</v>
      </c>
      <c r="DB290">
        <f>(10^-I290)</f>
        <v>1.0471285480508964E-9</v>
      </c>
      <c r="DC290">
        <f>DB290^2</f>
        <v>1.0964781961431784E-18</v>
      </c>
      <c r="DD290" s="20">
        <f>((14.6836*10^-9)*((H290/217.2056)-1)^1.997)*100*100</f>
        <v>1.2142598333730381E-5</v>
      </c>
      <c r="DE290">
        <f>CY290+CZ290*DA290/DB290</f>
        <v>8.3741091312211392E-3</v>
      </c>
      <c r="DF290">
        <f>1+DC290*(CU290*CX290+CU290*DB290)^-1</f>
        <v>1.003034667296298</v>
      </c>
      <c r="DG290">
        <f>(DE290*DF290/DD290)^0.5</f>
        <v>26.300951797775426</v>
      </c>
      <c r="DH290">
        <f>DD290/(BO290/60/60)</f>
        <v>3.2424345455418099E-2</v>
      </c>
      <c r="DI290" s="16">
        <f>DF290/((DF290-1)+TANH(DG290*DH290)/(DG290*DH290))</f>
        <v>1.2305616282313119</v>
      </c>
      <c r="DJ290" t="e">
        <f>$DI290*BR290</f>
        <v>#N/A</v>
      </c>
      <c r="DK290" t="e">
        <f>$DI290*BY290</f>
        <v>#N/A</v>
      </c>
      <c r="DL290" t="e">
        <f>$DI290*CF290</f>
        <v>#N/A</v>
      </c>
      <c r="DM290" t="e">
        <f>$DI290*CM290</f>
        <v>#N/A</v>
      </c>
    </row>
    <row r="291" spans="1:117" ht="15.75" x14ac:dyDescent="0.25">
      <c r="A291" s="52" t="s">
        <v>325</v>
      </c>
      <c r="B291" t="s">
        <v>340</v>
      </c>
      <c r="C291" s="69" t="s">
        <v>514</v>
      </c>
      <c r="D291" s="65">
        <v>43370</v>
      </c>
      <c r="E291" s="42" t="str">
        <f>A291&amp;D291</f>
        <v>32C43370</v>
      </c>
      <c r="F291" s="3">
        <f>VLOOKUP($E291,Water!$C$2:$E$90, 2, FALSE)</f>
        <v>6.4</v>
      </c>
      <c r="G291" s="3">
        <f>VLOOKUP($E291,Water!$C$2:$E$90, 3, FALSE)</f>
        <v>1.79</v>
      </c>
      <c r="H291" s="1">
        <f>F291+273.15</f>
        <v>279.54999999999995</v>
      </c>
      <c r="I291" s="3">
        <f>VLOOKUP($E291,Water!$C$2:$F$90, 4, FALSE)</f>
        <v>8.98</v>
      </c>
      <c r="J291">
        <f>10^(I291*-1)</f>
        <v>1.0471285480508964E-9</v>
      </c>
      <c r="K291" s="25">
        <f>VLOOKUP($E291,Atm!$D$2:$G$100, 2, FALSE)</f>
        <v>427.92718106246252</v>
      </c>
      <c r="L291" s="25">
        <f>VLOOKUP($E291,Atm!$D$2:$G$100, 3, FALSE)</f>
        <v>2.02049727104994</v>
      </c>
      <c r="M291" s="25">
        <f>VLOOKUP($E291,Atm!$D$2:$G$100, 4, FALSE)</f>
        <v>0.30153296619833742</v>
      </c>
      <c r="N291" s="21">
        <f>VLOOKUP($C291,Raw!$B$2:$F$353, 3, FALSE)</f>
        <v>129.19164716100181</v>
      </c>
      <c r="O291" s="21">
        <f>VLOOKUP($C291,Raw!$B$2:$F$353, 4, FALSE)</f>
        <v>35.872926236086471</v>
      </c>
      <c r="P291" s="21">
        <f>VLOOKUP($C291,Raw!$B$2:$F$353, 5, FALSE)</f>
        <v>0.28698633110926097</v>
      </c>
      <c r="Q291" s="14">
        <v>60</v>
      </c>
      <c r="R291" s="25">
        <v>1140</v>
      </c>
      <c r="S291">
        <f>EXP(24.4543-(100/H291*(67.4509))-(4.8489*LN(H291/100))-(0.000544*G291))</f>
        <v>9.4685347194464753E-3</v>
      </c>
      <c r="T291" s="8">
        <f>EXP(-58.0931+90.5069*(100/H291)+22.294*LN(H291/100)+G291*(0.027766-0.025888*(H291/100)+0.0050578*(H291/100)^2)*G291)</f>
        <v>5.9906615116354298E-2</v>
      </c>
      <c r="U291" s="9">
        <f>(EXP(-67.1962+99.1624*(100/H291)+27.9015*LN(H291/100)+G291*(-0.072909+0.041674*(H291/100)-0.0064603*(H291/100)^2)*G291))</f>
        <v>4.674287080527334E-2</v>
      </c>
      <c r="V291" s="9">
        <f>(EXP(-64.8539+100.252*(100/H291)+25.2049*LN(H291/100)+(-0.062544+0.035337*(H291/100)-0.0054699*(H291/100)^2)*G291))</f>
        <v>4.5378798581746808E-2</v>
      </c>
      <c r="W291" s="9">
        <f>(EXP(-68.8862+101.4956*(100/H291)+28.7314*LN(H291/100)+G291*(-0.076146+0.04397*(H291/100)-0.0068672*(H291/100)^2)))</f>
        <v>4.7096036391824726E-2</v>
      </c>
      <c r="X291">
        <f>N291*(AZ291-S291)</f>
        <v>119.4519421923346</v>
      </c>
      <c r="Y291">
        <f>O291*(AZ291-S291)</f>
        <v>33.168481130074134</v>
      </c>
      <c r="Z291">
        <f>((Y291/10^6)*AZ291)/(0.082056*H291)</f>
        <v>1.3506391349450661E-6</v>
      </c>
      <c r="AA291">
        <f>(((L291/10^6)*AZ291)/(0.082056*H291))</f>
        <v>8.2275780902592642E-8</v>
      </c>
      <c r="AB291">
        <f>((Y291/10^6)*U291*1)/(0.082056*H291)</f>
        <v>6.7588238410840069E-8</v>
      </c>
      <c r="AC291">
        <f>(Z291*(Q291/1000))+(AB291*(R291/1000))</f>
        <v>1.5808893988506163E-7</v>
      </c>
      <c r="AD291" s="39">
        <f>((AC291-(AA291*(Q291/1000)))/(R291/1000))*1000000</f>
        <v>0.13434420441307551</v>
      </c>
      <c r="AE291" s="39">
        <f>(AD291/((U291*AZ291*1))*(0.0821*273.15))</f>
        <v>69.002421538827846</v>
      </c>
      <c r="AF291" s="39">
        <f>L291*U291*AZ291*1/(0.0821*273.15)</f>
        <v>3.9338053990649186E-3</v>
      </c>
      <c r="AG291" s="39">
        <f>AD291-AF291</f>
        <v>0.13041039901401058</v>
      </c>
      <c r="AH291" s="42">
        <f>P291*(AZ291-S291)</f>
        <v>0.265350550031549</v>
      </c>
      <c r="AI291">
        <f>(((X291/10^6)*(Q291/1000))/(0.082056*H291))</f>
        <v>3.1244575366140088E-7</v>
      </c>
      <c r="AJ291">
        <f>(((K291/10^6)*AZ291)*(Q291/1000))/(0.082056*H291)</f>
        <v>1.0455260740757228E-6</v>
      </c>
      <c r="AK291">
        <f>(X291/10^6)*T291*(R291/1000)</f>
        <v>8.1577961394315986E-6</v>
      </c>
      <c r="AL291">
        <f>AI291+AK291</f>
        <v>8.4702418930929992E-6</v>
      </c>
      <c r="AM291" s="39">
        <f>((AL291-AJ291)/(R291/1000))*1000000</f>
        <v>6.5129086131730505</v>
      </c>
      <c r="AN291" s="39">
        <f>AM291/(T291*AZ291)</f>
        <v>116.390254807917</v>
      </c>
      <c r="AO291" s="39">
        <f>(K291*AZ291)*T291</f>
        <v>23.945738652708894</v>
      </c>
      <c r="AP291" s="39">
        <f>AM291-AO291</f>
        <v>-17.432830039535844</v>
      </c>
      <c r="AQ291">
        <f>(((AH291/10^6)*(Q291/1000))/(0.082056*H291))</f>
        <v>6.9406701195014052E-10</v>
      </c>
      <c r="AR291">
        <f>(((M291/10^6)*AZ291)*(Q291/1000))/(0.082056*H291)</f>
        <v>7.3671547942110793E-10</v>
      </c>
      <c r="AS291">
        <f>(AH291/10^6)*V291*(R291/1000)</f>
        <v>1.3727069646318625E-8</v>
      </c>
      <c r="AT291">
        <f>AQ291+AS291</f>
        <v>1.4421136658268766E-8</v>
      </c>
      <c r="AU291" s="39">
        <f>((AT291-AR291)/(R291/1000))*1000000000</f>
        <v>12.003878227059349</v>
      </c>
      <c r="AV291" s="39">
        <f>(AU291/1000)/(V291*AZ291)</f>
        <v>0.28319462326664308</v>
      </c>
      <c r="AW291" s="39">
        <f>(M291*AZ291)*V291*1000</f>
        <v>12.781192545032287</v>
      </c>
      <c r="AX291" s="39">
        <f>AU291-AW291</f>
        <v>-0.77731431797293737</v>
      </c>
      <c r="AY291" s="26">
        <f>VLOOKUP($E291,Water!$C$2:$G$90, 5, FALSE)</f>
        <v>709.9</v>
      </c>
      <c r="AZ291">
        <f>AY291/760</f>
        <v>0.93407894736842101</v>
      </c>
      <c r="BA291" s="3">
        <f>Assumptions!$B$3</f>
        <v>406.07</v>
      </c>
      <c r="BB291" s="3">
        <f>BA291*AZ291*T291</f>
        <v>22.722665268804661</v>
      </c>
      <c r="BC291" s="3">
        <f>Assumptions!$B$4</f>
        <v>1.8474300000000001</v>
      </c>
      <c r="BD291" s="45">
        <f>BC291*AZ291*U291*1/(0.0821*273.15)</f>
        <v>3.5968522266887413E-3</v>
      </c>
      <c r="BE291" s="3">
        <f>Assumptions!$B$2</f>
        <v>0.33054499999999998</v>
      </c>
      <c r="BF291" s="44">
        <f>BE291*AZ291*V291*1000</f>
        <v>14.010936658311531</v>
      </c>
      <c r="BG291">
        <f>1923.6+(-125.06*F291)+(4.3773*(F291^2))+(-0.085681*(F291^3))+(0.00070284*(F291^4))</f>
        <v>1281.2286177853439</v>
      </c>
      <c r="BH291">
        <f>1909.4+(-120.78*F291)+(4.1555*(F291^2))+(-0.080578*(F291^3))+(0.00065777*(F291^4))</f>
        <v>1286.5977957048319</v>
      </c>
      <c r="BI291">
        <f>2141.2+(-152.56*F291)+(5.8963*(F291^2))+(-0.12411*(F291^3))+(0.0010655*(F291^4))</f>
        <v>1375.5813685247997</v>
      </c>
      <c r="BJ291" s="25">
        <f>VLOOKUP(E291,Wind!$C$2:$E$109,3, FALSE)</f>
        <v>3.7222222222222223</v>
      </c>
      <c r="BK291" s="44">
        <v>1.66</v>
      </c>
      <c r="BL291">
        <f>BK291/(1-(((1.3*10^-3)^0.5)/0.41)*LN(10/1.5))</f>
        <v>1.9923982880693825</v>
      </c>
      <c r="BM291">
        <f>BK291*1.22</f>
        <v>2.0251999999999999</v>
      </c>
      <c r="BN291">
        <f>2.07+0.215*(BM291^1.7)*(24/100)</f>
        <v>2.241255750541113</v>
      </c>
      <c r="BO291">
        <f>BN291*((600/BG291)^0.67)</f>
        <v>1.3481645778025992</v>
      </c>
      <c r="BP291">
        <f>BN291*((600/BH291)^0.67)</f>
        <v>1.3443924864549108</v>
      </c>
      <c r="BQ291">
        <f>BN291*((600/BI291)^0.67)</f>
        <v>1.2854847939829288</v>
      </c>
      <c r="BR291" s="39">
        <f>BO291*(AM291-BB291)</f>
        <v>-21.853419737922465</v>
      </c>
      <c r="BS291" s="39">
        <f>BP291*(AD291-BD291)</f>
        <v>0.17577575790325245</v>
      </c>
      <c r="BT291" s="39">
        <f>BQ291*(AU291-BF291)</f>
        <v>-2.5800430940099104</v>
      </c>
      <c r="BU291">
        <f>(2.51+1.48*BM291)+(0.39*BM291*LOG10(0.0015))</f>
        <v>3.2768938069574309</v>
      </c>
      <c r="BV291">
        <f>BU291*((600/$BG291)^0.67)</f>
        <v>1.9711236233054243</v>
      </c>
      <c r="BW291">
        <f>BU291*((600/$BH291)^0.67)</f>
        <v>1.9656085263453682</v>
      </c>
      <c r="BX291">
        <f>BU291*((600/$BI291)^0.67)</f>
        <v>1.8794808041534736</v>
      </c>
      <c r="BY291" s="39">
        <f>BV291*($AM291-$BB291)</f>
        <v>-31.9514342719478</v>
      </c>
      <c r="BZ291" s="39">
        <f>BW291*($AD291-$BD291)</f>
        <v>0.25699811025464259</v>
      </c>
      <c r="CA291" s="39">
        <f>BX291*($AU291-$BF291)</f>
        <v>-3.772227794352859</v>
      </c>
      <c r="CB291" s="42">
        <f>AVERAGE(0.72,0.69,0.4,0.22)</f>
        <v>0.50750000000000006</v>
      </c>
      <c r="CC291">
        <f>CB291*((600/$BG291)^0.67)</f>
        <v>0.30527240055920984</v>
      </c>
      <c r="CD291">
        <f>CB291*((600/$BH291)^0.67)</f>
        <v>0.30441826494416918</v>
      </c>
      <c r="CE291">
        <f>CB291*((600/$BI291)^0.67)</f>
        <v>0.29107946863664691</v>
      </c>
      <c r="CF291" s="39">
        <f>CC291*($AM291-$BB291)</f>
        <v>-4.9483913267452913</v>
      </c>
      <c r="CG291" s="39">
        <f>CD291*($AD291-$BD291)</f>
        <v>3.9801882098624085E-2</v>
      </c>
      <c r="CH291" s="39">
        <f>CE291*($AU291-$BF291)</f>
        <v>-0.58421350169158703</v>
      </c>
      <c r="CI291">
        <v>114.862639018895</v>
      </c>
      <c r="CJ291">
        <f>((BG291/BH291)^0.67)*CI291</f>
        <v>114.54125958648029</v>
      </c>
      <c r="CK291">
        <f>((BH291/BH291)^0.67)*CI291</f>
        <v>114.862639018895</v>
      </c>
      <c r="CL291">
        <f>((BI291/BH291)^0.67)*CI291</f>
        <v>120.12625088541949</v>
      </c>
      <c r="CM291" s="39">
        <f>CJ291*($AM291-$BB291)</f>
        <v>-1856.685944926377</v>
      </c>
      <c r="CN291" s="39">
        <f>CK291*($AD291-$BD291)</f>
        <v>15.017985916861276</v>
      </c>
      <c r="CO291" s="39">
        <f>CL291*($AU291-$BF291)</f>
        <v>-241.100404654296</v>
      </c>
      <c r="CP291" s="27">
        <f>VLOOKUP(A291,Water!$A$2:$E$109, 5, FALSE)/1000</f>
        <v>7.9000000000000001E-4</v>
      </c>
      <c r="CQ291">
        <f>0.64*CP291</f>
        <v>5.0560000000000004E-4</v>
      </c>
      <c r="CR291" s="19">
        <f>CQ291*1000*(2.5*10^-5)</f>
        <v>1.2640000000000003E-5</v>
      </c>
      <c r="CS291" s="18">
        <f>(-0.0000009*F291^3)+(0.0002*F291^2)-(0.0134*F291)+6.579</f>
        <v>6.5011960703999998</v>
      </c>
      <c r="CT291" s="18">
        <f>CS291-(SQRT(CP291))/(1+1.4*SQRT(CP291))</f>
        <v>6.4741532586651989</v>
      </c>
      <c r="CU291" s="18">
        <f>10^(-CT291)</f>
        <v>3.3561915632355954E-7</v>
      </c>
      <c r="CV291" s="18">
        <f>(0.000001*F291^3)+(0.00006*F291^2)-(0.014*F291)+10.625</f>
        <v>10.538119743999999</v>
      </c>
      <c r="CW291" s="18">
        <f>CV291-(2*SQRT(CR291))/(1+1.4*SQRT(CR291))</f>
        <v>10.531044405178873</v>
      </c>
      <c r="CX291" s="18">
        <f>10^(-CW291)</f>
        <v>2.9441205917852198E-11</v>
      </c>
      <c r="CY291">
        <f>EXP(1246.98+-61900/H291-183*LN(H291))</f>
        <v>4.8954576567226118E-3</v>
      </c>
      <c r="CZ291">
        <f>12.225*(F291^2)+15.258*F291+1125.7</f>
        <v>1724.0872000000002</v>
      </c>
      <c r="DA291" s="15">
        <f>10^(-4470.99/H291+6.0875-0.01706*H291)</f>
        <v>2.1127674213153213E-15</v>
      </c>
      <c r="DB291">
        <f>(10^-I291)</f>
        <v>1.0471285480508964E-9</v>
      </c>
      <c r="DC291">
        <f>DB291^2</f>
        <v>1.0964781961431784E-18</v>
      </c>
      <c r="DD291" s="20">
        <f>((14.6836*10^-9)*((H291/217.2056)-1)^1.997)*100*100</f>
        <v>1.2142598333730381E-5</v>
      </c>
      <c r="DE291">
        <f>CY291+CZ291*DA291/DB291</f>
        <v>8.3741091312211392E-3</v>
      </c>
      <c r="DF291">
        <f>1+DC291*(CU291*CX291+CU291*DB291)^-1</f>
        <v>1.003034667296298</v>
      </c>
      <c r="DG291">
        <f>(DE291*DF291/DD291)^0.5</f>
        <v>26.300951797775426</v>
      </c>
      <c r="DH291">
        <f>DD291/(BO291/60/60)</f>
        <v>3.2424345455418099E-2</v>
      </c>
      <c r="DI291" s="16">
        <f>DF291/((DF291-1)+TANH(DG291*DH291)/(DG291*DH291))</f>
        <v>1.2305616282313119</v>
      </c>
      <c r="DJ291">
        <f>$DI291*BR291</f>
        <v>-26.891979775120159</v>
      </c>
      <c r="DK291">
        <f>$DI291*BY291</f>
        <v>-39.318208982013829</v>
      </c>
      <c r="DL291">
        <f>$DI291*CF291</f>
        <v>-6.0893004881653869</v>
      </c>
      <c r="DM291">
        <f>$DI291*CM291</f>
        <v>-2284.7664795027945</v>
      </c>
    </row>
    <row r="292" spans="1:117" ht="15.75" x14ac:dyDescent="0.25">
      <c r="A292" s="52" t="s">
        <v>325</v>
      </c>
      <c r="B292" t="s">
        <v>341</v>
      </c>
      <c r="C292" s="68" t="s">
        <v>515</v>
      </c>
      <c r="D292" s="65">
        <v>43370</v>
      </c>
      <c r="E292" s="42" t="str">
        <f>A292&amp;D292</f>
        <v>32C43370</v>
      </c>
      <c r="F292" s="3">
        <f>VLOOKUP($E292,Water!$C$2:$E$90, 2, FALSE)</f>
        <v>6.4</v>
      </c>
      <c r="G292" s="3">
        <f>VLOOKUP($E292,Water!$C$2:$E$90, 3, FALSE)</f>
        <v>1.79</v>
      </c>
      <c r="H292" s="1">
        <f>F292+273.15</f>
        <v>279.54999999999995</v>
      </c>
      <c r="I292" s="3">
        <f>VLOOKUP($E292,Water!$C$2:$F$90, 4, FALSE)</f>
        <v>8.98</v>
      </c>
      <c r="J292">
        <f>10^(I292*-1)</f>
        <v>1.0471285480508964E-9</v>
      </c>
      <c r="K292" s="25">
        <f>VLOOKUP($E292,Atm!$D$2:$G$100, 2, FALSE)</f>
        <v>427.92718106246252</v>
      </c>
      <c r="L292" s="25">
        <f>VLOOKUP($E292,Atm!$D$2:$G$100, 3, FALSE)</f>
        <v>2.02049727104994</v>
      </c>
      <c r="M292" s="25">
        <f>VLOOKUP($E292,Atm!$D$2:$G$100, 4, FALSE)</f>
        <v>0.30153296619833742</v>
      </c>
      <c r="N292" s="21">
        <f>VLOOKUP($C292,Raw!$B$2:$F$353, 3, FALSE)</f>
        <v>279.83145556624112</v>
      </c>
      <c r="O292" s="21">
        <f>VLOOKUP($C292,Raw!$B$2:$F$353, 4, FALSE)</f>
        <v>18.35891353664902</v>
      </c>
      <c r="P292" s="21">
        <f>VLOOKUP($C292,Raw!$B$2:$F$353, 5, FALSE)</f>
        <v>0.28771100599190774</v>
      </c>
      <c r="Q292" s="14">
        <v>60</v>
      </c>
      <c r="R292" s="25">
        <v>1140</v>
      </c>
      <c r="S292">
        <f>EXP(24.4543-(100/H292*(67.4509))-(4.8489*LN(H292/100))-(0.000544*G292))</f>
        <v>9.4685347194464753E-3</v>
      </c>
      <c r="T292" s="8">
        <f>EXP(-58.0931+90.5069*(100/H292)+22.294*LN(H292/100)+G292*(0.027766-0.025888*(H292/100)+0.0050578*(H292/100)^2)*G292)</f>
        <v>5.9906615116354298E-2</v>
      </c>
      <c r="U292" s="9">
        <f>(EXP(-67.1962+99.1624*(100/H292)+27.9015*LN(H292/100)+G292*(-0.072909+0.041674*(H292/100)-0.0064603*(H292/100)^2)*G292))</f>
        <v>4.674287080527334E-2</v>
      </c>
      <c r="V292" s="9">
        <f>(EXP(-64.8539+100.252*(100/H292)+25.2049*LN(H292/100)+(-0.062544+0.035337*(H292/100)-0.0054699*(H292/100)^2)*G292))</f>
        <v>4.5378798581746808E-2</v>
      </c>
      <c r="W292" s="9">
        <f>(EXP(-68.8862+101.4956*(100/H292)+28.7314*LN(H292/100)+G292*(-0.076146+0.04397*(H292/100)-0.0068672*(H292/100)^2)))</f>
        <v>4.7096036391824726E-2</v>
      </c>
      <c r="X292">
        <f>N292*(AZ292-S292)</f>
        <v>258.73507760326538</v>
      </c>
      <c r="Y292">
        <f>O292*(AZ292-S292)</f>
        <v>16.974842620907893</v>
      </c>
      <c r="Z292">
        <f>((Y292/10^6)*AZ292)/(0.082056*H292)</f>
        <v>6.9122510203048402E-7</v>
      </c>
      <c r="AA292">
        <f>(((L292/10^6)*AZ292)/(0.082056*H292))</f>
        <v>8.2275780902592642E-8</v>
      </c>
      <c r="AB292">
        <f>((Y292/10^6)*U292*1)/(0.082056*H292)</f>
        <v>3.4590058723193871E-8</v>
      </c>
      <c r="AC292">
        <f>(Z292*(Q292/1000))+(AB292*(R292/1000))</f>
        <v>8.0906173066270047E-8</v>
      </c>
      <c r="AD292" s="39">
        <f>((AC292-(AA292*(Q292/1000)))/(R292/1000))*1000000</f>
        <v>6.6640022993082887E-2</v>
      </c>
      <c r="AE292" s="39">
        <f>(AD292/((U292*AZ292*1))*(0.0821*273.15))</f>
        <v>34.227922060464692</v>
      </c>
      <c r="AF292" s="39">
        <f>L292*U292*AZ292*1/(0.0821*273.15)</f>
        <v>3.9338053990649186E-3</v>
      </c>
      <c r="AG292" s="39">
        <f>AD292-AF292</f>
        <v>6.2706217594017968E-2</v>
      </c>
      <c r="AH292" s="42">
        <f>P292*(AZ292-S292)</f>
        <v>0.26602059197382938</v>
      </c>
      <c r="AI292">
        <f>(((X292/10^6)*(Q292/1000))/(0.082056*H292))</f>
        <v>6.7676318054526325E-7</v>
      </c>
      <c r="AJ292">
        <f>(((K292/10^6)*AZ292)*(Q292/1000))/(0.082056*H292)</f>
        <v>1.0455260740757228E-6</v>
      </c>
      <c r="AK292">
        <f>(X292/10^6)*T292*(R292/1000)</f>
        <v>1.7669934690629924E-5</v>
      </c>
      <c r="AL292">
        <f>AI292+AK292</f>
        <v>1.8346697871175189E-5</v>
      </c>
      <c r="AM292" s="39">
        <f>((AL292-AJ292)/(R292/1000))*1000000</f>
        <v>15.176466488683744</v>
      </c>
      <c r="AN292" s="39">
        <f>AM292/(T292*AZ292)</f>
        <v>271.21412361429378</v>
      </c>
      <c r="AO292" s="39">
        <f>(K292*AZ292)*T292</f>
        <v>23.945738652708894</v>
      </c>
      <c r="AP292" s="39">
        <f>AM292-AO292</f>
        <v>-8.7692721640251499</v>
      </c>
      <c r="AQ292">
        <f>(((AH292/10^6)*(Q292/1000))/(0.082056*H292))</f>
        <v>6.9581961434235132E-10</v>
      </c>
      <c r="AR292">
        <f>(((M292/10^6)*AZ292)*(Q292/1000))/(0.082056*H292)</f>
        <v>7.3671547942110793E-10</v>
      </c>
      <c r="AS292">
        <f>(AH292/10^6)*V292*(R292/1000)</f>
        <v>1.3761732142426295E-8</v>
      </c>
      <c r="AT292">
        <f>AQ292+AS292</f>
        <v>1.4457551756768647E-8</v>
      </c>
      <c r="AU292" s="39">
        <f>((AT292-AR292)/(R292/1000))*1000000000</f>
        <v>12.035821295918895</v>
      </c>
      <c r="AV292" s="39">
        <f>(AU292/1000)/(V292*AZ292)</f>
        <v>0.28394822182708729</v>
      </c>
      <c r="AW292" s="39">
        <f>(M292*AZ292)*V292*1000</f>
        <v>12.781192545032287</v>
      </c>
      <c r="AX292" s="39">
        <f>AU292-AW292</f>
        <v>-0.7453712491133917</v>
      </c>
      <c r="AY292" s="26">
        <f>VLOOKUP($E292,Water!$C$2:$G$90, 5, FALSE)</f>
        <v>709.9</v>
      </c>
      <c r="AZ292">
        <f>AY292/760</f>
        <v>0.93407894736842101</v>
      </c>
      <c r="BA292" s="3">
        <f>Assumptions!$B$3</f>
        <v>406.07</v>
      </c>
      <c r="BB292" s="3">
        <f>BA292*AZ292*T292</f>
        <v>22.722665268804661</v>
      </c>
      <c r="BC292" s="3">
        <f>Assumptions!$B$4</f>
        <v>1.8474300000000001</v>
      </c>
      <c r="BD292" s="45">
        <f>BC292*AZ292*U292*1/(0.0821*273.15)</f>
        <v>3.5968522266887413E-3</v>
      </c>
      <c r="BE292" s="3">
        <f>Assumptions!$B$2</f>
        <v>0.33054499999999998</v>
      </c>
      <c r="BF292" s="44">
        <f>BE292*AZ292*V292*1000</f>
        <v>14.010936658311531</v>
      </c>
      <c r="BG292">
        <f>1923.6+(-125.06*F292)+(4.3773*(F292^2))+(-0.085681*(F292^3))+(0.00070284*(F292^4))</f>
        <v>1281.2286177853439</v>
      </c>
      <c r="BH292">
        <f>1909.4+(-120.78*F292)+(4.1555*(F292^2))+(-0.080578*(F292^3))+(0.00065777*(F292^4))</f>
        <v>1286.5977957048319</v>
      </c>
      <c r="BI292">
        <f>2141.2+(-152.56*F292)+(5.8963*(F292^2))+(-0.12411*(F292^3))+(0.0010655*(F292^4))</f>
        <v>1375.5813685247997</v>
      </c>
      <c r="BJ292" s="25">
        <f>VLOOKUP(E292,Wind!$C$2:$E$109,3, FALSE)</f>
        <v>3.7222222222222223</v>
      </c>
      <c r="BK292" s="44">
        <v>1.66</v>
      </c>
      <c r="BL292">
        <f>BK292/(1-(((1.3*10^-3)^0.5)/0.41)*LN(10/1.5))</f>
        <v>1.9923982880693825</v>
      </c>
      <c r="BM292">
        <f>BK292*1.22</f>
        <v>2.0251999999999999</v>
      </c>
      <c r="BN292">
        <f>2.07+0.215*(BM292^1.7)*(24/100)</f>
        <v>2.241255750541113</v>
      </c>
      <c r="BO292">
        <f>BN292*((600/BG292)^0.67)</f>
        <v>1.3481645778025992</v>
      </c>
      <c r="BP292">
        <f>BN292*((600/BH292)^0.67)</f>
        <v>1.3443924864549108</v>
      </c>
      <c r="BQ292">
        <f>BN292*((600/BI292)^0.67)</f>
        <v>1.2854847939829288</v>
      </c>
      <c r="BR292" s="39">
        <f>BO292*(AM292-BB292)</f>
        <v>-10.173517892416207</v>
      </c>
      <c r="BS292" s="39">
        <f>BP292*(AD292-BD292)</f>
        <v>8.4754765100634177E-2</v>
      </c>
      <c r="BT292" s="39">
        <f>BQ292*(AU292-BF292)</f>
        <v>-2.5389807647178149</v>
      </c>
      <c r="BU292">
        <f>(2.51+1.48*BM292)+(0.39*BM292*LOG10(0.0015))</f>
        <v>3.2768938069574309</v>
      </c>
      <c r="BV292">
        <f>BU292*((600/$BG292)^0.67)</f>
        <v>1.9711236233054243</v>
      </c>
      <c r="BW292">
        <f>BU292*((600/$BH292)^0.67)</f>
        <v>1.9656085263453682</v>
      </c>
      <c r="BX292">
        <f>BU292*((600/$BI292)^0.67)</f>
        <v>1.8794808041534736</v>
      </c>
      <c r="BY292" s="39">
        <f>BV292*($AM292-$BB292)</f>
        <v>-14.874490681654917</v>
      </c>
      <c r="BZ292" s="39">
        <f>BW292*($AD292-$BD292)</f>
        <v>0.12391819398627141</v>
      </c>
      <c r="CA292" s="39">
        <f>BX292*($AU292-$BF292)</f>
        <v>-3.7121914096055901</v>
      </c>
      <c r="CB292" s="42">
        <f>AVERAGE(0.72,0.69,0.4,0.22)</f>
        <v>0.50750000000000006</v>
      </c>
      <c r="CC292">
        <f>CB292*((600/$BG292)^0.67)</f>
        <v>0.30527240055920984</v>
      </c>
      <c r="CD292">
        <f>CB292*((600/$BH292)^0.67)</f>
        <v>0.30441826494416918</v>
      </c>
      <c r="CE292">
        <f>CB292*((600/$BI292)^0.67)</f>
        <v>0.29107946863664691</v>
      </c>
      <c r="CF292" s="39">
        <f>CC292*($AM292-$BB292)</f>
        <v>-2.3036462167044935</v>
      </c>
      <c r="CG292" s="39">
        <f>CD292*($AD292-$BD292)</f>
        <v>1.9191492661284677E-2</v>
      </c>
      <c r="CH292" s="39">
        <f>CE292*($AU292-$BF292)</f>
        <v>-0.57491553018132668</v>
      </c>
      <c r="CI292">
        <v>115.862639018895</v>
      </c>
      <c r="CJ292">
        <f>((BG292/BH292)^0.67)*CI292</f>
        <v>115.53846164073256</v>
      </c>
      <c r="CK292">
        <f>((BH292/BH292)^0.67)*CI292</f>
        <v>115.862639018895</v>
      </c>
      <c r="CL292">
        <f>((BI292/BH292)^0.67)*CI292</f>
        <v>121.172076159081</v>
      </c>
      <c r="CM292" s="39">
        <f>CJ292*($AM292-$BB292)</f>
        <v>-871.8761982903435</v>
      </c>
      <c r="CN292" s="39">
        <f>CK292*($AD292-$BD292)</f>
        <v>7.304348137113279</v>
      </c>
      <c r="CO292" s="39">
        <f>CL292*($AU292-$BF292)</f>
        <v>-239.32882911481133</v>
      </c>
      <c r="CP292" s="27">
        <f>VLOOKUP(A292,Water!$A$2:$E$109, 5, FALSE)/1000</f>
        <v>7.9000000000000001E-4</v>
      </c>
      <c r="CQ292">
        <f>0.64*CP292</f>
        <v>5.0560000000000004E-4</v>
      </c>
      <c r="CR292" s="19">
        <f>CQ292*1000*(2.5*10^-5)</f>
        <v>1.2640000000000003E-5</v>
      </c>
      <c r="CS292" s="18">
        <f>(-0.0000009*F292^3)+(0.0002*F292^2)-(0.0134*F292)+6.579</f>
        <v>6.5011960703999998</v>
      </c>
      <c r="CT292" s="18">
        <f>CS292-(SQRT(CP292))/(1+1.4*SQRT(CP292))</f>
        <v>6.4741532586651989</v>
      </c>
      <c r="CU292" s="18">
        <f>10^(-CT292)</f>
        <v>3.3561915632355954E-7</v>
      </c>
      <c r="CV292" s="18">
        <f>(0.000001*F292^3)+(0.00006*F292^2)-(0.014*F292)+10.625</f>
        <v>10.538119743999999</v>
      </c>
      <c r="CW292" s="18">
        <f>CV292-(2*SQRT(CR292))/(1+1.4*SQRT(CR292))</f>
        <v>10.531044405178873</v>
      </c>
      <c r="CX292" s="18">
        <f>10^(-CW292)</f>
        <v>2.9441205917852198E-11</v>
      </c>
      <c r="CY292">
        <f>EXP(1246.98+-61900/H292-183*LN(H292))</f>
        <v>4.8954576567226118E-3</v>
      </c>
      <c r="CZ292">
        <f>12.225*(F292^2)+15.258*F292+1125.7</f>
        <v>1724.0872000000002</v>
      </c>
      <c r="DA292" s="15">
        <f>10^(-4470.99/H292+6.0875-0.01706*H292)</f>
        <v>2.1127674213153213E-15</v>
      </c>
      <c r="DB292">
        <f>(10^-I292)</f>
        <v>1.0471285480508964E-9</v>
      </c>
      <c r="DC292">
        <f>DB292^2</f>
        <v>1.0964781961431784E-18</v>
      </c>
      <c r="DD292" s="20">
        <f>((14.6836*10^-9)*((H292/217.2056)-1)^1.997)*100*100</f>
        <v>1.2142598333730381E-5</v>
      </c>
      <c r="DE292">
        <f>CY292+CZ292*DA292/DB292</f>
        <v>8.3741091312211392E-3</v>
      </c>
      <c r="DF292">
        <f>1+DC292*(CU292*CX292+CU292*DB292)^-1</f>
        <v>1.003034667296298</v>
      </c>
      <c r="DG292">
        <f>(DE292*DF292/DD292)^0.5</f>
        <v>26.300951797775426</v>
      </c>
      <c r="DH292">
        <f>DD292/(BO292/60/60)</f>
        <v>3.2424345455418099E-2</v>
      </c>
      <c r="DI292" s="16">
        <f>DF292/((DF292-1)+TANH(DG292*DH292)/(DG292*DH292))</f>
        <v>1.2305616282313119</v>
      </c>
      <c r="DJ292">
        <f>$DI292*BR292</f>
        <v>-12.519140742532072</v>
      </c>
      <c r="DK292">
        <f>$DI292*BY292</f>
        <v>-18.30397747232875</v>
      </c>
      <c r="DL292">
        <f>$DI292*CF292</f>
        <v>-2.8347786392967831</v>
      </c>
      <c r="DM292">
        <f>$DI292*CM292</f>
        <v>-1072.8973941842912</v>
      </c>
    </row>
    <row r="293" spans="1:117" ht="15.75" x14ac:dyDescent="0.25">
      <c r="A293" s="52" t="s">
        <v>325</v>
      </c>
      <c r="B293" t="s">
        <v>342</v>
      </c>
      <c r="C293" s="68" t="s">
        <v>516</v>
      </c>
      <c r="D293" s="65">
        <v>43370</v>
      </c>
      <c r="E293" s="42" t="str">
        <f>A293&amp;D293</f>
        <v>32C43370</v>
      </c>
      <c r="F293" s="3">
        <f>VLOOKUP($E293,Water!$C$2:$E$90, 2, FALSE)</f>
        <v>6.4</v>
      </c>
      <c r="G293" s="3">
        <f>VLOOKUP($E293,Water!$C$2:$E$90, 3, FALSE)</f>
        <v>1.79</v>
      </c>
      <c r="H293" s="1">
        <f>F293+273.15</f>
        <v>279.54999999999995</v>
      </c>
      <c r="I293" s="3">
        <f>VLOOKUP($E293,Water!$C$2:$F$90, 4, FALSE)</f>
        <v>8.98</v>
      </c>
      <c r="J293">
        <f>10^(I293*-1)</f>
        <v>1.0471285480508964E-9</v>
      </c>
      <c r="K293" s="25">
        <f>VLOOKUP($E293,Atm!$D$2:$G$100, 2, FALSE)</f>
        <v>427.92718106246252</v>
      </c>
      <c r="L293" s="25">
        <f>VLOOKUP($E293,Atm!$D$2:$G$100, 3, FALSE)</f>
        <v>2.02049727104994</v>
      </c>
      <c r="M293" s="25">
        <f>VLOOKUP($E293,Atm!$D$2:$G$100, 4, FALSE)</f>
        <v>0.30153296619833742</v>
      </c>
      <c r="N293" s="21">
        <f>VLOOKUP($C293,Raw!$B$2:$F$353, 3, FALSE)</f>
        <v>138.1317077478453</v>
      </c>
      <c r="O293" s="21">
        <f>VLOOKUP($C293,Raw!$B$2:$F$353, 4, FALSE)</f>
        <v>34.902870201309653</v>
      </c>
      <c r="P293" s="21">
        <f>VLOOKUP($C293,Raw!$B$2:$F$353, 5, FALSE)</f>
        <v>0.2875732670240817</v>
      </c>
      <c r="Q293" s="14">
        <v>60</v>
      </c>
      <c r="R293" s="25">
        <v>1140</v>
      </c>
      <c r="S293">
        <f>EXP(24.4543-(100/H293*(67.4509))-(4.8489*LN(H293/100))-(0.000544*G293))</f>
        <v>9.4685347194464753E-3</v>
      </c>
      <c r="T293" s="8">
        <f>EXP(-58.0931+90.5069*(100/H293)+22.294*LN(H293/100)+G293*(0.027766-0.025888*(H293/100)+0.0050578*(H293/100)^2)*G293)</f>
        <v>5.9906615116354298E-2</v>
      </c>
      <c r="U293" s="9">
        <f>(EXP(-67.1962+99.1624*(100/H293)+27.9015*LN(H293/100)+G293*(-0.072909+0.041674*(H293/100)-0.0064603*(H293/100)^2)*G293))</f>
        <v>4.674287080527334E-2</v>
      </c>
      <c r="V293" s="9">
        <f>(EXP(-64.8539+100.252*(100/H293)+25.2049*LN(H293/100)+(-0.062544+0.035337*(H293/100)-0.0054699*(H293/100)^2)*G293))</f>
        <v>4.5378798581746808E-2</v>
      </c>
      <c r="W293" s="9">
        <f>(EXP(-68.8862+101.4956*(100/H293)+28.7314*LN(H293/100)+G293*(-0.076146+0.04397*(H293/100)-0.0068672*(H293/100)^2)))</f>
        <v>4.7096036391824726E-2</v>
      </c>
      <c r="X293">
        <f>N293*(AZ293-S293)</f>
        <v>127.71801530064279</v>
      </c>
      <c r="Y293">
        <f>O293*(AZ293-S293)</f>
        <v>32.271557219466516</v>
      </c>
      <c r="Z293">
        <f>((Y293/10^6)*AZ293)/(0.082056*H293)</f>
        <v>1.3141158907849284E-6</v>
      </c>
      <c r="AA293">
        <f>(((L293/10^6)*AZ293)/(0.082056*H293))</f>
        <v>8.2275780902592642E-8</v>
      </c>
      <c r="AB293">
        <f>((Y293/10^6)*U293*1)/(0.082056*H293)</f>
        <v>6.5760554264894519E-8</v>
      </c>
      <c r="AC293">
        <f>(Z293*(Q293/1000))+(AB293*(R293/1000))</f>
        <v>1.5381398530907544E-7</v>
      </c>
      <c r="AD293" s="39">
        <f>((AC293-(AA293*(Q293/1000)))/(R293/1000))*1000000</f>
        <v>0.13059424425870167</v>
      </c>
      <c r="AE293" s="39">
        <f>(AD293/((U293*AZ293*1))*(0.0821*273.15))</f>
        <v>67.076351616746962</v>
      </c>
      <c r="AF293" s="39">
        <f>L293*U293*AZ293*1/(0.0821*273.15)</f>
        <v>3.9338053990649186E-3</v>
      </c>
      <c r="AG293" s="39">
        <f>AD293-AF293</f>
        <v>0.12666043885963674</v>
      </c>
      <c r="AH293" s="42">
        <f>P293*(AZ293-S293)</f>
        <v>0.26589323708994989</v>
      </c>
      <c r="AI293">
        <f>(((X293/10^6)*(Q293/1000))/(0.082056*H293))</f>
        <v>3.3406699643690196E-7</v>
      </c>
      <c r="AJ293">
        <f>(((K293/10^6)*AZ293)*(Q293/1000))/(0.082056*H293)</f>
        <v>1.0455260740757228E-6</v>
      </c>
      <c r="AK293">
        <f>(X293/10^6)*T293*(R293/1000)</f>
        <v>8.7223155440858916E-6</v>
      </c>
      <c r="AL293">
        <f>AI293+AK293</f>
        <v>9.0563825405227938E-6</v>
      </c>
      <c r="AM293" s="39">
        <f>((AL293-AJ293)/(R293/1000))*1000000</f>
        <v>7.0270670758307645</v>
      </c>
      <c r="AN293" s="39">
        <f>AM293/(T293*AZ293)</f>
        <v>125.57862793499257</v>
      </c>
      <c r="AO293" s="39">
        <f>(K293*AZ293)*T293</f>
        <v>23.945738652708894</v>
      </c>
      <c r="AP293" s="39">
        <f>AM293-AO293</f>
        <v>-16.918671576878129</v>
      </c>
      <c r="AQ293">
        <f>(((AH293/10^6)*(Q293/1000))/(0.082056*H293))</f>
        <v>6.9548649717451064E-10</v>
      </c>
      <c r="AR293">
        <f>(((M293/10^6)*AZ293)*(Q293/1000))/(0.082056*H293)</f>
        <v>7.3671547942110793E-10</v>
      </c>
      <c r="AS293">
        <f>(AH293/10^6)*V293*(R293/1000)</f>
        <v>1.3755143841174971E-8</v>
      </c>
      <c r="AT293">
        <f>AQ293+AS293</f>
        <v>1.4450630338349481E-8</v>
      </c>
      <c r="AU293" s="39">
        <f>((AT293-AR293)/(R293/1000))*1000000000</f>
        <v>12.029749876252959</v>
      </c>
      <c r="AV293" s="39">
        <f>(AU293/1000)/(V293*AZ293)</f>
        <v>0.28380498533530807</v>
      </c>
      <c r="AW293" s="39">
        <f>(M293*AZ293)*V293*1000</f>
        <v>12.781192545032287</v>
      </c>
      <c r="AX293" s="39">
        <f>AU293-AW293</f>
        <v>-0.75144266877932786</v>
      </c>
      <c r="AY293" s="26">
        <f>VLOOKUP($E293,Water!$C$2:$G$90, 5, FALSE)</f>
        <v>709.9</v>
      </c>
      <c r="AZ293">
        <f>AY293/760</f>
        <v>0.93407894736842101</v>
      </c>
      <c r="BA293" s="3">
        <f>Assumptions!$B$3</f>
        <v>406.07</v>
      </c>
      <c r="BB293" s="3">
        <f>BA293*AZ293*T293</f>
        <v>22.722665268804661</v>
      </c>
      <c r="BC293" s="3">
        <f>Assumptions!$B$4</f>
        <v>1.8474300000000001</v>
      </c>
      <c r="BD293" s="45">
        <f>BC293*AZ293*U293*1/(0.0821*273.15)</f>
        <v>3.5968522266887413E-3</v>
      </c>
      <c r="BE293" s="3">
        <f>Assumptions!$B$2</f>
        <v>0.33054499999999998</v>
      </c>
      <c r="BF293" s="44">
        <f>BE293*AZ293*V293*1000</f>
        <v>14.010936658311531</v>
      </c>
      <c r="BG293">
        <f>1923.6+(-125.06*F293)+(4.3773*(F293^2))+(-0.085681*(F293^3))+(0.00070284*(F293^4))</f>
        <v>1281.2286177853439</v>
      </c>
      <c r="BH293">
        <f>1909.4+(-120.78*F293)+(4.1555*(F293^2))+(-0.080578*(F293^3))+(0.00065777*(F293^4))</f>
        <v>1286.5977957048319</v>
      </c>
      <c r="BI293">
        <f>2141.2+(-152.56*F293)+(5.8963*(F293^2))+(-0.12411*(F293^3))+(0.0010655*(F293^4))</f>
        <v>1375.5813685247997</v>
      </c>
      <c r="BJ293" s="25">
        <f>VLOOKUP(E293,Wind!$C$2:$E$109,3, FALSE)</f>
        <v>3.7222222222222223</v>
      </c>
      <c r="BK293" s="44">
        <v>1.66</v>
      </c>
      <c r="BL293">
        <f>BK293/(1-(((1.3*10^-3)^0.5)/0.41)*LN(10/1.5))</f>
        <v>1.9923982880693825</v>
      </c>
      <c r="BM293">
        <f>BK293*1.22</f>
        <v>2.0251999999999999</v>
      </c>
      <c r="BN293">
        <f>2.07+0.215*(BM293^1.7)*(24/100)</f>
        <v>2.241255750541113</v>
      </c>
      <c r="BO293">
        <f>BN293*((600/BG293)^0.67)</f>
        <v>1.3481645778025992</v>
      </c>
      <c r="BP293">
        <f>BN293*((600/BH293)^0.67)</f>
        <v>1.3443924864549108</v>
      </c>
      <c r="BQ293">
        <f>BN293*((600/BI293)^0.67)</f>
        <v>1.2854847939829288</v>
      </c>
      <c r="BR293" s="39">
        <f>BO293*(AM293-BB293)</f>
        <v>-21.160249511189893</v>
      </c>
      <c r="BS293" s="39">
        <f>BP293*(AD293-BD293)</f>
        <v>0.17073433964720694</v>
      </c>
      <c r="BT293" s="39">
        <f>BQ293*(AU293-BF293)</f>
        <v>-2.546785482376265</v>
      </c>
      <c r="BU293">
        <f>(2.51+1.48*BM293)+(0.39*BM293*LOG10(0.0015))</f>
        <v>3.2768938069574309</v>
      </c>
      <c r="BV293">
        <f>BU293*((600/$BG293)^0.67)</f>
        <v>1.9711236233054243</v>
      </c>
      <c r="BW293">
        <f>BU293*((600/$BH293)^0.67)</f>
        <v>1.9656085263453682</v>
      </c>
      <c r="BX293">
        <f>BU293*((600/$BI293)^0.67)</f>
        <v>1.8794808041534736</v>
      </c>
      <c r="BY293" s="39">
        <f>BV293*($AM293-$BB293)</f>
        <v>-30.937964380080778</v>
      </c>
      <c r="BZ293" s="39">
        <f>BW293*($AD293-$BD293)</f>
        <v>0.24962715660174994</v>
      </c>
      <c r="CA293" s="39">
        <f>BX293*($AU293-$BF293)</f>
        <v>-3.7236025263216774</v>
      </c>
      <c r="CB293" s="42">
        <f>AVERAGE(0.72,0.69,0.4,0.22)</f>
        <v>0.50750000000000006</v>
      </c>
      <c r="CC293">
        <f>CB293*((600/$BG293)^0.67)</f>
        <v>0.30527240055920984</v>
      </c>
      <c r="CD293">
        <f>CB293*((600/$BH293)^0.67)</f>
        <v>0.30441826494416918</v>
      </c>
      <c r="CE293">
        <f>CB293*((600/$BI293)^0.67)</f>
        <v>0.29107946863664691</v>
      </c>
      <c r="CF293" s="39">
        <f>CC293*($AM293-$BB293)</f>
        <v>-4.7914329385819379</v>
      </c>
      <c r="CG293" s="39">
        <f>CD293*($AD293-$BD293)</f>
        <v>3.8660325734819832E-2</v>
      </c>
      <c r="CH293" s="39">
        <f>CE293*($AU293-$BF293)</f>
        <v>-0.57668279579155746</v>
      </c>
      <c r="CI293">
        <v>116.862639018895</v>
      </c>
      <c r="CJ293">
        <f>((BG293/BH293)^0.67)*CI293</f>
        <v>116.53566369498485</v>
      </c>
      <c r="CK293">
        <f>((BH293/BH293)^0.67)*CI293</f>
        <v>116.862639018895</v>
      </c>
      <c r="CL293">
        <f>((BI293/BH293)^0.67)*CI293</f>
        <v>122.21790143274252</v>
      </c>
      <c r="CM293" s="39">
        <f>CJ293*($AM293-$BB293)</f>
        <v>-1829.0969525080179</v>
      </c>
      <c r="CN293" s="39">
        <f>CK293*($AD293-$BD293)</f>
        <v>14.841250381378218</v>
      </c>
      <c r="CO293" s="39">
        <f>CL293*($AU293-$BF293)</f>
        <v>-242.13649084948688</v>
      </c>
      <c r="CP293" s="27">
        <f>VLOOKUP(A293,Water!$A$2:$E$109, 5, FALSE)/1000</f>
        <v>7.9000000000000001E-4</v>
      </c>
      <c r="CQ293">
        <f>0.64*CP293</f>
        <v>5.0560000000000004E-4</v>
      </c>
      <c r="CR293" s="19">
        <f>CQ293*1000*(2.5*10^-5)</f>
        <v>1.2640000000000003E-5</v>
      </c>
      <c r="CS293" s="18">
        <f>(-0.0000009*F293^3)+(0.0002*F293^2)-(0.0134*F293)+6.579</f>
        <v>6.5011960703999998</v>
      </c>
      <c r="CT293" s="18">
        <f>CS293-(SQRT(CP293))/(1+1.4*SQRT(CP293))</f>
        <v>6.4741532586651989</v>
      </c>
      <c r="CU293" s="18">
        <f>10^(-CT293)</f>
        <v>3.3561915632355954E-7</v>
      </c>
      <c r="CV293" s="18">
        <f>(0.000001*F293^3)+(0.00006*F293^2)-(0.014*F293)+10.625</f>
        <v>10.538119743999999</v>
      </c>
      <c r="CW293" s="18">
        <f>CV293-(2*SQRT(CR293))/(1+1.4*SQRT(CR293))</f>
        <v>10.531044405178873</v>
      </c>
      <c r="CX293" s="18">
        <f>10^(-CW293)</f>
        <v>2.9441205917852198E-11</v>
      </c>
      <c r="CY293">
        <f>EXP(1246.98+-61900/H293-183*LN(H293))</f>
        <v>4.8954576567226118E-3</v>
      </c>
      <c r="CZ293">
        <f>12.225*(F293^2)+15.258*F293+1125.7</f>
        <v>1724.0872000000002</v>
      </c>
      <c r="DA293" s="15">
        <f>10^(-4470.99/H293+6.0875-0.01706*H293)</f>
        <v>2.1127674213153213E-15</v>
      </c>
      <c r="DB293">
        <f>(10^-I293)</f>
        <v>1.0471285480508964E-9</v>
      </c>
      <c r="DC293">
        <f>DB293^2</f>
        <v>1.0964781961431784E-18</v>
      </c>
      <c r="DD293" s="20">
        <f>((14.6836*10^-9)*((H293/217.2056)-1)^1.997)*100*100</f>
        <v>1.2142598333730381E-5</v>
      </c>
      <c r="DE293">
        <f>CY293+CZ293*DA293/DB293</f>
        <v>8.3741091312211392E-3</v>
      </c>
      <c r="DF293">
        <f>1+DC293*(CU293*CX293+CU293*DB293)^-1</f>
        <v>1.003034667296298</v>
      </c>
      <c r="DG293">
        <f>(DE293*DF293/DD293)^0.5</f>
        <v>26.300951797775426</v>
      </c>
      <c r="DH293">
        <f>DD293/(BO293/60/60)</f>
        <v>3.2424345455418099E-2</v>
      </c>
      <c r="DI293" s="16">
        <f>DF293/((DF293-1)+TANH(DG293*DH293)/(DG293*DH293))</f>
        <v>1.2305616282313119</v>
      </c>
      <c r="DJ293">
        <f>$DI293*BR293</f>
        <v>-26.038991092270656</v>
      </c>
      <c r="DK293">
        <f>$DI293*BY293</f>
        <v>-38.071071821714533</v>
      </c>
      <c r="DL293">
        <f>$DI293*CF293</f>
        <v>-5.8961535184625289</v>
      </c>
      <c r="DM293">
        <f>$DI293*CM293</f>
        <v>-2250.8165240711969</v>
      </c>
    </row>
    <row r="294" spans="1:117" ht="15.75" x14ac:dyDescent="0.25">
      <c r="A294" s="52" t="s">
        <v>329</v>
      </c>
      <c r="B294" t="s">
        <v>339</v>
      </c>
      <c r="C294" s="68" t="s">
        <v>517</v>
      </c>
      <c r="D294" s="65">
        <v>43369</v>
      </c>
      <c r="E294" s="42" t="str">
        <f>A294&amp;D294</f>
        <v>56A43369</v>
      </c>
      <c r="F294" s="3">
        <f>VLOOKUP($E294,Water!$C$2:$E$90, 2, FALSE)</f>
        <v>7.8</v>
      </c>
      <c r="G294" s="3">
        <f>VLOOKUP($E294,Water!$C$2:$E$90, 3, FALSE)</f>
        <v>3.17</v>
      </c>
      <c r="H294" s="1">
        <f>F294+273.15</f>
        <v>280.95</v>
      </c>
      <c r="I294" s="3">
        <f>VLOOKUP($E294,Water!$C$2:$F$90, 4, FALSE)</f>
        <v>8.67</v>
      </c>
      <c r="J294">
        <f>10^(I294*-1)</f>
        <v>2.137962089502227E-9</v>
      </c>
      <c r="K294" s="25">
        <f>VLOOKUP($E294,Atm!$D$2:$G$100, 2, FALSE)</f>
        <v>441.56494781122137</v>
      </c>
      <c r="L294" s="25">
        <f>VLOOKUP($E294,Atm!$D$2:$G$100, 3, FALSE)</f>
        <v>1.981603458532571</v>
      </c>
      <c r="M294" s="25">
        <f>VLOOKUP($E294,Atm!$D$2:$G$100, 4, FALSE)</f>
        <v>0.31252456947396895</v>
      </c>
      <c r="N294" s="21">
        <f>VLOOKUP($C294,Raw!$B$2:$F$353, 3, FALSE)</f>
        <v>325.5390012903664</v>
      </c>
      <c r="O294" s="21">
        <f>VLOOKUP($C294,Raw!$B$2:$F$353, 4, FALSE)</f>
        <v>6.8677145519510896</v>
      </c>
      <c r="P294" s="21">
        <f>VLOOKUP($C294,Raw!$B$2:$F$353, 5, FALSE)</f>
        <v>0.3173304037814676</v>
      </c>
      <c r="Q294" s="14">
        <v>60</v>
      </c>
      <c r="R294" s="25">
        <v>1140</v>
      </c>
      <c r="S294">
        <f>EXP(24.4543-(100/H294*(67.4509))-(4.8489*LN(H294/100))-(0.000544*G294))</f>
        <v>1.0414869155152969E-2</v>
      </c>
      <c r="T294" s="8">
        <f>EXP(-58.0931+90.5069*(100/H294)+22.294*LN(H294/100)+G294*(0.027766-0.025888*(H294/100)+0.0050578*(H294/100)^2)*G294)</f>
        <v>5.5059426154284385E-2</v>
      </c>
      <c r="U294" s="9">
        <f>(EXP(-67.1962+99.1624*(100/H294)+27.9015*LN(H294/100)+G294*(-0.072909+0.041674*(H294/100)-0.0064603*(H294/100)^2)*G294))</f>
        <v>4.2985163156504705E-2</v>
      </c>
      <c r="V294" s="9">
        <f>(EXP(-64.8539+100.252*(100/H294)+25.2049*LN(H294/100)+(-0.062544+0.035337*(H294/100)-0.0054699*(H294/100)^2)*G294))</f>
        <v>4.2669475506262267E-2</v>
      </c>
      <c r="W294" s="9">
        <f>(EXP(-68.8862+101.4956*(100/H294)+28.7314*LN(H294/100)+G294*(-0.076146+0.04397*(H294/100)-0.0068672*(H294/100)^2)))</f>
        <v>4.4948961873518024E-2</v>
      </c>
      <c r="X294">
        <f>N294*(AZ294-S294)</f>
        <v>295.46292389704143</v>
      </c>
      <c r="Y294">
        <f>O294*(AZ294-S294)</f>
        <v>6.2332163395679041</v>
      </c>
      <c r="Z294">
        <f>((Y294/10^6)*AZ294)/(0.082056*H294)</f>
        <v>2.4821495952890724E-7</v>
      </c>
      <c r="AA294">
        <f>(((L294/10^6)*AZ294)/(0.082056*H294))</f>
        <v>7.8910083569488527E-8</v>
      </c>
      <c r="AB294">
        <f>((Y294/10^6)*U294*1)/(0.082056*H294)</f>
        <v>1.1622281790538655E-8</v>
      </c>
      <c r="AC294">
        <f>(Z294*(Q294/1000))+(AB294*(R294/1000))</f>
        <v>2.8142298812948497E-8</v>
      </c>
      <c r="AD294" s="39">
        <f>((AC294-(AA294*(Q294/1000)))/(R294/1000))*1000000</f>
        <v>2.0533064735771218E-2</v>
      </c>
      <c r="AE294" s="39">
        <f>(AD294/((U294*AZ294*1))*(0.0821*273.15))</f>
        <v>11.668752494783398</v>
      </c>
      <c r="AF294" s="39">
        <f>L294*U294*AZ294*1/(0.0821*273.15)</f>
        <v>3.4869530494255887E-3</v>
      </c>
      <c r="AG294" s="39">
        <f>AD294-AF294</f>
        <v>1.7046111686345629E-2</v>
      </c>
      <c r="AH294" s="42">
        <f>P294*(AZ294-S294)</f>
        <v>0.28801270683715091</v>
      </c>
      <c r="AI294">
        <f>(((X294/10^6)*(Q294/1000))/(0.082056*H294))</f>
        <v>7.6897967795473058E-7</v>
      </c>
      <c r="AJ294">
        <f>(((K294/10^6)*AZ294)*(Q294/1000))/(0.082056*H294)</f>
        <v>1.0550221877068125E-6</v>
      </c>
      <c r="AK294">
        <f>(X294/10^6)*T294*(R294/1000)</f>
        <v>1.854554170518743E-5</v>
      </c>
      <c r="AL294">
        <f>AI294+AK294</f>
        <v>1.9314521383142161E-5</v>
      </c>
      <c r="AM294" s="39">
        <f>((AL294-AJ294)/(R294/1000))*1000000</f>
        <v>16.017104557399431</v>
      </c>
      <c r="AN294" s="39">
        <f>AM294/(T294*AZ294)</f>
        <v>316.88172909172567</v>
      </c>
      <c r="AO294" s="39">
        <f>(K294*AZ294)*T294</f>
        <v>22.319342797854084</v>
      </c>
      <c r="AP294" s="39">
        <f>AM294-AO294</f>
        <v>-6.3022382404546526</v>
      </c>
      <c r="AQ294">
        <f>(((AH294/10^6)*(Q294/1000))/(0.082056*H294))</f>
        <v>7.4958954453344267E-10</v>
      </c>
      <c r="AR294">
        <f>(((M294/10^6)*AZ294)*(Q294/1000))/(0.082056*H294)</f>
        <v>7.4670862493260926E-10</v>
      </c>
      <c r="AS294">
        <f>(AH294/10^6)*V294*(R294/1000)</f>
        <v>1.400986029946332E-8</v>
      </c>
      <c r="AT294">
        <f>AQ294+AS294</f>
        <v>1.4759449843996762E-8</v>
      </c>
      <c r="AU294" s="39">
        <f>((AT294-AR294)/(R294/1000))*1000000000</f>
        <v>12.291878262336978</v>
      </c>
      <c r="AV294" s="39">
        <f>(AU294/1000)/(V294*AZ294)</f>
        <v>0.31379485251798606</v>
      </c>
      <c r="AW294" s="39">
        <f>(M294*AZ294)*V294*1000</f>
        <v>12.242119114248739</v>
      </c>
      <c r="AX294" s="39">
        <f>AU294-AW294</f>
        <v>4.9759148088238447E-2</v>
      </c>
      <c r="AY294" s="26">
        <f>VLOOKUP($E294,Water!$C$2:$G$90, 5, FALSE)</f>
        <v>697.7</v>
      </c>
      <c r="AZ294">
        <f>AY294/760</f>
        <v>0.91802631578947369</v>
      </c>
      <c r="BA294" s="3">
        <f>Assumptions!$B$3</f>
        <v>406.07</v>
      </c>
      <c r="BB294" s="3">
        <f>BA294*AZ294*T294</f>
        <v>20.525215089761449</v>
      </c>
      <c r="BC294" s="3">
        <f>Assumptions!$B$4</f>
        <v>1.8474300000000001</v>
      </c>
      <c r="BD294" s="45">
        <f>BC294*AZ294*U294*1/(0.0821*273.15)</f>
        <v>3.2508530626358069E-3</v>
      </c>
      <c r="BE294" s="3">
        <f>Assumptions!$B$2</f>
        <v>0.33054499999999998</v>
      </c>
      <c r="BF294" s="44">
        <f>BE294*AZ294*V294*1000</f>
        <v>12.948010037836083</v>
      </c>
      <c r="BG294">
        <f>1923.6+(-125.06*F294)+(4.3773*(F294^2))+(-0.085681*(F294^3))+(0.00070284*(F294^4))</f>
        <v>1176.3884082839038</v>
      </c>
      <c r="BH294">
        <f>1909.4+(-120.78*F294)+(4.1555*(F294^2))+(-0.080578*(F294^3))+(0.00065777*(F294^4))</f>
        <v>1184.3329082825121</v>
      </c>
      <c r="BI294">
        <f>2141.2+(-152.56*F294)+(5.8963*(F294^2))+(-0.12411*(F294^3))+(0.0010655*(F294^4))</f>
        <v>1255.0101974967997</v>
      </c>
      <c r="BJ294" s="25">
        <f>VLOOKUP(E294,Wind!$C$2:$E$109,3, FALSE)</f>
        <v>0.91666666666666663</v>
      </c>
      <c r="BK294" s="44">
        <v>1.66</v>
      </c>
      <c r="BL294">
        <f>BK294/(1-(((1.3*10^-3)^0.5)/0.41)*LN(10/1.5))</f>
        <v>1.9923982880693825</v>
      </c>
      <c r="BM294">
        <f>BK294*1.22</f>
        <v>2.0251999999999999</v>
      </c>
      <c r="BN294">
        <f>2.07+0.215*(BM294^1.7)*(24/100)</f>
        <v>2.241255750541113</v>
      </c>
      <c r="BO294">
        <f>BN294*((600/BG294)^0.67)</f>
        <v>1.4275251264911817</v>
      </c>
      <c r="BP294">
        <f>BN294*((600/BH294)^0.67)</f>
        <v>1.4211021964823858</v>
      </c>
      <c r="BQ294">
        <f>BN294*((600/BI294)^0.67)</f>
        <v>1.3669703478387853</v>
      </c>
      <c r="BR294" s="39">
        <f>BO294*(AM294-BB294)</f>
        <v>-6.4354410579463179</v>
      </c>
      <c r="BS294" s="39">
        <f>BP294*(AD294-BD294)</f>
        <v>2.4559788968766261E-2</v>
      </c>
      <c r="BT294" s="39">
        <f>BQ294*(AU294-BF294)</f>
        <v>-0.89691268138209157</v>
      </c>
      <c r="BU294">
        <f>(2.51+1.48*BM294)+(0.39*BM294*LOG10(0.0015))</f>
        <v>3.2768938069574309</v>
      </c>
      <c r="BV294">
        <f>BU294*((600/$BG294)^0.67)</f>
        <v>2.0871550447313698</v>
      </c>
      <c r="BW294">
        <f>BU294*((600/$BH294)^0.67)</f>
        <v>2.077764211238466</v>
      </c>
      <c r="BX294">
        <f>BU294*((600/$BI294)^0.67)</f>
        <v>1.9986191518062506</v>
      </c>
      <c r="BY294" s="39">
        <f>BV294*($AM294-$BB294)</f>
        <v>-9.4091256398260068</v>
      </c>
      <c r="BZ294" s="39">
        <f>BW294*($AD294-$BD294)</f>
        <v>3.5908360905488407E-2</v>
      </c>
      <c r="CA294" s="39">
        <f>BX294*($AU294-$BF294)</f>
        <v>-1.3113575326211508</v>
      </c>
      <c r="CB294" s="42">
        <f>AVERAGE(0.72,0.69,0.4,0.22)</f>
        <v>0.50750000000000006</v>
      </c>
      <c r="CC294">
        <f>CB294*((600/$BG294)^0.67)</f>
        <v>0.3232424508088218</v>
      </c>
      <c r="CD294">
        <f>CB294*((600/$BH294)^0.67)</f>
        <v>0.3217880710582392</v>
      </c>
      <c r="CE294">
        <f>CB294*((600/$BI294)^0.67)</f>
        <v>0.30953069562038715</v>
      </c>
      <c r="CF294" s="39">
        <f>CC294*($AM294-$BB294)</f>
        <v>-1.457212696997761</v>
      </c>
      <c r="CG294" s="39">
        <f>CD294*($AD294-$BD294)</f>
        <v>5.5612095579184286E-3</v>
      </c>
      <c r="CH294" s="39">
        <f>CE294*($AU294-$BF294)</f>
        <v>-0.20309292488887773</v>
      </c>
      <c r="CI294">
        <v>117.862639018895</v>
      </c>
      <c r="CJ294">
        <f>((BG294/BH294)^0.67)*CI294</f>
        <v>117.33233418080708</v>
      </c>
      <c r="CK294">
        <f>((BH294/BH294)^0.67)*CI294</f>
        <v>117.862639018895</v>
      </c>
      <c r="CL294">
        <f>((BI294/BH294)^0.67)*CI294</f>
        <v>122.52998425150614</v>
      </c>
      <c r="CM294" s="39">
        <f>CJ294*($AM294-$BB294)</f>
        <v>-528.94713150711641</v>
      </c>
      <c r="CN294" s="39">
        <f>CK294*($AD294-$BD294)</f>
        <v>2.0369270758788924</v>
      </c>
      <c r="CO294" s="39">
        <f>CL294*($AU294-$BF294)</f>
        <v>-80.395816118818118</v>
      </c>
      <c r="CP294" s="27">
        <f>VLOOKUP(A294,Water!$A$2:$E$109, 5, FALSE)/1000</f>
        <v>8.0000000000000004E-4</v>
      </c>
      <c r="CQ294">
        <f>0.64*CP294</f>
        <v>5.1200000000000009E-4</v>
      </c>
      <c r="CR294" s="19">
        <f>CQ294*1000*(2.5*10^-5)</f>
        <v>1.2800000000000003E-5</v>
      </c>
      <c r="CS294" s="18">
        <f>(-0.0000009*F294^3)+(0.0002*F294^2)-(0.0134*F294)+6.579</f>
        <v>6.4862209031999996</v>
      </c>
      <c r="CT294" s="18">
        <f>CS294-(SQRT(CP294))/(1+1.4*SQRT(CP294))</f>
        <v>6.4590139714836061</v>
      </c>
      <c r="CU294" s="18">
        <f>10^(-CT294)</f>
        <v>3.4752498120057761E-7</v>
      </c>
      <c r="CV294" s="18">
        <f>(0.000001*F294^3)+(0.00006*F294^2)-(0.014*F294)+10.625</f>
        <v>10.519924952</v>
      </c>
      <c r="CW294" s="18">
        <f>CV294-(2*SQRT(CR294))/(1+1.4*SQRT(CR294))</f>
        <v>10.512805195851559</v>
      </c>
      <c r="CX294" s="18">
        <f>10^(-CW294)</f>
        <v>3.0703989165943582E-11</v>
      </c>
      <c r="CY294">
        <f>EXP(1246.98+-61900/H294-183*LN(H294))</f>
        <v>5.9151385214036801E-3</v>
      </c>
      <c r="CZ294">
        <f>12.225*(F294^2)+15.258*F294+1125.7</f>
        <v>1988.4813999999999</v>
      </c>
      <c r="DA294" s="15">
        <f>10^(-4470.99/H294+6.0875-0.01706*H294)</f>
        <v>2.4025084106449813E-15</v>
      </c>
      <c r="DB294">
        <f>(10^-I294)</f>
        <v>2.137962089502227E-9</v>
      </c>
      <c r="DC294">
        <f>DB294^2</f>
        <v>4.5708818961487287E-18</v>
      </c>
      <c r="DD294" s="20">
        <f>((14.6836*10^-9)*((H294/217.2056)-1)^1.997)*100*100</f>
        <v>1.2693221871404426E-5</v>
      </c>
      <c r="DE294">
        <f>CY294+CZ294*DA294/DB294</f>
        <v>8.1496698591522355E-3</v>
      </c>
      <c r="DF294">
        <f>1+DC294*(CU294*CX294+CU294*DB294)^-1</f>
        <v>1.0060648670502577</v>
      </c>
      <c r="DG294">
        <f>(DE294*DF294/DD294)^0.5</f>
        <v>25.41540670969043</v>
      </c>
      <c r="DH294">
        <f>DD294/(BO294/60/60)</f>
        <v>3.2010363873156117E-2</v>
      </c>
      <c r="DI294" s="16">
        <f>DF294/((DF294-1)+TANH(DG294*DH294)/(DG294*DH294))</f>
        <v>1.2099228328518301</v>
      </c>
      <c r="DJ294">
        <f>$DI294*BR294</f>
        <v>-7.7863870754813878</v>
      </c>
      <c r="DK294">
        <f>$DI294*BY294</f>
        <v>-11.38431594879707</v>
      </c>
      <c r="DL294">
        <f>$DI294*CF294</f>
        <v>-1.7631149144191867</v>
      </c>
      <c r="DM294">
        <f>$DI294*CM294</f>
        <v>-639.98521178193982</v>
      </c>
    </row>
    <row r="295" spans="1:117" ht="15.75" x14ac:dyDescent="0.25">
      <c r="A295" s="52" t="s">
        <v>329</v>
      </c>
      <c r="B295" t="s">
        <v>340</v>
      </c>
      <c r="C295" s="68" t="s">
        <v>518</v>
      </c>
      <c r="D295" s="65">
        <v>43369</v>
      </c>
      <c r="E295" s="42" t="str">
        <f>A295&amp;D295</f>
        <v>56A43369</v>
      </c>
      <c r="F295" s="3">
        <f>VLOOKUP($E295,Water!$C$2:$E$90, 2, FALSE)</f>
        <v>7.8</v>
      </c>
      <c r="G295" s="3">
        <f>VLOOKUP($E295,Water!$C$2:$E$90, 3, FALSE)</f>
        <v>3.17</v>
      </c>
      <c r="H295" s="1">
        <f>F295+273.15</f>
        <v>280.95</v>
      </c>
      <c r="I295" s="3">
        <f>VLOOKUP($E295,Water!$C$2:$F$90, 4, FALSE)</f>
        <v>8.67</v>
      </c>
      <c r="J295">
        <f>10^(I295*-1)</f>
        <v>2.137962089502227E-9</v>
      </c>
      <c r="K295" s="25">
        <f>VLOOKUP($E295,Atm!$D$2:$G$100, 2, FALSE)</f>
        <v>441.56494781122137</v>
      </c>
      <c r="L295" s="25">
        <f>VLOOKUP($E295,Atm!$D$2:$G$100, 3, FALSE)</f>
        <v>1.981603458532571</v>
      </c>
      <c r="M295" s="25">
        <f>VLOOKUP($E295,Atm!$D$2:$G$100, 4, FALSE)</f>
        <v>0.31252456947396895</v>
      </c>
      <c r="N295" s="21">
        <f>VLOOKUP($C295,Raw!$B$2:$F$353, 3, FALSE)</f>
        <v>318.07573667586172</v>
      </c>
      <c r="O295" s="21">
        <f>VLOOKUP($C295,Raw!$B$2:$F$353, 4, FALSE)</f>
        <v>6.6197511107564617</v>
      </c>
      <c r="P295" s="21">
        <f>VLOOKUP($C295,Raw!$B$2:$F$353, 5, FALSE)</f>
        <v>0.310672977399853</v>
      </c>
      <c r="Q295" s="14">
        <v>60</v>
      </c>
      <c r="R295" s="25">
        <v>1140</v>
      </c>
      <c r="S295">
        <f>EXP(24.4543-(100/H295*(67.4509))-(4.8489*LN(H295/100))-(0.000544*G295))</f>
        <v>1.0414869155152969E-2</v>
      </c>
      <c r="T295" s="8">
        <f>EXP(-58.0931+90.5069*(100/H295)+22.294*LN(H295/100)+G295*(0.027766-0.025888*(H295/100)+0.0050578*(H295/100)^2)*G295)</f>
        <v>5.5059426154284385E-2</v>
      </c>
      <c r="U295" s="9">
        <f>(EXP(-67.1962+99.1624*(100/H295)+27.9015*LN(H295/100)+G295*(-0.072909+0.041674*(H295/100)-0.0064603*(H295/100)^2)*G295))</f>
        <v>4.2985163156504705E-2</v>
      </c>
      <c r="V295" s="9">
        <f>(EXP(-64.8539+100.252*(100/H295)+25.2049*LN(H295/100)+(-0.062544+0.035337*(H295/100)-0.0054699*(H295/100)^2)*G295))</f>
        <v>4.2669475506262267E-2</v>
      </c>
      <c r="W295" s="9">
        <f>(EXP(-68.8862+101.4956*(100/H295)+28.7314*LN(H295/100)+G295*(-0.076146+0.04397*(H295/100)-0.0068672*(H295/100)^2)))</f>
        <v>4.4948961873518024E-2</v>
      </c>
      <c r="X295">
        <f>N295*(AZ295-S295)</f>
        <v>288.68917950365613</v>
      </c>
      <c r="Y295">
        <f>O295*(AZ295-S295)</f>
        <v>6.0081618819928231</v>
      </c>
      <c r="Z295">
        <f>((Y295/10^6)*AZ295)/(0.082056*H295)</f>
        <v>2.3925299189685307E-7</v>
      </c>
      <c r="AA295">
        <f>(((L295/10^6)*AZ295)/(0.082056*H295))</f>
        <v>7.8910083569488527E-8</v>
      </c>
      <c r="AB295">
        <f>((Y295/10^6)*U295*1)/(0.082056*H295)</f>
        <v>1.1202651509530994E-8</v>
      </c>
      <c r="AC295">
        <f>(Z295*(Q295/1000))+(AB295*(R295/1000))</f>
        <v>2.7126202234676519E-8</v>
      </c>
      <c r="AD295" s="39">
        <f>((AC295-(AA295*(Q295/1000)))/(R295/1000))*1000000</f>
        <v>1.9641751947813341E-2</v>
      </c>
      <c r="AE295" s="39">
        <f>(AD295/((U295*AZ295*1))*(0.0821*273.15))</f>
        <v>11.162227606660059</v>
      </c>
      <c r="AF295" s="39">
        <f>L295*U295*AZ295*1/(0.0821*273.15)</f>
        <v>3.4869530494255887E-3</v>
      </c>
      <c r="AG295" s="39">
        <f>AD295-AF295</f>
        <v>1.6154798898387751E-2</v>
      </c>
      <c r="AH295" s="42">
        <f>P295*(AZ295-S295)</f>
        <v>0.28197035044807223</v>
      </c>
      <c r="AI295">
        <f>(((X295/10^6)*(Q295/1000))/(0.082056*H295))</f>
        <v>7.5135015031901212E-7</v>
      </c>
      <c r="AJ295">
        <f>(((K295/10^6)*AZ295)*(Q295/1000))/(0.082056*H295)</f>
        <v>1.0550221877068125E-6</v>
      </c>
      <c r="AK295">
        <f>(X295/10^6)*T295*(R295/1000)</f>
        <v>1.8120369038881654E-5</v>
      </c>
      <c r="AL295">
        <f>AI295+AK295</f>
        <v>1.8871719189200665E-5</v>
      </c>
      <c r="AM295" s="39">
        <f>((AL295-AJ295)/(R295/1000))*1000000</f>
        <v>15.628681580257766</v>
      </c>
      <c r="AN295" s="39">
        <f>AM295/(T295*AZ295)</f>
        <v>309.19718509848906</v>
      </c>
      <c r="AO295" s="39">
        <f>(K295*AZ295)*T295</f>
        <v>22.319342797854084</v>
      </c>
      <c r="AP295" s="39">
        <f>AM295-AO295</f>
        <v>-6.6906612175963183</v>
      </c>
      <c r="AQ295">
        <f>(((AH295/10^6)*(Q295/1000))/(0.082056*H295))</f>
        <v>7.3386354680460231E-10</v>
      </c>
      <c r="AR295">
        <f>(((M295/10^6)*AZ295)*(Q295/1000))/(0.082056*H295)</f>
        <v>7.4670862493260926E-10</v>
      </c>
      <c r="AS295">
        <f>(AH295/10^6)*V295*(R295/1000)</f>
        <v>1.3715940736607275E-8</v>
      </c>
      <c r="AT295">
        <f>AQ295+AS295</f>
        <v>1.4449804283411876E-8</v>
      </c>
      <c r="AU295" s="39">
        <f>((AT295-AR295)/(R295/1000))*1000000000</f>
        <v>12.020259349543219</v>
      </c>
      <c r="AV295" s="39">
        <f>(AU295/1000)/(V295*AZ295)</f>
        <v>0.30686079290055795</v>
      </c>
      <c r="AW295" s="39">
        <f>(M295*AZ295)*V295*1000</f>
        <v>12.242119114248739</v>
      </c>
      <c r="AX295" s="39">
        <f>AU295-AW295</f>
        <v>-0.22185976470552049</v>
      </c>
      <c r="AY295" s="26">
        <f>VLOOKUP($E295,Water!$C$2:$G$90, 5, FALSE)</f>
        <v>697.7</v>
      </c>
      <c r="AZ295">
        <f>AY295/760</f>
        <v>0.91802631578947369</v>
      </c>
      <c r="BA295" s="3">
        <f>Assumptions!$B$3</f>
        <v>406.07</v>
      </c>
      <c r="BB295" s="3">
        <f>BA295*AZ295*T295</f>
        <v>20.525215089761449</v>
      </c>
      <c r="BC295" s="3">
        <f>Assumptions!$B$4</f>
        <v>1.8474300000000001</v>
      </c>
      <c r="BD295" s="45">
        <f>BC295*AZ295*U295*1/(0.0821*273.15)</f>
        <v>3.2508530626358069E-3</v>
      </c>
      <c r="BE295" s="3">
        <f>Assumptions!$B$2</f>
        <v>0.33054499999999998</v>
      </c>
      <c r="BF295" s="44">
        <f>BE295*AZ295*V295*1000</f>
        <v>12.948010037836083</v>
      </c>
      <c r="BG295">
        <f>1923.6+(-125.06*F295)+(4.3773*(F295^2))+(-0.085681*(F295^3))+(0.00070284*(F295^4))</f>
        <v>1176.3884082839038</v>
      </c>
      <c r="BH295">
        <f>1909.4+(-120.78*F295)+(4.1555*(F295^2))+(-0.080578*(F295^3))+(0.00065777*(F295^4))</f>
        <v>1184.3329082825121</v>
      </c>
      <c r="BI295">
        <f>2141.2+(-152.56*F295)+(5.8963*(F295^2))+(-0.12411*(F295^3))+(0.0010655*(F295^4))</f>
        <v>1255.0101974967997</v>
      </c>
      <c r="BJ295" s="25">
        <f>VLOOKUP(E295,Wind!$C$2:$E$109,3, FALSE)</f>
        <v>0.91666666666666663</v>
      </c>
      <c r="BK295" s="44">
        <v>1.66</v>
      </c>
      <c r="BL295">
        <f>BK295/(1-(((1.3*10^-3)^0.5)/0.41)*LN(10/1.5))</f>
        <v>1.9923982880693825</v>
      </c>
      <c r="BM295">
        <f>BK295*1.22</f>
        <v>2.0251999999999999</v>
      </c>
      <c r="BN295">
        <f>2.07+0.215*(BM295^1.7)*(24/100)</f>
        <v>2.241255750541113</v>
      </c>
      <c r="BO295">
        <f>BN295*((600/BG295)^0.67)</f>
        <v>1.4275251264911817</v>
      </c>
      <c r="BP295">
        <f>BN295*((600/BH295)^0.67)</f>
        <v>1.4211021964823858</v>
      </c>
      <c r="BQ295">
        <f>BN295*((600/BI295)^0.67)</f>
        <v>1.3669703478387853</v>
      </c>
      <c r="BR295" s="39">
        <f>BO295*(AM295-BB295)</f>
        <v>-6.9899246175225551</v>
      </c>
      <c r="BS295" s="39">
        <f>BP295*(AD295-BD295)</f>
        <v>2.3293142408046481E-2</v>
      </c>
      <c r="BT295" s="39">
        <f>BQ295*(AU295-BF295)</f>
        <v>-1.2682076810833689</v>
      </c>
      <c r="BU295">
        <f>(2.51+1.48*BM295)+(0.39*BM295*LOG10(0.0015))</f>
        <v>3.2768938069574309</v>
      </c>
      <c r="BV295">
        <f>BU295*((600/$BG295)^0.67)</f>
        <v>2.0871550447313698</v>
      </c>
      <c r="BW295">
        <f>BU295*((600/$BH295)^0.67)</f>
        <v>2.077764211238466</v>
      </c>
      <c r="BX295">
        <f>BU295*((600/$BI295)^0.67)</f>
        <v>1.9986191518062506</v>
      </c>
      <c r="BY295" s="39">
        <f>BV295*($AM295-$BB295)</f>
        <v>-10.219824616056812</v>
      </c>
      <c r="BZ295" s="39">
        <f>BW295*($AD295-$BD295)</f>
        <v>3.4056423093650347E-2</v>
      </c>
      <c r="CA295" s="39">
        <f>BX295*($AU295-$BF295)</f>
        <v>-1.8542202937235492</v>
      </c>
      <c r="CB295" s="42">
        <f>AVERAGE(0.72,0.69,0.4,0.22)</f>
        <v>0.50750000000000006</v>
      </c>
      <c r="CC295">
        <f>CB295*((600/$BG295)^0.67)</f>
        <v>0.3232424508088218</v>
      </c>
      <c r="CD295">
        <f>CB295*((600/$BH295)^0.67)</f>
        <v>0.3217880710582392</v>
      </c>
      <c r="CE295">
        <f>CB295*((600/$BI295)^0.67)</f>
        <v>0.30953069562038715</v>
      </c>
      <c r="CF295" s="39">
        <f>CC295*($AM295-$BB295)</f>
        <v>-1.5827674920794921</v>
      </c>
      <c r="CG295" s="39">
        <f>CD295*($AD295-$BD295)</f>
        <v>5.2743957351719219E-3</v>
      </c>
      <c r="CH295" s="39">
        <f>CE295*($AU295-$BF295)</f>
        <v>-0.28716731590958322</v>
      </c>
      <c r="CI295">
        <v>118.862639018895</v>
      </c>
      <c r="CJ295">
        <f>((BG295/BH295)^0.67)*CI295</f>
        <v>118.32783483442809</v>
      </c>
      <c r="CK295">
        <f>((BH295/BH295)^0.67)*CI295</f>
        <v>118.862639018895</v>
      </c>
      <c r="CL295">
        <f>((BI295/BH295)^0.67)*CI295</f>
        <v>123.56958412192702</v>
      </c>
      <c r="CM295" s="39">
        <f>CJ295*($AM295-$BB295)</f>
        <v>-579.39620837379437</v>
      </c>
      <c r="CN295" s="39">
        <f>CK295*($AD295-$BD295)</f>
        <v>1.9482654973840654</v>
      </c>
      <c r="CO295" s="39">
        <f>CL295*($AU295-$BF295)</f>
        <v>-114.64176672118077</v>
      </c>
      <c r="CP295" s="27">
        <f>VLOOKUP(A295,Water!$A$2:$E$109, 5, FALSE)/1000</f>
        <v>8.0000000000000004E-4</v>
      </c>
      <c r="CQ295">
        <f>0.64*CP295</f>
        <v>5.1200000000000009E-4</v>
      </c>
      <c r="CR295" s="19">
        <f>CQ295*1000*(2.5*10^-5)</f>
        <v>1.2800000000000003E-5</v>
      </c>
      <c r="CS295" s="18">
        <f>(-0.0000009*F295^3)+(0.0002*F295^2)-(0.0134*F295)+6.579</f>
        <v>6.4862209031999996</v>
      </c>
      <c r="CT295" s="18">
        <f>CS295-(SQRT(CP295))/(1+1.4*SQRT(CP295))</f>
        <v>6.4590139714836061</v>
      </c>
      <c r="CU295" s="18">
        <f>10^(-CT295)</f>
        <v>3.4752498120057761E-7</v>
      </c>
      <c r="CV295" s="18">
        <f>(0.000001*F295^3)+(0.00006*F295^2)-(0.014*F295)+10.625</f>
        <v>10.519924952</v>
      </c>
      <c r="CW295" s="18">
        <f>CV295-(2*SQRT(CR295))/(1+1.4*SQRT(CR295))</f>
        <v>10.512805195851559</v>
      </c>
      <c r="CX295" s="18">
        <f>10^(-CW295)</f>
        <v>3.0703989165943582E-11</v>
      </c>
      <c r="CY295">
        <f>EXP(1246.98+-61900/H295-183*LN(H295))</f>
        <v>5.9151385214036801E-3</v>
      </c>
      <c r="CZ295">
        <f>12.225*(F295^2)+15.258*F295+1125.7</f>
        <v>1988.4813999999999</v>
      </c>
      <c r="DA295" s="15">
        <f>10^(-4470.99/H295+6.0875-0.01706*H295)</f>
        <v>2.4025084106449813E-15</v>
      </c>
      <c r="DB295">
        <f>(10^-I295)</f>
        <v>2.137962089502227E-9</v>
      </c>
      <c r="DC295">
        <f>DB295^2</f>
        <v>4.5708818961487287E-18</v>
      </c>
      <c r="DD295" s="20">
        <f>((14.6836*10^-9)*((H295/217.2056)-1)^1.997)*100*100</f>
        <v>1.2693221871404426E-5</v>
      </c>
      <c r="DE295">
        <f>CY295+CZ295*DA295/DB295</f>
        <v>8.1496698591522355E-3</v>
      </c>
      <c r="DF295">
        <f>1+DC295*(CU295*CX295+CU295*DB295)^-1</f>
        <v>1.0060648670502577</v>
      </c>
      <c r="DG295">
        <f>(DE295*DF295/DD295)^0.5</f>
        <v>25.41540670969043</v>
      </c>
      <c r="DH295">
        <f>DD295/(BO295/60/60)</f>
        <v>3.2010363873156117E-2</v>
      </c>
      <c r="DI295" s="16">
        <f>DF295/((DF295-1)+TANH(DG295*DH295)/(DG295*DH295))</f>
        <v>1.2099228328518301</v>
      </c>
      <c r="DJ295">
        <f>$DI295*BR295</f>
        <v>-8.4572693946536344</v>
      </c>
      <c r="DK295">
        <f>$DI295*BY295</f>
        <v>-12.365199150708325</v>
      </c>
      <c r="DL295">
        <f>$DI295*CF295</f>
        <v>-1.9150265277626057</v>
      </c>
      <c r="DM295">
        <f>$DI295*CM295</f>
        <v>-701.02470177923055</v>
      </c>
    </row>
    <row r="296" spans="1:117" ht="15.75" x14ac:dyDescent="0.25">
      <c r="A296" s="52" t="s">
        <v>329</v>
      </c>
      <c r="B296" t="s">
        <v>341</v>
      </c>
      <c r="C296" s="68" t="s">
        <v>519</v>
      </c>
      <c r="D296" s="65">
        <v>43369</v>
      </c>
      <c r="E296" s="42" t="str">
        <f>A296&amp;D296</f>
        <v>56A43369</v>
      </c>
      <c r="F296" s="3">
        <f>VLOOKUP($E296,Water!$C$2:$E$90, 2, FALSE)</f>
        <v>7.8</v>
      </c>
      <c r="G296" s="3">
        <f>VLOOKUP($E296,Water!$C$2:$E$90, 3, FALSE)</f>
        <v>3.17</v>
      </c>
      <c r="H296" s="1">
        <f>F296+273.15</f>
        <v>280.95</v>
      </c>
      <c r="I296" s="3">
        <f>VLOOKUP($E296,Water!$C$2:$F$90, 4, FALSE)</f>
        <v>8.67</v>
      </c>
      <c r="J296">
        <f>10^(I296*-1)</f>
        <v>2.137962089502227E-9</v>
      </c>
      <c r="K296" s="25">
        <f>VLOOKUP($E296,Atm!$D$2:$G$100, 2, FALSE)</f>
        <v>441.56494781122137</v>
      </c>
      <c r="L296" s="25">
        <f>VLOOKUP($E296,Atm!$D$2:$G$100, 3, FALSE)</f>
        <v>1.981603458532571</v>
      </c>
      <c r="M296" s="25">
        <f>VLOOKUP($E296,Atm!$D$2:$G$100, 4, FALSE)</f>
        <v>0.31252456947396895</v>
      </c>
      <c r="N296" s="21">
        <f>VLOOKUP($C296,Raw!$B$2:$F$353, 3, FALSE)</f>
        <v>330.6598164208005</v>
      </c>
      <c r="O296" s="21">
        <f>VLOOKUP($C296,Raw!$B$2:$F$353, 4, FALSE)</f>
        <v>6.4020509536132542</v>
      </c>
      <c r="P296" s="21">
        <f>VLOOKUP($C296,Raw!$B$2:$F$353, 5, FALSE)</f>
        <v>0.30753935249507713</v>
      </c>
      <c r="Q296" s="14">
        <v>60</v>
      </c>
      <c r="R296" s="25">
        <v>1140</v>
      </c>
      <c r="S296">
        <f>EXP(24.4543-(100/H296*(67.4509))-(4.8489*LN(H296/100))-(0.000544*G296))</f>
        <v>1.0414869155152969E-2</v>
      </c>
      <c r="T296" s="8">
        <f>EXP(-58.0931+90.5069*(100/H296)+22.294*LN(H296/100)+G296*(0.027766-0.025888*(H296/100)+0.0050578*(H296/100)^2)*G296)</f>
        <v>5.5059426154284385E-2</v>
      </c>
      <c r="U296" s="9">
        <f>(EXP(-67.1962+99.1624*(100/H296)+27.9015*LN(H296/100)+G296*(-0.072909+0.041674*(H296/100)-0.0064603*(H296/100)^2)*G296))</f>
        <v>4.2985163156504705E-2</v>
      </c>
      <c r="V296" s="9">
        <f>(EXP(-64.8539+100.252*(100/H296)+25.2049*LN(H296/100)+(-0.062544+0.035337*(H296/100)-0.0054699*(H296/100)^2)*G296))</f>
        <v>4.2669475506262267E-2</v>
      </c>
      <c r="W296" s="9">
        <f>(EXP(-68.8862+101.4956*(100/H296)+28.7314*LN(H296/100)+G296*(-0.076146+0.04397*(H296/100)-0.0068672*(H296/100)^2)))</f>
        <v>4.4948961873518024E-2</v>
      </c>
      <c r="X296">
        <f>N296*(AZ296-S296)</f>
        <v>300.11063432552163</v>
      </c>
      <c r="Y296">
        <f>O296*(AZ296-S296)</f>
        <v>5.8105747274355579</v>
      </c>
      <c r="Z296">
        <f>((Y296/10^6)*AZ296)/(0.082056*H296)</f>
        <v>2.313848087791685E-7</v>
      </c>
      <c r="AA296">
        <f>(((L296/10^6)*AZ296)/(0.082056*H296))</f>
        <v>7.8910083569488527E-8</v>
      </c>
      <c r="AB296">
        <f>((Y296/10^6)*U296*1)/(0.082056*H296)</f>
        <v>1.0834235997642243E-8</v>
      </c>
      <c r="AC296">
        <f>(Z296*(Q296/1000))+(AB296*(R296/1000))</f>
        <v>2.6234117564062264E-8</v>
      </c>
      <c r="AD296" s="39">
        <f>((AC296-(AA296*(Q296/1000)))/(R296/1000))*1000000</f>
        <v>1.8859221534993819E-2</v>
      </c>
      <c r="AE296" s="39">
        <f>(AD296/((U296*AZ296*1))*(0.0821*273.15))</f>
        <v>10.717522745289605</v>
      </c>
      <c r="AF296" s="39">
        <f>L296*U296*AZ296*1/(0.0821*273.15)</f>
        <v>3.4869530494255887E-3</v>
      </c>
      <c r="AG296" s="39">
        <f>AD296-AF296</f>
        <v>1.5372268485568229E-2</v>
      </c>
      <c r="AH296" s="42">
        <f>P296*(AZ296-S296)</f>
        <v>0.27912623661503921</v>
      </c>
      <c r="AI296">
        <f>(((X296/10^6)*(Q296/1000))/(0.082056*H296))</f>
        <v>7.8107593294801343E-7</v>
      </c>
      <c r="AJ296">
        <f>(((K296/10^6)*AZ296)*(Q296/1000))/(0.082056*H296)</f>
        <v>1.0550221877068125E-6</v>
      </c>
      <c r="AK296">
        <f>(X296/10^6)*T296*(R296/1000)</f>
        <v>1.8837268011988111E-5</v>
      </c>
      <c r="AL296">
        <f>AI296+AK296</f>
        <v>1.9618343944936125E-5</v>
      </c>
      <c r="AM296" s="39">
        <f>((AL296-AJ296)/(R296/1000))*1000000</f>
        <v>16.28361557651694</v>
      </c>
      <c r="AN296" s="39">
        <f>AM296/(T296*AZ296)</f>
        <v>322.15437198778142</v>
      </c>
      <c r="AO296" s="39">
        <f>(K296*AZ296)*T296</f>
        <v>22.319342797854084</v>
      </c>
      <c r="AP296" s="39">
        <f>AM296-AO296</f>
        <v>-6.0357272213371438</v>
      </c>
      <c r="AQ296">
        <f>(((AH296/10^6)*(Q296/1000))/(0.082056*H296))</f>
        <v>7.2646138036508489E-10</v>
      </c>
      <c r="AR296">
        <f>(((M296/10^6)*AZ296)*(Q296/1000))/(0.082056*H296)</f>
        <v>7.4670862493260926E-10</v>
      </c>
      <c r="AS296">
        <f>(AH296/10^6)*V296*(R296/1000)</f>
        <v>1.3577593932696662E-8</v>
      </c>
      <c r="AT296">
        <f>AQ296+AS296</f>
        <v>1.4304055313061747E-8</v>
      </c>
      <c r="AU296" s="39">
        <f>((AT296-AR296)/(R296/1000))*1000000000</f>
        <v>11.892409375551876</v>
      </c>
      <c r="AV296" s="39">
        <f>(AU296/1000)/(V296*AZ296)</f>
        <v>0.30359695779929696</v>
      </c>
      <c r="AW296" s="39">
        <f>(M296*AZ296)*V296*1000</f>
        <v>12.242119114248739</v>
      </c>
      <c r="AX296" s="39">
        <f>AU296-AW296</f>
        <v>-0.34970973869686262</v>
      </c>
      <c r="AY296" s="26">
        <f>VLOOKUP($E296,Water!$C$2:$G$90, 5, FALSE)</f>
        <v>697.7</v>
      </c>
      <c r="AZ296">
        <f>AY296/760</f>
        <v>0.91802631578947369</v>
      </c>
      <c r="BA296" s="3">
        <f>Assumptions!$B$3</f>
        <v>406.07</v>
      </c>
      <c r="BB296" s="3">
        <f>BA296*AZ296*T296</f>
        <v>20.525215089761449</v>
      </c>
      <c r="BC296" s="3">
        <f>Assumptions!$B$4</f>
        <v>1.8474300000000001</v>
      </c>
      <c r="BD296" s="45">
        <f>BC296*AZ296*U296*1/(0.0821*273.15)</f>
        <v>3.2508530626358069E-3</v>
      </c>
      <c r="BE296" s="3">
        <f>Assumptions!$B$2</f>
        <v>0.33054499999999998</v>
      </c>
      <c r="BF296" s="44">
        <f>BE296*AZ296*V296*1000</f>
        <v>12.948010037836083</v>
      </c>
      <c r="BG296">
        <f>1923.6+(-125.06*F296)+(4.3773*(F296^2))+(-0.085681*(F296^3))+(0.00070284*(F296^4))</f>
        <v>1176.3884082839038</v>
      </c>
      <c r="BH296">
        <f>1909.4+(-120.78*F296)+(4.1555*(F296^2))+(-0.080578*(F296^3))+(0.00065777*(F296^4))</f>
        <v>1184.3329082825121</v>
      </c>
      <c r="BI296">
        <f>2141.2+(-152.56*F296)+(5.8963*(F296^2))+(-0.12411*(F296^3))+(0.0010655*(F296^4))</f>
        <v>1255.0101974967997</v>
      </c>
      <c r="BJ296" s="25">
        <f>VLOOKUP(E296,Wind!$C$2:$E$109,3, FALSE)</f>
        <v>0.91666666666666663</v>
      </c>
      <c r="BK296" s="44">
        <v>1.66</v>
      </c>
      <c r="BL296">
        <f>BK296/(1-(((1.3*10^-3)^0.5)/0.41)*LN(10/1.5))</f>
        <v>1.9923982880693825</v>
      </c>
      <c r="BM296">
        <f>BK296*1.22</f>
        <v>2.0251999999999999</v>
      </c>
      <c r="BN296">
        <f>2.07+0.215*(BM296^1.7)*(24/100)</f>
        <v>2.241255750541113</v>
      </c>
      <c r="BO296">
        <f>BN296*((600/BG296)^0.67)</f>
        <v>1.4275251264911817</v>
      </c>
      <c r="BP296">
        <f>BN296*((600/BH296)^0.67)</f>
        <v>1.4211021964823858</v>
      </c>
      <c r="BQ296">
        <f>BN296*((600/BI296)^0.67)</f>
        <v>1.3669703478387853</v>
      </c>
      <c r="BR296" s="39">
        <f>BO296*(AM296-BB296)</f>
        <v>-6.054989881669302</v>
      </c>
      <c r="BS296" s="39">
        <f>BP296*(AD296-BD296)</f>
        <v>2.2181086719574389E-2</v>
      </c>
      <c r="BT296" s="39">
        <f>BQ296*(AU296-BF296)</f>
        <v>-1.4429748045014936</v>
      </c>
      <c r="BU296">
        <f>(2.51+1.48*BM296)+(0.39*BM296*LOG10(0.0015))</f>
        <v>3.2768938069574309</v>
      </c>
      <c r="BV296">
        <f>BU296*((600/$BG296)^0.67)</f>
        <v>2.0871550447313698</v>
      </c>
      <c r="BW296">
        <f>BU296*((600/$BH296)^0.67)</f>
        <v>2.077764211238466</v>
      </c>
      <c r="BX296">
        <f>BU296*((600/$BI296)^0.67)</f>
        <v>1.9986191518062506</v>
      </c>
      <c r="BY296" s="39">
        <f>BV296*($AM296-$BB296)</f>
        <v>-8.8528758217983992</v>
      </c>
      <c r="BZ296" s="39">
        <f>BW296*($AD296-$BD296)</f>
        <v>3.2430509407688282E-2</v>
      </c>
      <c r="CA296" s="39">
        <f>BX296*($AU296-$BF296)</f>
        <v>-2.1097437003005766</v>
      </c>
      <c r="CB296" s="42">
        <f>AVERAGE(0.72,0.69,0.4,0.22)</f>
        <v>0.50750000000000006</v>
      </c>
      <c r="CC296">
        <f>CB296*((600/$BG296)^0.67)</f>
        <v>0.3232424508088218</v>
      </c>
      <c r="CD296">
        <f>CB296*((600/$BH296)^0.67)</f>
        <v>0.3217880710582392</v>
      </c>
      <c r="CE296">
        <f>CB296*((600/$BI296)^0.67)</f>
        <v>0.30953069562038715</v>
      </c>
      <c r="CF296" s="39">
        <f>CC296*($AM296-$BB296)</f>
        <v>-1.3710650220106606</v>
      </c>
      <c r="CG296" s="39">
        <f>CD296*($AD296-$BD296)</f>
        <v>5.0225867830863205E-3</v>
      </c>
      <c r="CH296" s="39">
        <f>CE296*($AU296-$BF296)</f>
        <v>-0.32674080729417171</v>
      </c>
      <c r="CI296">
        <v>119.862639018895</v>
      </c>
      <c r="CJ296">
        <f>((BG296/BH296)^0.67)*CI296</f>
        <v>119.3233354880491</v>
      </c>
      <c r="CK296">
        <f>((BH296/BH296)^0.67)*CI296</f>
        <v>119.862639018895</v>
      </c>
      <c r="CL296">
        <f>((BI296/BH296)^0.67)*CI296</f>
        <v>124.60918399234789</v>
      </c>
      <c r="CM296" s="39">
        <f>CJ296*($AM296-$BB296)</f>
        <v>-506.12180172482027</v>
      </c>
      <c r="CN296" s="39">
        <f>CK296*($AD296-$BD296)</f>
        <v>1.8708602358761499</v>
      </c>
      <c r="CO296" s="39">
        <f>CL296*($AU296-$BF296)</f>
        <v>-131.53753714901694</v>
      </c>
      <c r="CP296" s="27">
        <f>VLOOKUP(A296,Water!$A$2:$E$109, 5, FALSE)/1000</f>
        <v>8.0000000000000004E-4</v>
      </c>
      <c r="CQ296">
        <f>0.64*CP296</f>
        <v>5.1200000000000009E-4</v>
      </c>
      <c r="CR296" s="19">
        <f>CQ296*1000*(2.5*10^-5)</f>
        <v>1.2800000000000003E-5</v>
      </c>
      <c r="CS296" s="18">
        <f>(-0.0000009*F296^3)+(0.0002*F296^2)-(0.0134*F296)+6.579</f>
        <v>6.4862209031999996</v>
      </c>
      <c r="CT296" s="18">
        <f>CS296-(SQRT(CP296))/(1+1.4*SQRT(CP296))</f>
        <v>6.4590139714836061</v>
      </c>
      <c r="CU296" s="18">
        <f>10^(-CT296)</f>
        <v>3.4752498120057761E-7</v>
      </c>
      <c r="CV296" s="18">
        <f>(0.000001*F296^3)+(0.00006*F296^2)-(0.014*F296)+10.625</f>
        <v>10.519924952</v>
      </c>
      <c r="CW296" s="18">
        <f>CV296-(2*SQRT(CR296))/(1+1.4*SQRT(CR296))</f>
        <v>10.512805195851559</v>
      </c>
      <c r="CX296" s="18">
        <f>10^(-CW296)</f>
        <v>3.0703989165943582E-11</v>
      </c>
      <c r="CY296">
        <f>EXP(1246.98+-61900/H296-183*LN(H296))</f>
        <v>5.9151385214036801E-3</v>
      </c>
      <c r="CZ296">
        <f>12.225*(F296^2)+15.258*F296+1125.7</f>
        <v>1988.4813999999999</v>
      </c>
      <c r="DA296" s="15">
        <f>10^(-4470.99/H296+6.0875-0.01706*H296)</f>
        <v>2.4025084106449813E-15</v>
      </c>
      <c r="DB296">
        <f>(10^-I296)</f>
        <v>2.137962089502227E-9</v>
      </c>
      <c r="DC296">
        <f>DB296^2</f>
        <v>4.5708818961487287E-18</v>
      </c>
      <c r="DD296" s="20">
        <f>((14.6836*10^-9)*((H296/217.2056)-1)^1.997)*100*100</f>
        <v>1.2693221871404426E-5</v>
      </c>
      <c r="DE296">
        <f>CY296+CZ296*DA296/DB296</f>
        <v>8.1496698591522355E-3</v>
      </c>
      <c r="DF296">
        <f>1+DC296*(CU296*CX296+CU296*DB296)^-1</f>
        <v>1.0060648670502577</v>
      </c>
      <c r="DG296">
        <f>(DE296*DF296/DD296)^0.5</f>
        <v>25.41540670969043</v>
      </c>
      <c r="DH296">
        <f>DD296/(BO296/60/60)</f>
        <v>3.2010363873156117E-2</v>
      </c>
      <c r="DI296" s="16">
        <f>DF296/((DF296-1)+TANH(DG296*DH296)/(DG296*DH296))</f>
        <v>1.2099228328518301</v>
      </c>
      <c r="DJ296">
        <f>$DI296*BR296</f>
        <v>-7.3260705105184893</v>
      </c>
      <c r="DK296">
        <f>$DI296*BY296</f>
        <v>-10.711296593195792</v>
      </c>
      <c r="DL296">
        <f>$DI296*CF296</f>
        <v>-1.6588828754551952</v>
      </c>
      <c r="DM296">
        <f>$DI296*CM296</f>
        <v>-612.3683241109668</v>
      </c>
    </row>
    <row r="297" spans="1:117" ht="15.75" x14ac:dyDescent="0.25">
      <c r="A297" s="52" t="s">
        <v>329</v>
      </c>
      <c r="B297" t="s">
        <v>342</v>
      </c>
      <c r="C297" s="68" t="s">
        <v>520</v>
      </c>
      <c r="D297" s="65">
        <v>43369</v>
      </c>
      <c r="E297" s="42" t="str">
        <f>A297&amp;D297</f>
        <v>56A43369</v>
      </c>
      <c r="F297" s="3">
        <f>VLOOKUP($E297,Water!$C$2:$E$90, 2, FALSE)</f>
        <v>7.8</v>
      </c>
      <c r="G297" s="3">
        <f>VLOOKUP($E297,Water!$C$2:$E$90, 3, FALSE)</f>
        <v>3.17</v>
      </c>
      <c r="H297" s="1">
        <f>F297+273.15</f>
        <v>280.95</v>
      </c>
      <c r="I297" s="3">
        <f>VLOOKUP($E297,Water!$C$2:$F$90, 4, FALSE)</f>
        <v>8.67</v>
      </c>
      <c r="J297">
        <f>10^(I297*-1)</f>
        <v>2.137962089502227E-9</v>
      </c>
      <c r="K297" s="25">
        <f>VLOOKUP($E297,Atm!$D$2:$G$100, 2, FALSE)</f>
        <v>441.56494781122137</v>
      </c>
      <c r="L297" s="25">
        <f>VLOOKUP($E297,Atm!$D$2:$G$100, 3, FALSE)</f>
        <v>1.981603458532571</v>
      </c>
      <c r="M297" s="25">
        <f>VLOOKUP($E297,Atm!$D$2:$G$100, 4, FALSE)</f>
        <v>0.31252456947396895</v>
      </c>
      <c r="N297" s="21">
        <f>VLOOKUP($C297,Raw!$B$2:$F$353, 3, FALSE)</f>
        <v>334.65774573906248</v>
      </c>
      <c r="O297" s="21">
        <f>VLOOKUP($C297,Raw!$B$2:$F$353, 4, FALSE)</f>
        <v>6.7163535166686126</v>
      </c>
      <c r="P297" s="21">
        <f>VLOOKUP($C297,Raw!$B$2:$F$353, 5, FALSE)</f>
        <v>0.31142137629369193</v>
      </c>
      <c r="Q297" s="14">
        <v>60</v>
      </c>
      <c r="R297" s="25">
        <v>1140</v>
      </c>
      <c r="S297">
        <f>EXP(24.4543-(100/H297*(67.4509))-(4.8489*LN(H297/100))-(0.000544*G297))</f>
        <v>1.0414869155152969E-2</v>
      </c>
      <c r="T297" s="8">
        <f>EXP(-58.0931+90.5069*(100/H297)+22.294*LN(H297/100)+G297*(0.027766-0.025888*(H297/100)+0.0050578*(H297/100)^2)*G297)</f>
        <v>5.5059426154284385E-2</v>
      </c>
      <c r="U297" s="9">
        <f>(EXP(-67.1962+99.1624*(100/H297)+27.9015*LN(H297/100)+G297*(-0.072909+0.041674*(H297/100)-0.0064603*(H297/100)^2)*G297))</f>
        <v>4.2985163156504705E-2</v>
      </c>
      <c r="V297" s="9">
        <f>(EXP(-64.8539+100.252*(100/H297)+25.2049*LN(H297/100)+(-0.062544+0.035337*(H297/100)-0.0054699*(H297/100)^2)*G297))</f>
        <v>4.2669475506262267E-2</v>
      </c>
      <c r="W297" s="9">
        <f>(EXP(-68.8862+101.4956*(100/H297)+28.7314*LN(H297/100)+G297*(-0.076146+0.04397*(H297/100)-0.0068672*(H297/100)^2)))</f>
        <v>4.4948961873518024E-2</v>
      </c>
      <c r="X297">
        <f>N297*(AZ297-S297)</f>
        <v>303.73920073761116</v>
      </c>
      <c r="Y297">
        <f>O297*(AZ297-S297)</f>
        <v>6.0958393313711063</v>
      </c>
      <c r="Z297">
        <f>((Y297/10^6)*AZ297)/(0.082056*H297)</f>
        <v>2.4274442446768805E-7</v>
      </c>
      <c r="AA297">
        <f>(((L297/10^6)*AZ297)/(0.082056*H297))</f>
        <v>7.8910083569488527E-8</v>
      </c>
      <c r="AB297">
        <f>((Y297/10^6)*U297*1)/(0.082056*H297)</f>
        <v>1.1366132442621909E-8</v>
      </c>
      <c r="AC297">
        <f>(Z297*(Q297/1000))+(AB297*(R297/1000))</f>
        <v>2.7522056452650256E-8</v>
      </c>
      <c r="AD297" s="39">
        <f>((AC297-(AA297*(Q297/1000)))/(R297/1000))*1000000</f>
        <v>1.9988992489895566E-2</v>
      </c>
      <c r="AE297" s="39">
        <f>(AD297/((U297*AZ297*1))*(0.0821*273.15))</f>
        <v>11.359561224113326</v>
      </c>
      <c r="AF297" s="39">
        <f>L297*U297*AZ297*1/(0.0821*273.15)</f>
        <v>3.4869530494255887E-3</v>
      </c>
      <c r="AG297" s="39">
        <f>AD297-AF297</f>
        <v>1.6502039440469976E-2</v>
      </c>
      <c r="AH297" s="42">
        <f>P297*(AZ297-S297)</f>
        <v>0.28264960585076887</v>
      </c>
      <c r="AI297">
        <f>(((X297/10^6)*(Q297/1000))/(0.082056*H297))</f>
        <v>7.9051973657048856E-7</v>
      </c>
      <c r="AJ297">
        <f>(((K297/10^6)*AZ297)*(Q297/1000))/(0.082056*H297)</f>
        <v>1.0550221877068125E-6</v>
      </c>
      <c r="AK297">
        <f>(X297/10^6)*T297*(R297/1000)</f>
        <v>1.9065024946218202E-5</v>
      </c>
      <c r="AL297">
        <f>AI297+AK297</f>
        <v>1.9855544682788692E-5</v>
      </c>
      <c r="AM297" s="39">
        <f>((AL297-AJ297)/(R297/1000))*1000000</f>
        <v>16.491686399194631</v>
      </c>
      <c r="AN297" s="39">
        <f>AM297/(T297*AZ297)</f>
        <v>326.27083647281751</v>
      </c>
      <c r="AO297" s="39">
        <f>(K297*AZ297)*T297</f>
        <v>22.319342797854084</v>
      </c>
      <c r="AP297" s="39">
        <f>AM297-AO297</f>
        <v>-5.8276563986594532</v>
      </c>
      <c r="AQ297">
        <f>(((AH297/10^6)*(Q297/1000))/(0.082056*H297))</f>
        <v>7.3563139501352583E-10</v>
      </c>
      <c r="AR297">
        <f>(((M297/10^6)*AZ297)*(Q297/1000))/(0.082056*H297)</f>
        <v>7.4670862493260926E-10</v>
      </c>
      <c r="AS297">
        <f>(AH297/10^6)*V297*(R297/1000)</f>
        <v>1.3748981894422636E-8</v>
      </c>
      <c r="AT297">
        <f>AQ297+AS297</f>
        <v>1.4484613289436162E-8</v>
      </c>
      <c r="AU297" s="39">
        <f>((AT297-AR297)/(R297/1000))*1000000000</f>
        <v>12.050793565353993</v>
      </c>
      <c r="AV297" s="39">
        <f>(AU297/1000)/(V297*AZ297)</f>
        <v>0.30764028969857393</v>
      </c>
      <c r="AW297" s="39">
        <f>(M297*AZ297)*V297*1000</f>
        <v>12.242119114248739</v>
      </c>
      <c r="AX297" s="39">
        <f>AU297-AW297</f>
        <v>-0.19132554889474562</v>
      </c>
      <c r="AY297" s="26">
        <f>VLOOKUP($E297,Water!$C$2:$G$90, 5, FALSE)</f>
        <v>697.7</v>
      </c>
      <c r="AZ297">
        <f>AY297/760</f>
        <v>0.91802631578947369</v>
      </c>
      <c r="BA297" s="3">
        <f>Assumptions!$B$3</f>
        <v>406.07</v>
      </c>
      <c r="BB297" s="3">
        <f>BA297*AZ297*T297</f>
        <v>20.525215089761449</v>
      </c>
      <c r="BC297" s="3">
        <f>Assumptions!$B$4</f>
        <v>1.8474300000000001</v>
      </c>
      <c r="BD297" s="45">
        <f>BC297*AZ297*U297*1/(0.0821*273.15)</f>
        <v>3.2508530626358069E-3</v>
      </c>
      <c r="BE297" s="3">
        <f>Assumptions!$B$2</f>
        <v>0.33054499999999998</v>
      </c>
      <c r="BF297" s="44">
        <f>BE297*AZ297*V297*1000</f>
        <v>12.948010037836083</v>
      </c>
      <c r="BG297">
        <f>1923.6+(-125.06*F297)+(4.3773*(F297^2))+(-0.085681*(F297^3))+(0.00070284*(F297^4))</f>
        <v>1176.3884082839038</v>
      </c>
      <c r="BH297">
        <f>1909.4+(-120.78*F297)+(4.1555*(F297^2))+(-0.080578*(F297^3))+(0.00065777*(F297^4))</f>
        <v>1184.3329082825121</v>
      </c>
      <c r="BI297">
        <f>2141.2+(-152.56*F297)+(5.8963*(F297^2))+(-0.12411*(F297^3))+(0.0010655*(F297^4))</f>
        <v>1255.0101974967997</v>
      </c>
      <c r="BJ297" s="25">
        <f>VLOOKUP(E297,Wind!$C$2:$E$109,3, FALSE)</f>
        <v>0.91666666666666663</v>
      </c>
      <c r="BK297" s="44">
        <v>1.66</v>
      </c>
      <c r="BL297">
        <f>BK297/(1-(((1.3*10^-3)^0.5)/0.41)*LN(10/1.5))</f>
        <v>1.9923982880693825</v>
      </c>
      <c r="BM297">
        <f>BK297*1.22</f>
        <v>2.0251999999999999</v>
      </c>
      <c r="BN297">
        <f>2.07+0.215*(BM297^1.7)*(24/100)</f>
        <v>2.241255750541113</v>
      </c>
      <c r="BO297">
        <f>BN297*((600/BG297)^0.67)</f>
        <v>1.4275251264911817</v>
      </c>
      <c r="BP297">
        <f>BN297*((600/BH297)^0.67)</f>
        <v>1.4211021964823858</v>
      </c>
      <c r="BQ297">
        <f>BN297*((600/BI297)^0.67)</f>
        <v>1.3669703478387853</v>
      </c>
      <c r="BR297" s="39">
        <f>BO297*(AM297-BB297)</f>
        <v>-5.7579635542072083</v>
      </c>
      <c r="BS297" s="39">
        <f>BP297*(AD297-BD297)</f>
        <v>2.3786606705107266E-2</v>
      </c>
      <c r="BT297" s="39">
        <f>BQ297*(AU297-BF297)</f>
        <v>-1.2264683134755294</v>
      </c>
      <c r="BU297">
        <f>(2.51+1.48*BM297)+(0.39*BM297*LOG10(0.0015))</f>
        <v>3.2768938069574309</v>
      </c>
      <c r="BV297">
        <f>BU297*((600/$BG297)^0.67)</f>
        <v>2.0871550447313698</v>
      </c>
      <c r="BW297">
        <f>BU297*((600/$BH297)^0.67)</f>
        <v>2.077764211238466</v>
      </c>
      <c r="BX297">
        <f>BU297*((600/$BI297)^0.67)</f>
        <v>1.9986191518062506</v>
      </c>
      <c r="BY297" s="39">
        <f>BV297*($AM297-$BB297)</f>
        <v>-8.4185997545852516</v>
      </c>
      <c r="BZ297" s="39">
        <f>BW297*($AD297-$BD297)</f>
        <v>3.4777907064679842E-2</v>
      </c>
      <c r="CA297" s="39">
        <f>BX297*($AU297-$BF297)</f>
        <v>-1.7931940252187495</v>
      </c>
      <c r="CB297" s="42">
        <f>AVERAGE(0.72,0.69,0.4,0.22)</f>
        <v>0.50750000000000006</v>
      </c>
      <c r="CC297">
        <f>CB297*((600/$BG297)^0.67)</f>
        <v>0.3232424508088218</v>
      </c>
      <c r="CD297">
        <f>CB297*((600/$BH297)^0.67)</f>
        <v>0.3217880710582392</v>
      </c>
      <c r="CE297">
        <f>CB297*((600/$BI297)^0.67)</f>
        <v>0.30953069562038715</v>
      </c>
      <c r="CF297" s="39">
        <f>CC297*($AM297-$BB297)</f>
        <v>-1.3038076993465162</v>
      </c>
      <c r="CG297" s="39">
        <f>CD297*($AD297-$BD297)</f>
        <v>5.3861335994017778E-3</v>
      </c>
      <c r="CH297" s="39">
        <f>CE297*($AU297-$BF297)</f>
        <v>-0.27771603884945101</v>
      </c>
      <c r="CI297">
        <v>120.862639018895</v>
      </c>
      <c r="CJ297">
        <f>((BG297/BH297)^0.67)*CI297</f>
        <v>120.3188361416701</v>
      </c>
      <c r="CK297">
        <f>((BH297/BH297)^0.67)*CI297</f>
        <v>120.862639018895</v>
      </c>
      <c r="CL297">
        <f>((BI297/BH297)^0.67)*CI297</f>
        <v>125.64878386276878</v>
      </c>
      <c r="CM297" s="39">
        <f>CJ297*($AM297-$BB297)</f>
        <v>-485.30947759303422</v>
      </c>
      <c r="CN297" s="39">
        <f>CK297*($AD297-$BD297)</f>
        <v>2.0230157034448299</v>
      </c>
      <c r="CO297" s="39">
        <f>CL297*($AU297-$BF297)</f>
        <v>-112.73415862901787</v>
      </c>
      <c r="CP297" s="27">
        <f>VLOOKUP(A297,Water!$A$2:$E$109, 5, FALSE)/1000</f>
        <v>8.0000000000000004E-4</v>
      </c>
      <c r="CQ297">
        <f>0.64*CP297</f>
        <v>5.1200000000000009E-4</v>
      </c>
      <c r="CR297" s="19">
        <f>CQ297*1000*(2.5*10^-5)</f>
        <v>1.2800000000000003E-5</v>
      </c>
      <c r="CS297" s="18">
        <f>(-0.0000009*F297^3)+(0.0002*F297^2)-(0.0134*F297)+6.579</f>
        <v>6.4862209031999996</v>
      </c>
      <c r="CT297" s="18">
        <f>CS297-(SQRT(CP297))/(1+1.4*SQRT(CP297))</f>
        <v>6.4590139714836061</v>
      </c>
      <c r="CU297" s="18">
        <f>10^(-CT297)</f>
        <v>3.4752498120057761E-7</v>
      </c>
      <c r="CV297" s="18">
        <f>(0.000001*F297^3)+(0.00006*F297^2)-(0.014*F297)+10.625</f>
        <v>10.519924952</v>
      </c>
      <c r="CW297" s="18">
        <f>CV297-(2*SQRT(CR297))/(1+1.4*SQRT(CR297))</f>
        <v>10.512805195851559</v>
      </c>
      <c r="CX297" s="18">
        <f>10^(-CW297)</f>
        <v>3.0703989165943582E-11</v>
      </c>
      <c r="CY297">
        <f>EXP(1246.98+-61900/H297-183*LN(H297))</f>
        <v>5.9151385214036801E-3</v>
      </c>
      <c r="CZ297">
        <f>12.225*(F297^2)+15.258*F297+1125.7</f>
        <v>1988.4813999999999</v>
      </c>
      <c r="DA297" s="15">
        <f>10^(-4470.99/H297+6.0875-0.01706*H297)</f>
        <v>2.4025084106449813E-15</v>
      </c>
      <c r="DB297">
        <f>(10^-I297)</f>
        <v>2.137962089502227E-9</v>
      </c>
      <c r="DC297">
        <f>DB297^2</f>
        <v>4.5708818961487287E-18</v>
      </c>
      <c r="DD297" s="20">
        <f>((14.6836*10^-9)*((H297/217.2056)-1)^1.997)*100*100</f>
        <v>1.2693221871404426E-5</v>
      </c>
      <c r="DE297">
        <f>CY297+CZ297*DA297/DB297</f>
        <v>8.1496698591522355E-3</v>
      </c>
      <c r="DF297">
        <f>1+DC297*(CU297*CX297+CU297*DB297)^-1</f>
        <v>1.0060648670502577</v>
      </c>
      <c r="DG297">
        <f>(DE297*DF297/DD297)^0.5</f>
        <v>25.41540670969043</v>
      </c>
      <c r="DH297">
        <f>DD297/(BO297/60/60)</f>
        <v>3.2010363873156117E-2</v>
      </c>
      <c r="DI297" s="16">
        <f>DF297/((DF297-1)+TANH(DG297*DH297)/(DG297*DH297))</f>
        <v>1.2099228328518301</v>
      </c>
      <c r="DJ297">
        <f>$DI297*BR297</f>
        <v>-6.9666915749639777</v>
      </c>
      <c r="DK297">
        <f>$DI297*BY297</f>
        <v>-10.185856063713508</v>
      </c>
      <c r="DL297">
        <f>$DI297*CF297</f>
        <v>-1.5775067050873641</v>
      </c>
      <c r="DM297">
        <f>$DI297*CM297</f>
        <v>-587.1870179392057</v>
      </c>
    </row>
    <row r="298" spans="1:117" ht="15.75" x14ac:dyDescent="0.25">
      <c r="A298" s="52" t="s">
        <v>328</v>
      </c>
      <c r="B298" t="s">
        <v>339</v>
      </c>
      <c r="C298" s="68" t="s">
        <v>521</v>
      </c>
      <c r="D298" s="65">
        <v>43369</v>
      </c>
      <c r="E298" s="42" t="str">
        <f>A298&amp;D298</f>
        <v>56B43369</v>
      </c>
      <c r="F298" s="3">
        <f>VLOOKUP($E298,Water!$C$2:$E$90, 2, FALSE)</f>
        <v>7.1</v>
      </c>
      <c r="G298" s="3">
        <f>VLOOKUP($E298,Water!$C$2:$E$90, 3, FALSE)</f>
        <v>2.64</v>
      </c>
      <c r="H298" s="1">
        <f>F298+273.15</f>
        <v>280.25</v>
      </c>
      <c r="I298" s="3">
        <f>VLOOKUP($E298,Water!$C$2:$F$90, 4, FALSE)</f>
        <v>9.3000000000000007</v>
      </c>
      <c r="J298">
        <f>10^(I298*-1)</f>
        <v>5.011872336272705E-10</v>
      </c>
      <c r="K298" s="25">
        <f>VLOOKUP($E298,Atm!$D$2:$G$100, 2, FALSE)</f>
        <v>434.41839145322058</v>
      </c>
      <c r="L298" s="25">
        <f>VLOOKUP($E298,Atm!$D$2:$G$100, 3, FALSE)</f>
        <v>2.582745627069694</v>
      </c>
      <c r="M298" s="25">
        <f>VLOOKUP($E298,Atm!$D$2:$G$100, 4, FALSE)</f>
        <v>0.31082161201386715</v>
      </c>
      <c r="N298" s="21">
        <f>VLOOKUP($C298,Raw!$B$2:$F$353, 3, FALSE)</f>
        <v>75.969542778079983</v>
      </c>
      <c r="O298" s="21">
        <f>VLOOKUP($C298,Raw!$B$2:$F$353, 4, FALSE)</f>
        <v>14.557093504386881</v>
      </c>
      <c r="P298" s="21">
        <f>VLOOKUP($C298,Raw!$B$2:$F$353, 5, FALSE)</f>
        <v>0.28830625452438896</v>
      </c>
      <c r="Q298" s="14">
        <v>60</v>
      </c>
      <c r="R298" s="25">
        <v>1140</v>
      </c>
      <c r="S298">
        <f>EXP(24.4543-(100/H298*(67.4509))-(4.8489*LN(H298/100))-(0.000544*G298))</f>
        <v>9.9309121476946604E-3</v>
      </c>
      <c r="T298" s="8">
        <f>EXP(-58.0931+90.5069*(100/H298)+22.294*LN(H298/100)+G298*(0.027766-0.025888*(H298/100)+0.0050578*(H298/100)^2)*G298)</f>
        <v>5.732122612550105E-2</v>
      </c>
      <c r="U298" s="9">
        <f>(EXP(-67.1962+99.1624*(100/H298)+27.9015*LN(H298/100)+G298*(-0.072909+0.041674*(H298/100)-0.0064603*(H298/100)^2)*G298))</f>
        <v>4.4707589508693746E-2</v>
      </c>
      <c r="V298" s="9">
        <f>(EXP(-64.8539+100.252*(100/H298)+25.2049*LN(H298/100)+(-0.062544+0.035337*(H298/100)-0.0054699*(H298/100)^2)*G298))</f>
        <v>4.3950424782285245E-2</v>
      </c>
      <c r="W298" s="9">
        <f>(EXP(-68.8862+101.4956*(100/H298)+28.7314*LN(H298/100)+G298*(-0.076146+0.04397*(H298/100)-0.0068672*(H298/100)^2)))</f>
        <v>4.5952097014029684E-2</v>
      </c>
      <c r="X298">
        <f>N298*(AZ298-S298)</f>
        <v>69.017580590954339</v>
      </c>
      <c r="Y298">
        <f>O298*(AZ298-S298)</f>
        <v>13.224975922837476</v>
      </c>
      <c r="Z298">
        <f>((Y298/10^6)*AZ298)/(0.082056*H298)</f>
        <v>5.2817854589675492E-7</v>
      </c>
      <c r="AA298">
        <f>(((L298/10^6)*AZ298)/(0.082056*H298))</f>
        <v>1.0314958890557958E-7</v>
      </c>
      <c r="AB298">
        <f>((Y298/10^6)*U298*1)/(0.082056*H298)</f>
        <v>2.5711071789556829E-8</v>
      </c>
      <c r="AC298">
        <f>(Z298*(Q298/1000))+(AB298*(R298/1000))</f>
        <v>6.1001334593900075E-8</v>
      </c>
      <c r="AD298" s="39">
        <f>((AC298-(AA298*(Q298/1000)))/(R298/1000))*1000000</f>
        <v>4.8081016894355531E-2</v>
      </c>
      <c r="AE298" s="39">
        <f>(AD298/((U298*AZ298*1))*(0.0821*273.15))</f>
        <v>26.260012057015381</v>
      </c>
      <c r="AF298" s="39">
        <f>L298*U298*AZ298*1/(0.0821*273.15)</f>
        <v>4.7289024795320218E-3</v>
      </c>
      <c r="AG298" s="39">
        <f>AD298-AF298</f>
        <v>4.3352114414823506E-2</v>
      </c>
      <c r="AH298" s="42">
        <f>P298*(AZ298-S298)</f>
        <v>0.26192338967524459</v>
      </c>
      <c r="AI298">
        <f>(((X298/10^6)*(Q298/1000))/(0.082056*H298))</f>
        <v>1.8007566101839543E-7</v>
      </c>
      <c r="AJ298">
        <f>(((K298/10^6)*AZ298)*(Q298/1000))/(0.082056*H298)</f>
        <v>1.0409870338395582E-6</v>
      </c>
      <c r="AK298">
        <f>(X298/10^6)*T298*(R298/1000)</f>
        <v>4.510036471805557E-6</v>
      </c>
      <c r="AL298">
        <f>AI298+AK298</f>
        <v>4.6901121328239527E-6</v>
      </c>
      <c r="AM298" s="39">
        <f>((AL298-AJ298)/(R298/1000))*1000000</f>
        <v>3.2009869289336792</v>
      </c>
      <c r="AN298" s="39">
        <f>AM298/(T298*AZ298)</f>
        <v>60.803222756549538</v>
      </c>
      <c r="AO298" s="39">
        <f>(K298*AZ298)*T298</f>
        <v>22.869965269733431</v>
      </c>
      <c r="AP298" s="39">
        <f>AM298-AO298</f>
        <v>-19.66897834079975</v>
      </c>
      <c r="AQ298">
        <f>(((AH298/10^6)*(Q298/1000))/(0.082056*H298))</f>
        <v>6.8339149428443128E-10</v>
      </c>
      <c r="AR298">
        <f>(((M298/10^6)*AZ298)*(Q298/1000))/(0.082056*H298)</f>
        <v>7.4481484741280252E-10</v>
      </c>
      <c r="AS298">
        <f>(AH298/10^6)*V298*(R298/1000)</f>
        <v>1.3123274429773047E-8</v>
      </c>
      <c r="AT298">
        <f>AQ298+AS298</f>
        <v>1.3806665924057478E-8</v>
      </c>
      <c r="AU298" s="39">
        <f>((AT298-AR298)/(R298/1000))*1000000000</f>
        <v>11.45776410231989</v>
      </c>
      <c r="AV298" s="39">
        <f>(AU298/1000)/(V298*AZ298)</f>
        <v>0.28385396780071809</v>
      </c>
      <c r="AW298" s="39">
        <f>(M298*AZ298)*V298*1000</f>
        <v>12.546312936720833</v>
      </c>
      <c r="AX298" s="39">
        <f>AU298-AW298</f>
        <v>-1.0885488344009424</v>
      </c>
      <c r="AY298" s="26">
        <f>VLOOKUP($E298,Water!$C$2:$G$90, 5, FALSE)</f>
        <v>698</v>
      </c>
      <c r="AZ298">
        <f>AY298/760</f>
        <v>0.91842105263157892</v>
      </c>
      <c r="BA298" s="3">
        <f>Assumptions!$B$3</f>
        <v>406.07</v>
      </c>
      <c r="BB298" s="3">
        <f>BA298*AZ298*T298</f>
        <v>21.377563611002611</v>
      </c>
      <c r="BC298" s="3">
        <f>Assumptions!$B$4</f>
        <v>1.8474300000000001</v>
      </c>
      <c r="BD298" s="45">
        <f>BC298*AZ298*U298*1/(0.0821*273.15)</f>
        <v>3.3825693928959647E-3</v>
      </c>
      <c r="BE298" s="3">
        <f>Assumptions!$B$2</f>
        <v>0.33054499999999998</v>
      </c>
      <c r="BF298" s="44">
        <f>BE298*AZ298*V298*1000</f>
        <v>13.342447401898699</v>
      </c>
      <c r="BG298">
        <f>1923.6+(-125.06*F298)+(4.3773*(F298^2))+(-0.085681*(F298^3))+(0.00070284*(F298^4))</f>
        <v>1227.4535551964041</v>
      </c>
      <c r="BH298">
        <f>1909.4+(-120.78*F298)+(4.1555*(F298^2))+(-0.080578*(F298^3))+(0.00065777*(F298^4))</f>
        <v>1234.172506583137</v>
      </c>
      <c r="BI298">
        <f>2141.2+(-152.56*F298)+(5.8963*(F298^2))+(-0.12411*(F298^3))+(0.0010655*(F298^4))</f>
        <v>1313.54376340055</v>
      </c>
      <c r="BJ298" s="25">
        <f>VLOOKUP(E298,Wind!$C$2:$E$109,3, FALSE)</f>
        <v>1.1111111111111112</v>
      </c>
      <c r="BK298" s="44">
        <v>1.66</v>
      </c>
      <c r="BL298">
        <f>BK298/(1-(((1.3*10^-3)^0.5)/0.41)*LN(10/1.5))</f>
        <v>1.9923982880693825</v>
      </c>
      <c r="BM298">
        <f>BK298*1.22</f>
        <v>2.0251999999999999</v>
      </c>
      <c r="BN298">
        <f>2.07+0.215*(BM298^1.7)*(24/100)</f>
        <v>2.241255750541113</v>
      </c>
      <c r="BO298">
        <f>BN298*((600/BG298)^0.67)</f>
        <v>1.3874564460786956</v>
      </c>
      <c r="BP298">
        <f>BN298*((600/BH298)^0.67)</f>
        <v>1.3823910818651837</v>
      </c>
      <c r="BQ298">
        <f>BN298*((600/BI298)^0.67)</f>
        <v>1.325851573256825</v>
      </c>
      <c r="BR298" s="39">
        <f>BO298*(AM298-BB298)</f>
        <v>-25.219208485180246</v>
      </c>
      <c r="BS298" s="39">
        <f>BP298*(AD298-BD298)</f>
        <v>6.17907351992368E-2</v>
      </c>
      <c r="BT298" s="39">
        <f>BQ298*(AU298-BF298)</f>
        <v>-2.4988103178374277</v>
      </c>
      <c r="BU298">
        <f>(2.51+1.48*BM298)+(0.39*BM298*LOG10(0.0015))</f>
        <v>3.2768938069574309</v>
      </c>
      <c r="BV298">
        <f>BU298*((600/$BG298)^0.67)</f>
        <v>2.0285714535169661</v>
      </c>
      <c r="BW298">
        <f>BU298*((600/$BH298)^0.67)</f>
        <v>2.0211654889735473</v>
      </c>
      <c r="BX298">
        <f>BU298*((600/$BI298)^0.67)</f>
        <v>1.9385002395648552</v>
      </c>
      <c r="BY298" s="39">
        <f>BV298*($AM298-$BB298)</f>
        <v>-36.872484579907166</v>
      </c>
      <c r="BZ298" s="39">
        <f>BW298*($AD298-$BD298)</f>
        <v>9.0342959500645956E-2</v>
      </c>
      <c r="CA298" s="39">
        <f>BX298*($AU298-$BF298)</f>
        <v>-3.6534590277374024</v>
      </c>
      <c r="CB298" s="42">
        <f>AVERAGE(0.72,0.69,0.4,0.22)</f>
        <v>0.50750000000000006</v>
      </c>
      <c r="CC298">
        <f>CB298*((600/$BG298)^0.67)</f>
        <v>0.31416947673862605</v>
      </c>
      <c r="CD298">
        <f>CB298*((600/$BH298)^0.67)</f>
        <v>0.31302249815854361</v>
      </c>
      <c r="CE298">
        <f>CB298*((600/$BI298)^0.67)</f>
        <v>0.30021994288933151</v>
      </c>
      <c r="CF298" s="39">
        <f>CC298*($AM298-$BB298)</f>
        <v>-5.7105255851051071</v>
      </c>
      <c r="CG298" s="39">
        <f>CD298*($AD298-$BD298)</f>
        <v>1.3991619700715384E-2</v>
      </c>
      <c r="CH298" s="39">
        <f>CE298*($AU298-$BF298)</f>
        <v>-0.56581951256402685</v>
      </c>
      <c r="CI298">
        <v>121.862639018895</v>
      </c>
      <c r="CJ298">
        <f>((BG298/BH298)^0.67)*CI298</f>
        <v>121.41773953942301</v>
      </c>
      <c r="CK298">
        <f>((BH298/BH298)^0.67)*CI298</f>
        <v>121.862639018895</v>
      </c>
      <c r="CL298">
        <f>((BI298/BH298)^0.67)*CI298</f>
        <v>127.0593396653492</v>
      </c>
      <c r="CM298" s="39">
        <f>CJ298*($AM298-$BB298)</f>
        <v>-2206.958853301795</v>
      </c>
      <c r="CN298" s="39">
        <f>CK298*($AD298-$BD298)</f>
        <v>5.4470707725753957</v>
      </c>
      <c r="CO298" s="39">
        <f>CL298*($AU298-$BF298)</f>
        <v>-239.46661552279494</v>
      </c>
      <c r="CP298" s="27">
        <f>VLOOKUP(A298,Water!$A$2:$E$109, 5, FALSE)/1000</f>
        <v>7.0999999999999991E-4</v>
      </c>
      <c r="CQ298">
        <f>0.64*CP298</f>
        <v>4.5439999999999993E-4</v>
      </c>
      <c r="CR298" s="19">
        <f>CQ298*1000*(2.5*10^-5)</f>
        <v>1.1359999999999998E-5</v>
      </c>
      <c r="CS298" s="18">
        <f>(-0.0000009*F298^3)+(0.0002*F298^2)-(0.0134*F298)+6.579</f>
        <v>6.4936198800999998</v>
      </c>
      <c r="CT298" s="18">
        <f>CS298-(SQRT(CP298))/(1+1.4*SQRT(CP298))</f>
        <v>6.4679323080858362</v>
      </c>
      <c r="CU298" s="18">
        <f>10^(-CT298)</f>
        <v>3.404612520327057E-7</v>
      </c>
      <c r="CV298" s="18">
        <f>(0.000001*F298^3)+(0.00006*F298^2)-(0.014*F298)+10.625</f>
        <v>10.528982511000001</v>
      </c>
      <c r="CW298" s="18">
        <f>CV298-(2*SQRT(CR298))/(1+1.4*SQRT(CR298))</f>
        <v>10.522273249795733</v>
      </c>
      <c r="CX298" s="18">
        <f>10^(-CW298)</f>
        <v>3.0041855316965366E-11</v>
      </c>
      <c r="CY298">
        <f>EXP(1246.98+-61900/H298-183*LN(H298))</f>
        <v>5.3855449044102836E-3</v>
      </c>
      <c r="CZ298">
        <f>12.225*(F298^2)+15.258*F298+1125.7</f>
        <v>1850.29405</v>
      </c>
      <c r="DA298" s="15">
        <f>10^(-4470.99/H298+6.0875-0.01706*H298)</f>
        <v>2.2535014235471874E-15</v>
      </c>
      <c r="DB298">
        <f>(10^-I298)</f>
        <v>5.011872336272705E-10</v>
      </c>
      <c r="DC298">
        <f>DB298^2</f>
        <v>2.5118864315095621E-19</v>
      </c>
      <c r="DD298" s="20">
        <f>((14.6836*10^-9)*((H298/217.2056)-1)^1.997)*100*100</f>
        <v>1.2416386255078817E-5</v>
      </c>
      <c r="DE298">
        <f>CY298+CZ298*DA298/DB298</f>
        <v>1.3705071013402962E-2</v>
      </c>
      <c r="DF298">
        <f>1+DC298*(CU298*CX298+CU298*DB298)^-1</f>
        <v>1.0013888343842166</v>
      </c>
      <c r="DG298">
        <f>(DE298*DF298/DD298)^0.5</f>
        <v>33.246383503014052</v>
      </c>
      <c r="DH298">
        <f>DD298/(BO298/60/60)</f>
        <v>3.2216499944639307E-2</v>
      </c>
      <c r="DI298" s="16">
        <f>DF298/((DF298-1)+TANH(DG298*DH298)/(DG298*DH298))</f>
        <v>1.3553565166878474</v>
      </c>
      <c r="DJ298">
        <f>$DI298*BR298</f>
        <v>-34.181018566098501</v>
      </c>
      <c r="DK298">
        <f>$DI298*BY298</f>
        <v>-49.975362261849341</v>
      </c>
      <c r="DL298">
        <f>$DI298*CF298</f>
        <v>-7.7397980654848899</v>
      </c>
      <c r="DM298">
        <f>$DI298*CM298</f>
        <v>-2991.2160638845266</v>
      </c>
    </row>
    <row r="299" spans="1:117" ht="15.75" x14ac:dyDescent="0.25">
      <c r="A299" s="52" t="s">
        <v>328</v>
      </c>
      <c r="B299" t="s">
        <v>340</v>
      </c>
      <c r="C299" s="68" t="s">
        <v>522</v>
      </c>
      <c r="D299" s="65">
        <v>43369</v>
      </c>
      <c r="E299" s="42" t="str">
        <f>A299&amp;D299</f>
        <v>56B43369</v>
      </c>
      <c r="F299" s="3">
        <f>VLOOKUP($E299,Water!$C$2:$E$90, 2, FALSE)</f>
        <v>7.1</v>
      </c>
      <c r="G299" s="3">
        <f>VLOOKUP($E299,Water!$C$2:$E$90, 3, FALSE)</f>
        <v>2.64</v>
      </c>
      <c r="H299" s="1">
        <f>F299+273.15</f>
        <v>280.25</v>
      </c>
      <c r="I299" s="3">
        <f>VLOOKUP($E299,Water!$C$2:$F$90, 4, FALSE)</f>
        <v>9.3000000000000007</v>
      </c>
      <c r="J299">
        <f>10^(I299*-1)</f>
        <v>5.011872336272705E-10</v>
      </c>
      <c r="K299" s="25">
        <f>VLOOKUP($E299,Atm!$D$2:$G$100, 2, FALSE)</f>
        <v>434.41839145322058</v>
      </c>
      <c r="L299" s="25">
        <f>VLOOKUP($E299,Atm!$D$2:$G$100, 3, FALSE)</f>
        <v>2.582745627069694</v>
      </c>
      <c r="M299" s="25">
        <f>VLOOKUP($E299,Atm!$D$2:$G$100, 4, FALSE)</f>
        <v>0.31082161201386715</v>
      </c>
      <c r="N299" s="21">
        <f>VLOOKUP($C299,Raw!$B$2:$F$353, 3, FALSE)</f>
        <v>80.464631862431546</v>
      </c>
      <c r="O299" s="21">
        <f>VLOOKUP($C299,Raw!$B$2:$F$353, 4, FALSE)</f>
        <v>13.80510901258204</v>
      </c>
      <c r="P299" s="21">
        <f>VLOOKUP($C299,Raw!$B$2:$F$353, 5, FALSE)</f>
        <v>0.28884280444328109</v>
      </c>
      <c r="Q299" s="14">
        <v>60</v>
      </c>
      <c r="R299" s="25">
        <v>1140</v>
      </c>
      <c r="S299">
        <f>EXP(24.4543-(100/H299*(67.4509))-(4.8489*LN(H299/100))-(0.000544*G299))</f>
        <v>9.9309121476946604E-3</v>
      </c>
      <c r="T299" s="8">
        <f>EXP(-58.0931+90.5069*(100/H299)+22.294*LN(H299/100)+G299*(0.027766-0.025888*(H299/100)+0.0050578*(H299/100)^2)*G299)</f>
        <v>5.732122612550105E-2</v>
      </c>
      <c r="U299" s="9">
        <f>(EXP(-67.1962+99.1624*(100/H299)+27.9015*LN(H299/100)+G299*(-0.072909+0.041674*(H299/100)-0.0064603*(H299/100)^2)*G299))</f>
        <v>4.4707589508693746E-2</v>
      </c>
      <c r="V299" s="9">
        <f>(EXP(-64.8539+100.252*(100/H299)+25.2049*LN(H299/100)+(-0.062544+0.035337*(H299/100)-0.0054699*(H299/100)^2)*G299))</f>
        <v>4.3950424782285245E-2</v>
      </c>
      <c r="W299" s="9">
        <f>(EXP(-68.8862+101.4956*(100/H299)+28.7314*LN(H299/100)+G299*(-0.076146+0.04397*(H299/100)-0.0068672*(H299/100)^2)))</f>
        <v>4.5952097014029684E-2</v>
      </c>
      <c r="X299">
        <f>N299*(AZ299-S299)</f>
        <v>73.101324704684458</v>
      </c>
      <c r="Y299">
        <f>O299*(AZ299-S299)</f>
        <v>12.541805426235994</v>
      </c>
      <c r="Z299">
        <f>((Y299/10^6)*AZ299)/(0.082056*H299)</f>
        <v>5.0089411062822429E-7</v>
      </c>
      <c r="AA299">
        <f>(((L299/10^6)*AZ299)/(0.082056*H299))</f>
        <v>1.0314958890557958E-7</v>
      </c>
      <c r="AB299">
        <f>((Y299/10^6)*U299*1)/(0.082056*H299)</f>
        <v>2.4382899565644061E-8</v>
      </c>
      <c r="AC299">
        <f>(Z299*(Q299/1000))+(AB299*(R299/1000))</f>
        <v>5.785015214252768E-8</v>
      </c>
      <c r="AD299" s="39">
        <f>((AC299-(AA299*(Q299/1000)))/(R299/1000))*1000000</f>
        <v>4.5316821761572729E-2</v>
      </c>
      <c r="AE299" s="39">
        <f>(AD299/((U299*AZ299*1))*(0.0821*273.15))</f>
        <v>24.750314421578288</v>
      </c>
      <c r="AF299" s="39">
        <f>L299*U299*AZ299*1/(0.0821*273.15)</f>
        <v>4.7289024795320218E-3</v>
      </c>
      <c r="AG299" s="39">
        <f>AD299-AF299</f>
        <v>4.058791928204071E-2</v>
      </c>
      <c r="AH299" s="42">
        <f>P299*(AZ299-S299)</f>
        <v>0.26241083998643555</v>
      </c>
      <c r="AI299">
        <f>(((X299/10^6)*(Q299/1000))/(0.082056*H299))</f>
        <v>1.9073066970478102E-7</v>
      </c>
      <c r="AJ299">
        <f>(((K299/10^6)*AZ299)*(Q299/1000))/(0.082056*H299)</f>
        <v>1.0409870338395582E-6</v>
      </c>
      <c r="AK299">
        <f>(X299/10^6)*T299*(R299/1000)</f>
        <v>4.7768936223568193E-6</v>
      </c>
      <c r="AL299">
        <f>AI299+AK299</f>
        <v>4.9676242920616006E-6</v>
      </c>
      <c r="AM299" s="39">
        <f>((AL299-AJ299)/(R299/1000))*1000000</f>
        <v>3.4444186475631953</v>
      </c>
      <c r="AN299" s="39">
        <f>AM299/(T299*AZ299)</f>
        <v>65.427244454373479</v>
      </c>
      <c r="AO299" s="39">
        <f>(K299*AZ299)*T299</f>
        <v>22.869965269733431</v>
      </c>
      <c r="AP299" s="39">
        <f>AM299-AO299</f>
        <v>-19.425546622170234</v>
      </c>
      <c r="AQ299">
        <f>(((AH299/10^6)*(Q299/1000))/(0.082056*H299))</f>
        <v>6.846633142504422E-10</v>
      </c>
      <c r="AR299">
        <f>(((M299/10^6)*AZ299)*(Q299/1000))/(0.082056*H299)</f>
        <v>7.4481484741280252E-10</v>
      </c>
      <c r="AS299">
        <f>(AH299/10^6)*V299*(R299/1000)</f>
        <v>1.3147697388763343E-8</v>
      </c>
      <c r="AT299">
        <f>AQ299+AS299</f>
        <v>1.3832360703013785E-8</v>
      </c>
      <c r="AU299" s="39">
        <f>((AT299-AR299)/(R299/1000))*1000000000</f>
        <v>11.480303382106124</v>
      </c>
      <c r="AV299" s="39">
        <f>(AU299/1000)/(V299*AZ299)</f>
        <v>0.28441235458033393</v>
      </c>
      <c r="AW299" s="39">
        <f>(M299*AZ299)*V299*1000</f>
        <v>12.546312936720833</v>
      </c>
      <c r="AX299" s="39">
        <f>AU299-AW299</f>
        <v>-1.066009554614709</v>
      </c>
      <c r="AY299" s="26">
        <f>VLOOKUP($E299,Water!$C$2:$G$90, 5, FALSE)</f>
        <v>698</v>
      </c>
      <c r="AZ299">
        <f>AY299/760</f>
        <v>0.91842105263157892</v>
      </c>
      <c r="BA299" s="3">
        <f>Assumptions!$B$3</f>
        <v>406.07</v>
      </c>
      <c r="BB299" s="3">
        <f>BA299*AZ299*T299</f>
        <v>21.377563611002611</v>
      </c>
      <c r="BC299" s="3">
        <f>Assumptions!$B$4</f>
        <v>1.8474300000000001</v>
      </c>
      <c r="BD299" s="45">
        <f>BC299*AZ299*U299*1/(0.0821*273.15)</f>
        <v>3.3825693928959647E-3</v>
      </c>
      <c r="BE299" s="3">
        <f>Assumptions!$B$2</f>
        <v>0.33054499999999998</v>
      </c>
      <c r="BF299" s="44">
        <f>BE299*AZ299*V299*1000</f>
        <v>13.342447401898699</v>
      </c>
      <c r="BG299">
        <f>1923.6+(-125.06*F299)+(4.3773*(F299^2))+(-0.085681*(F299^3))+(0.00070284*(F299^4))</f>
        <v>1227.4535551964041</v>
      </c>
      <c r="BH299">
        <f>1909.4+(-120.78*F299)+(4.1555*(F299^2))+(-0.080578*(F299^3))+(0.00065777*(F299^4))</f>
        <v>1234.172506583137</v>
      </c>
      <c r="BI299">
        <f>2141.2+(-152.56*F299)+(5.8963*(F299^2))+(-0.12411*(F299^3))+(0.0010655*(F299^4))</f>
        <v>1313.54376340055</v>
      </c>
      <c r="BJ299" s="25">
        <f>VLOOKUP(E299,Wind!$C$2:$E$109,3, FALSE)</f>
        <v>1.1111111111111112</v>
      </c>
      <c r="BK299" s="44">
        <v>1.66</v>
      </c>
      <c r="BL299">
        <f>BK299/(1-(((1.3*10^-3)^0.5)/0.41)*LN(10/1.5))</f>
        <v>1.9923982880693825</v>
      </c>
      <c r="BM299">
        <f>BK299*1.22</f>
        <v>2.0251999999999999</v>
      </c>
      <c r="BN299">
        <f>2.07+0.215*(BM299^1.7)*(24/100)</f>
        <v>2.241255750541113</v>
      </c>
      <c r="BO299">
        <f>BN299*((600/BG299)^0.67)</f>
        <v>1.3874564460786956</v>
      </c>
      <c r="BP299">
        <f>BN299*((600/BH299)^0.67)</f>
        <v>1.3823910818651837</v>
      </c>
      <c r="BQ299">
        <f>BN299*((600/BI299)^0.67)</f>
        <v>1.325851573256825</v>
      </c>
      <c r="BR299" s="39">
        <f>BO299*(AM299-BB299)</f>
        <v>-24.881457577987707</v>
      </c>
      <c r="BS299" s="39">
        <f>BP299*(AD299-BD299)</f>
        <v>5.7969536499142708E-2</v>
      </c>
      <c r="BT299" s="39">
        <f>BQ299*(AU299-BF299)</f>
        <v>-2.4689265782727743</v>
      </c>
      <c r="BU299">
        <f>(2.51+1.48*BM299)+(0.39*BM299*LOG10(0.0015))</f>
        <v>3.2768938069574309</v>
      </c>
      <c r="BV299">
        <f>BU299*((600/$BG299)^0.67)</f>
        <v>2.0285714535169661</v>
      </c>
      <c r="BW299">
        <f>BU299*((600/$BH299)^0.67)</f>
        <v>2.0211654889735473</v>
      </c>
      <c r="BX299">
        <f>BU299*((600/$BI299)^0.67)</f>
        <v>1.9385002395648552</v>
      </c>
      <c r="BY299" s="39">
        <f>BV299*($AM299-$BB299)</f>
        <v>-36.378665944614752</v>
      </c>
      <c r="BZ299" s="39">
        <f>BW299*($AD299-$BD299)</f>
        <v>8.4756063693476699E-2</v>
      </c>
      <c r="CA299" s="39">
        <f>BX299*($AU299-$BF299)</f>
        <v>-3.6097666284721699</v>
      </c>
      <c r="CB299" s="42">
        <f>AVERAGE(0.72,0.69,0.4,0.22)</f>
        <v>0.50750000000000006</v>
      </c>
      <c r="CC299">
        <f>CB299*((600/$BG299)^0.67)</f>
        <v>0.31416947673862605</v>
      </c>
      <c r="CD299">
        <f>CB299*((600/$BH299)^0.67)</f>
        <v>0.31302249815854361</v>
      </c>
      <c r="CE299">
        <f>CB299*((600/$BI299)^0.67)</f>
        <v>0.30021994288933151</v>
      </c>
      <c r="CF299" s="39">
        <f>CC299*($AM299-$BB299)</f>
        <v>-5.6340467694416878</v>
      </c>
      <c r="CG299" s="39">
        <f>CD299*($AD299-$BD299)</f>
        <v>1.3126364434854024E-2</v>
      </c>
      <c r="CH299" s="39">
        <f>CE299*($AU299-$BF299)</f>
        <v>-0.55905277127383723</v>
      </c>
      <c r="CI299">
        <v>122.862639018895</v>
      </c>
      <c r="CJ299">
        <f>((BG299/BH299)^0.67)*CI299</f>
        <v>122.41408871187608</v>
      </c>
      <c r="CK299">
        <f>((BH299/BH299)^0.67)*CI299</f>
        <v>122.862639018895</v>
      </c>
      <c r="CL299">
        <f>((BI299/BH299)^0.67)*CI299</f>
        <v>128.10198358548988</v>
      </c>
      <c r="CM299" s="39">
        <f>CJ299*($AM299-$BB299)</f>
        <v>-2195.2695984374059</v>
      </c>
      <c r="CN299" s="39">
        <f>CK299*($AD299-$BD299)</f>
        <v>5.1521529112999751</v>
      </c>
      <c r="CO299" s="39">
        <f>CL299*($AU299-$BF299)</f>
        <v>-238.54434265728662</v>
      </c>
      <c r="CP299" s="27">
        <f>VLOOKUP(A299,Water!$A$2:$E$109, 5, FALSE)/1000</f>
        <v>7.0999999999999991E-4</v>
      </c>
      <c r="CQ299">
        <f>0.64*CP299</f>
        <v>4.5439999999999993E-4</v>
      </c>
      <c r="CR299" s="19">
        <f>CQ299*1000*(2.5*10^-5)</f>
        <v>1.1359999999999998E-5</v>
      </c>
      <c r="CS299" s="18">
        <f>(-0.0000009*F299^3)+(0.0002*F299^2)-(0.0134*F299)+6.579</f>
        <v>6.4936198800999998</v>
      </c>
      <c r="CT299" s="18">
        <f>CS299-(SQRT(CP299))/(1+1.4*SQRT(CP299))</f>
        <v>6.4679323080858362</v>
      </c>
      <c r="CU299" s="18">
        <f>10^(-CT299)</f>
        <v>3.404612520327057E-7</v>
      </c>
      <c r="CV299" s="18">
        <f>(0.000001*F299^3)+(0.00006*F299^2)-(0.014*F299)+10.625</f>
        <v>10.528982511000001</v>
      </c>
      <c r="CW299" s="18">
        <f>CV299-(2*SQRT(CR299))/(1+1.4*SQRT(CR299))</f>
        <v>10.522273249795733</v>
      </c>
      <c r="CX299" s="18">
        <f>10^(-CW299)</f>
        <v>3.0041855316965366E-11</v>
      </c>
      <c r="CY299">
        <f>EXP(1246.98+-61900/H299-183*LN(H299))</f>
        <v>5.3855449044102836E-3</v>
      </c>
      <c r="CZ299">
        <f>12.225*(F299^2)+15.258*F299+1125.7</f>
        <v>1850.29405</v>
      </c>
      <c r="DA299" s="15">
        <f>10^(-4470.99/H299+6.0875-0.01706*H299)</f>
        <v>2.2535014235471874E-15</v>
      </c>
      <c r="DB299">
        <f>(10^-I299)</f>
        <v>5.011872336272705E-10</v>
      </c>
      <c r="DC299">
        <f>DB299^2</f>
        <v>2.5118864315095621E-19</v>
      </c>
      <c r="DD299" s="20">
        <f>((14.6836*10^-9)*((H299/217.2056)-1)^1.997)*100*100</f>
        <v>1.2416386255078817E-5</v>
      </c>
      <c r="DE299">
        <f>CY299+CZ299*DA299/DB299</f>
        <v>1.3705071013402962E-2</v>
      </c>
      <c r="DF299">
        <f>1+DC299*(CU299*CX299+CU299*DB299)^-1</f>
        <v>1.0013888343842166</v>
      </c>
      <c r="DG299">
        <f>(DE299*DF299/DD299)^0.5</f>
        <v>33.246383503014052</v>
      </c>
      <c r="DH299">
        <f>DD299/(BO299/60/60)</f>
        <v>3.2216499944639307E-2</v>
      </c>
      <c r="DI299" s="16">
        <f>DF299/((DF299-1)+TANH(DG299*DH299)/(DG299*DH299))</f>
        <v>1.3553565166878474</v>
      </c>
      <c r="DJ299">
        <f>$DI299*BR299</f>
        <v>-33.723245673017864</v>
      </c>
      <c r="DK299">
        <f>$DI299*BY299</f>
        <v>-49.30606195644387</v>
      </c>
      <c r="DL299">
        <f>$DI299*CF299</f>
        <v>-7.6361420042869055</v>
      </c>
      <c r="DM299">
        <f>$DI299*CM299</f>
        <v>-2975.3729561288519</v>
      </c>
    </row>
    <row r="300" spans="1:117" ht="15.75" x14ac:dyDescent="0.25">
      <c r="A300" s="52" t="s">
        <v>328</v>
      </c>
      <c r="B300" t="s">
        <v>341</v>
      </c>
      <c r="C300" s="68" t="s">
        <v>523</v>
      </c>
      <c r="D300" s="65">
        <v>43369</v>
      </c>
      <c r="E300" s="42" t="str">
        <f>A300&amp;D300</f>
        <v>56B43369</v>
      </c>
      <c r="F300" s="3">
        <f>VLOOKUP($E300,Water!$C$2:$E$90, 2, FALSE)</f>
        <v>7.1</v>
      </c>
      <c r="G300" s="3">
        <f>VLOOKUP($E300,Water!$C$2:$E$90, 3, FALSE)</f>
        <v>2.64</v>
      </c>
      <c r="H300" s="1">
        <f>F300+273.15</f>
        <v>280.25</v>
      </c>
      <c r="I300" s="3">
        <f>VLOOKUP($E300,Water!$C$2:$F$90, 4, FALSE)</f>
        <v>9.3000000000000007</v>
      </c>
      <c r="J300">
        <f>10^(I300*-1)</f>
        <v>5.011872336272705E-10</v>
      </c>
      <c r="K300" s="25">
        <f>VLOOKUP($E300,Atm!$D$2:$G$100, 2, FALSE)</f>
        <v>434.41839145322058</v>
      </c>
      <c r="L300" s="25">
        <f>VLOOKUP($E300,Atm!$D$2:$G$100, 3, FALSE)</f>
        <v>2.582745627069694</v>
      </c>
      <c r="M300" s="25">
        <f>VLOOKUP($E300,Atm!$D$2:$G$100, 4, FALSE)</f>
        <v>0.31082161201386715</v>
      </c>
      <c r="N300" s="21">
        <f>VLOOKUP($C300,Raw!$B$2:$F$353, 3, FALSE)</f>
        <v>94.029598237420046</v>
      </c>
      <c r="O300" s="21">
        <f>VLOOKUP($C300,Raw!$B$2:$F$353, 4, FALSE)</f>
        <v>13.14398023015514</v>
      </c>
      <c r="P300" s="21">
        <f>VLOOKUP($C300,Raw!$B$2:$F$353, 5, FALSE)</f>
        <v>0.27483621151532472</v>
      </c>
      <c r="Q300" s="14">
        <v>60</v>
      </c>
      <c r="R300" s="25">
        <v>1140</v>
      </c>
      <c r="S300">
        <f>EXP(24.4543-(100/H300*(67.4509))-(4.8489*LN(H300/100))-(0.000544*G300))</f>
        <v>9.9309121476946604E-3</v>
      </c>
      <c r="T300" s="8">
        <f>EXP(-58.0931+90.5069*(100/H300)+22.294*LN(H300/100)+G300*(0.027766-0.025888*(H300/100)+0.0050578*(H300/100)^2)*G300)</f>
        <v>5.732122612550105E-2</v>
      </c>
      <c r="U300" s="9">
        <f>(EXP(-67.1962+99.1624*(100/H300)+27.9015*LN(H300/100)+G300*(-0.072909+0.041674*(H300/100)-0.0064603*(H300/100)^2)*G300))</f>
        <v>4.4707589508693746E-2</v>
      </c>
      <c r="V300" s="9">
        <f>(EXP(-64.8539+100.252*(100/H300)+25.2049*LN(H300/100)+(-0.062544+0.035337*(H300/100)-0.0054699*(H300/100)^2)*G300))</f>
        <v>4.3950424782285245E-2</v>
      </c>
      <c r="W300" s="9">
        <f>(EXP(-68.8862+101.4956*(100/H300)+28.7314*LN(H300/100)+G300*(-0.076146+0.04397*(H300/100)-0.0068672*(H300/100)^2)))</f>
        <v>4.5952097014029684E-2</v>
      </c>
      <c r="X300">
        <f>N300*(AZ300-S300)</f>
        <v>85.424962912356932</v>
      </c>
      <c r="Y300">
        <f>O300*(AZ300-S300)</f>
        <v>11.94117644581104</v>
      </c>
      <c r="Z300">
        <f>((Y300/10^6)*AZ300)/(0.082056*H300)</f>
        <v>4.7690621504676769E-7</v>
      </c>
      <c r="AA300">
        <f>(((L300/10^6)*AZ300)/(0.082056*H300))</f>
        <v>1.0314958890557958E-7</v>
      </c>
      <c r="AB300">
        <f>((Y300/10^6)*U300*1)/(0.082056*H300)</f>
        <v>2.3215198775510524E-8</v>
      </c>
      <c r="AC300">
        <f>(Z300*(Q300/1000))+(AB300*(R300/1000))</f>
        <v>5.5079699506888055E-8</v>
      </c>
      <c r="AD300" s="39">
        <f>((AC300-(AA300*(Q300/1000)))/(R300/1000))*1000000</f>
        <v>4.2886600151362531E-2</v>
      </c>
      <c r="AE300" s="39">
        <f>(AD300/((U300*AZ300*1))*(0.0821*273.15))</f>
        <v>23.423020347795269</v>
      </c>
      <c r="AF300" s="39">
        <f>L300*U300*AZ300*1/(0.0821*273.15)</f>
        <v>4.7289024795320218E-3</v>
      </c>
      <c r="AG300" s="39">
        <f>AD300-AF300</f>
        <v>3.8157697671830512E-2</v>
      </c>
      <c r="AH300" s="42">
        <f>P300*(AZ300-S300)</f>
        <v>0.24968598840961587</v>
      </c>
      <c r="AI300">
        <f>(((X300/10^6)*(Q300/1000))/(0.082056*H300))</f>
        <v>2.2288461189453415E-7</v>
      </c>
      <c r="AJ300">
        <f>(((K300/10^6)*AZ300)*(Q300/1000))/(0.082056*H300)</f>
        <v>1.0409870338395582E-6</v>
      </c>
      <c r="AK300">
        <f>(X300/10^6)*T300*(R300/1000)</f>
        <v>5.5821965220823972E-6</v>
      </c>
      <c r="AL300">
        <f>AI300+AK300</f>
        <v>5.8050811339769311E-6</v>
      </c>
      <c r="AM300" s="39">
        <f>((AL300-AJ300)/(R300/1000))*1000000</f>
        <v>4.1790299124012042</v>
      </c>
      <c r="AN300" s="39">
        <f>AM300/(T300*AZ300)</f>
        <v>79.381294679219465</v>
      </c>
      <c r="AO300" s="39">
        <f>(K300*AZ300)*T300</f>
        <v>22.869965269733431</v>
      </c>
      <c r="AP300" s="39">
        <f>AM300-AO300</f>
        <v>-18.690935357332226</v>
      </c>
      <c r="AQ300">
        <f>(((AH300/10^6)*(Q300/1000))/(0.082056*H300))</f>
        <v>6.5146255526357753E-10</v>
      </c>
      <c r="AR300">
        <f>(((M300/10^6)*AZ300)*(Q300/1000))/(0.082056*H300)</f>
        <v>7.4481484741280252E-10</v>
      </c>
      <c r="AS300">
        <f>(AH300/10^6)*V300*(R300/1000)</f>
        <v>1.2510137988177599E-8</v>
      </c>
      <c r="AT300">
        <f>AQ300+AS300</f>
        <v>1.3161600543441177E-8</v>
      </c>
      <c r="AU300" s="39">
        <f>((AT300-AR300)/(R300/1000))*1000000000</f>
        <v>10.891917277217873</v>
      </c>
      <c r="AV300" s="39">
        <f>(AU300/1000)/(V300*AZ300)</f>
        <v>0.26983571214121066</v>
      </c>
      <c r="AW300" s="39">
        <f>(M300*AZ300)*V300*1000</f>
        <v>12.546312936720833</v>
      </c>
      <c r="AX300" s="39">
        <f>AU300-AW300</f>
        <v>-1.6543956595029599</v>
      </c>
      <c r="AY300" s="26">
        <f>VLOOKUP($E300,Water!$C$2:$G$90, 5, FALSE)</f>
        <v>698</v>
      </c>
      <c r="AZ300">
        <f>AY300/760</f>
        <v>0.91842105263157892</v>
      </c>
      <c r="BA300" s="3">
        <f>Assumptions!$B$3</f>
        <v>406.07</v>
      </c>
      <c r="BB300" s="3">
        <f>BA300*AZ300*T300</f>
        <v>21.377563611002611</v>
      </c>
      <c r="BC300" s="3">
        <f>Assumptions!$B$4</f>
        <v>1.8474300000000001</v>
      </c>
      <c r="BD300" s="45">
        <f>BC300*AZ300*U300*1/(0.0821*273.15)</f>
        <v>3.3825693928959647E-3</v>
      </c>
      <c r="BE300" s="3">
        <f>Assumptions!$B$2</f>
        <v>0.33054499999999998</v>
      </c>
      <c r="BF300" s="44">
        <f>BE300*AZ300*V300*1000</f>
        <v>13.342447401898699</v>
      </c>
      <c r="BG300">
        <f>1923.6+(-125.06*F300)+(4.3773*(F300^2))+(-0.085681*(F300^3))+(0.00070284*(F300^4))</f>
        <v>1227.4535551964041</v>
      </c>
      <c r="BH300">
        <f>1909.4+(-120.78*F300)+(4.1555*(F300^2))+(-0.080578*(F300^3))+(0.00065777*(F300^4))</f>
        <v>1234.172506583137</v>
      </c>
      <c r="BI300">
        <f>2141.2+(-152.56*F300)+(5.8963*(F300^2))+(-0.12411*(F300^3))+(0.0010655*(F300^4))</f>
        <v>1313.54376340055</v>
      </c>
      <c r="BJ300" s="25">
        <f>VLOOKUP(E300,Wind!$C$2:$E$109,3, FALSE)</f>
        <v>1.1111111111111112</v>
      </c>
      <c r="BK300" s="44">
        <v>1.66</v>
      </c>
      <c r="BL300">
        <f>BK300/(1-(((1.3*10^-3)^0.5)/0.41)*LN(10/1.5))</f>
        <v>1.9923982880693825</v>
      </c>
      <c r="BM300">
        <f>BK300*1.22</f>
        <v>2.0251999999999999</v>
      </c>
      <c r="BN300">
        <f>2.07+0.215*(BM300^1.7)*(24/100)</f>
        <v>2.241255750541113</v>
      </c>
      <c r="BO300">
        <f>BN300*((600/BG300)^0.67)</f>
        <v>1.3874564460786956</v>
      </c>
      <c r="BP300">
        <f>BN300*((600/BH300)^0.67)</f>
        <v>1.3823910818651837</v>
      </c>
      <c r="BQ300">
        <f>BN300*((600/BI300)^0.67)</f>
        <v>1.325851573256825</v>
      </c>
      <c r="BR300" s="39">
        <f>BO300*(AM300-BB300)</f>
        <v>-23.862216443226188</v>
      </c>
      <c r="BS300" s="39">
        <f>BP300*(AD300-BD300)</f>
        <v>5.4610019818232082E-2</v>
      </c>
      <c r="BT300" s="39">
        <f>BQ300*(AU300-BF300)</f>
        <v>-3.249039221121317</v>
      </c>
      <c r="BU300">
        <f>(2.51+1.48*BM300)+(0.39*BM300*LOG10(0.0015))</f>
        <v>3.2768938069574309</v>
      </c>
      <c r="BV300">
        <f>BU300*((600/$BG300)^0.67)</f>
        <v>2.0285714535169661</v>
      </c>
      <c r="BW300">
        <f>BU300*((600/$BH300)^0.67)</f>
        <v>2.0211654889735473</v>
      </c>
      <c r="BX300">
        <f>BU300*((600/$BI300)^0.67)</f>
        <v>1.9385002395648552</v>
      </c>
      <c r="BY300" s="39">
        <f>BV300*($AM300-$BB300)</f>
        <v>-34.888454503332376</v>
      </c>
      <c r="BZ300" s="39">
        <f>BW300*($AD300-$BD300)</f>
        <v>7.9844183644362118E-2</v>
      </c>
      <c r="CA300" s="39">
        <f>BX300*($AU300-$BF300)</f>
        <v>-4.7503532337546757</v>
      </c>
      <c r="CB300" s="42">
        <f>AVERAGE(0.72,0.69,0.4,0.22)</f>
        <v>0.50750000000000006</v>
      </c>
      <c r="CC300">
        <f>CB300*((600/$BG300)^0.67)</f>
        <v>0.31416947673862605</v>
      </c>
      <c r="CD300">
        <f>CB300*((600/$BH300)^0.67)</f>
        <v>0.31302249815854361</v>
      </c>
      <c r="CE300">
        <f>CB300*((600/$BI300)^0.67)</f>
        <v>0.30021994288933151</v>
      </c>
      <c r="CF300" s="39">
        <f>CC300*($AM300-$BB300)</f>
        <v>-5.4032543327612306</v>
      </c>
      <c r="CG300" s="39">
        <f>CD300*($AD300-$BD300)</f>
        <v>1.236565039534715E-2</v>
      </c>
      <c r="CH300" s="39">
        <f>CE300*($AU300-$BF300)</f>
        <v>-0.73569801408026403</v>
      </c>
      <c r="CI300">
        <v>123.862639018895</v>
      </c>
      <c r="CJ300">
        <f>((BG300/BH300)^0.67)*CI300</f>
        <v>123.41043788432914</v>
      </c>
      <c r="CK300">
        <f>((BH300/BH300)^0.67)*CI300</f>
        <v>123.862639018895</v>
      </c>
      <c r="CL300">
        <f>((BI300/BH300)^0.67)*CI300</f>
        <v>129.14462750563055</v>
      </c>
      <c r="CM300" s="39">
        <f>CJ300*($AM300-$BB300)</f>
        <v>-2122.4785747127903</v>
      </c>
      <c r="CN300" s="39">
        <f>CK300*($AD300-$BD300)</f>
        <v>4.8930735016272688</v>
      </c>
      <c r="CO300" s="39">
        <f>CL300*($AU300-$BF300)</f>
        <v>-316.47280014323172</v>
      </c>
      <c r="CP300" s="27">
        <f>VLOOKUP(A300,Water!$A$2:$E$109, 5, FALSE)/1000</f>
        <v>7.0999999999999991E-4</v>
      </c>
      <c r="CQ300">
        <f>0.64*CP300</f>
        <v>4.5439999999999993E-4</v>
      </c>
      <c r="CR300" s="19">
        <f>CQ300*1000*(2.5*10^-5)</f>
        <v>1.1359999999999998E-5</v>
      </c>
      <c r="CS300" s="18">
        <f>(-0.0000009*F300^3)+(0.0002*F300^2)-(0.0134*F300)+6.579</f>
        <v>6.4936198800999998</v>
      </c>
      <c r="CT300" s="18">
        <f>CS300-(SQRT(CP300))/(1+1.4*SQRT(CP300))</f>
        <v>6.4679323080858362</v>
      </c>
      <c r="CU300" s="18">
        <f>10^(-CT300)</f>
        <v>3.404612520327057E-7</v>
      </c>
      <c r="CV300" s="18">
        <f>(0.000001*F300^3)+(0.00006*F300^2)-(0.014*F300)+10.625</f>
        <v>10.528982511000001</v>
      </c>
      <c r="CW300" s="18">
        <f>CV300-(2*SQRT(CR300))/(1+1.4*SQRT(CR300))</f>
        <v>10.522273249795733</v>
      </c>
      <c r="CX300" s="18">
        <f>10^(-CW300)</f>
        <v>3.0041855316965366E-11</v>
      </c>
      <c r="CY300">
        <f>EXP(1246.98+-61900/H300-183*LN(H300))</f>
        <v>5.3855449044102836E-3</v>
      </c>
      <c r="CZ300">
        <f>12.225*(F300^2)+15.258*F300+1125.7</f>
        <v>1850.29405</v>
      </c>
      <c r="DA300" s="15">
        <f>10^(-4470.99/H300+6.0875-0.01706*H300)</f>
        <v>2.2535014235471874E-15</v>
      </c>
      <c r="DB300">
        <f>(10^-I300)</f>
        <v>5.011872336272705E-10</v>
      </c>
      <c r="DC300">
        <f>DB300^2</f>
        <v>2.5118864315095621E-19</v>
      </c>
      <c r="DD300" s="20">
        <f>((14.6836*10^-9)*((H300/217.2056)-1)^1.997)*100*100</f>
        <v>1.2416386255078817E-5</v>
      </c>
      <c r="DE300">
        <f>CY300+CZ300*DA300/DB300</f>
        <v>1.3705071013402962E-2</v>
      </c>
      <c r="DF300">
        <f>1+DC300*(CU300*CX300+CU300*DB300)^-1</f>
        <v>1.0013888343842166</v>
      </c>
      <c r="DG300">
        <f>(DE300*DF300/DD300)^0.5</f>
        <v>33.246383503014052</v>
      </c>
      <c r="DH300">
        <f>DD300/(BO300/60/60)</f>
        <v>3.2216499944639307E-2</v>
      </c>
      <c r="DI300" s="16">
        <f>DF300/((DF300-1)+TANH(DG300*DH300)/(DG300*DH300))</f>
        <v>1.3553565166878474</v>
      </c>
      <c r="DJ300">
        <f>$DI300*BR300</f>
        <v>-32.34181055894252</v>
      </c>
      <c r="DK300">
        <f>$DI300*BY300</f>
        <v>-47.286294168259012</v>
      </c>
      <c r="DL300">
        <f>$DI300*CF300</f>
        <v>-7.3233359712297803</v>
      </c>
      <c r="DM300">
        <f>$DI300*CM300</f>
        <v>-2876.7151677673146</v>
      </c>
    </row>
    <row r="301" spans="1:117" ht="15.75" x14ac:dyDescent="0.25">
      <c r="A301" s="52" t="s">
        <v>328</v>
      </c>
      <c r="B301" t="s">
        <v>342</v>
      </c>
      <c r="C301" s="68" t="s">
        <v>524</v>
      </c>
      <c r="D301" s="65">
        <v>43369</v>
      </c>
      <c r="E301" s="42" t="str">
        <f>A301&amp;D301</f>
        <v>56B43369</v>
      </c>
      <c r="F301" s="3">
        <f>VLOOKUP($E301,Water!$C$2:$E$90, 2, FALSE)</f>
        <v>7.1</v>
      </c>
      <c r="G301" s="3">
        <f>VLOOKUP($E301,Water!$C$2:$E$90, 3, FALSE)</f>
        <v>2.64</v>
      </c>
      <c r="H301" s="1">
        <f>F301+273.15</f>
        <v>280.25</v>
      </c>
      <c r="I301" s="3">
        <f>VLOOKUP($E301,Water!$C$2:$F$90, 4, FALSE)</f>
        <v>9.3000000000000007</v>
      </c>
      <c r="J301">
        <f>10^(I301*-1)</f>
        <v>5.011872336272705E-10</v>
      </c>
      <c r="K301" s="25">
        <f>VLOOKUP($E301,Atm!$D$2:$G$100, 2, FALSE)</f>
        <v>434.41839145322058</v>
      </c>
      <c r="L301" s="25">
        <f>VLOOKUP($E301,Atm!$D$2:$G$100, 3, FALSE)</f>
        <v>2.582745627069694</v>
      </c>
      <c r="M301" s="25">
        <f>VLOOKUP($E301,Atm!$D$2:$G$100, 4, FALSE)</f>
        <v>0.31082161201386715</v>
      </c>
      <c r="N301" s="21" t="e">
        <f>VLOOKUP($C301,Raw!$B$2:$F$353, 3, FALSE)</f>
        <v>#N/A</v>
      </c>
      <c r="O301" s="21" t="e">
        <f>VLOOKUP($C301,Raw!$B$2:$F$353, 4, FALSE)</f>
        <v>#N/A</v>
      </c>
      <c r="P301" s="21" t="e">
        <f>VLOOKUP($C301,Raw!$B$2:$F$353, 5, FALSE)</f>
        <v>#N/A</v>
      </c>
      <c r="Q301" s="14">
        <v>60</v>
      </c>
      <c r="R301" s="25">
        <v>1140</v>
      </c>
      <c r="S301">
        <f>EXP(24.4543-(100/H301*(67.4509))-(4.8489*LN(H301/100))-(0.000544*G301))</f>
        <v>9.9309121476946604E-3</v>
      </c>
      <c r="T301" s="8">
        <f>EXP(-58.0931+90.5069*(100/H301)+22.294*LN(H301/100)+G301*(0.027766-0.025888*(H301/100)+0.0050578*(H301/100)^2)*G301)</f>
        <v>5.732122612550105E-2</v>
      </c>
      <c r="U301" s="9">
        <f>(EXP(-67.1962+99.1624*(100/H301)+27.9015*LN(H301/100)+G301*(-0.072909+0.041674*(H301/100)-0.0064603*(H301/100)^2)*G301))</f>
        <v>4.4707589508693746E-2</v>
      </c>
      <c r="V301" s="9">
        <f>(EXP(-64.8539+100.252*(100/H301)+25.2049*LN(H301/100)+(-0.062544+0.035337*(H301/100)-0.0054699*(H301/100)^2)*G301))</f>
        <v>4.3950424782285245E-2</v>
      </c>
      <c r="W301" s="9">
        <f>(EXP(-68.8862+101.4956*(100/H301)+28.7314*LN(H301/100)+G301*(-0.076146+0.04397*(H301/100)-0.0068672*(H301/100)^2)))</f>
        <v>4.5952097014029684E-2</v>
      </c>
      <c r="X301" t="e">
        <f>N301*(AZ301-S301)</f>
        <v>#N/A</v>
      </c>
      <c r="Y301" t="e">
        <f>O301*(AZ301-S301)</f>
        <v>#N/A</v>
      </c>
      <c r="Z301" t="e">
        <f>((Y301/10^6)*AZ301)/(0.082056*H301)</f>
        <v>#N/A</v>
      </c>
      <c r="AA301">
        <f>(((L301/10^6)*AZ301)/(0.082056*H301))</f>
        <v>1.0314958890557958E-7</v>
      </c>
      <c r="AB301" t="e">
        <f>((Y301/10^6)*U301*1)/(0.082056*H301)</f>
        <v>#N/A</v>
      </c>
      <c r="AC301" t="e">
        <f>(Z301*(Q301/1000))+(AB301*(R301/1000))</f>
        <v>#N/A</v>
      </c>
      <c r="AD301" s="39" t="e">
        <f>((AC301-(AA301*(Q301/1000)))/(R301/1000))*1000000</f>
        <v>#N/A</v>
      </c>
      <c r="AE301" s="39" t="e">
        <f>(AD301/((U301*AZ301*1))*(0.0821*273.15))</f>
        <v>#N/A</v>
      </c>
      <c r="AF301" s="39">
        <f>L301*U301*AZ301*1/(0.0821*273.15)</f>
        <v>4.7289024795320218E-3</v>
      </c>
      <c r="AG301" s="39" t="e">
        <f>AD301-AF301</f>
        <v>#N/A</v>
      </c>
      <c r="AH301" s="42" t="e">
        <f>P301*(AZ301-S301)</f>
        <v>#N/A</v>
      </c>
      <c r="AI301" t="e">
        <f>(((X301/10^6)*(Q301/1000))/(0.082056*H301))</f>
        <v>#N/A</v>
      </c>
      <c r="AJ301">
        <f>(((K301/10^6)*AZ301)*(Q301/1000))/(0.082056*H301)</f>
        <v>1.0409870338395582E-6</v>
      </c>
      <c r="AK301" t="e">
        <f>(X301/10^6)*T301*(R301/1000)</f>
        <v>#N/A</v>
      </c>
      <c r="AL301" t="e">
        <f>AI301+AK301</f>
        <v>#N/A</v>
      </c>
      <c r="AM301" s="39" t="e">
        <f>((AL301-AJ301)/(R301/1000))*1000000</f>
        <v>#N/A</v>
      </c>
      <c r="AN301" s="39" t="e">
        <f>AM301/(T301*AZ301)</f>
        <v>#N/A</v>
      </c>
      <c r="AO301" s="39">
        <f>(K301*AZ301)*T301</f>
        <v>22.869965269733431</v>
      </c>
      <c r="AP301" s="39" t="e">
        <f>AM301-AO301</f>
        <v>#N/A</v>
      </c>
      <c r="AQ301" t="e">
        <f>(((AH301/10^6)*(Q301/1000))/(0.082056*H301))</f>
        <v>#N/A</v>
      </c>
      <c r="AR301">
        <f>(((M301/10^6)*AZ301)*(Q301/1000))/(0.082056*H301)</f>
        <v>7.4481484741280252E-10</v>
      </c>
      <c r="AS301" t="e">
        <f>(AH301/10^6)*V301*(R301/1000)</f>
        <v>#N/A</v>
      </c>
      <c r="AT301" t="e">
        <f>AQ301+AS301</f>
        <v>#N/A</v>
      </c>
      <c r="AU301" s="39" t="e">
        <f>((AT301-AR301)/(R301/1000))*1000000000</f>
        <v>#N/A</v>
      </c>
      <c r="AV301" s="39" t="e">
        <f>(AU301/1000)/(V301*AZ301)</f>
        <v>#N/A</v>
      </c>
      <c r="AW301" s="39">
        <f>(M301*AZ301)*V301*1000</f>
        <v>12.546312936720833</v>
      </c>
      <c r="AX301" s="39" t="e">
        <f>AU301-AW301</f>
        <v>#N/A</v>
      </c>
      <c r="AY301" s="26">
        <f>VLOOKUP($E301,Water!$C$2:$G$90, 5, FALSE)</f>
        <v>698</v>
      </c>
      <c r="AZ301">
        <f>AY301/760</f>
        <v>0.91842105263157892</v>
      </c>
      <c r="BA301" s="3">
        <f>Assumptions!$B$3</f>
        <v>406.07</v>
      </c>
      <c r="BB301" s="3">
        <f>BA301*AZ301*T301</f>
        <v>21.377563611002611</v>
      </c>
      <c r="BC301" s="3">
        <f>Assumptions!$B$4</f>
        <v>1.8474300000000001</v>
      </c>
      <c r="BD301" s="45">
        <f>BC301*AZ301*U301*1/(0.0821*273.15)</f>
        <v>3.3825693928959647E-3</v>
      </c>
      <c r="BE301" s="3">
        <f>Assumptions!$B$2</f>
        <v>0.33054499999999998</v>
      </c>
      <c r="BF301" s="44">
        <f>BE301*AZ301*V301*1000</f>
        <v>13.342447401898699</v>
      </c>
      <c r="BG301">
        <f>1923.6+(-125.06*F301)+(4.3773*(F301^2))+(-0.085681*(F301^3))+(0.00070284*(F301^4))</f>
        <v>1227.4535551964041</v>
      </c>
      <c r="BH301">
        <f>1909.4+(-120.78*F301)+(4.1555*(F301^2))+(-0.080578*(F301^3))+(0.00065777*(F301^4))</f>
        <v>1234.172506583137</v>
      </c>
      <c r="BI301">
        <f>2141.2+(-152.56*F301)+(5.8963*(F301^2))+(-0.12411*(F301^3))+(0.0010655*(F301^4))</f>
        <v>1313.54376340055</v>
      </c>
      <c r="BJ301" s="25">
        <f>VLOOKUP(E301,Wind!$C$2:$E$109,3, FALSE)</f>
        <v>1.1111111111111112</v>
      </c>
      <c r="BK301" s="44">
        <v>1.66</v>
      </c>
      <c r="BL301">
        <f>BK301/(1-(((1.3*10^-3)^0.5)/0.41)*LN(10/1.5))</f>
        <v>1.9923982880693825</v>
      </c>
      <c r="BM301">
        <f>BK301*1.22</f>
        <v>2.0251999999999999</v>
      </c>
      <c r="BN301">
        <f>2.07+0.215*(BM301^1.7)*(24/100)</f>
        <v>2.241255750541113</v>
      </c>
      <c r="BO301">
        <f>BN301*((600/BG301)^0.67)</f>
        <v>1.3874564460786956</v>
      </c>
      <c r="BP301">
        <f>BN301*((600/BH301)^0.67)</f>
        <v>1.3823910818651837</v>
      </c>
      <c r="BQ301">
        <f>BN301*((600/BI301)^0.67)</f>
        <v>1.325851573256825</v>
      </c>
      <c r="BR301" s="39" t="e">
        <f>BO301*(AM301-BB301)</f>
        <v>#N/A</v>
      </c>
      <c r="BS301" s="39" t="e">
        <f>BP301*(AD301-BD301)</f>
        <v>#N/A</v>
      </c>
      <c r="BT301" s="39" t="e">
        <f>BQ301*(AU301-BF301)</f>
        <v>#N/A</v>
      </c>
      <c r="BU301">
        <f>(2.51+1.48*BM301)+(0.39*BM301*LOG10(0.0015))</f>
        <v>3.2768938069574309</v>
      </c>
      <c r="BV301">
        <f>BU301*((600/$BG301)^0.67)</f>
        <v>2.0285714535169661</v>
      </c>
      <c r="BW301">
        <f>BU301*((600/$BH301)^0.67)</f>
        <v>2.0211654889735473</v>
      </c>
      <c r="BX301">
        <f>BU301*((600/$BI301)^0.67)</f>
        <v>1.9385002395648552</v>
      </c>
      <c r="BY301" s="39" t="e">
        <f>BV301*($AM301-$BB301)</f>
        <v>#N/A</v>
      </c>
      <c r="BZ301" s="39" t="e">
        <f>BW301*($AD301-$BD301)</f>
        <v>#N/A</v>
      </c>
      <c r="CA301" s="39" t="e">
        <f>BX301*($AU301-$BF301)</f>
        <v>#N/A</v>
      </c>
      <c r="CB301" s="42">
        <f>AVERAGE(0.72,0.69,0.4,0.22)</f>
        <v>0.50750000000000006</v>
      </c>
      <c r="CC301">
        <f>CB301*((600/$BG301)^0.67)</f>
        <v>0.31416947673862605</v>
      </c>
      <c r="CD301">
        <f>CB301*((600/$BH301)^0.67)</f>
        <v>0.31302249815854361</v>
      </c>
      <c r="CE301">
        <f>CB301*((600/$BI301)^0.67)</f>
        <v>0.30021994288933151</v>
      </c>
      <c r="CF301" s="39" t="e">
        <f>CC301*($AM301-$BB301)</f>
        <v>#N/A</v>
      </c>
      <c r="CG301" s="39" t="e">
        <f>CD301*($AD301-$BD301)</f>
        <v>#N/A</v>
      </c>
      <c r="CH301" s="39" t="e">
        <f>CE301*($AU301-$BF301)</f>
        <v>#N/A</v>
      </c>
      <c r="CI301">
        <v>124.862639018895</v>
      </c>
      <c r="CJ301">
        <f>((BG301/BH301)^0.67)*CI301</f>
        <v>124.40678705678221</v>
      </c>
      <c r="CK301">
        <f>((BH301/BH301)^0.67)*CI301</f>
        <v>124.862639018895</v>
      </c>
      <c r="CL301">
        <f>((BI301/BH301)^0.67)*CI301</f>
        <v>130.18727142577123</v>
      </c>
      <c r="CM301" s="39" t="e">
        <f>CJ301*($AM301-$BB301)</f>
        <v>#N/A</v>
      </c>
      <c r="CN301" s="39" t="e">
        <f>CK301*($AD301-$BD301)</f>
        <v>#N/A</v>
      </c>
      <c r="CO301" s="39" t="e">
        <f>CL301*($AU301-$BF301)</f>
        <v>#N/A</v>
      </c>
      <c r="CP301" s="27">
        <f>VLOOKUP(A301,Water!$A$2:$E$109, 5, FALSE)/1000</f>
        <v>7.0999999999999991E-4</v>
      </c>
      <c r="CQ301">
        <f>0.64*CP301</f>
        <v>4.5439999999999993E-4</v>
      </c>
      <c r="CR301" s="19">
        <f>CQ301*1000*(2.5*10^-5)</f>
        <v>1.1359999999999998E-5</v>
      </c>
      <c r="CS301" s="18">
        <f>(-0.0000009*F301^3)+(0.0002*F301^2)-(0.0134*F301)+6.579</f>
        <v>6.4936198800999998</v>
      </c>
      <c r="CT301" s="18">
        <f>CS301-(SQRT(CP301))/(1+1.4*SQRT(CP301))</f>
        <v>6.4679323080858362</v>
      </c>
      <c r="CU301" s="18">
        <f>10^(-CT301)</f>
        <v>3.404612520327057E-7</v>
      </c>
      <c r="CV301" s="18">
        <f>(0.000001*F301^3)+(0.00006*F301^2)-(0.014*F301)+10.625</f>
        <v>10.528982511000001</v>
      </c>
      <c r="CW301" s="18">
        <f>CV301-(2*SQRT(CR301))/(1+1.4*SQRT(CR301))</f>
        <v>10.522273249795733</v>
      </c>
      <c r="CX301" s="18">
        <f>10^(-CW301)</f>
        <v>3.0041855316965366E-11</v>
      </c>
      <c r="CY301">
        <f>EXP(1246.98+-61900/H301-183*LN(H301))</f>
        <v>5.3855449044102836E-3</v>
      </c>
      <c r="CZ301">
        <f>12.225*(F301^2)+15.258*F301+1125.7</f>
        <v>1850.29405</v>
      </c>
      <c r="DA301" s="15">
        <f>10^(-4470.99/H301+6.0875-0.01706*H301)</f>
        <v>2.2535014235471874E-15</v>
      </c>
      <c r="DB301">
        <f>(10^-I301)</f>
        <v>5.011872336272705E-10</v>
      </c>
      <c r="DC301">
        <f>DB301^2</f>
        <v>2.5118864315095621E-19</v>
      </c>
      <c r="DD301" s="20">
        <f>((14.6836*10^-9)*((H301/217.2056)-1)^1.997)*100*100</f>
        <v>1.2416386255078817E-5</v>
      </c>
      <c r="DE301">
        <f>CY301+CZ301*DA301/DB301</f>
        <v>1.3705071013402962E-2</v>
      </c>
      <c r="DF301">
        <f>1+DC301*(CU301*CX301+CU301*DB301)^-1</f>
        <v>1.0013888343842166</v>
      </c>
      <c r="DG301">
        <f>(DE301*DF301/DD301)^0.5</f>
        <v>33.246383503014052</v>
      </c>
      <c r="DH301">
        <f>DD301/(BO301/60/60)</f>
        <v>3.2216499944639307E-2</v>
      </c>
      <c r="DI301" s="16">
        <f>DF301/((DF301-1)+TANH(DG301*DH301)/(DG301*DH301))</f>
        <v>1.3553565166878474</v>
      </c>
      <c r="DJ301" t="e">
        <f>$DI301*BR301</f>
        <v>#N/A</v>
      </c>
      <c r="DK301" t="e">
        <f>$DI301*BY301</f>
        <v>#N/A</v>
      </c>
      <c r="DL301" t="e">
        <f>$DI301*CF301</f>
        <v>#N/A</v>
      </c>
      <c r="DM301" t="e">
        <f>$DI301*CM301</f>
        <v>#N/A</v>
      </c>
    </row>
    <row r="302" spans="1:117" ht="15.75" x14ac:dyDescent="0.25">
      <c r="A302" s="52" t="s">
        <v>336</v>
      </c>
      <c r="B302" t="s">
        <v>339</v>
      </c>
      <c r="C302" s="69" t="s">
        <v>525</v>
      </c>
      <c r="D302" s="65">
        <v>43369</v>
      </c>
      <c r="E302" s="42" t="str">
        <f>A302&amp;D302</f>
        <v>4D43369</v>
      </c>
      <c r="F302" s="3">
        <f>VLOOKUP($E302,Water!$C$2:$E$90, 2, FALSE)</f>
        <v>8.1999999999999993</v>
      </c>
      <c r="G302" s="3">
        <f>VLOOKUP($E302,Water!$C$2:$E$90, 3, FALSE)</f>
        <v>0.12</v>
      </c>
      <c r="H302" s="1">
        <f>F302+273.15</f>
        <v>281.34999999999997</v>
      </c>
      <c r="I302" s="3">
        <f>VLOOKUP($E302,Water!$C$2:$F$90, 4, FALSE)</f>
        <v>8.67</v>
      </c>
      <c r="J302">
        <f>10^(I302*-1)</f>
        <v>2.137962089502227E-9</v>
      </c>
      <c r="K302" s="25">
        <f>VLOOKUP($E302,Atm!$D$2:$G$100, 2, FALSE)</f>
        <v>439.46944293443198</v>
      </c>
      <c r="L302" s="25">
        <f>VLOOKUP($E302,Atm!$D$2:$G$100, 3, FALSE)</f>
        <v>1.93638578852503</v>
      </c>
      <c r="M302" s="25">
        <f>VLOOKUP($E302,Atm!$D$2:$G$100, 4, FALSE)</f>
        <v>0.31132021893523704</v>
      </c>
      <c r="N302" s="21">
        <f>VLOOKUP($C302,Raw!$B$2:$F$353, 3, FALSE)</f>
        <v>242.54512634989669</v>
      </c>
      <c r="O302" s="21">
        <f>VLOOKUP($C302,Raw!$B$2:$F$353, 4, FALSE)</f>
        <v>170.59283081801439</v>
      </c>
      <c r="P302" s="21">
        <f>VLOOKUP($C302,Raw!$B$2:$F$353, 5, FALSE)</f>
        <v>0.27757663561570389</v>
      </c>
      <c r="Q302" s="14">
        <v>60</v>
      </c>
      <c r="R302" s="25">
        <v>1140</v>
      </c>
      <c r="S302">
        <f>EXP(24.4543-(100/H302*(67.4509))-(4.8489*LN(H302/100))-(0.000544*G302))</f>
        <v>1.0720178791418001E-2</v>
      </c>
      <c r="T302" s="8">
        <f>EXP(-58.0931+90.5069*(100/H302)+22.294*LN(H302/100)+G302*(0.027766-0.025888*(H302/100)+0.0050578*(H302/100)^2)*G302)</f>
        <v>5.7107875698838489E-2</v>
      </c>
      <c r="U302" s="9">
        <f>(EXP(-67.1962+99.1624*(100/H302)+27.9015*LN(H302/100)+G302*(-0.072909+0.041674*(H302/100)-0.0064603*(H302/100)^2)*G302))</f>
        <v>4.5549333039070453E-2</v>
      </c>
      <c r="V302" s="9">
        <f>(EXP(-64.8539+100.252*(100/H302)+25.2049*LN(H302/100)+(-0.062544+0.035337*(H302/100)-0.0054699*(H302/100)^2)*G302))</f>
        <v>4.2873629166994165E-2</v>
      </c>
      <c r="W302" s="9">
        <f>(EXP(-68.8862+101.4956*(100/H302)+28.7314*LN(H302/100)+G302*(-0.076146+0.04397*(H302/100)-0.0068672*(H302/100)^2)))</f>
        <v>4.5414824978376359E-2</v>
      </c>
      <c r="X302">
        <f>N302*(AZ302-S302)</f>
        <v>223.19023721284719</v>
      </c>
      <c r="Y302">
        <f>O302*(AZ302-S302)</f>
        <v>156.97967198960359</v>
      </c>
      <c r="Z302">
        <f>((Y302/10^6)*AZ302)/(0.082056*H302)</f>
        <v>6.3299314551481778E-6</v>
      </c>
      <c r="AA302">
        <f>(((L302/10^6)*AZ302)/(0.082056*H302))</f>
        <v>7.8081379306858657E-8</v>
      </c>
      <c r="AB302">
        <f>((Y302/10^6)*U302*1)/(0.082056*H302)</f>
        <v>3.097192346762183E-7</v>
      </c>
      <c r="AC302">
        <f>(Z302*(Q302/1000))+(AB302*(R302/1000))</f>
        <v>7.3287581483977953E-7</v>
      </c>
      <c r="AD302" s="39">
        <f>((AC302-(AA302*(Q302/1000)))/(R302/1000))*1000000</f>
        <v>0.63876397550997199</v>
      </c>
      <c r="AE302" s="39">
        <f>(AD302/((U302*AZ302*1))*(0.0821*273.15))</f>
        <v>337.82353576682198</v>
      </c>
      <c r="AF302" s="39">
        <f>L302*U302*AZ302*1/(0.0821*273.15)</f>
        <v>3.6613597143006901E-3</v>
      </c>
      <c r="AG302" s="39">
        <f>AD302-AF302</f>
        <v>0.63510261579567129</v>
      </c>
      <c r="AH302" s="42">
        <f>P302*(AZ302-S302)</f>
        <v>0.25542626265118268</v>
      </c>
      <c r="AI302">
        <f>(((X302/10^6)*(Q302/1000))/(0.082056*H302))</f>
        <v>5.8005500995011254E-7</v>
      </c>
      <c r="AJ302">
        <f>(((K302/10^6)*AZ302)*(Q302/1000))/(0.082056*H302)</f>
        <v>1.0632503234908049E-6</v>
      </c>
      <c r="AK302">
        <f>(X302/10^6)*T302*(R302/1000)</f>
        <v>1.453034916929793E-5</v>
      </c>
      <c r="AL302">
        <f>AI302+AK302</f>
        <v>1.5110404179248043E-5</v>
      </c>
      <c r="AM302" s="39">
        <f>((AL302-AJ302)/(R302/1000))*1000000</f>
        <v>12.322064785751964</v>
      </c>
      <c r="AN302" s="39">
        <f>AM302/(T302*AZ302)</f>
        <v>231.77929117638195</v>
      </c>
      <c r="AO302" s="39">
        <f>(K302*AZ302)*T302</f>
        <v>23.363480489184429</v>
      </c>
      <c r="AP302" s="39">
        <f>AM302-AO302</f>
        <v>-11.041415703432465</v>
      </c>
      <c r="AQ302">
        <f>(((AH302/10^6)*(Q302/1000))/(0.082056*H302))</f>
        <v>6.6383406897120063E-10</v>
      </c>
      <c r="AR302">
        <f>(((M302/10^6)*AZ302)*(Q302/1000))/(0.082056*H302)</f>
        <v>7.532066877776194E-10</v>
      </c>
      <c r="AS302">
        <f>(AH302/10^6)*V302*(R302/1000)</f>
        <v>1.2484197985436585E-8</v>
      </c>
      <c r="AT302">
        <f>AQ302+AS302</f>
        <v>1.3148032054407785E-8</v>
      </c>
      <c r="AU302" s="39">
        <f>((AT302-AR302)/(R302/1000))*1000000000</f>
        <v>10.87265383037734</v>
      </c>
      <c r="AV302" s="39">
        <f>(AU302/1000)/(V302*AZ302)</f>
        <v>0.27241590596586895</v>
      </c>
      <c r="AW302" s="39">
        <f>(M302*AZ302)*V302*1000</f>
        <v>12.425401368832734</v>
      </c>
      <c r="AX302" s="39">
        <f>AU302-AW302</f>
        <v>-1.5527475384553941</v>
      </c>
      <c r="AY302" s="26">
        <f>VLOOKUP($E302,Water!$C$2:$G$90, 5, FALSE)</f>
        <v>707.5</v>
      </c>
      <c r="AZ302">
        <f>AY302/760</f>
        <v>0.93092105263157898</v>
      </c>
      <c r="BA302" s="3">
        <f>Assumptions!$B$3</f>
        <v>406.07</v>
      </c>
      <c r="BB302" s="3">
        <f>BA302*AZ302*T302</f>
        <v>21.587868450864271</v>
      </c>
      <c r="BC302" s="3">
        <f>Assumptions!$B$4</f>
        <v>1.8474300000000001</v>
      </c>
      <c r="BD302" s="45">
        <f>BC302*AZ302*U302*1/(0.0821*273.15)</f>
        <v>3.4931602044770377E-3</v>
      </c>
      <c r="BE302" s="3">
        <f>Assumptions!$B$2</f>
        <v>0.33054499999999998</v>
      </c>
      <c r="BF302" s="44">
        <f>BE302*AZ302*V302*1000</f>
        <v>13.192700138487355</v>
      </c>
      <c r="BG302">
        <f>1923.6+(-125.06*F302)+(4.3773*(F302^2))+(-0.085681*(F302^3))+(0.00070284*(F302^4))</f>
        <v>1148.373582969984</v>
      </c>
      <c r="BH302">
        <f>1909.4+(-120.78*F302)+(4.1555*(F302^2))+(-0.080578*(F302^3))+(0.00065777*(F302^4))</f>
        <v>1156.965610596752</v>
      </c>
      <c r="BI302">
        <f>2141.2+(-152.56*F302)+(5.8963*(F302^2))+(-0.12411*(F302^3))+(0.0010655*(F302^4))</f>
        <v>1223.0622868727999</v>
      </c>
      <c r="BJ302" s="25">
        <f>VLOOKUP(E302,Wind!$C$2:$E$109,3, FALSE)</f>
        <v>3.1666666666666665</v>
      </c>
      <c r="BK302" s="44">
        <v>1.66</v>
      </c>
      <c r="BL302">
        <f>BK302/(1-(((1.3*10^-3)^0.5)/0.41)*LN(10/1.5))</f>
        <v>1.9923982880693825</v>
      </c>
      <c r="BM302">
        <f>BK302*1.22</f>
        <v>2.0251999999999999</v>
      </c>
      <c r="BN302">
        <f>2.07+0.215*(BM302^1.7)*(24/100)</f>
        <v>2.241255750541113</v>
      </c>
      <c r="BO302">
        <f>BN302*((600/BG302)^0.67)</f>
        <v>1.4507648176017609</v>
      </c>
      <c r="BP302">
        <f>BN302*((600/BH302)^0.67)</f>
        <v>1.4435374419968705</v>
      </c>
      <c r="BQ302">
        <f>BN302*((600/BI302)^0.67)</f>
        <v>1.3907920817712456</v>
      </c>
      <c r="BR302" s="39">
        <f>BO302*(AM302-BB302)</f>
        <v>-13.442501964150383</v>
      </c>
      <c r="BS302" s="39">
        <f>BP302*(AD302-BD302)</f>
        <v>0.91703720770136066</v>
      </c>
      <c r="BT302" s="39">
        <f>BQ302*(AU302-BF302)</f>
        <v>-3.2267020346620208</v>
      </c>
      <c r="BU302">
        <f>(2.51+1.48*BM302)+(0.39*BM302*LOG10(0.0015))</f>
        <v>3.2768938069574309</v>
      </c>
      <c r="BV302">
        <f>BU302*((600/$BG302)^0.67)</f>
        <v>2.1211333177854264</v>
      </c>
      <c r="BW302">
        <f>BU302*((600/$BH302)^0.67)</f>
        <v>2.1105663209781667</v>
      </c>
      <c r="BX302">
        <f>BU302*((600/$BI302)^0.67)</f>
        <v>2.0334484176655439</v>
      </c>
      <c r="BY302" s="39">
        <f>BV302*($AM302-$BB302)</f>
        <v>-19.654004870128031</v>
      </c>
      <c r="BZ302" s="39">
        <f>BW302*($AD302-$BD302)</f>
        <v>1.3407811874841189</v>
      </c>
      <c r="CA302" s="39">
        <f>BX302*($AU302-$BF302)</f>
        <v>-4.7176944941370973</v>
      </c>
      <c r="CB302" s="42">
        <f>AVERAGE(0.72,0.69,0.4,0.22)</f>
        <v>0.50750000000000006</v>
      </c>
      <c r="CC302">
        <f>CB302*((600/$BG302)^0.67)</f>
        <v>0.32850474326954232</v>
      </c>
      <c r="CD302">
        <f>CB302*((600/$BH302)^0.67)</f>
        <v>0.3268682084302692</v>
      </c>
      <c r="CE302">
        <f>CB302*((600/$BI302)^0.67)</f>
        <v>0.31492478327317053</v>
      </c>
      <c r="CF302" s="39">
        <f>CC302*($AM302-$BB302)</f>
        <v>-3.0438604541937027</v>
      </c>
      <c r="CG302" s="39">
        <f>CD302*($AD302-$BD302)</f>
        <v>0.20764983326694358</v>
      </c>
      <c r="CH302" s="39">
        <f>CE302*($AU302-$BF302)</f>
        <v>-0.73064008076526599</v>
      </c>
      <c r="CI302">
        <v>125.862639018895</v>
      </c>
      <c r="CJ302">
        <f>((BG302/BH302)^0.67)*CI302</f>
        <v>125.23562038997895</v>
      </c>
      <c r="CK302">
        <f>((BH302/BH302)^0.67)*CI302</f>
        <v>125.862639018895</v>
      </c>
      <c r="CL302">
        <f>((BI302/BH302)^0.67)*CI302</f>
        <v>130.63594073739824</v>
      </c>
      <c r="CM302" s="39">
        <f>CJ302*($AM302-$BB302)</f>
        <v>-1160.4086704120805</v>
      </c>
      <c r="CN302" s="39">
        <f>CK302*($AD302-$BD302)</f>
        <v>79.956861306034625</v>
      </c>
      <c r="CO302" s="39">
        <f>CL302*($AU302-$BF302)</f>
        <v>-303.08143201427953</v>
      </c>
      <c r="CP302" s="27">
        <f>VLOOKUP(A302,Water!$A$2:$E$109, 5, FALSE)/1000</f>
        <v>4.0000000000000003E-5</v>
      </c>
      <c r="CQ302">
        <f>0.64*CP302</f>
        <v>2.5600000000000002E-5</v>
      </c>
      <c r="CR302" s="19">
        <f>CQ302*1000*(2.5*10^-5)</f>
        <v>6.4000000000000001E-7</v>
      </c>
      <c r="CS302" s="18">
        <f>(-0.0000009*F302^3)+(0.0002*F302^2)-(0.0134*F302)+6.579</f>
        <v>6.4820717688</v>
      </c>
      <c r="CT302" s="18">
        <f>CS302-(SQRT(CP302))/(1+1.4*SQRT(CP302))</f>
        <v>6.4758027219863932</v>
      </c>
      <c r="CU302" s="18">
        <f>10^(-CT302)</f>
        <v>3.3434688241152168E-7</v>
      </c>
      <c r="CV302" s="18">
        <f>(0.000001*F302^3)+(0.00006*F302^2)-(0.014*F302)+10.625</f>
        <v>10.514785767999999</v>
      </c>
      <c r="CW302" s="18">
        <f>CV302-(2*SQRT(CR302))/(1+1.4*SQRT(CR302))</f>
        <v>10.513187557995204</v>
      </c>
      <c r="CX302" s="18">
        <f>10^(-CW302)</f>
        <v>3.0676968614154791E-11</v>
      </c>
      <c r="CY302">
        <f>EXP(1246.98+-61900/H302-183*LN(H302))</f>
        <v>6.2363420942361143E-3</v>
      </c>
      <c r="CZ302">
        <f>12.225*(F302^2)+15.258*F302+1125.7</f>
        <v>2072.8245999999999</v>
      </c>
      <c r="DA302" s="15">
        <f>10^(-4470.99/H302+6.0875-0.01706*H302)</f>
        <v>2.4915285739882026E-15</v>
      </c>
      <c r="DB302">
        <f>(10^-I302)</f>
        <v>2.137962089502227E-9</v>
      </c>
      <c r="DC302">
        <f>DB302^2</f>
        <v>4.5708818961487287E-18</v>
      </c>
      <c r="DD302" s="20">
        <f>((14.6836*10^-9)*((H302/217.2056)-1)^1.997)*100*100</f>
        <v>1.2852781966109816E-5</v>
      </c>
      <c r="DE302">
        <f>CY302+CZ302*DA302/DB302</f>
        <v>8.6519610358086925E-3</v>
      </c>
      <c r="DF302">
        <f>1+DC302*(CU302*CX302+CU302*DB302)^-1</f>
        <v>1.0063039889996985</v>
      </c>
      <c r="DG302">
        <f>(DE302*DF302/DD302)^0.5</f>
        <v>26.026951599699746</v>
      </c>
      <c r="DH302">
        <f>DD302/(BO302/60/60)</f>
        <v>3.189353265023593E-2</v>
      </c>
      <c r="DI302" s="16">
        <f>DF302/((DF302-1)+TANH(DG302*DH302)/(DG302*DH302))</f>
        <v>1.2181036708590458</v>
      </c>
      <c r="DJ302">
        <f>$DI302*BR302</f>
        <v>-16.374360988061515</v>
      </c>
      <c r="DK302">
        <f>$DI302*BY302</f>
        <v>-23.940615479384519</v>
      </c>
      <c r="DL302">
        <f>$DI302*CF302</f>
        <v>-3.7077375928360317</v>
      </c>
      <c r="DM302">
        <f>$DI302*CM302</f>
        <v>-1413.4980611256199</v>
      </c>
    </row>
    <row r="303" spans="1:117" ht="15.75" x14ac:dyDescent="0.25">
      <c r="A303" s="52" t="s">
        <v>336</v>
      </c>
      <c r="B303" t="s">
        <v>340</v>
      </c>
      <c r="C303" s="68" t="s">
        <v>526</v>
      </c>
      <c r="D303" s="65">
        <v>43369</v>
      </c>
      <c r="E303" s="42" t="str">
        <f>A303&amp;D303</f>
        <v>4D43369</v>
      </c>
      <c r="F303" s="3">
        <f>VLOOKUP($E303,Water!$C$2:$E$90, 2, FALSE)</f>
        <v>8.1999999999999993</v>
      </c>
      <c r="G303" s="3">
        <f>VLOOKUP($E303,Water!$C$2:$E$90, 3, FALSE)</f>
        <v>0.12</v>
      </c>
      <c r="H303" s="1">
        <f>F303+273.15</f>
        <v>281.34999999999997</v>
      </c>
      <c r="I303" s="3">
        <f>VLOOKUP($E303,Water!$C$2:$F$90, 4, FALSE)</f>
        <v>8.67</v>
      </c>
      <c r="J303">
        <f>10^(I303*-1)</f>
        <v>2.137962089502227E-9</v>
      </c>
      <c r="K303" s="25">
        <f>VLOOKUP($E303,Atm!$D$2:$G$100, 2, FALSE)</f>
        <v>439.46944293443198</v>
      </c>
      <c r="L303" s="25">
        <f>VLOOKUP($E303,Atm!$D$2:$G$100, 3, FALSE)</f>
        <v>1.93638578852503</v>
      </c>
      <c r="M303" s="25">
        <f>VLOOKUP($E303,Atm!$D$2:$G$100, 4, FALSE)</f>
        <v>0.31132021893523704</v>
      </c>
      <c r="N303" s="21">
        <f>VLOOKUP($C303,Raw!$B$2:$F$353, 3, FALSE)</f>
        <v>242.44244526762071</v>
      </c>
      <c r="O303" s="21">
        <f>VLOOKUP($C303,Raw!$B$2:$F$353, 4, FALSE)</f>
        <v>173.14925276598919</v>
      </c>
      <c r="P303" s="21">
        <f>VLOOKUP($C303,Raw!$B$2:$F$353, 5, FALSE)</f>
        <v>0.28037266026353641</v>
      </c>
      <c r="Q303" s="14">
        <v>60</v>
      </c>
      <c r="R303" s="25">
        <v>1140</v>
      </c>
      <c r="S303">
        <f>EXP(24.4543-(100/H303*(67.4509))-(4.8489*LN(H303/100))-(0.000544*G303))</f>
        <v>1.0720178791418001E-2</v>
      </c>
      <c r="T303" s="8">
        <f>EXP(-58.0931+90.5069*(100/H303)+22.294*LN(H303/100)+G303*(0.027766-0.025888*(H303/100)+0.0050578*(H303/100)^2)*G303)</f>
        <v>5.7107875698838489E-2</v>
      </c>
      <c r="U303" s="9">
        <f>(EXP(-67.1962+99.1624*(100/H303)+27.9015*LN(H303/100)+G303*(-0.072909+0.041674*(H303/100)-0.0064603*(H303/100)^2)*G303))</f>
        <v>4.5549333039070453E-2</v>
      </c>
      <c r="V303" s="9">
        <f>(EXP(-64.8539+100.252*(100/H303)+25.2049*LN(H303/100)+(-0.062544+0.035337*(H303/100)-0.0054699*(H303/100)^2)*G303))</f>
        <v>4.2873629166994165E-2</v>
      </c>
      <c r="W303" s="9">
        <f>(EXP(-68.8862+101.4956*(100/H303)+28.7314*LN(H303/100)+G303*(-0.076146+0.04397*(H303/100)-0.0068672*(H303/100)^2)))</f>
        <v>4.5414824978376359E-2</v>
      </c>
      <c r="X303">
        <f>N303*(AZ303-S303)</f>
        <v>223.09574999121</v>
      </c>
      <c r="Y303">
        <f>O303*(AZ303-S303)</f>
        <v>159.33209370003416</v>
      </c>
      <c r="Z303">
        <f>((Y303/10^6)*AZ303)/(0.082056*H303)</f>
        <v>6.4247887573192133E-6</v>
      </c>
      <c r="AA303">
        <f>(((L303/10^6)*AZ303)/(0.082056*H303))</f>
        <v>7.8081379306858657E-8</v>
      </c>
      <c r="AB303">
        <f>((Y303/10^6)*U303*1)/(0.082056*H303)</f>
        <v>3.1436053786252212E-7</v>
      </c>
      <c r="AC303">
        <f>(Z303*(Q303/1000))+(AB303*(R303/1000))</f>
        <v>7.4385833860242799E-7</v>
      </c>
      <c r="AD303" s="39">
        <f>((AC303-(AA303*(Q303/1000)))/(R303/1000))*1000000</f>
        <v>0.64839776828422502</v>
      </c>
      <c r="AE303" s="39">
        <f>(AD303/((U303*AZ303*1))*(0.0821*273.15))</f>
        <v>342.91856626732056</v>
      </c>
      <c r="AF303" s="39">
        <f>L303*U303*AZ303*1/(0.0821*273.15)</f>
        <v>3.6613597143006901E-3</v>
      </c>
      <c r="AG303" s="39">
        <f>AD303-AF303</f>
        <v>0.64473640856992431</v>
      </c>
      <c r="AH303" s="42">
        <f>P303*(AZ303-S303)</f>
        <v>0.25799916697539682</v>
      </c>
      <c r="AI303">
        <f>(((X303/10^6)*(Q303/1000))/(0.082056*H303))</f>
        <v>5.7980944461100393E-7</v>
      </c>
      <c r="AJ303">
        <f>(((K303/10^6)*AZ303)*(Q303/1000))/(0.082056*H303)</f>
        <v>1.0632503234908049E-6</v>
      </c>
      <c r="AK303">
        <f>(X303/10^6)*T303*(R303/1000)</f>
        <v>1.4524197769758371E-5</v>
      </c>
      <c r="AL303">
        <f>AI303+AK303</f>
        <v>1.5104007214369376E-5</v>
      </c>
      <c r="AM303" s="39">
        <f>((AL303-AJ303)/(R303/1000))*1000000</f>
        <v>12.316453413051377</v>
      </c>
      <c r="AN303" s="39">
        <f>AM303/(T303*AZ303)</f>
        <v>231.67374068547946</v>
      </c>
      <c r="AO303" s="39">
        <f>(K303*AZ303)*T303</f>
        <v>23.363480489184429</v>
      </c>
      <c r="AP303" s="39">
        <f>AM303-AO303</f>
        <v>-11.047027076133052</v>
      </c>
      <c r="AQ303">
        <f>(((AH303/10^6)*(Q303/1000))/(0.082056*H303))</f>
        <v>6.7052085806206687E-10</v>
      </c>
      <c r="AR303">
        <f>(((M303/10^6)*AZ303)*(Q303/1000))/(0.082056*H303)</f>
        <v>7.532066877776194E-10</v>
      </c>
      <c r="AS303">
        <f>(AH303/10^6)*V303*(R303/1000)</f>
        <v>1.2609951095738089E-8</v>
      </c>
      <c r="AT303">
        <f>AQ303+AS303</f>
        <v>1.3280471953800155E-8</v>
      </c>
      <c r="AU303" s="39">
        <f>((AT303-AR303)/(R303/1000))*1000000000</f>
        <v>10.988829180721524</v>
      </c>
      <c r="AV303" s="39">
        <f>(AU303/1000)/(V303*AZ303)</f>
        <v>0.2753266960828587</v>
      </c>
      <c r="AW303" s="39">
        <f>(M303*AZ303)*V303*1000</f>
        <v>12.425401368832734</v>
      </c>
      <c r="AX303" s="39">
        <f>AU303-AW303</f>
        <v>-1.4365721881112101</v>
      </c>
      <c r="AY303" s="26">
        <f>VLOOKUP($E303,Water!$C$2:$G$90, 5, FALSE)</f>
        <v>707.5</v>
      </c>
      <c r="AZ303">
        <f>AY303/760</f>
        <v>0.93092105263157898</v>
      </c>
      <c r="BA303" s="3">
        <f>Assumptions!$B$3</f>
        <v>406.07</v>
      </c>
      <c r="BB303" s="3">
        <f>BA303*AZ303*T303</f>
        <v>21.587868450864271</v>
      </c>
      <c r="BC303" s="3">
        <f>Assumptions!$B$4</f>
        <v>1.8474300000000001</v>
      </c>
      <c r="BD303" s="45">
        <f>BC303*AZ303*U303*1/(0.0821*273.15)</f>
        <v>3.4931602044770377E-3</v>
      </c>
      <c r="BE303" s="3">
        <f>Assumptions!$B$2</f>
        <v>0.33054499999999998</v>
      </c>
      <c r="BF303" s="44">
        <f>BE303*AZ303*V303*1000</f>
        <v>13.192700138487355</v>
      </c>
      <c r="BG303">
        <f>1923.6+(-125.06*F303)+(4.3773*(F303^2))+(-0.085681*(F303^3))+(0.00070284*(F303^4))</f>
        <v>1148.373582969984</v>
      </c>
      <c r="BH303">
        <f>1909.4+(-120.78*F303)+(4.1555*(F303^2))+(-0.080578*(F303^3))+(0.00065777*(F303^4))</f>
        <v>1156.965610596752</v>
      </c>
      <c r="BI303">
        <f>2141.2+(-152.56*F303)+(5.8963*(F303^2))+(-0.12411*(F303^3))+(0.0010655*(F303^4))</f>
        <v>1223.0622868727999</v>
      </c>
      <c r="BJ303" s="25">
        <f>VLOOKUP(E303,Wind!$C$2:$E$109,3, FALSE)</f>
        <v>3.1666666666666665</v>
      </c>
      <c r="BK303" s="44">
        <v>1.66</v>
      </c>
      <c r="BL303">
        <f>BK303/(1-(((1.3*10^-3)^0.5)/0.41)*LN(10/1.5))</f>
        <v>1.9923982880693825</v>
      </c>
      <c r="BM303">
        <f>BK303*1.22</f>
        <v>2.0251999999999999</v>
      </c>
      <c r="BN303">
        <f>2.07+0.215*(BM303^1.7)*(24/100)</f>
        <v>2.241255750541113</v>
      </c>
      <c r="BO303">
        <f>BN303*((600/BG303)^0.67)</f>
        <v>1.4507648176017609</v>
      </c>
      <c r="BP303">
        <f>BN303*((600/BH303)^0.67)</f>
        <v>1.4435374419968705</v>
      </c>
      <c r="BQ303">
        <f>BN303*((600/BI303)^0.67)</f>
        <v>1.3907920817712456</v>
      </c>
      <c r="BR303" s="39">
        <f>BO303*(AM303-BB303)</f>
        <v>-13.450642746242846</v>
      </c>
      <c r="BS303" s="39">
        <f>BP303*(AD303-BD303)</f>
        <v>0.93094394827943383</v>
      </c>
      <c r="BT303" s="39">
        <f>BQ303*(AU303-BF303)</f>
        <v>-3.0651262773063292</v>
      </c>
      <c r="BU303">
        <f>(2.51+1.48*BM303)+(0.39*BM303*LOG10(0.0015))</f>
        <v>3.2768938069574309</v>
      </c>
      <c r="BV303">
        <f>BU303*((600/$BG303)^0.67)</f>
        <v>2.1211333177854264</v>
      </c>
      <c r="BW303">
        <f>BU303*((600/$BH303)^0.67)</f>
        <v>2.1105663209781667</v>
      </c>
      <c r="BX303">
        <f>BU303*((600/$BI303)^0.67)</f>
        <v>2.0334484176655439</v>
      </c>
      <c r="BY303" s="39">
        <f>BV303*($AM303-$BB303)</f>
        <v>-19.665907339721755</v>
      </c>
      <c r="BZ303" s="39">
        <f>BW303*($AD303-$BD303)</f>
        <v>1.3611139460567403</v>
      </c>
      <c r="CA303" s="39">
        <f>BX303*($AU303-$BF303)</f>
        <v>-4.4814579118079765</v>
      </c>
      <c r="CB303" s="42">
        <f>AVERAGE(0.72,0.69,0.4,0.22)</f>
        <v>0.50750000000000006</v>
      </c>
      <c r="CC303">
        <f>CB303*((600/$BG303)^0.67)</f>
        <v>0.32850474326954232</v>
      </c>
      <c r="CD303">
        <f>CB303*((600/$BH303)^0.67)</f>
        <v>0.3268682084302692</v>
      </c>
      <c r="CE303">
        <f>CB303*((600/$BI303)^0.67)</f>
        <v>0.31492478327317053</v>
      </c>
      <c r="CF303" s="39">
        <f>CC303*($AM303-$BB303)</f>
        <v>-3.0457038167420984</v>
      </c>
      <c r="CG303" s="39">
        <f>CD303*($AD303-$BD303)</f>
        <v>0.21079881385145216</v>
      </c>
      <c r="CH303" s="39">
        <f>CE303*($AU303-$BF303)</f>
        <v>-0.69405358373643922</v>
      </c>
      <c r="CI303">
        <v>126.862639018895</v>
      </c>
      <c r="CJ303">
        <f>((BG303/BH303)^0.67)*CI303</f>
        <v>126.23063862069615</v>
      </c>
      <c r="CK303">
        <f>((BH303/BH303)^0.67)*CI303</f>
        <v>126.862639018895</v>
      </c>
      <c r="CL303">
        <f>((BI303/BH303)^0.67)*CI303</f>
        <v>131.67386542859902</v>
      </c>
      <c r="CM303" s="39">
        <f>CJ303*($AM303-$BB303)</f>
        <v>-1170.3366411406473</v>
      </c>
      <c r="CN303" s="39">
        <f>CK303*($AD303-$BD303)</f>
        <v>81.814300496443025</v>
      </c>
      <c r="CO303" s="39">
        <f>CL303*($AU303-$BF303)</f>
        <v>-290.19220791485571</v>
      </c>
      <c r="CP303" s="27">
        <f>VLOOKUP(A303,Water!$A$2:$E$109, 5, FALSE)/1000</f>
        <v>4.0000000000000003E-5</v>
      </c>
      <c r="CQ303">
        <f>0.64*CP303</f>
        <v>2.5600000000000002E-5</v>
      </c>
      <c r="CR303" s="19">
        <f>CQ303*1000*(2.5*10^-5)</f>
        <v>6.4000000000000001E-7</v>
      </c>
      <c r="CS303" s="18">
        <f>(-0.0000009*F303^3)+(0.0002*F303^2)-(0.0134*F303)+6.579</f>
        <v>6.4820717688</v>
      </c>
      <c r="CT303" s="18">
        <f>CS303-(SQRT(CP303))/(1+1.4*SQRT(CP303))</f>
        <v>6.4758027219863932</v>
      </c>
      <c r="CU303" s="18">
        <f>10^(-CT303)</f>
        <v>3.3434688241152168E-7</v>
      </c>
      <c r="CV303" s="18">
        <f>(0.000001*F303^3)+(0.00006*F303^2)-(0.014*F303)+10.625</f>
        <v>10.514785767999999</v>
      </c>
      <c r="CW303" s="18">
        <f>CV303-(2*SQRT(CR303))/(1+1.4*SQRT(CR303))</f>
        <v>10.513187557995204</v>
      </c>
      <c r="CX303" s="18">
        <f>10^(-CW303)</f>
        <v>3.0676968614154791E-11</v>
      </c>
      <c r="CY303">
        <f>EXP(1246.98+-61900/H303-183*LN(H303))</f>
        <v>6.2363420942361143E-3</v>
      </c>
      <c r="CZ303">
        <f>12.225*(F303^2)+15.258*F303+1125.7</f>
        <v>2072.8245999999999</v>
      </c>
      <c r="DA303" s="15">
        <f>10^(-4470.99/H303+6.0875-0.01706*H303)</f>
        <v>2.4915285739882026E-15</v>
      </c>
      <c r="DB303">
        <f>(10^-I303)</f>
        <v>2.137962089502227E-9</v>
      </c>
      <c r="DC303">
        <f>DB303^2</f>
        <v>4.5708818961487287E-18</v>
      </c>
      <c r="DD303" s="20">
        <f>((14.6836*10^-9)*((H303/217.2056)-1)^1.997)*100*100</f>
        <v>1.2852781966109816E-5</v>
      </c>
      <c r="DE303">
        <f>CY303+CZ303*DA303/DB303</f>
        <v>8.6519610358086925E-3</v>
      </c>
      <c r="DF303">
        <f>1+DC303*(CU303*CX303+CU303*DB303)^-1</f>
        <v>1.0063039889996985</v>
      </c>
      <c r="DG303">
        <f>(DE303*DF303/DD303)^0.5</f>
        <v>26.026951599699746</v>
      </c>
      <c r="DH303">
        <f>DD303/(BO303/60/60)</f>
        <v>3.189353265023593E-2</v>
      </c>
      <c r="DI303" s="16">
        <f>DF303/((DF303-1)+TANH(DG303*DH303)/(DG303*DH303))</f>
        <v>1.2181036708590458</v>
      </c>
      <c r="DJ303">
        <f>$DI303*BR303</f>
        <v>-16.384277304612006</v>
      </c>
      <c r="DK303">
        <f>$DI303*BY303</f>
        <v>-23.955113921288923</v>
      </c>
      <c r="DL303">
        <f>$DI303*CF303</f>
        <v>-3.7099829995229565</v>
      </c>
      <c r="DM303">
        <f>$DI303*CM303</f>
        <v>-1425.5913587142682</v>
      </c>
    </row>
    <row r="304" spans="1:117" ht="15.75" x14ac:dyDescent="0.25">
      <c r="A304" s="52" t="s">
        <v>336</v>
      </c>
      <c r="B304" t="s">
        <v>341</v>
      </c>
      <c r="C304" s="68" t="s">
        <v>527</v>
      </c>
      <c r="D304" s="65">
        <v>43369</v>
      </c>
      <c r="E304" s="42" t="str">
        <f>A304&amp;D304</f>
        <v>4D43369</v>
      </c>
      <c r="F304" s="3">
        <f>VLOOKUP($E304,Water!$C$2:$E$90, 2, FALSE)</f>
        <v>8.1999999999999993</v>
      </c>
      <c r="G304" s="3">
        <f>VLOOKUP($E304,Water!$C$2:$E$90, 3, FALSE)</f>
        <v>0.12</v>
      </c>
      <c r="H304" s="1">
        <f>F304+273.15</f>
        <v>281.34999999999997</v>
      </c>
      <c r="I304" s="3">
        <f>VLOOKUP($E304,Water!$C$2:$F$90, 4, FALSE)</f>
        <v>8.67</v>
      </c>
      <c r="J304">
        <f>10^(I304*-1)</f>
        <v>2.137962089502227E-9</v>
      </c>
      <c r="K304" s="25">
        <f>VLOOKUP($E304,Atm!$D$2:$G$100, 2, FALSE)</f>
        <v>439.46944293443198</v>
      </c>
      <c r="L304" s="25">
        <f>VLOOKUP($E304,Atm!$D$2:$G$100, 3, FALSE)</f>
        <v>1.93638578852503</v>
      </c>
      <c r="M304" s="25">
        <f>VLOOKUP($E304,Atm!$D$2:$G$100, 4, FALSE)</f>
        <v>0.31132021893523704</v>
      </c>
      <c r="N304" s="21">
        <f>VLOOKUP($C304,Raw!$B$2:$F$353, 3, FALSE)</f>
        <v>205.27199226903281</v>
      </c>
      <c r="O304" s="21">
        <f>VLOOKUP($C304,Raw!$B$2:$F$353, 4, FALSE)</f>
        <v>166.95462195524411</v>
      </c>
      <c r="P304" s="21">
        <f>VLOOKUP($C304,Raw!$B$2:$F$353, 5, FALSE)</f>
        <v>0.27481352461318381</v>
      </c>
      <c r="Q304" s="14">
        <v>60</v>
      </c>
      <c r="R304" s="25">
        <v>1140</v>
      </c>
      <c r="S304">
        <f>EXP(24.4543-(100/H304*(67.4509))-(4.8489*LN(H304/100))-(0.000544*G304))</f>
        <v>1.0720178791418001E-2</v>
      </c>
      <c r="T304" s="8">
        <f>EXP(-58.0931+90.5069*(100/H304)+22.294*LN(H304/100)+G304*(0.027766-0.025888*(H304/100)+0.0050578*(H304/100)^2)*G304)</f>
        <v>5.7107875698838489E-2</v>
      </c>
      <c r="U304" s="9">
        <f>(EXP(-67.1962+99.1624*(100/H304)+27.9015*LN(H304/100)+G304*(-0.072909+0.041674*(H304/100)-0.0064603*(H304/100)^2)*G304))</f>
        <v>4.5549333039070453E-2</v>
      </c>
      <c r="V304" s="9">
        <f>(EXP(-64.8539+100.252*(100/H304)+25.2049*LN(H304/100)+(-0.062544+0.035337*(H304/100)-0.0054699*(H304/100)^2)*G304))</f>
        <v>4.2873629166994165E-2</v>
      </c>
      <c r="W304" s="9">
        <f>(EXP(-68.8862+101.4956*(100/H304)+28.7314*LN(H304/100)+G304*(-0.076146+0.04397*(H304/100)-0.0068672*(H304/100)^2)))</f>
        <v>4.5414824978376359E-2</v>
      </c>
      <c r="X304">
        <f>N304*(AZ304-S304)</f>
        <v>188.89146666087476</v>
      </c>
      <c r="Y304">
        <f>O304*(AZ304-S304)</f>
        <v>153.63178901486936</v>
      </c>
      <c r="Z304">
        <f>((Y304/10^6)*AZ304)/(0.082056*H304)</f>
        <v>6.1949339138657061E-6</v>
      </c>
      <c r="AA304">
        <f>(((L304/10^6)*AZ304)/(0.082056*H304))</f>
        <v>7.8081379306858657E-8</v>
      </c>
      <c r="AB304">
        <f>((Y304/10^6)*U304*1)/(0.082056*H304)</f>
        <v>3.0311389693039281E-7</v>
      </c>
      <c r="AC304">
        <f>(Z304*(Q304/1000))+(AB304*(R304/1000))</f>
        <v>7.1724587733259021E-7</v>
      </c>
      <c r="AD304" s="39">
        <f>((AC304-(AA304*(Q304/1000)))/(R304/1000))*1000000</f>
        <v>0.62505350401243742</v>
      </c>
      <c r="AE304" s="39">
        <f>(AD304/((U304*AZ304*1))*(0.0821*273.15))</f>
        <v>330.5724694326106</v>
      </c>
      <c r="AF304" s="39">
        <f>L304*U304*AZ304*1/(0.0821*273.15)</f>
        <v>3.6613597143006901E-3</v>
      </c>
      <c r="AG304" s="39">
        <f>AD304-AF304</f>
        <v>0.62139214429813672</v>
      </c>
      <c r="AH304" s="42">
        <f>P304*(AZ304-S304)</f>
        <v>0.25288364549214637</v>
      </c>
      <c r="AI304">
        <f>(((X304/10^6)*(Q304/1000))/(0.082056*H304))</f>
        <v>4.9091502810212604E-7</v>
      </c>
      <c r="AJ304">
        <f>(((K304/10^6)*AZ304)*(Q304/1000))/(0.082056*H304)</f>
        <v>1.0632503234908049E-6</v>
      </c>
      <c r="AK304">
        <f>(X304/10^6)*T304*(R304/1000)</f>
        <v>1.2297397054450202E-5</v>
      </c>
      <c r="AL304">
        <f>AI304+AK304</f>
        <v>1.2788312082552328E-5</v>
      </c>
      <c r="AM304" s="39">
        <f>((AL304-AJ304)/(R304/1000))*1000000</f>
        <v>10.285141893913616</v>
      </c>
      <c r="AN304" s="39">
        <f>AM304/(T304*AZ304)</f>
        <v>193.46456452463215</v>
      </c>
      <c r="AO304" s="39">
        <f>(K304*AZ304)*T304</f>
        <v>23.363480489184429</v>
      </c>
      <c r="AP304" s="39">
        <f>AM304-AO304</f>
        <v>-13.078338595270813</v>
      </c>
      <c r="AQ304">
        <f>(((AH304/10^6)*(Q304/1000))/(0.082056*H304))</f>
        <v>6.5722599399488525E-10</v>
      </c>
      <c r="AR304">
        <f>(((M304/10^6)*AZ304)*(Q304/1000))/(0.082056*H304)</f>
        <v>7.532066877776194E-10</v>
      </c>
      <c r="AS304">
        <f>(AH304/10^6)*V304*(R304/1000)</f>
        <v>1.2359925188719803E-8</v>
      </c>
      <c r="AT304">
        <f>AQ304+AS304</f>
        <v>1.3017151182714688E-8</v>
      </c>
      <c r="AU304" s="39">
        <f>((AT304-AR304)/(R304/1000))*1000000000</f>
        <v>10.757846048190412</v>
      </c>
      <c r="AV304" s="39">
        <f>(AU304/1000)/(V304*AZ304)</f>
        <v>0.26953938046581094</v>
      </c>
      <c r="AW304" s="39">
        <f>(M304*AZ304)*V304*1000</f>
        <v>12.425401368832734</v>
      </c>
      <c r="AX304" s="39">
        <f>AU304-AW304</f>
        <v>-1.6675553206423217</v>
      </c>
      <c r="AY304" s="26">
        <f>VLOOKUP($E304,Water!$C$2:$G$90, 5, FALSE)</f>
        <v>707.5</v>
      </c>
      <c r="AZ304">
        <f>AY304/760</f>
        <v>0.93092105263157898</v>
      </c>
      <c r="BA304" s="3">
        <f>Assumptions!$B$3</f>
        <v>406.07</v>
      </c>
      <c r="BB304" s="3">
        <f>BA304*AZ304*T304</f>
        <v>21.587868450864271</v>
      </c>
      <c r="BC304" s="3">
        <f>Assumptions!$B$4</f>
        <v>1.8474300000000001</v>
      </c>
      <c r="BD304" s="45">
        <f>BC304*AZ304*U304*1/(0.0821*273.15)</f>
        <v>3.4931602044770377E-3</v>
      </c>
      <c r="BE304" s="3">
        <f>Assumptions!$B$2</f>
        <v>0.33054499999999998</v>
      </c>
      <c r="BF304" s="44">
        <f>BE304*AZ304*V304*1000</f>
        <v>13.192700138487355</v>
      </c>
      <c r="BG304">
        <f>1923.6+(-125.06*F304)+(4.3773*(F304^2))+(-0.085681*(F304^3))+(0.00070284*(F304^4))</f>
        <v>1148.373582969984</v>
      </c>
      <c r="BH304">
        <f>1909.4+(-120.78*F304)+(4.1555*(F304^2))+(-0.080578*(F304^3))+(0.00065777*(F304^4))</f>
        <v>1156.965610596752</v>
      </c>
      <c r="BI304">
        <f>2141.2+(-152.56*F304)+(5.8963*(F304^2))+(-0.12411*(F304^3))+(0.0010655*(F304^4))</f>
        <v>1223.0622868727999</v>
      </c>
      <c r="BJ304" s="25">
        <f>VLOOKUP(E304,Wind!$C$2:$E$109,3, FALSE)</f>
        <v>3.1666666666666665</v>
      </c>
      <c r="BK304" s="44">
        <v>1.66</v>
      </c>
      <c r="BL304">
        <f>BK304/(1-(((1.3*10^-3)^0.5)/0.41)*LN(10/1.5))</f>
        <v>1.9923982880693825</v>
      </c>
      <c r="BM304">
        <f>BK304*1.22</f>
        <v>2.0251999999999999</v>
      </c>
      <c r="BN304">
        <f>2.07+0.215*(BM304^1.7)*(24/100)</f>
        <v>2.241255750541113</v>
      </c>
      <c r="BO304">
        <f>BN304*((600/BG304)^0.67)</f>
        <v>1.4507648176017609</v>
      </c>
      <c r="BP304">
        <f>BN304*((600/BH304)^0.67)</f>
        <v>1.4435374419968705</v>
      </c>
      <c r="BQ304">
        <f>BN304*((600/BI304)^0.67)</f>
        <v>1.3907920817712456</v>
      </c>
      <c r="BR304" s="39">
        <f>BO304*(AM304-BB304)</f>
        <v>-16.397598031797095</v>
      </c>
      <c r="BS304" s="39">
        <f>BP304*(AD304-BD304)</f>
        <v>0.89724562874723857</v>
      </c>
      <c r="BT304" s="39">
        <f>BQ304*(AU304-BF304)</f>
        <v>-3.3863757890533175</v>
      </c>
      <c r="BU304">
        <f>(2.51+1.48*BM304)+(0.39*BM304*LOG10(0.0015))</f>
        <v>3.2768938069574309</v>
      </c>
      <c r="BV304">
        <f>BU304*((600/$BG304)^0.67)</f>
        <v>2.1211333177854264</v>
      </c>
      <c r="BW304">
        <f>BU304*((600/$BH304)^0.67)</f>
        <v>2.1105663209781667</v>
      </c>
      <c r="BX304">
        <f>BU304*((600/$BI304)^0.67)</f>
        <v>2.0334484176655439</v>
      </c>
      <c r="BY304" s="39">
        <f>BV304*($AM304-$BB304)</f>
        <v>-23.974589881766189</v>
      </c>
      <c r="BZ304" s="39">
        <f>BW304*($AD304-$BD304)</f>
        <v>1.3118443280966914</v>
      </c>
      <c r="CA304" s="39">
        <f>BX304*($AU304-$BF304)</f>
        <v>-4.9511501971607954</v>
      </c>
      <c r="CB304" s="42">
        <f>AVERAGE(0.72,0.69,0.4,0.22)</f>
        <v>0.50750000000000006</v>
      </c>
      <c r="CC304">
        <f>CB304*((600/$BG304)^0.67)</f>
        <v>0.32850474326954232</v>
      </c>
      <c r="CD304">
        <f>CB304*((600/$BH304)^0.67)</f>
        <v>0.3268682084302692</v>
      </c>
      <c r="CE304">
        <f>CB304*((600/$BI304)^0.67)</f>
        <v>0.31492478327317053</v>
      </c>
      <c r="CF304" s="39">
        <f>CC304*($AM304-$BB304)</f>
        <v>-3.7129992858369127</v>
      </c>
      <c r="CG304" s="39">
        <f>CD304*($AD304-$BD304)</f>
        <v>0.20316831601181021</v>
      </c>
      <c r="CH304" s="39">
        <f>CE304*($AU304-$BF304)</f>
        <v>-0.76679589668855752</v>
      </c>
      <c r="CI304">
        <v>127.862639018895</v>
      </c>
      <c r="CJ304">
        <f>((BG304/BH304)^0.67)*CI304</f>
        <v>127.22565685141336</v>
      </c>
      <c r="CK304">
        <f>((BH304/BH304)^0.67)*CI304</f>
        <v>127.862639018895</v>
      </c>
      <c r="CL304">
        <f>((BI304/BH304)^0.67)*CI304</f>
        <v>132.71179011979976</v>
      </c>
      <c r="CM304" s="39">
        <f>CJ304*($AM304-$BB304)</f>
        <v>-1437.9968104199609</v>
      </c>
      <c r="CN304" s="39">
        <f>CK304*($AD304-$BD304)</f>
        <v>79.474345868777505</v>
      </c>
      <c r="CO304" s="39">
        <f>CL304*($AU304-$BF304)</f>
        <v>-323.13384500382386</v>
      </c>
      <c r="CP304" s="27">
        <f>VLOOKUP(A304,Water!$A$2:$E$109, 5, FALSE)/1000</f>
        <v>4.0000000000000003E-5</v>
      </c>
      <c r="CQ304">
        <f>0.64*CP304</f>
        <v>2.5600000000000002E-5</v>
      </c>
      <c r="CR304" s="19">
        <f>CQ304*1000*(2.5*10^-5)</f>
        <v>6.4000000000000001E-7</v>
      </c>
      <c r="CS304" s="18">
        <f>(-0.0000009*F304^3)+(0.0002*F304^2)-(0.0134*F304)+6.579</f>
        <v>6.4820717688</v>
      </c>
      <c r="CT304" s="18">
        <f>CS304-(SQRT(CP304))/(1+1.4*SQRT(CP304))</f>
        <v>6.4758027219863932</v>
      </c>
      <c r="CU304" s="18">
        <f>10^(-CT304)</f>
        <v>3.3434688241152168E-7</v>
      </c>
      <c r="CV304" s="18">
        <f>(0.000001*F304^3)+(0.00006*F304^2)-(0.014*F304)+10.625</f>
        <v>10.514785767999999</v>
      </c>
      <c r="CW304" s="18">
        <f>CV304-(2*SQRT(CR304))/(1+1.4*SQRT(CR304))</f>
        <v>10.513187557995204</v>
      </c>
      <c r="CX304" s="18">
        <f>10^(-CW304)</f>
        <v>3.0676968614154791E-11</v>
      </c>
      <c r="CY304">
        <f>EXP(1246.98+-61900/H304-183*LN(H304))</f>
        <v>6.2363420942361143E-3</v>
      </c>
      <c r="CZ304">
        <f>12.225*(F304^2)+15.258*F304+1125.7</f>
        <v>2072.8245999999999</v>
      </c>
      <c r="DA304" s="15">
        <f>10^(-4470.99/H304+6.0875-0.01706*H304)</f>
        <v>2.4915285739882026E-15</v>
      </c>
      <c r="DB304">
        <f>(10^-I304)</f>
        <v>2.137962089502227E-9</v>
      </c>
      <c r="DC304">
        <f>DB304^2</f>
        <v>4.5708818961487287E-18</v>
      </c>
      <c r="DD304" s="20">
        <f>((14.6836*10^-9)*((H304/217.2056)-1)^1.997)*100*100</f>
        <v>1.2852781966109816E-5</v>
      </c>
      <c r="DE304">
        <f>CY304+CZ304*DA304/DB304</f>
        <v>8.6519610358086925E-3</v>
      </c>
      <c r="DF304">
        <f>1+DC304*(CU304*CX304+CU304*DB304)^-1</f>
        <v>1.0063039889996985</v>
      </c>
      <c r="DG304">
        <f>(DE304*DF304/DD304)^0.5</f>
        <v>26.026951599699746</v>
      </c>
      <c r="DH304">
        <f>DD304/(BO304/60/60)</f>
        <v>3.189353265023593E-2</v>
      </c>
      <c r="DI304" s="16">
        <f>DF304/((DF304-1)+TANH(DG304*DH304)/(DG304*DH304))</f>
        <v>1.2181036708590458</v>
      </c>
      <c r="DJ304">
        <f>$DI304*BR304</f>
        <v>-19.973974355803104</v>
      </c>
      <c r="DK304">
        <f>$DI304*BY304</f>
        <v>-29.203535942319533</v>
      </c>
      <c r="DL304">
        <f>$DI304*CF304</f>
        <v>-4.5228180599749592</v>
      </c>
      <c r="DM304">
        <f>$DI304*CM304</f>
        <v>-1751.6291934561536</v>
      </c>
    </row>
    <row r="305" spans="1:117" ht="15.75" x14ac:dyDescent="0.25">
      <c r="A305" s="52" t="s">
        <v>336</v>
      </c>
      <c r="B305" t="s">
        <v>342</v>
      </c>
      <c r="C305" s="68" t="s">
        <v>528</v>
      </c>
      <c r="D305" s="65">
        <v>43369</v>
      </c>
      <c r="E305" s="42" t="str">
        <f>A305&amp;D305</f>
        <v>4D43369</v>
      </c>
      <c r="F305" s="3">
        <f>VLOOKUP($E305,Water!$C$2:$E$90, 2, FALSE)</f>
        <v>8.1999999999999993</v>
      </c>
      <c r="G305" s="3">
        <f>VLOOKUP($E305,Water!$C$2:$E$90, 3, FALSE)</f>
        <v>0.12</v>
      </c>
      <c r="H305" s="1">
        <f>F305+273.15</f>
        <v>281.34999999999997</v>
      </c>
      <c r="I305" s="3">
        <f>VLOOKUP($E305,Water!$C$2:$F$90, 4, FALSE)</f>
        <v>8.67</v>
      </c>
      <c r="J305">
        <f>10^(I305*-1)</f>
        <v>2.137962089502227E-9</v>
      </c>
      <c r="K305" s="25">
        <f>VLOOKUP($E305,Atm!$D$2:$G$100, 2, FALSE)</f>
        <v>439.46944293443198</v>
      </c>
      <c r="L305" s="25">
        <f>VLOOKUP($E305,Atm!$D$2:$G$100, 3, FALSE)</f>
        <v>1.93638578852503</v>
      </c>
      <c r="M305" s="25">
        <f>VLOOKUP($E305,Atm!$D$2:$G$100, 4, FALSE)</f>
        <v>0.31132021893523704</v>
      </c>
      <c r="N305" s="21">
        <f>VLOOKUP($C305,Raw!$B$2:$F$353, 3, FALSE)</f>
        <v>191.1569062091088</v>
      </c>
      <c r="O305" s="21">
        <f>VLOOKUP($C305,Raw!$B$2:$F$353, 4, FALSE)</f>
        <v>174.3327569917758</v>
      </c>
      <c r="P305" s="21">
        <f>VLOOKUP($C305,Raw!$B$2:$F$353, 5, FALSE)</f>
        <v>0.27511788999586179</v>
      </c>
      <c r="Q305" s="14">
        <v>60</v>
      </c>
      <c r="R305" s="25">
        <v>1140</v>
      </c>
      <c r="S305">
        <f>EXP(24.4543-(100/H305*(67.4509))-(4.8489*LN(H305/100))-(0.000544*G305))</f>
        <v>1.0720178791418001E-2</v>
      </c>
      <c r="T305" s="8">
        <f>EXP(-58.0931+90.5069*(100/H305)+22.294*LN(H305/100)+G305*(0.027766-0.025888*(H305/100)+0.0050578*(H305/100)^2)*G305)</f>
        <v>5.7107875698838489E-2</v>
      </c>
      <c r="U305" s="9">
        <f>(EXP(-67.1962+99.1624*(100/H305)+27.9015*LN(H305/100)+G305*(-0.072909+0.041674*(H305/100)-0.0064603*(H305/100)^2)*G305))</f>
        <v>4.5549333039070453E-2</v>
      </c>
      <c r="V305" s="9">
        <f>(EXP(-64.8539+100.252*(100/H305)+25.2049*LN(H305/100)+(-0.062544+0.035337*(H305/100)-0.0054699*(H305/100)^2)*G305))</f>
        <v>4.2873629166994165E-2</v>
      </c>
      <c r="W305" s="9">
        <f>(EXP(-68.8862+101.4956*(100/H305)+28.7314*LN(H305/100)+G305*(-0.076146+0.04397*(H305/100)-0.0068672*(H305/100)^2)))</f>
        <v>4.5414824978376359E-2</v>
      </c>
      <c r="X305">
        <f>N305*(AZ305-S305)</f>
        <v>175.90275213420361</v>
      </c>
      <c r="Y305">
        <f>O305*(AZ305-S305)</f>
        <v>160.42115532279652</v>
      </c>
      <c r="Z305">
        <f>((Y305/10^6)*AZ305)/(0.082056*H305)</f>
        <v>6.4687032676194688E-6</v>
      </c>
      <c r="AA305">
        <f>(((L305/10^6)*AZ305)/(0.082056*H305))</f>
        <v>7.8081379306858657E-8</v>
      </c>
      <c r="AB305">
        <f>((Y305/10^6)*U305*1)/(0.082056*H305)</f>
        <v>3.1650924494059232E-7</v>
      </c>
      <c r="AC305">
        <f>(Z305*(Q305/1000))+(AB305*(R305/1000))</f>
        <v>7.4894273528944328E-7</v>
      </c>
      <c r="AD305" s="39">
        <f>((AC305-(AA305*(Q305/1000)))/(R305/1000))*1000000</f>
        <v>0.65285776537809803</v>
      </c>
      <c r="AE305" s="39">
        <f>(AD305/((U305*AZ305*1))*(0.0821*273.15))</f>
        <v>345.27732794695191</v>
      </c>
      <c r="AF305" s="39">
        <f>L305*U305*AZ305*1/(0.0821*273.15)</f>
        <v>3.6613597143006901E-3</v>
      </c>
      <c r="AG305" s="39">
        <f>AD305-AF305</f>
        <v>0.64919640566379733</v>
      </c>
      <c r="AH305" s="42">
        <f>P305*(AZ305-S305)</f>
        <v>0.25316372278325333</v>
      </c>
      <c r="AI305">
        <f>(((X305/10^6)*(Q305/1000))/(0.082056*H305))</f>
        <v>4.5715831442104163E-7</v>
      </c>
      <c r="AJ305">
        <f>(((K305/10^6)*AZ305)*(Q305/1000))/(0.082056*H305)</f>
        <v>1.0632503234908049E-6</v>
      </c>
      <c r="AK305">
        <f>(X305/10^6)*T305*(R305/1000)</f>
        <v>1.1451793054518613E-5</v>
      </c>
      <c r="AL305">
        <f>AI305+AK305</f>
        <v>1.1908951368939656E-5</v>
      </c>
      <c r="AM305" s="39">
        <f>((AL305-AJ305)/(R305/1000))*1000000</f>
        <v>9.5137728468849581</v>
      </c>
      <c r="AN305" s="39">
        <f>AM305/(T305*AZ305)</f>
        <v>178.95503433920123</v>
      </c>
      <c r="AO305" s="39">
        <f>(K305*AZ305)*T305</f>
        <v>23.363480489184429</v>
      </c>
      <c r="AP305" s="39">
        <f>AM305-AO305</f>
        <v>-13.849707642299471</v>
      </c>
      <c r="AQ305">
        <f>(((AH305/10^6)*(Q305/1000))/(0.082056*H305))</f>
        <v>6.5795389427362786E-10</v>
      </c>
      <c r="AR305">
        <f>(((M305/10^6)*AZ305)*(Q305/1000))/(0.082056*H305)</f>
        <v>7.532066877776194E-10</v>
      </c>
      <c r="AS305">
        <f>(AH305/10^6)*V305*(R305/1000)</f>
        <v>1.2373614228825204E-8</v>
      </c>
      <c r="AT305">
        <f>AQ305+AS305</f>
        <v>1.3031568123098832E-8</v>
      </c>
      <c r="AU305" s="39">
        <f>((AT305-AR305)/(R305/1000))*1000000000</f>
        <v>10.770492487123871</v>
      </c>
      <c r="AV305" s="39">
        <f>(AU305/1000)/(V305*AZ305)</f>
        <v>0.26985623881272847</v>
      </c>
      <c r="AW305" s="39">
        <f>(M305*AZ305)*V305*1000</f>
        <v>12.425401368832734</v>
      </c>
      <c r="AX305" s="39">
        <f>AU305-AW305</f>
        <v>-1.6549088817088631</v>
      </c>
      <c r="AY305" s="26">
        <f>VLOOKUP($E305,Water!$C$2:$G$90, 5, FALSE)</f>
        <v>707.5</v>
      </c>
      <c r="AZ305">
        <f>AY305/760</f>
        <v>0.93092105263157898</v>
      </c>
      <c r="BA305" s="3">
        <f>Assumptions!$B$3</f>
        <v>406.07</v>
      </c>
      <c r="BB305" s="3">
        <f>BA305*AZ305*T305</f>
        <v>21.587868450864271</v>
      </c>
      <c r="BC305" s="3">
        <f>Assumptions!$B$4</f>
        <v>1.8474300000000001</v>
      </c>
      <c r="BD305" s="45">
        <f>BC305*AZ305*U305*1/(0.0821*273.15)</f>
        <v>3.4931602044770377E-3</v>
      </c>
      <c r="BE305" s="3">
        <f>Assumptions!$B$2</f>
        <v>0.33054499999999998</v>
      </c>
      <c r="BF305" s="44">
        <f>BE305*AZ305*V305*1000</f>
        <v>13.192700138487355</v>
      </c>
      <c r="BG305">
        <f>1923.6+(-125.06*F305)+(4.3773*(F305^2))+(-0.085681*(F305^3))+(0.00070284*(F305^4))</f>
        <v>1148.373582969984</v>
      </c>
      <c r="BH305">
        <f>1909.4+(-120.78*F305)+(4.1555*(F305^2))+(-0.080578*(F305^3))+(0.00065777*(F305^4))</f>
        <v>1156.965610596752</v>
      </c>
      <c r="BI305">
        <f>2141.2+(-152.56*F305)+(5.8963*(F305^2))+(-0.12411*(F305^3))+(0.0010655*(F305^4))</f>
        <v>1223.0622868727999</v>
      </c>
      <c r="BJ305" s="25">
        <f>VLOOKUP(E305,Wind!$C$2:$E$109,3, FALSE)</f>
        <v>3.1666666666666665</v>
      </c>
      <c r="BK305" s="44">
        <v>1.66</v>
      </c>
      <c r="BL305">
        <f>BK305/(1-(((1.3*10^-3)^0.5)/0.41)*LN(10/1.5))</f>
        <v>1.9923982880693825</v>
      </c>
      <c r="BM305">
        <f>BK305*1.22</f>
        <v>2.0251999999999999</v>
      </c>
      <c r="BN305">
        <f>2.07+0.215*(BM305^1.7)*(24/100)</f>
        <v>2.241255750541113</v>
      </c>
      <c r="BO305">
        <f>BN305*((600/BG305)^0.67)</f>
        <v>1.4507648176017609</v>
      </c>
      <c r="BP305">
        <f>BN305*((600/BH305)^0.67)</f>
        <v>1.4435374419968705</v>
      </c>
      <c r="BQ305">
        <f>BN305*((600/BI305)^0.67)</f>
        <v>1.3907920817712456</v>
      </c>
      <c r="BR305" s="39">
        <f>BO305*(AM305-BB305)</f>
        <v>-17.516673106613272</v>
      </c>
      <c r="BS305" s="39">
        <f>BP305*(AD305-BD305)</f>
        <v>0.93738212107563668</v>
      </c>
      <c r="BT305" s="39">
        <f>BQ305*(AU305-BF305)</f>
        <v>-3.3687872219220596</v>
      </c>
      <c r="BU305">
        <f>(2.51+1.48*BM305)+(0.39*BM305*LOG10(0.0015))</f>
        <v>3.2768938069574309</v>
      </c>
      <c r="BV305">
        <f>BU305*((600/$BG305)^0.67)</f>
        <v>2.1211333177854264</v>
      </c>
      <c r="BW305">
        <f>BU305*((600/$BH305)^0.67)</f>
        <v>2.1105663209781667</v>
      </c>
      <c r="BX305">
        <f>BU305*((600/$BI305)^0.67)</f>
        <v>2.0334484176655439</v>
      </c>
      <c r="BY305" s="39">
        <f>BV305*($AM305-$BB305)</f>
        <v>-25.610766467727071</v>
      </c>
      <c r="BZ305" s="39">
        <f>BW305*($AD305-$BD305)</f>
        <v>1.370527065714729</v>
      </c>
      <c r="CA305" s="39">
        <f>BX305*($AU305-$BF305)</f>
        <v>-4.9254343159224501</v>
      </c>
      <c r="CB305" s="42">
        <f>AVERAGE(0.72,0.69,0.4,0.22)</f>
        <v>0.50750000000000006</v>
      </c>
      <c r="CC305">
        <f>CB305*((600/$BG305)^0.67)</f>
        <v>0.32850474326954232</v>
      </c>
      <c r="CD305">
        <f>CB305*((600/$BH305)^0.67)</f>
        <v>0.3268682084302692</v>
      </c>
      <c r="CE305">
        <f>CB305*((600/$BI305)^0.67)</f>
        <v>0.31492478327317053</v>
      </c>
      <c r="CF305" s="39">
        <f>CC305*($AM305-$BB305)</f>
        <v>-3.9663976765971336</v>
      </c>
      <c r="CG305" s="39">
        <f>CD305*($AD305-$BD305)</f>
        <v>0.21225664511113063</v>
      </c>
      <c r="CH305" s="39">
        <f>CE305*($AU305-$BF305)</f>
        <v>-0.76281321964826065</v>
      </c>
      <c r="CI305">
        <v>128.86263901889501</v>
      </c>
      <c r="CJ305">
        <f>((BG305/BH305)^0.67)*CI305</f>
        <v>128.22067508213058</v>
      </c>
      <c r="CK305">
        <f>((BH305/BH305)^0.67)*CI305</f>
        <v>128.86263901889501</v>
      </c>
      <c r="CL305">
        <f>((BI305/BH305)^0.67)*CI305</f>
        <v>133.74971481100053</v>
      </c>
      <c r="CM305" s="39">
        <f>CJ305*($AM305-$BB305)</f>
        <v>-1548.1486893484127</v>
      </c>
      <c r="CN305" s="39">
        <f>CK305*($AD305-$BD305)</f>
        <v>83.678836708135606</v>
      </c>
      <c r="CO305" s="39">
        <f>CL305*($AU305-$BF305)</f>
        <v>-323.96958258288942</v>
      </c>
      <c r="CP305" s="27">
        <f>VLOOKUP(A305,Water!$A$2:$E$109, 5, FALSE)/1000</f>
        <v>4.0000000000000003E-5</v>
      </c>
      <c r="CQ305">
        <f>0.64*CP305</f>
        <v>2.5600000000000002E-5</v>
      </c>
      <c r="CR305" s="19">
        <f>CQ305*1000*(2.5*10^-5)</f>
        <v>6.4000000000000001E-7</v>
      </c>
      <c r="CS305" s="18">
        <f>(-0.0000009*F305^3)+(0.0002*F305^2)-(0.0134*F305)+6.579</f>
        <v>6.4820717688</v>
      </c>
      <c r="CT305" s="18">
        <f>CS305-(SQRT(CP305))/(1+1.4*SQRT(CP305))</f>
        <v>6.4758027219863932</v>
      </c>
      <c r="CU305" s="18">
        <f>10^(-CT305)</f>
        <v>3.3434688241152168E-7</v>
      </c>
      <c r="CV305" s="18">
        <f>(0.000001*F305^3)+(0.00006*F305^2)-(0.014*F305)+10.625</f>
        <v>10.514785767999999</v>
      </c>
      <c r="CW305" s="18">
        <f>CV305-(2*SQRT(CR305))/(1+1.4*SQRT(CR305))</f>
        <v>10.513187557995204</v>
      </c>
      <c r="CX305" s="18">
        <f>10^(-CW305)</f>
        <v>3.0676968614154791E-11</v>
      </c>
      <c r="CY305">
        <f>EXP(1246.98+-61900/H305-183*LN(H305))</f>
        <v>6.2363420942361143E-3</v>
      </c>
      <c r="CZ305">
        <f>12.225*(F305^2)+15.258*F305+1125.7</f>
        <v>2072.8245999999999</v>
      </c>
      <c r="DA305" s="15">
        <f>10^(-4470.99/H305+6.0875-0.01706*H305)</f>
        <v>2.4915285739882026E-15</v>
      </c>
      <c r="DB305">
        <f>(10^-I305)</f>
        <v>2.137962089502227E-9</v>
      </c>
      <c r="DC305">
        <f>DB305^2</f>
        <v>4.5708818961487287E-18</v>
      </c>
      <c r="DD305" s="20">
        <f>((14.6836*10^-9)*((H305/217.2056)-1)^1.997)*100*100</f>
        <v>1.2852781966109816E-5</v>
      </c>
      <c r="DE305">
        <f>CY305+CZ305*DA305/DB305</f>
        <v>8.6519610358086925E-3</v>
      </c>
      <c r="DF305">
        <f>1+DC305*(CU305*CX305+CU305*DB305)^-1</f>
        <v>1.0063039889996985</v>
      </c>
      <c r="DG305">
        <f>(DE305*DF305/DD305)^0.5</f>
        <v>26.026951599699746</v>
      </c>
      <c r="DH305">
        <f>DD305/(BO305/60/60)</f>
        <v>3.189353265023593E-2</v>
      </c>
      <c r="DI305" s="16">
        <f>DF305/((DF305-1)+TANH(DG305*DH305)/(DG305*DH305))</f>
        <v>1.2181036708590458</v>
      </c>
      <c r="DJ305">
        <f>$DI305*BR305</f>
        <v>-21.337123812403551</v>
      </c>
      <c r="DK305">
        <f>$DI305*BY305</f>
        <v>-31.196568647852104</v>
      </c>
      <c r="DL305">
        <f>$DI305*CF305</f>
        <v>-4.8314835699497589</v>
      </c>
      <c r="DM305">
        <f>$DI305*CM305</f>
        <v>-1885.8056015309221</v>
      </c>
    </row>
    <row r="306" spans="1:117" ht="15.75" x14ac:dyDescent="0.25">
      <c r="A306" s="51" t="s">
        <v>335</v>
      </c>
      <c r="B306" t="s">
        <v>339</v>
      </c>
      <c r="C306" s="68" t="s">
        <v>473</v>
      </c>
      <c r="D306" s="65">
        <v>43369</v>
      </c>
      <c r="E306" s="42" t="str">
        <f>A306&amp;D306</f>
        <v>4C43369</v>
      </c>
      <c r="F306" s="3">
        <f>VLOOKUP($E306,Water!$C$2:$E$90, 2, FALSE)</f>
        <v>8.9</v>
      </c>
      <c r="G306" s="3">
        <f>VLOOKUP($E306,Water!$C$2:$E$90, 3, FALSE)</f>
        <v>0.18</v>
      </c>
      <c r="H306" s="1">
        <f>F306+273.15</f>
        <v>282.04999999999995</v>
      </c>
      <c r="I306" s="3">
        <f>VLOOKUP($E306,Water!$C$2:$F$90, 4, FALSE)</f>
        <v>8.27</v>
      </c>
      <c r="J306">
        <f>10^(I306*-1)</f>
        <v>5.3703179637025321E-9</v>
      </c>
      <c r="K306" s="25">
        <f>VLOOKUP($E306,Atm!$D$2:$G$100, 2, FALSE)</f>
        <v>446.66723096452921</v>
      </c>
      <c r="L306" s="25">
        <f>VLOOKUP($E306,Atm!$D$2:$G$100, 3, FALSE)</f>
        <v>5.3105253204993978</v>
      </c>
      <c r="M306" s="25">
        <f>VLOOKUP($E306,Atm!$D$2:$G$100, 4, FALSE)</f>
        <v>0.30728000934186112</v>
      </c>
      <c r="N306" s="21" t="str">
        <f>VLOOKUP($C306,Raw!$B$2:$F$353, 3, FALSE)</f>
        <v>NA</v>
      </c>
      <c r="O306" s="21" t="str">
        <f>VLOOKUP($C306,Raw!$B$2:$F$353, 4, FALSE)</f>
        <v>NA</v>
      </c>
      <c r="P306" s="21" t="str">
        <f>VLOOKUP($C306,Raw!$B$2:$F$353, 5, FALSE)</f>
        <v>NA</v>
      </c>
      <c r="Q306" s="14">
        <v>60</v>
      </c>
      <c r="R306" s="25">
        <v>1140</v>
      </c>
      <c r="S306">
        <f>EXP(24.4543-(100/H306*(67.4509))-(4.8489*LN(H306/100))-(0.000544*G306))</f>
        <v>1.124074942827427E-2</v>
      </c>
      <c r="T306" s="8">
        <f>EXP(-58.0931+90.5069*(100/H306)+22.294*LN(H306/100)+G306*(0.027766-0.025888*(H306/100)+0.0050578*(H306/100)^2)*G306)</f>
        <v>5.5724128801005808E-2</v>
      </c>
      <c r="U306" s="9">
        <f>(EXP(-67.1962+99.1624*(100/H306)+27.9015*LN(H306/100)+G306*(-0.072909+0.041674*(H306/100)-0.0064603*(H306/100)^2)*G306))</f>
        <v>4.4725108569839953E-2</v>
      </c>
      <c r="V306" s="9">
        <f>(EXP(-64.8539+100.252*(100/H306)+25.2049*LN(H306/100)+(-0.062544+0.035337*(H306/100)-0.0054699*(H306/100)^2)*G306))</f>
        <v>4.1765706162173101E-2</v>
      </c>
      <c r="W306" s="9">
        <f>(EXP(-68.8862+101.4956*(100/H306)+28.7314*LN(H306/100)+G306*(-0.076146+0.04397*(H306/100)-0.0068672*(H306/100)^2)))</f>
        <v>4.4580735279161607E-2</v>
      </c>
      <c r="X306" t="e">
        <f>N306*(AZ306-S306)</f>
        <v>#VALUE!</v>
      </c>
      <c r="Y306" t="e">
        <f>O306*(AZ306-S306)</f>
        <v>#VALUE!</v>
      </c>
      <c r="Z306" t="e">
        <f>((Y306/10^6)*AZ306)/(0.082056*H306)</f>
        <v>#VALUE!</v>
      </c>
      <c r="AA306">
        <f>(((L306/10^6)*AZ306)/(0.082056*H306))</f>
        <v>2.1357602558988075E-7</v>
      </c>
      <c r="AB306" t="e">
        <f>((Y306/10^6)*U306*1)/(0.082056*H306)</f>
        <v>#VALUE!</v>
      </c>
      <c r="AC306" t="e">
        <f>(Z306*(Q306/1000))+(AB306*(R306/1000))</f>
        <v>#VALUE!</v>
      </c>
      <c r="AD306" s="39" t="e">
        <f>((AC306-(AA306*(Q306/1000)))/(R306/1000))*1000000</f>
        <v>#VALUE!</v>
      </c>
      <c r="AE306" s="39" t="e">
        <f>(AD306/((U306*AZ306*1))*(0.0821*273.15))</f>
        <v>#VALUE!</v>
      </c>
      <c r="AF306" s="39">
        <f>L306*U306*AZ306*1/(0.0821*273.15)</f>
        <v>9.8581628609691347E-3</v>
      </c>
      <c r="AG306" s="39" t="e">
        <f>AD306-AF306</f>
        <v>#VALUE!</v>
      </c>
      <c r="AH306" s="42" t="e">
        <f>P306*(AZ306-S306)</f>
        <v>#VALUE!</v>
      </c>
      <c r="AI306" t="e">
        <f>(((X306/10^6)*(Q306/1000))/(0.082056*H306))</f>
        <v>#VALUE!</v>
      </c>
      <c r="AJ306">
        <f>(((K306/10^6)*AZ306)*(Q306/1000))/(0.082056*H306)</f>
        <v>1.0778302280084452E-6</v>
      </c>
      <c r="AK306" t="e">
        <f>(X306/10^6)*T306*(R306/1000)</f>
        <v>#VALUE!</v>
      </c>
      <c r="AL306" t="e">
        <f>AI306+AK306</f>
        <v>#VALUE!</v>
      </c>
      <c r="AM306" s="39" t="e">
        <f>((AL306-AJ306)/(R306/1000))*1000000</f>
        <v>#VALUE!</v>
      </c>
      <c r="AN306" s="39" t="e">
        <f>AM306/(T306*AZ306)</f>
        <v>#VALUE!</v>
      </c>
      <c r="AO306" s="39">
        <f>(K306*AZ306)*T306</f>
        <v>23.167482460143681</v>
      </c>
      <c r="AP306" s="39" t="e">
        <f>AM306-AO306</f>
        <v>#VALUE!</v>
      </c>
      <c r="AQ306" t="e">
        <f>(((AH306/10^6)*(Q306/1000))/(0.082056*H306))</f>
        <v>#VALUE!</v>
      </c>
      <c r="AR306">
        <f>(((M306/10^6)*AZ306)*(Q306/1000))/(0.082056*H306)</f>
        <v>7.4148193458515946E-10</v>
      </c>
      <c r="AS306" t="e">
        <f>(AH306/10^6)*V306*(R306/1000)</f>
        <v>#VALUE!</v>
      </c>
      <c r="AT306" t="e">
        <f>AQ306+AS306</f>
        <v>#VALUE!</v>
      </c>
      <c r="AU306" s="39" t="e">
        <f>((AT306-AR306)/(R306/1000))*1000000000</f>
        <v>#VALUE!</v>
      </c>
      <c r="AV306" s="39" t="e">
        <f>(AU306/1000)/(V306*AZ306)</f>
        <v>#VALUE!</v>
      </c>
      <c r="AW306" s="39">
        <f>(M306*AZ306)*V306*1000</f>
        <v>11.945534840088197</v>
      </c>
      <c r="AX306" s="39" t="e">
        <f>AU306-AW306</f>
        <v>#VALUE!</v>
      </c>
      <c r="AY306" s="26">
        <f>VLOOKUP($E306,Water!$C$2:$G$90, 5, FALSE)</f>
        <v>707.4</v>
      </c>
      <c r="AZ306">
        <f>AY306/760</f>
        <v>0.9307894736842105</v>
      </c>
      <c r="BA306" s="3">
        <f>Assumptions!$B$3</f>
        <v>406.07</v>
      </c>
      <c r="BB306" s="3">
        <f>BA306*AZ306*T306</f>
        <v>21.061808322665211</v>
      </c>
      <c r="BC306" s="3">
        <f>Assumptions!$B$4</f>
        <v>1.8474300000000001</v>
      </c>
      <c r="BD306" s="45">
        <f>BC306*AZ306*U306*1/(0.0821*273.15)</f>
        <v>3.4294659595988037E-3</v>
      </c>
      <c r="BE306" s="3">
        <f>Assumptions!$B$2</f>
        <v>0.33054499999999998</v>
      </c>
      <c r="BF306" s="44">
        <f>BE306*AZ306*V306*1000</f>
        <v>12.849963205136621</v>
      </c>
      <c r="BG306">
        <f>1923.6+(-125.06*F306)+(4.3773*(F306^2))+(-0.085681*(F306^3))+(0.00070284*(F306^4))</f>
        <v>1101.2992597774439</v>
      </c>
      <c r="BH306">
        <f>1909.4+(-120.78*F306)+(4.1555*(F306^2))+(-0.080578*(F306^3))+(0.00065777*(F306^4))</f>
        <v>1110.9371593042572</v>
      </c>
      <c r="BI306">
        <f>2141.2+(-152.56*F306)+(5.8963*(F306^2))+(-0.12411*(F306^3))+(0.0010655*(F306^4))</f>
        <v>1169.65340618855</v>
      </c>
      <c r="BJ306" s="25">
        <f>VLOOKUP(E306,Wind!$C$2:$E$109,3, FALSE)</f>
        <v>3.0833333333333335</v>
      </c>
      <c r="BK306" s="44">
        <v>1.66</v>
      </c>
      <c r="BL306">
        <f>BK306/(1-(((1.3*10^-3)^0.5)/0.41)*LN(10/1.5))</f>
        <v>1.9923982880693825</v>
      </c>
      <c r="BM306">
        <f>BK306*1.22</f>
        <v>2.0251999999999999</v>
      </c>
      <c r="BN306">
        <f>2.07+0.215*(BM306^1.7)*(24/100)</f>
        <v>2.241255750541113</v>
      </c>
      <c r="BO306">
        <f>BN306*((600/BG306)^0.67)</f>
        <v>1.492025246655182</v>
      </c>
      <c r="BP306">
        <f>BN306*((600/BH306)^0.67)</f>
        <v>1.4833402930535557</v>
      </c>
      <c r="BQ306">
        <f>BN306*((600/BI306)^0.67)</f>
        <v>1.4330272121228209</v>
      </c>
      <c r="BR306" s="39" t="e">
        <f>BO306*(AM306-BB306)</f>
        <v>#VALUE!</v>
      </c>
      <c r="BS306" s="39" t="e">
        <f>BP306*(AD306-BD306)</f>
        <v>#VALUE!</v>
      </c>
      <c r="BT306" s="39" t="e">
        <f>BQ306*(AU306-BF306)</f>
        <v>#VALUE!</v>
      </c>
      <c r="BU306">
        <f>(2.51+1.48*BM306)+(0.39*BM306*LOG10(0.0015))</f>
        <v>3.2768938069574309</v>
      </c>
      <c r="BV306">
        <f>BU306*((600/$BG306)^0.67)</f>
        <v>2.1814593401079208</v>
      </c>
      <c r="BW306">
        <f>BU306*((600/$BH306)^0.67)</f>
        <v>2.1687612485741852</v>
      </c>
      <c r="BX306">
        <f>BU306*((600/$BI306)^0.67)</f>
        <v>2.0951995306528515</v>
      </c>
      <c r="BY306" s="39" t="e">
        <f>BV306*($AM306-$BB306)</f>
        <v>#VALUE!</v>
      </c>
      <c r="BZ306" s="39" t="e">
        <f>BW306*($AD306-$BD306)</f>
        <v>#VALUE!</v>
      </c>
      <c r="CA306" s="39" t="e">
        <f>BX306*($AU306-$BF306)</f>
        <v>#VALUE!</v>
      </c>
      <c r="CB306" s="42">
        <f>AVERAGE(0.72,0.69,0.4,0.22)</f>
        <v>0.50750000000000006</v>
      </c>
      <c r="CC306">
        <f>CB306*((600/$BG306)^0.67)</f>
        <v>0.33784757161010798</v>
      </c>
      <c r="CD306">
        <f>CB306*((600/$BH306)^0.67)</f>
        <v>0.33588098928153559</v>
      </c>
      <c r="CE306">
        <f>CB306*((600/$BI306)^0.67)</f>
        <v>0.32448831864759153</v>
      </c>
      <c r="CF306" s="39" t="e">
        <f>CC306*($AM306-$BB306)</f>
        <v>#VALUE!</v>
      </c>
      <c r="CG306" s="39" t="e">
        <f>CD306*($AD306-$BD306)</f>
        <v>#VALUE!</v>
      </c>
      <c r="CH306" s="39" t="e">
        <f>CE306*($AU306-$BF306)</f>
        <v>#VALUE!</v>
      </c>
      <c r="CI306">
        <v>129.86263901889501</v>
      </c>
      <c r="CJ306">
        <f>((BG306/BH306)^0.67)*CI306</f>
        <v>129.10671950815467</v>
      </c>
      <c r="CK306">
        <f>((BH306/BH306)^0.67)*CI306</f>
        <v>129.86263901889501</v>
      </c>
      <c r="CL306">
        <f>((BI306/BH306)^0.67)*CI306</f>
        <v>134.42207055764271</v>
      </c>
      <c r="CM306" s="39" t="e">
        <f>CJ306*($AM306-$BB306)</f>
        <v>#VALUE!</v>
      </c>
      <c r="CN306" s="39" t="e">
        <f>CK306*($AD306-$BD306)</f>
        <v>#VALUE!</v>
      </c>
      <c r="CO306" s="39" t="e">
        <f>CL306*($AU306-$BF306)</f>
        <v>#VALUE!</v>
      </c>
      <c r="CP306" s="27">
        <f>VLOOKUP(A306,Water!$A$2:$E$109, 5, FALSE)/1000</f>
        <v>1.4999999999999999E-4</v>
      </c>
      <c r="CQ306">
        <f>0.64*CP306</f>
        <v>9.5999999999999989E-5</v>
      </c>
      <c r="CR306" s="19">
        <f>CQ306*1000*(2.5*10^-5)</f>
        <v>2.3999999999999999E-6</v>
      </c>
      <c r="CS306" s="18">
        <f>(-0.0000009*F306^3)+(0.0002*F306^2)-(0.0134*F306)+6.579</f>
        <v>6.4749475278999995</v>
      </c>
      <c r="CT306" s="18">
        <f>CS306-(SQRT(CP306))/(1+1.4*SQRT(CP306))</f>
        <v>6.4629065391353864</v>
      </c>
      <c r="CU306" s="18">
        <f>10^(-CT306)</f>
        <v>3.4442404339149901E-7</v>
      </c>
      <c r="CV306" s="18">
        <f>(0.000001*F306^3)+(0.00006*F306^2)-(0.014*F306)+10.625</f>
        <v>10.505857569</v>
      </c>
      <c r="CW306" s="18">
        <f>CV306-(2*SQRT(CR306))/(1+1.4*SQRT(CR306))</f>
        <v>10.502765887779766</v>
      </c>
      <c r="CX306" s="18">
        <f>10^(-CW306)</f>
        <v>3.1422020832638243E-11</v>
      </c>
      <c r="CY306">
        <f>EXP(1246.98+-61900/H306-183*LN(H306))</f>
        <v>6.8324507786590013E-3</v>
      </c>
      <c r="CZ306">
        <f>12.225*(F306^2)+15.258*F306+1125.7</f>
        <v>2229.8384500000002</v>
      </c>
      <c r="DA306" s="15">
        <f>10^(-4470.99/H306+6.0875-0.01706*H306)</f>
        <v>2.6543801952097032E-15</v>
      </c>
      <c r="DB306">
        <f>(10^-I306)</f>
        <v>5.3703179637025321E-9</v>
      </c>
      <c r="DC306">
        <f>DB306^2</f>
        <v>2.884031503126611E-17</v>
      </c>
      <c r="DD306" s="20">
        <f>((14.6836*10^-9)*((H306/217.2056)-1)^1.997)*100*100</f>
        <v>1.3134406613847358E-5</v>
      </c>
      <c r="DE306">
        <f>CY306+CZ306*DA306/DB306</f>
        <v>7.9345901790077271E-3</v>
      </c>
      <c r="DF306">
        <f>1+DC306*(CU306*CX306+CU306*DB306)^-1</f>
        <v>1.0155014692724984</v>
      </c>
      <c r="DG306">
        <f>(DE306*DF306/DD306)^0.5</f>
        <v>24.768362758183432</v>
      </c>
      <c r="DH306">
        <f>DD306/(BO306/60/60)</f>
        <v>3.1691061472217924E-2</v>
      </c>
      <c r="DI306" s="16">
        <f>DF306/((DF306-1)+TANH(DG306*DH306)/(DG306*DH306))</f>
        <v>1.1938078490050539</v>
      </c>
      <c r="DJ306" t="e">
        <f>$DI306*BR306</f>
        <v>#VALUE!</v>
      </c>
      <c r="DK306" t="e">
        <f>$DI306*BY306</f>
        <v>#VALUE!</v>
      </c>
      <c r="DL306" t="e">
        <f>$DI306*CF306</f>
        <v>#VALUE!</v>
      </c>
      <c r="DM306" t="e">
        <f>$DI306*CM306</f>
        <v>#VALUE!</v>
      </c>
    </row>
    <row r="307" spans="1:117" ht="15.75" x14ac:dyDescent="0.25">
      <c r="A307" s="52" t="s">
        <v>335</v>
      </c>
      <c r="B307" t="s">
        <v>340</v>
      </c>
      <c r="C307" s="68" t="s">
        <v>474</v>
      </c>
      <c r="D307" s="65">
        <v>43369</v>
      </c>
      <c r="E307" s="42" t="str">
        <f>A307&amp;D307</f>
        <v>4C43369</v>
      </c>
      <c r="F307" s="3">
        <f>VLOOKUP($E307,Water!$C$2:$E$90, 2, FALSE)</f>
        <v>8.9</v>
      </c>
      <c r="G307" s="3">
        <f>VLOOKUP($E307,Water!$C$2:$E$90, 3, FALSE)</f>
        <v>0.18</v>
      </c>
      <c r="H307" s="1">
        <f>F307+273.15</f>
        <v>282.04999999999995</v>
      </c>
      <c r="I307" s="3">
        <f>VLOOKUP($E307,Water!$C$2:$F$90, 4, FALSE)</f>
        <v>8.27</v>
      </c>
      <c r="J307">
        <f>10^(I307*-1)</f>
        <v>5.3703179637025321E-9</v>
      </c>
      <c r="K307" s="25">
        <f>VLOOKUP($E307,Atm!$D$2:$G$100, 2, FALSE)</f>
        <v>446.66723096452921</v>
      </c>
      <c r="L307" s="25">
        <f>VLOOKUP($E307,Atm!$D$2:$G$100, 3, FALSE)</f>
        <v>5.3105253204993978</v>
      </c>
      <c r="M307" s="25">
        <f>VLOOKUP($E307,Atm!$D$2:$G$100, 4, FALSE)</f>
        <v>0.30728000934186112</v>
      </c>
      <c r="N307" s="21">
        <f>VLOOKUP($C307,Raw!$B$2:$F$353, 3, FALSE)</f>
        <v>561.07673460568697</v>
      </c>
      <c r="O307" s="21">
        <f>VLOOKUP($C307,Raw!$B$2:$F$353, 4, FALSE)</f>
        <v>89.607739992164184</v>
      </c>
      <c r="P307" s="21">
        <f>VLOOKUP($C307,Raw!$B$2:$F$353, 5, FALSE)</f>
        <v>0.30099067657555606</v>
      </c>
      <c r="Q307" s="14">
        <v>60</v>
      </c>
      <c r="R307" s="25">
        <v>1140</v>
      </c>
      <c r="S307">
        <f>EXP(24.4543-(100/H307*(67.4509))-(4.8489*LN(H307/100))-(0.000544*G307))</f>
        <v>1.124074942827427E-2</v>
      </c>
      <c r="T307" s="8">
        <f>EXP(-58.0931+90.5069*(100/H307)+22.294*LN(H307/100)+G307*(0.027766-0.025888*(H307/100)+0.0050578*(H307/100)^2)*G307)</f>
        <v>5.5724128801005808E-2</v>
      </c>
      <c r="U307" s="9">
        <f>(EXP(-67.1962+99.1624*(100/H307)+27.9015*LN(H307/100)+G307*(-0.072909+0.041674*(H307/100)-0.0064603*(H307/100)^2)*G307))</f>
        <v>4.4725108569839953E-2</v>
      </c>
      <c r="V307" s="9">
        <f>(EXP(-64.8539+100.252*(100/H307)+25.2049*LN(H307/100)+(-0.062544+0.035337*(H307/100)-0.0054699*(H307/100)^2)*G307))</f>
        <v>4.1765706162173101E-2</v>
      </c>
      <c r="W307" s="9">
        <f>(EXP(-68.8862+101.4956*(100/H307)+28.7314*LN(H307/100)+G307*(-0.076146+0.04397*(H307/100)-0.0068672*(H307/100)^2)))</f>
        <v>4.4580735279161607E-2</v>
      </c>
      <c r="X307">
        <f>N307*(AZ307-S307)</f>
        <v>515.93739551634599</v>
      </c>
      <c r="Y307">
        <f>O307*(AZ307-S307)</f>
        <v>82.398682993252208</v>
      </c>
      <c r="Z307">
        <f>((Y307/10^6)*AZ307)/(0.082056*H307)</f>
        <v>3.3138686223012617E-6</v>
      </c>
      <c r="AA307">
        <f>(((L307/10^6)*AZ307)/(0.082056*H307))</f>
        <v>2.1357602558988075E-7</v>
      </c>
      <c r="AB307">
        <f>((Y307/10^6)*U307*1)/(0.082056*H307)</f>
        <v>1.5923378820772338E-7</v>
      </c>
      <c r="AC307">
        <f>(Z307*(Q307/1000))+(AB307*(R307/1000))</f>
        <v>3.8035863589488033E-7</v>
      </c>
      <c r="AD307" s="39">
        <f>((AC307-(AA307*(Q307/1000)))/(R307/1000))*1000000</f>
        <v>0.32240708277148028</v>
      </c>
      <c r="AE307" s="39">
        <f>(AD307/((U307*AZ307*1))*(0.0821*273.15))</f>
        <v>173.67850386658893</v>
      </c>
      <c r="AF307" s="39">
        <f>L307*U307*AZ307*1/(0.0821*273.15)</f>
        <v>9.8581628609691347E-3</v>
      </c>
      <c r="AG307" s="39">
        <f>AD307-AF307</f>
        <v>0.31254891991051115</v>
      </c>
      <c r="AH307" s="42">
        <f>P307*(AZ307-S307)</f>
        <v>0.27677559265798368</v>
      </c>
      <c r="AI307">
        <f>(((X307/10^6)*(Q307/1000))/(0.082056*H307))</f>
        <v>1.3375554978317979E-6</v>
      </c>
      <c r="AJ307">
        <f>(((K307/10^6)*AZ307)*(Q307/1000))/(0.082056*H307)</f>
        <v>1.0778302280084452E-6</v>
      </c>
      <c r="AK307">
        <f>(X307/10^6)*T307*(R307/1000)</f>
        <v>3.2775184544349505E-5</v>
      </c>
      <c r="AL307">
        <f>AI307+AK307</f>
        <v>3.4112740042181305E-5</v>
      </c>
      <c r="AM307" s="39">
        <f>((AL307-AJ307)/(R307/1000))*1000000</f>
        <v>28.977991065063915</v>
      </c>
      <c r="AN307" s="39">
        <f>AM307/(T307*AZ307)</f>
        <v>558.69337767771822</v>
      </c>
      <c r="AO307" s="39">
        <f>(K307*AZ307)*T307</f>
        <v>23.167482460143681</v>
      </c>
      <c r="AP307" s="39">
        <f>AM307-AO307</f>
        <v>5.8105086049202335</v>
      </c>
      <c r="AQ307">
        <f>(((AH307/10^6)*(Q307/1000))/(0.082056*H307))</f>
        <v>7.1753417922894391E-10</v>
      </c>
      <c r="AR307">
        <f>(((M307/10^6)*AZ307)*(Q307/1000))/(0.082056*H307)</f>
        <v>7.4148193458515946E-10</v>
      </c>
      <c r="AS307">
        <f>(AH307/10^6)*V307*(R307/1000)</f>
        <v>1.3178090006428713E-8</v>
      </c>
      <c r="AT307">
        <f>AQ307+AS307</f>
        <v>1.3895624185657658E-8</v>
      </c>
      <c r="AU307" s="39">
        <f>((AT307-AR307)/(R307/1000))*1000000000</f>
        <v>11.538721272870614</v>
      </c>
      <c r="AV307" s="39">
        <f>(AU307/1000)/(V307*AZ307)</f>
        <v>0.29681537310677963</v>
      </c>
      <c r="AW307" s="39">
        <f>(M307*AZ307)*V307*1000</f>
        <v>11.945534840088197</v>
      </c>
      <c r="AX307" s="39">
        <f>AU307-AW307</f>
        <v>-0.40681356721758277</v>
      </c>
      <c r="AY307" s="26">
        <f>VLOOKUP($E307,Water!$C$2:$G$90, 5, FALSE)</f>
        <v>707.4</v>
      </c>
      <c r="AZ307">
        <f>AY307/760</f>
        <v>0.9307894736842105</v>
      </c>
      <c r="BA307" s="3">
        <f>Assumptions!$B$3</f>
        <v>406.07</v>
      </c>
      <c r="BB307" s="3">
        <f>BA307*AZ307*T307</f>
        <v>21.061808322665211</v>
      </c>
      <c r="BC307" s="3">
        <f>Assumptions!$B$4</f>
        <v>1.8474300000000001</v>
      </c>
      <c r="BD307" s="45">
        <f>BC307*AZ307*U307*1/(0.0821*273.15)</f>
        <v>3.4294659595988037E-3</v>
      </c>
      <c r="BE307" s="3">
        <f>Assumptions!$B$2</f>
        <v>0.33054499999999998</v>
      </c>
      <c r="BF307" s="44">
        <f>BE307*AZ307*V307*1000</f>
        <v>12.849963205136621</v>
      </c>
      <c r="BG307">
        <f>1923.6+(-125.06*F307)+(4.3773*(F307^2))+(-0.085681*(F307^3))+(0.00070284*(F307^4))</f>
        <v>1101.2992597774439</v>
      </c>
      <c r="BH307">
        <f>1909.4+(-120.78*F307)+(4.1555*(F307^2))+(-0.080578*(F307^3))+(0.00065777*(F307^4))</f>
        <v>1110.9371593042572</v>
      </c>
      <c r="BI307">
        <f>2141.2+(-152.56*F307)+(5.8963*(F307^2))+(-0.12411*(F307^3))+(0.0010655*(F307^4))</f>
        <v>1169.65340618855</v>
      </c>
      <c r="BJ307" s="25">
        <f>VLOOKUP(E307,Wind!$C$2:$E$109,3, FALSE)</f>
        <v>3.0833333333333335</v>
      </c>
      <c r="BK307" s="44">
        <v>1.66</v>
      </c>
      <c r="BL307">
        <f>BK307/(1-(((1.3*10^-3)^0.5)/0.41)*LN(10/1.5))</f>
        <v>1.9923982880693825</v>
      </c>
      <c r="BM307">
        <f>BK307*1.22</f>
        <v>2.0251999999999999</v>
      </c>
      <c r="BN307">
        <f>2.07+0.215*(BM307^1.7)*(24/100)</f>
        <v>2.241255750541113</v>
      </c>
      <c r="BO307">
        <f>BN307*((600/BG307)^0.67)</f>
        <v>1.492025246655182</v>
      </c>
      <c r="BP307">
        <f>BN307*((600/BH307)^0.67)</f>
        <v>1.4833402930535557</v>
      </c>
      <c r="BQ307">
        <f>BN307*((600/BI307)^0.67)</f>
        <v>1.4330272121228209</v>
      </c>
      <c r="BR307" s="39">
        <f>BO307*(AM307-BB307)</f>
        <v>11.811144508794921</v>
      </c>
      <c r="BS307" s="39">
        <f>BP307*(AD307-BD307)</f>
        <v>0.47315235159926106</v>
      </c>
      <c r="BT307" s="39">
        <f>BQ307*(AU307-BF307)</f>
        <v>-1.8790453706136974</v>
      </c>
      <c r="BU307">
        <f>(2.51+1.48*BM307)+(0.39*BM307*LOG10(0.0015))</f>
        <v>3.2768938069574309</v>
      </c>
      <c r="BV307">
        <f>BU307*((600/$BG307)^0.67)</f>
        <v>2.1814593401079208</v>
      </c>
      <c r="BW307">
        <f>BU307*((600/$BH307)^0.67)</f>
        <v>2.1687612485741852</v>
      </c>
      <c r="BX307">
        <f>BU307*((600/$BI307)^0.67)</f>
        <v>2.0951995306528515</v>
      </c>
      <c r="BY307" s="39">
        <f>BV307*($AM307-$BB307)</f>
        <v>17.268830781406788</v>
      </c>
      <c r="BZ307" s="39">
        <f>BW307*($AD307-$BD307)</f>
        <v>0.69178629450415408</v>
      </c>
      <c r="CA307" s="39">
        <f>BX307*($AU307-$BF307)</f>
        <v>-2.7473134810560769</v>
      </c>
      <c r="CB307" s="42">
        <f>AVERAGE(0.72,0.69,0.4,0.22)</f>
        <v>0.50750000000000006</v>
      </c>
      <c r="CC307">
        <f>CB307*((600/$BG307)^0.67)</f>
        <v>0.33784757161010798</v>
      </c>
      <c r="CD307">
        <f>CB307*((600/$BH307)^0.67)</f>
        <v>0.33588098928153559</v>
      </c>
      <c r="CE307">
        <f>CB307*((600/$BI307)^0.67)</f>
        <v>0.32448831864759153</v>
      </c>
      <c r="CF307" s="39">
        <f>CC307*($AM307-$BB307)</f>
        <v>2.6744631159412471</v>
      </c>
      <c r="CG307" s="39">
        <f>CD307*($AD307-$BD307)</f>
        <v>0.10713851749344133</v>
      </c>
      <c r="CH307" s="39">
        <f>CE307*($AU307-$BF307)</f>
        <v>-0.42548268994121585</v>
      </c>
      <c r="CI307">
        <v>130.86263901889501</v>
      </c>
      <c r="CJ307">
        <f>((BG307/BH307)^0.67)*CI307</f>
        <v>130.10089859217413</v>
      </c>
      <c r="CK307">
        <f>((BH307/BH307)^0.67)*CI307</f>
        <v>130.86263901889501</v>
      </c>
      <c r="CL307">
        <f>((BI307/BH307)^0.67)*CI307</f>
        <v>135.45718020559991</v>
      </c>
      <c r="CM307" s="39">
        <f>CJ307*($AM307-$BB307)</f>
        <v>1029.9024882059327</v>
      </c>
      <c r="CN307" s="39">
        <f>CK307*($AD307-$BD307)</f>
        <v>41.742252723960661</v>
      </c>
      <c r="CO307" s="39">
        <f>CL307*($AU307-$BF307)</f>
        <v>-177.61713471209561</v>
      </c>
      <c r="CP307" s="27">
        <f>VLOOKUP(A307,Water!$A$2:$E$109, 5, FALSE)/1000</f>
        <v>1.4999999999999999E-4</v>
      </c>
      <c r="CQ307">
        <f>0.64*CP307</f>
        <v>9.5999999999999989E-5</v>
      </c>
      <c r="CR307" s="19">
        <f>CQ307*1000*(2.5*10^-5)</f>
        <v>2.3999999999999999E-6</v>
      </c>
      <c r="CS307" s="18">
        <f>(-0.0000009*F307^3)+(0.0002*F307^2)-(0.0134*F307)+6.579</f>
        <v>6.4749475278999995</v>
      </c>
      <c r="CT307" s="18">
        <f>CS307-(SQRT(CP307))/(1+1.4*SQRT(CP307))</f>
        <v>6.4629065391353864</v>
      </c>
      <c r="CU307" s="18">
        <f>10^(-CT307)</f>
        <v>3.4442404339149901E-7</v>
      </c>
      <c r="CV307" s="18">
        <f>(0.000001*F307^3)+(0.00006*F307^2)-(0.014*F307)+10.625</f>
        <v>10.505857569</v>
      </c>
      <c r="CW307" s="18">
        <f>CV307-(2*SQRT(CR307))/(1+1.4*SQRT(CR307))</f>
        <v>10.502765887779766</v>
      </c>
      <c r="CX307" s="18">
        <f>10^(-CW307)</f>
        <v>3.1422020832638243E-11</v>
      </c>
      <c r="CY307">
        <f>EXP(1246.98+-61900/H307-183*LN(H307))</f>
        <v>6.8324507786590013E-3</v>
      </c>
      <c r="CZ307">
        <f>12.225*(F307^2)+15.258*F307+1125.7</f>
        <v>2229.8384500000002</v>
      </c>
      <c r="DA307" s="15">
        <f>10^(-4470.99/H307+6.0875-0.01706*H307)</f>
        <v>2.6543801952097032E-15</v>
      </c>
      <c r="DB307">
        <f>(10^-I307)</f>
        <v>5.3703179637025321E-9</v>
      </c>
      <c r="DC307">
        <f>DB307^2</f>
        <v>2.884031503126611E-17</v>
      </c>
      <c r="DD307" s="20">
        <f>((14.6836*10^-9)*((H307/217.2056)-1)^1.997)*100*100</f>
        <v>1.3134406613847358E-5</v>
      </c>
      <c r="DE307">
        <f>CY307+CZ307*DA307/DB307</f>
        <v>7.9345901790077271E-3</v>
      </c>
      <c r="DF307">
        <f>1+DC307*(CU307*CX307+CU307*DB307)^-1</f>
        <v>1.0155014692724984</v>
      </c>
      <c r="DG307">
        <f>(DE307*DF307/DD307)^0.5</f>
        <v>24.768362758183432</v>
      </c>
      <c r="DH307">
        <f>DD307/(BO307/60/60)</f>
        <v>3.1691061472217924E-2</v>
      </c>
      <c r="DI307" s="16">
        <f>DF307/((DF307-1)+TANH(DG307*DH307)/(DG307*DH307))</f>
        <v>1.1938078490050539</v>
      </c>
      <c r="DJ307">
        <f>$DI307*BR307</f>
        <v>14.100237020332319</v>
      </c>
      <c r="DK307">
        <f>$DI307*BY307</f>
        <v>20.615665729983501</v>
      </c>
      <c r="DL307">
        <f>$DI307*CF307</f>
        <v>3.1927950596851744</v>
      </c>
      <c r="DM307">
        <f>$DI307*CM307</f>
        <v>1229.5056741300775</v>
      </c>
    </row>
    <row r="308" spans="1:117" ht="15.75" x14ac:dyDescent="0.25">
      <c r="A308" s="52" t="s">
        <v>335</v>
      </c>
      <c r="B308" t="s">
        <v>341</v>
      </c>
      <c r="C308" s="68" t="s">
        <v>475</v>
      </c>
      <c r="D308" s="65">
        <v>43369</v>
      </c>
      <c r="E308" s="42" t="str">
        <f>A308&amp;D308</f>
        <v>4C43369</v>
      </c>
      <c r="F308" s="3">
        <f>VLOOKUP($E308,Water!$C$2:$E$90, 2, FALSE)</f>
        <v>8.9</v>
      </c>
      <c r="G308" s="3">
        <f>VLOOKUP($E308,Water!$C$2:$E$90, 3, FALSE)</f>
        <v>0.18</v>
      </c>
      <c r="H308" s="1">
        <f>F308+273.15</f>
        <v>282.04999999999995</v>
      </c>
      <c r="I308" s="3">
        <f>VLOOKUP($E308,Water!$C$2:$F$90, 4, FALSE)</f>
        <v>8.27</v>
      </c>
      <c r="J308">
        <f>10^(I308*-1)</f>
        <v>5.3703179637025321E-9</v>
      </c>
      <c r="K308" s="25">
        <f>VLOOKUP($E308,Atm!$D$2:$G$100, 2, FALSE)</f>
        <v>446.66723096452921</v>
      </c>
      <c r="L308" s="25">
        <f>VLOOKUP($E308,Atm!$D$2:$G$100, 3, FALSE)</f>
        <v>5.3105253204993978</v>
      </c>
      <c r="M308" s="25">
        <f>VLOOKUP($E308,Atm!$D$2:$G$100, 4, FALSE)</f>
        <v>0.30728000934186112</v>
      </c>
      <c r="N308" s="21">
        <f>VLOOKUP($C308,Raw!$B$2:$F$353, 3, FALSE)</f>
        <v>526.49211917324658</v>
      </c>
      <c r="O308" s="21">
        <f>VLOOKUP($C308,Raw!$B$2:$F$353, 4, FALSE)</f>
        <v>87.232363630823002</v>
      </c>
      <c r="P308" s="21">
        <f>VLOOKUP($C308,Raw!$B$2:$F$353, 5, FALSE)</f>
        <v>0.29457976895131632</v>
      </c>
      <c r="Q308" s="14">
        <v>60</v>
      </c>
      <c r="R308" s="25">
        <v>1140</v>
      </c>
      <c r="S308">
        <f>EXP(24.4543-(100/H308*(67.4509))-(4.8489*LN(H308/100))-(0.000544*G308))</f>
        <v>1.124074942827427E-2</v>
      </c>
      <c r="T308" s="8">
        <f>EXP(-58.0931+90.5069*(100/H308)+22.294*LN(H308/100)+G308*(0.027766-0.025888*(H308/100)+0.0050578*(H308/100)^2)*G308)</f>
        <v>5.5724128801005808E-2</v>
      </c>
      <c r="U308" s="9">
        <f>(EXP(-67.1962+99.1624*(100/H308)+27.9015*LN(H308/100)+G308*(-0.072909+0.041674*(H308/100)-0.0064603*(H308/100)^2)*G308))</f>
        <v>4.4725108569839953E-2</v>
      </c>
      <c r="V308" s="9">
        <f>(EXP(-64.8539+100.252*(100/H308)+25.2049*LN(H308/100)+(-0.062544+0.035337*(H308/100)-0.0054699*(H308/100)^2)*G308))</f>
        <v>4.1765706162173101E-2</v>
      </c>
      <c r="W308" s="9">
        <f>(EXP(-68.8862+101.4956*(100/H308)+28.7314*LN(H308/100)+G308*(-0.076146+0.04397*(H308/100)-0.0068672*(H308/100)^2)))</f>
        <v>4.4580735279161607E-2</v>
      </c>
      <c r="X308">
        <f>N308*(AZ308-S308)</f>
        <v>484.13515651656326</v>
      </c>
      <c r="Y308">
        <f>O308*(AZ308-S308)</f>
        <v>80.214408690553228</v>
      </c>
      <c r="Z308">
        <f>((Y308/10^6)*AZ308)/(0.082056*H308)</f>
        <v>3.2260225814269692E-6</v>
      </c>
      <c r="AA308">
        <f>(((L308/10^6)*AZ308)/(0.082056*H308))</f>
        <v>2.1357602558988075E-7</v>
      </c>
      <c r="AB308">
        <f>((Y308/10^6)*U308*1)/(0.082056*H308)</f>
        <v>1.5501272229903615E-7</v>
      </c>
      <c r="AC308">
        <f>(Z308*(Q308/1000))+(AB308*(R308/1000))</f>
        <v>3.7027585830651937E-7</v>
      </c>
      <c r="AD308" s="39">
        <f>((AC308-(AA308*(Q308/1000)))/(R308/1000))*1000000</f>
        <v>0.31356254102730402</v>
      </c>
      <c r="AE308" s="39">
        <f>(AD308/((U308*AZ308*1))*(0.0821*273.15))</f>
        <v>168.91400935142684</v>
      </c>
      <c r="AF308" s="39">
        <f>L308*U308*AZ308*1/(0.0821*273.15)</f>
        <v>9.8581628609691347E-3</v>
      </c>
      <c r="AG308" s="39">
        <f>AD308-AF308</f>
        <v>0.30370437816633489</v>
      </c>
      <c r="AH308" s="42">
        <f>P308*(AZ308-S308)</f>
        <v>0.27088045073079137</v>
      </c>
      <c r="AI308">
        <f>(((X308/10^6)*(Q308/1000))/(0.082056*H308))</f>
        <v>1.2551089452322344E-6</v>
      </c>
      <c r="AJ308">
        <f>(((K308/10^6)*AZ308)*(Q308/1000))/(0.082056*H308)</f>
        <v>1.0778302280084452E-6</v>
      </c>
      <c r="AK308">
        <f>(X308/10^6)*T308*(R308/1000)</f>
        <v>3.0754931193459443E-5</v>
      </c>
      <c r="AL308">
        <f>AI308+AK308</f>
        <v>3.201004013869168E-5</v>
      </c>
      <c r="AM308" s="39">
        <f>((AL308-AJ308)/(R308/1000))*1000000</f>
        <v>27.133517465511616</v>
      </c>
      <c r="AN308" s="39">
        <f>AM308/(T308*AZ308)</f>
        <v>523.13207244239345</v>
      </c>
      <c r="AO308" s="39">
        <f>(K308*AZ308)*T308</f>
        <v>23.167482460143681</v>
      </c>
      <c r="AP308" s="39">
        <f>AM308-AO308</f>
        <v>3.9660350053679352</v>
      </c>
      <c r="AQ308">
        <f>(((AH308/10^6)*(Q308/1000))/(0.082056*H308))</f>
        <v>7.0225116318137968E-10</v>
      </c>
      <c r="AR308">
        <f>(((M308/10^6)*AZ308)*(Q308/1000))/(0.082056*H308)</f>
        <v>7.4148193458515946E-10</v>
      </c>
      <c r="AS308">
        <f>(AH308/10^6)*V308*(R308/1000)</f>
        <v>1.2897405173741133E-8</v>
      </c>
      <c r="AT308">
        <f>AQ308+AS308</f>
        <v>1.3599656336922513E-8</v>
      </c>
      <c r="AU308" s="39">
        <f>((AT308-AR308)/(R308/1000))*1000000000</f>
        <v>11.279100352927504</v>
      </c>
      <c r="AV308" s="39">
        <f>(AU308/1000)/(V308*AZ308)</f>
        <v>0.29013703515260625</v>
      </c>
      <c r="AW308" s="39">
        <f>(M308*AZ308)*V308*1000</f>
        <v>11.945534840088197</v>
      </c>
      <c r="AX308" s="39">
        <f>AU308-AW308</f>
        <v>-0.66643448716069287</v>
      </c>
      <c r="AY308" s="26">
        <f>VLOOKUP($E308,Water!$C$2:$G$90, 5, FALSE)</f>
        <v>707.4</v>
      </c>
      <c r="AZ308">
        <f>AY308/760</f>
        <v>0.9307894736842105</v>
      </c>
      <c r="BA308" s="3">
        <f>Assumptions!$B$3</f>
        <v>406.07</v>
      </c>
      <c r="BB308" s="3">
        <f>BA308*AZ308*T308</f>
        <v>21.061808322665211</v>
      </c>
      <c r="BC308" s="3">
        <f>Assumptions!$B$4</f>
        <v>1.8474300000000001</v>
      </c>
      <c r="BD308" s="45">
        <f>BC308*AZ308*U308*1/(0.0821*273.15)</f>
        <v>3.4294659595988037E-3</v>
      </c>
      <c r="BE308" s="3">
        <f>Assumptions!$B$2</f>
        <v>0.33054499999999998</v>
      </c>
      <c r="BF308" s="44">
        <f>BE308*AZ308*V308*1000</f>
        <v>12.849963205136621</v>
      </c>
      <c r="BG308">
        <f>1923.6+(-125.06*F308)+(4.3773*(F308^2))+(-0.085681*(F308^3))+(0.00070284*(F308^4))</f>
        <v>1101.2992597774439</v>
      </c>
      <c r="BH308">
        <f>1909.4+(-120.78*F308)+(4.1555*(F308^2))+(-0.080578*(F308^3))+(0.00065777*(F308^4))</f>
        <v>1110.9371593042572</v>
      </c>
      <c r="BI308">
        <f>2141.2+(-152.56*F308)+(5.8963*(F308^2))+(-0.12411*(F308^3))+(0.0010655*(F308^4))</f>
        <v>1169.65340618855</v>
      </c>
      <c r="BJ308" s="25">
        <f>VLOOKUP(E308,Wind!$C$2:$E$109,3, FALSE)</f>
        <v>3.0833333333333335</v>
      </c>
      <c r="BK308" s="44">
        <v>1.66</v>
      </c>
      <c r="BL308">
        <f>BK308/(1-(((1.3*10^-3)^0.5)/0.41)*LN(10/1.5))</f>
        <v>1.9923982880693825</v>
      </c>
      <c r="BM308">
        <f>BK308*1.22</f>
        <v>2.0251999999999999</v>
      </c>
      <c r="BN308">
        <f>2.07+0.215*(BM308^1.7)*(24/100)</f>
        <v>2.241255750541113</v>
      </c>
      <c r="BO308">
        <f>BN308*((600/BG308)^0.67)</f>
        <v>1.492025246655182</v>
      </c>
      <c r="BP308">
        <f>BN308*((600/BH308)^0.67)</f>
        <v>1.4833402930535557</v>
      </c>
      <c r="BQ308">
        <f>BN308*((600/BI308)^0.67)</f>
        <v>1.4330272121228209</v>
      </c>
      <c r="BR308" s="39">
        <f>BO308*(AM308-BB308)</f>
        <v>9.0591433314739316</v>
      </c>
      <c r="BS308" s="39">
        <f>BP308*(AD308-BD308)</f>
        <v>0.46003288645653023</v>
      </c>
      <c r="BT308" s="39">
        <f>BQ308*(AU308-BF308)</f>
        <v>-2.2510892137285343</v>
      </c>
      <c r="BU308">
        <f>(2.51+1.48*BM308)+(0.39*BM308*LOG10(0.0015))</f>
        <v>3.2768938069574309</v>
      </c>
      <c r="BV308">
        <f>BU308*((600/$BG308)^0.67)</f>
        <v>2.1814593401079208</v>
      </c>
      <c r="BW308">
        <f>BU308*((600/$BH308)^0.67)</f>
        <v>2.1687612485741852</v>
      </c>
      <c r="BX308">
        <f>BU308*((600/$BI308)^0.67)</f>
        <v>2.0951995306528515</v>
      </c>
      <c r="BY308" s="39">
        <f>BV308*($AM308-$BB308)</f>
        <v>13.245186620080949</v>
      </c>
      <c r="BZ308" s="39">
        <f>BW308*($AD308-$BD308)</f>
        <v>0.67260459510798787</v>
      </c>
      <c r="CA308" s="39">
        <f>BX308*($AU308-$BF308)</f>
        <v>-3.2912711106685424</v>
      </c>
      <c r="CB308" s="42">
        <f>AVERAGE(0.72,0.69,0.4,0.22)</f>
        <v>0.50750000000000006</v>
      </c>
      <c r="CC308">
        <f>CB308*((600/$BG308)^0.67)</f>
        <v>0.33784757161010798</v>
      </c>
      <c r="CD308">
        <f>CB308*((600/$BH308)^0.67)</f>
        <v>0.33588098928153559</v>
      </c>
      <c r="CE308">
        <f>CB308*((600/$BI308)^0.67)</f>
        <v>0.32448831864759153</v>
      </c>
      <c r="CF308" s="39">
        <f>CC308*($AM308-$BB308)</f>
        <v>2.0513121894335482</v>
      </c>
      <c r="CG308" s="39">
        <f>CD308*($AD308-$BD308)</f>
        <v>0.10416780406266557</v>
      </c>
      <c r="CH308" s="39">
        <f>CE308*($AU308-$BF308)</f>
        <v>-0.5097266457392966</v>
      </c>
      <c r="CI308">
        <v>131.86263901889501</v>
      </c>
      <c r="CJ308">
        <f>((BG308/BH308)^0.67)*CI308</f>
        <v>131.0950776761936</v>
      </c>
      <c r="CK308">
        <f>((BH308/BH308)^0.67)*CI308</f>
        <v>131.86263901889501</v>
      </c>
      <c r="CL308">
        <f>((BI308/BH308)^0.67)*CI308</f>
        <v>136.49228985355714</v>
      </c>
      <c r="CM308" s="39">
        <f>CJ308*($AM308-$BB308)</f>
        <v>795.97118170870431</v>
      </c>
      <c r="CN308" s="39">
        <f>CK308*($AD308-$BD308)</f>
        <v>40.89496572547268</v>
      </c>
      <c r="CO308" s="39">
        <f>CL308*($AU308-$BF308)</f>
        <v>-214.41066774391234</v>
      </c>
      <c r="CP308" s="27">
        <f>VLOOKUP(A308,Water!$A$2:$E$109, 5, FALSE)/1000</f>
        <v>1.4999999999999999E-4</v>
      </c>
      <c r="CQ308">
        <f>0.64*CP308</f>
        <v>9.5999999999999989E-5</v>
      </c>
      <c r="CR308" s="19">
        <f>CQ308*1000*(2.5*10^-5)</f>
        <v>2.3999999999999999E-6</v>
      </c>
      <c r="CS308" s="18">
        <f>(-0.0000009*F308^3)+(0.0002*F308^2)-(0.0134*F308)+6.579</f>
        <v>6.4749475278999995</v>
      </c>
      <c r="CT308" s="18">
        <f>CS308-(SQRT(CP308))/(1+1.4*SQRT(CP308))</f>
        <v>6.4629065391353864</v>
      </c>
      <c r="CU308" s="18">
        <f>10^(-CT308)</f>
        <v>3.4442404339149901E-7</v>
      </c>
      <c r="CV308" s="18">
        <f>(0.000001*F308^3)+(0.00006*F308^2)-(0.014*F308)+10.625</f>
        <v>10.505857569</v>
      </c>
      <c r="CW308" s="18">
        <f>CV308-(2*SQRT(CR308))/(1+1.4*SQRT(CR308))</f>
        <v>10.502765887779766</v>
      </c>
      <c r="CX308" s="18">
        <f>10^(-CW308)</f>
        <v>3.1422020832638243E-11</v>
      </c>
      <c r="CY308">
        <f>EXP(1246.98+-61900/H308-183*LN(H308))</f>
        <v>6.8324507786590013E-3</v>
      </c>
      <c r="CZ308">
        <f>12.225*(F308^2)+15.258*F308+1125.7</f>
        <v>2229.8384500000002</v>
      </c>
      <c r="DA308" s="15">
        <f>10^(-4470.99/H308+6.0875-0.01706*H308)</f>
        <v>2.6543801952097032E-15</v>
      </c>
      <c r="DB308">
        <f>(10^-I308)</f>
        <v>5.3703179637025321E-9</v>
      </c>
      <c r="DC308">
        <f>DB308^2</f>
        <v>2.884031503126611E-17</v>
      </c>
      <c r="DD308" s="20">
        <f>((14.6836*10^-9)*((H308/217.2056)-1)^1.997)*100*100</f>
        <v>1.3134406613847358E-5</v>
      </c>
      <c r="DE308">
        <f>CY308+CZ308*DA308/DB308</f>
        <v>7.9345901790077271E-3</v>
      </c>
      <c r="DF308">
        <f>1+DC308*(CU308*CX308+CU308*DB308)^-1</f>
        <v>1.0155014692724984</v>
      </c>
      <c r="DG308">
        <f>(DE308*DF308/DD308)^0.5</f>
        <v>24.768362758183432</v>
      </c>
      <c r="DH308">
        <f>DD308/(BO308/60/60)</f>
        <v>3.1691061472217924E-2</v>
      </c>
      <c r="DI308" s="16">
        <f>DF308/((DF308-1)+TANH(DG308*DH308)/(DG308*DH308))</f>
        <v>1.1938078490050539</v>
      </c>
      <c r="DJ308">
        <f>$DI308*BR308</f>
        <v>10.814876414375371</v>
      </c>
      <c r="DK308">
        <f>$DI308*BY308</f>
        <v>15.812207748589357</v>
      </c>
      <c r="DL308">
        <f>$DI308*CF308</f>
        <v>2.4488725925055119</v>
      </c>
      <c r="DM308">
        <f>$DI308*CM308</f>
        <v>950.23664430567919</v>
      </c>
    </row>
    <row r="309" spans="1:117" ht="15.75" x14ac:dyDescent="0.25">
      <c r="A309" s="52" t="s">
        <v>335</v>
      </c>
      <c r="B309" t="s">
        <v>342</v>
      </c>
      <c r="C309" s="68" t="s">
        <v>476</v>
      </c>
      <c r="D309" s="65">
        <v>43369</v>
      </c>
      <c r="E309" s="42" t="str">
        <f>A309&amp;D309</f>
        <v>4C43369</v>
      </c>
      <c r="F309" s="3">
        <f>VLOOKUP($E309,Water!$C$2:$E$90, 2, FALSE)</f>
        <v>8.9</v>
      </c>
      <c r="G309" s="3">
        <f>VLOOKUP($E309,Water!$C$2:$E$90, 3, FALSE)</f>
        <v>0.18</v>
      </c>
      <c r="H309" s="1">
        <f>F309+273.15</f>
        <v>282.04999999999995</v>
      </c>
      <c r="I309" s="3">
        <f>VLOOKUP($E309,Water!$C$2:$F$90, 4, FALSE)</f>
        <v>8.27</v>
      </c>
      <c r="J309">
        <f>10^(I309*-1)</f>
        <v>5.3703179637025321E-9</v>
      </c>
      <c r="K309" s="25">
        <f>VLOOKUP($E309,Atm!$D$2:$G$100, 2, FALSE)</f>
        <v>446.66723096452921</v>
      </c>
      <c r="L309" s="25">
        <f>VLOOKUP($E309,Atm!$D$2:$G$100, 3, FALSE)</f>
        <v>5.3105253204993978</v>
      </c>
      <c r="M309" s="25">
        <f>VLOOKUP($E309,Atm!$D$2:$G$100, 4, FALSE)</f>
        <v>0.30728000934186112</v>
      </c>
      <c r="N309" s="21">
        <f>VLOOKUP($C309,Raw!$B$2:$F$353, 3, FALSE)</f>
        <v>575.98959877405241</v>
      </c>
      <c r="O309" s="21">
        <f>VLOOKUP($C309,Raw!$B$2:$F$353, 4, FALSE)</f>
        <v>135.72836861372701</v>
      </c>
      <c r="P309" s="21">
        <f>VLOOKUP($C309,Raw!$B$2:$F$353, 5, FALSE)</f>
        <v>0.30285853216043923</v>
      </c>
      <c r="Q309" s="14">
        <v>60</v>
      </c>
      <c r="R309" s="25">
        <v>1140</v>
      </c>
      <c r="S309">
        <f>EXP(24.4543-(100/H309*(67.4509))-(4.8489*LN(H309/100))-(0.000544*G309))</f>
        <v>1.124074942827427E-2</v>
      </c>
      <c r="T309" s="8">
        <f>EXP(-58.0931+90.5069*(100/H309)+22.294*LN(H309/100)+G309*(0.027766-0.025888*(H309/100)+0.0050578*(H309/100)^2)*G309)</f>
        <v>5.5724128801005808E-2</v>
      </c>
      <c r="U309" s="9">
        <f>(EXP(-67.1962+99.1624*(100/H309)+27.9015*LN(H309/100)+G309*(-0.072909+0.041674*(H309/100)-0.0064603*(H309/100)^2)*G309))</f>
        <v>4.4725108569839953E-2</v>
      </c>
      <c r="V309" s="9">
        <f>(EXP(-64.8539+100.252*(100/H309)+25.2049*LN(H309/100)+(-0.062544+0.035337*(H309/100)-0.0054699*(H309/100)^2)*G309))</f>
        <v>4.1765706162173101E-2</v>
      </c>
      <c r="W309" s="9">
        <f>(EXP(-68.8862+101.4956*(100/H309)+28.7314*LN(H309/100)+G309*(-0.076146+0.04397*(H309/100)-0.0068672*(H309/100)^2)))</f>
        <v>4.4580735279161607E-2</v>
      </c>
      <c r="X309">
        <f>N309*(AZ309-S309)</f>
        <v>529.65050073736847</v>
      </c>
      <c r="Y309">
        <f>O309*(AZ309-S309)</f>
        <v>124.80884820409213</v>
      </c>
      <c r="Z309">
        <f>((Y309/10^6)*AZ309)/(0.082056*H309)</f>
        <v>5.0194992301390624E-6</v>
      </c>
      <c r="AA309">
        <f>(((L309/10^6)*AZ309)/(0.082056*H309))</f>
        <v>2.1357602558988075E-7</v>
      </c>
      <c r="AB309">
        <f>((Y309/10^6)*U309*1)/(0.082056*H309)</f>
        <v>2.4119057464799288E-7</v>
      </c>
      <c r="AC309">
        <f>(Z309*(Q309/1000))+(AB309*(R309/1000))</f>
        <v>5.761272089070556E-7</v>
      </c>
      <c r="AD309" s="39">
        <f>((AC309-(AA309*(Q309/1000)))/(R309/1000))*1000000</f>
        <v>0.49413390120321304</v>
      </c>
      <c r="AE309" s="39">
        <f>(AD309/((U309*AZ309*1))*(0.0821*273.15))</f>
        <v>266.18657361061696</v>
      </c>
      <c r="AF309" s="39">
        <f>L309*U309*AZ309*1/(0.0821*273.15)</f>
        <v>9.8581628609691347E-3</v>
      </c>
      <c r="AG309" s="39">
        <f>AD309-AF309</f>
        <v>0.48427573834224391</v>
      </c>
      <c r="AH309" s="42">
        <f>P309*(AZ309-S309)</f>
        <v>0.27849317687815733</v>
      </c>
      <c r="AI309">
        <f>(((X309/10^6)*(Q309/1000))/(0.082056*H309))</f>
        <v>1.3731063988521979E-6</v>
      </c>
      <c r="AJ309">
        <f>(((K309/10^6)*AZ309)*(Q309/1000))/(0.082056*H309)</f>
        <v>1.0778302280084452E-6</v>
      </c>
      <c r="AK309">
        <f>(X309/10^6)*T309*(R309/1000)</f>
        <v>3.3646316503771226E-5</v>
      </c>
      <c r="AL309">
        <f>AI309+AK309</f>
        <v>3.5019422902623427E-5</v>
      </c>
      <c r="AM309" s="39">
        <f>((AL309-AJ309)/(R309/1000))*1000000</f>
        <v>29.77332690755701</v>
      </c>
      <c r="AN309" s="39">
        <f>AM309/(T309*AZ309)</f>
        <v>574.02738986762233</v>
      </c>
      <c r="AO309" s="39">
        <f>(K309*AZ309)*T309</f>
        <v>23.167482460143681</v>
      </c>
      <c r="AP309" s="39">
        <f>AM309-AO309</f>
        <v>6.6058444474133289</v>
      </c>
      <c r="AQ309">
        <f>(((AH309/10^6)*(Q309/1000))/(0.082056*H309))</f>
        <v>7.2198697570511944E-10</v>
      </c>
      <c r="AR309">
        <f>(((M309/10^6)*AZ309)*(Q309/1000))/(0.082056*H309)</f>
        <v>7.4148193458515946E-10</v>
      </c>
      <c r="AS309">
        <f>(AH309/10^6)*V309*(R309/1000)</f>
        <v>1.3259869180776068E-8</v>
      </c>
      <c r="AT309">
        <f>AQ309+AS309</f>
        <v>1.3981856156481187E-8</v>
      </c>
      <c r="AU309" s="39">
        <f>((AT309-AR309)/(R309/1000))*1000000000</f>
        <v>11.614363352540378</v>
      </c>
      <c r="AV309" s="39">
        <f>(AU309/1000)/(V309*AZ309)</f>
        <v>0.29876114608879467</v>
      </c>
      <c r="AW309" s="39">
        <f>(M309*AZ309)*V309*1000</f>
        <v>11.945534840088197</v>
      </c>
      <c r="AX309" s="39">
        <f>AU309-AW309</f>
        <v>-0.33117148754781844</v>
      </c>
      <c r="AY309" s="26">
        <f>VLOOKUP($E309,Water!$C$2:$G$90, 5, FALSE)</f>
        <v>707.4</v>
      </c>
      <c r="AZ309">
        <f>AY309/760</f>
        <v>0.9307894736842105</v>
      </c>
      <c r="BA309" s="3">
        <f>Assumptions!$B$3</f>
        <v>406.07</v>
      </c>
      <c r="BB309" s="3">
        <f>BA309*AZ309*T309</f>
        <v>21.061808322665211</v>
      </c>
      <c r="BC309" s="3">
        <f>Assumptions!$B$4</f>
        <v>1.8474300000000001</v>
      </c>
      <c r="BD309" s="45">
        <f>BC309*AZ309*U309*1/(0.0821*273.15)</f>
        <v>3.4294659595988037E-3</v>
      </c>
      <c r="BE309" s="3">
        <f>Assumptions!$B$2</f>
        <v>0.33054499999999998</v>
      </c>
      <c r="BF309" s="44">
        <f>BE309*AZ309*V309*1000</f>
        <v>12.849963205136621</v>
      </c>
      <c r="BG309">
        <f>1923.6+(-125.06*F309)+(4.3773*(F309^2))+(-0.085681*(F309^3))+(0.00070284*(F309^4))</f>
        <v>1101.2992597774439</v>
      </c>
      <c r="BH309">
        <f>1909.4+(-120.78*F309)+(4.1555*(F309^2))+(-0.080578*(F309^3))+(0.00065777*(F309^4))</f>
        <v>1110.9371593042572</v>
      </c>
      <c r="BI309">
        <f>2141.2+(-152.56*F309)+(5.8963*(F309^2))+(-0.12411*(F309^3))+(0.0010655*(F309^4))</f>
        <v>1169.65340618855</v>
      </c>
      <c r="BJ309" s="25">
        <f>VLOOKUP(E309,Wind!$C$2:$E$109,3, FALSE)</f>
        <v>3.0833333333333335</v>
      </c>
      <c r="BK309" s="44">
        <v>1.66</v>
      </c>
      <c r="BL309">
        <f>BK309/(1-(((1.3*10^-3)^0.5)/0.41)*LN(10/1.5))</f>
        <v>1.9923982880693825</v>
      </c>
      <c r="BM309">
        <f>BK309*1.22</f>
        <v>2.0251999999999999</v>
      </c>
      <c r="BN309">
        <f>2.07+0.215*(BM309^1.7)*(24/100)</f>
        <v>2.241255750541113</v>
      </c>
      <c r="BO309">
        <f>BN309*((600/BG309)^0.67)</f>
        <v>1.492025246655182</v>
      </c>
      <c r="BP309">
        <f>BN309*((600/BH309)^0.67)</f>
        <v>1.4833402930535557</v>
      </c>
      <c r="BQ309">
        <f>BN309*((600/BI309)^0.67)</f>
        <v>1.4330272121228209</v>
      </c>
      <c r="BR309" s="39">
        <f>BO309*(AM309-BB309)</f>
        <v>12.997805665364389</v>
      </c>
      <c r="BS309" s="39">
        <f>BP309*(AD309-BD309)</f>
        <v>0.72788166077694227</v>
      </c>
      <c r="BT309" s="39">
        <f>BQ309*(AU309-BF309)</f>
        <v>-1.7706482120653626</v>
      </c>
      <c r="BU309">
        <f>(2.51+1.48*BM309)+(0.39*BM309*LOG10(0.0015))</f>
        <v>3.2768938069574309</v>
      </c>
      <c r="BV309">
        <f>BU309*((600/$BG309)^0.67)</f>
        <v>2.1814593401079208</v>
      </c>
      <c r="BW309">
        <f>BU309*((600/$BH309)^0.67)</f>
        <v>2.1687612485741852</v>
      </c>
      <c r="BX309">
        <f>BU309*((600/$BI309)^0.67)</f>
        <v>2.0951995306528515</v>
      </c>
      <c r="BY309" s="39">
        <f>BV309*($AM309-$BB309)</f>
        <v>19.003823583535951</v>
      </c>
      <c r="BZ309" s="39">
        <f>BW309*($AD309-$BD309)</f>
        <v>1.0642207636598311</v>
      </c>
      <c r="CA309" s="39">
        <f>BX309*($AU309-$BF309)</f>
        <v>-2.5888282312343809</v>
      </c>
      <c r="CB309" s="42">
        <f>AVERAGE(0.72,0.69,0.4,0.22)</f>
        <v>0.50750000000000006</v>
      </c>
      <c r="CC309">
        <f>CB309*((600/$BG309)^0.67)</f>
        <v>0.33784757161010798</v>
      </c>
      <c r="CD309">
        <f>CB309*((600/$BH309)^0.67)</f>
        <v>0.33588098928153559</v>
      </c>
      <c r="CE309">
        <f>CB309*((600/$BI309)^0.67)</f>
        <v>0.32448831864759153</v>
      </c>
      <c r="CF309" s="39">
        <f>CC309*($AM309-$BB309)</f>
        <v>2.9431653989420186</v>
      </c>
      <c r="CG309" s="39">
        <f>CD309*($AD309-$BD309)</f>
        <v>0.16481829115446237</v>
      </c>
      <c r="CH309" s="39">
        <f>CE309*($AU309-$BF309)</f>
        <v>-0.40093771869016687</v>
      </c>
      <c r="CI309">
        <v>132.86263901889501</v>
      </c>
      <c r="CJ309">
        <f>((BG309/BH309)^0.67)*CI309</f>
        <v>132.08925676021306</v>
      </c>
      <c r="CK309">
        <f>((BH309/BH309)^0.67)*CI309</f>
        <v>132.86263901889501</v>
      </c>
      <c r="CL309">
        <f>((BI309/BH309)^0.67)*CI309</f>
        <v>137.52739950151434</v>
      </c>
      <c r="CM309" s="39">
        <f>CJ309*($AM309-$BB309)</f>
        <v>1150.6980151311407</v>
      </c>
      <c r="CN309" s="39">
        <f>CK309*($AD309-$BD309)</f>
        <v>65.196286244743064</v>
      </c>
      <c r="CO309" s="39">
        <f>CL309*($AU309-$BF309)</f>
        <v>-169.92883455201576</v>
      </c>
      <c r="CP309" s="27">
        <f>VLOOKUP(A309,Water!$A$2:$E$109, 5, FALSE)/1000</f>
        <v>1.4999999999999999E-4</v>
      </c>
      <c r="CQ309">
        <f>0.64*CP309</f>
        <v>9.5999999999999989E-5</v>
      </c>
      <c r="CR309" s="19">
        <f>CQ309*1000*(2.5*10^-5)</f>
        <v>2.3999999999999999E-6</v>
      </c>
      <c r="CS309" s="18">
        <f>(-0.0000009*F309^3)+(0.0002*F309^2)-(0.0134*F309)+6.579</f>
        <v>6.4749475278999995</v>
      </c>
      <c r="CT309" s="18">
        <f>CS309-(SQRT(CP309))/(1+1.4*SQRT(CP309))</f>
        <v>6.4629065391353864</v>
      </c>
      <c r="CU309" s="18">
        <f>10^(-CT309)</f>
        <v>3.4442404339149901E-7</v>
      </c>
      <c r="CV309" s="18">
        <f>(0.000001*F309^3)+(0.00006*F309^2)-(0.014*F309)+10.625</f>
        <v>10.505857569</v>
      </c>
      <c r="CW309" s="18">
        <f>CV309-(2*SQRT(CR309))/(1+1.4*SQRT(CR309))</f>
        <v>10.502765887779766</v>
      </c>
      <c r="CX309" s="18">
        <f>10^(-CW309)</f>
        <v>3.1422020832638243E-11</v>
      </c>
      <c r="CY309">
        <f>EXP(1246.98+-61900/H309-183*LN(H309))</f>
        <v>6.8324507786590013E-3</v>
      </c>
      <c r="CZ309">
        <f>12.225*(F309^2)+15.258*F309+1125.7</f>
        <v>2229.8384500000002</v>
      </c>
      <c r="DA309" s="15">
        <f>10^(-4470.99/H309+6.0875-0.01706*H309)</f>
        <v>2.6543801952097032E-15</v>
      </c>
      <c r="DB309">
        <f>(10^-I309)</f>
        <v>5.3703179637025321E-9</v>
      </c>
      <c r="DC309">
        <f>DB309^2</f>
        <v>2.884031503126611E-17</v>
      </c>
      <c r="DD309" s="20">
        <f>((14.6836*10^-9)*((H309/217.2056)-1)^1.997)*100*100</f>
        <v>1.3134406613847358E-5</v>
      </c>
      <c r="DE309">
        <f>CY309+CZ309*DA309/DB309</f>
        <v>7.9345901790077271E-3</v>
      </c>
      <c r="DF309">
        <f>1+DC309*(CU309*CX309+CU309*DB309)^-1</f>
        <v>1.0155014692724984</v>
      </c>
      <c r="DG309">
        <f>(DE309*DF309/DD309)^0.5</f>
        <v>24.768362758183432</v>
      </c>
      <c r="DH309">
        <f>DD309/(BO309/60/60)</f>
        <v>3.1691061472217924E-2</v>
      </c>
      <c r="DI309" s="16">
        <f>DF309/((DF309-1)+TANH(DG309*DH309)/(DG309*DH309))</f>
        <v>1.1938078490050539</v>
      </c>
      <c r="DJ309">
        <f>$DI309*BR309</f>
        <v>15.516882423154364</v>
      </c>
      <c r="DK309">
        <f>$DI309*BY309</f>
        <v>22.686913755132569</v>
      </c>
      <c r="DL309">
        <f>$DI309*CF309</f>
        <v>3.5135739541770725</v>
      </c>
      <c r="DM309">
        <f>$DI309*CM309</f>
        <v>1373.712322298092</v>
      </c>
    </row>
    <row r="310" spans="1:117" ht="15.75" x14ac:dyDescent="0.25">
      <c r="A310" s="52" t="s">
        <v>333</v>
      </c>
      <c r="B310" t="s">
        <v>339</v>
      </c>
      <c r="C310" s="68" t="s">
        <v>529</v>
      </c>
      <c r="D310" s="65">
        <v>43368</v>
      </c>
      <c r="E310" s="42" t="str">
        <f>A310&amp;D310</f>
        <v>61C43368</v>
      </c>
      <c r="F310" s="3">
        <f>VLOOKUP($E310,Water!$C$2:$E$90, 2, FALSE)</f>
        <v>6.8</v>
      </c>
      <c r="G310" s="3">
        <f>VLOOKUP($E310,Water!$C$2:$E$90, 3, FALSE)</f>
        <v>0.28000000000000003</v>
      </c>
      <c r="H310" s="1">
        <f>F310+273.15</f>
        <v>279.95</v>
      </c>
      <c r="I310" s="3">
        <f>VLOOKUP($E310,Water!$C$2:$F$90, 4, FALSE)</f>
        <v>8.39</v>
      </c>
      <c r="J310">
        <f>10^(I310*-1)</f>
        <v>4.0738027780411214E-9</v>
      </c>
      <c r="K310" s="25">
        <f>VLOOKUP($E310,Atm!$D$2:$G$100, 2, FALSE)</f>
        <v>428.97619210900632</v>
      </c>
      <c r="L310" s="25">
        <f>VLOOKUP($E310,Atm!$D$2:$G$100, 3, FALSE)</f>
        <v>2.013473718829526</v>
      </c>
      <c r="M310" s="25">
        <f>VLOOKUP($E310,Atm!$D$2:$G$100, 4, FALSE)</f>
        <v>0.30596050202684061</v>
      </c>
      <c r="N310" s="21">
        <f>VLOOKUP($C310,Raw!$B$2:$F$353, 3, FALSE)</f>
        <v>646.6658730433403</v>
      </c>
      <c r="O310" s="21">
        <f>VLOOKUP($C310,Raw!$B$2:$F$353, 4, FALSE)</f>
        <v>93.11127328467866</v>
      </c>
      <c r="P310" s="21">
        <f>VLOOKUP($C310,Raw!$B$2:$F$353, 5, FALSE)</f>
        <v>0.30226014086225694</v>
      </c>
      <c r="Q310" s="14">
        <v>60</v>
      </c>
      <c r="R310" s="25">
        <v>1140</v>
      </c>
      <c r="S310">
        <f>EXP(24.4543-(100/H310*(67.4509))-(4.8489*LN(H310/100))-(0.000544*G310))</f>
        <v>9.74094068551732E-3</v>
      </c>
      <c r="T310" s="8">
        <f>EXP(-58.0931+90.5069*(100/H310)+22.294*LN(H310/100)+G310*(0.027766-0.025888*(H310/100)+0.0050578*(H310/100)^2)*G310)</f>
        <v>5.9995993372072266E-2</v>
      </c>
      <c r="U310" s="9">
        <f>(EXP(-67.1962+99.1624*(100/H310)+27.9015*LN(H310/100)+G310*(-0.072909+0.041674*(H310/100)-0.0064603*(H310/100)^2)*G310))</f>
        <v>4.7248827758341425E-2</v>
      </c>
      <c r="V310" s="9">
        <f>(EXP(-64.8539+100.252*(100/H310)+25.2049*LN(H310/100)+(-0.062544+0.035337*(H310/100)-0.0054699*(H310/100)^2)*G310))</f>
        <v>4.5135660530522585E-2</v>
      </c>
      <c r="W310" s="9">
        <f>(EXP(-68.8862+101.4956*(100/H310)+28.7314*LN(H310/100)+G310*(-0.076146+0.04397*(H310/100)-0.0068672*(H310/100)^2)))</f>
        <v>4.7078204659856647E-2</v>
      </c>
      <c r="X310">
        <f>N310*(AZ310-S310)</f>
        <v>600.29047252496457</v>
      </c>
      <c r="Y310">
        <f>O310*(AZ310-S310)</f>
        <v>86.433833247474922</v>
      </c>
      <c r="Z310">
        <f>((Y310/10^6)*AZ310)/(0.082056*H310)</f>
        <v>3.5294577057029692E-6</v>
      </c>
      <c r="AA310">
        <f>(((L310/10^6)*AZ310)/(0.082056*H310))</f>
        <v>8.2218618163170396E-8</v>
      </c>
      <c r="AB310">
        <f>((Y310/10^6)*U310*1)/(0.082056*H310)</f>
        <v>1.7778044859728428E-7</v>
      </c>
      <c r="AC310">
        <f>(Z310*(Q310/1000))+(AB310*(R310/1000))</f>
        <v>4.1443717374308222E-7</v>
      </c>
      <c r="AD310" s="39">
        <f>((AC310-(AA310*(Q310/1000)))/(R310/1000))*1000000</f>
        <v>0.35921408478358952</v>
      </c>
      <c r="AE310" s="39">
        <f>(AD310/((U310*AZ310*1))*(0.0821*273.15))</f>
        <v>181.75721452247151</v>
      </c>
      <c r="AF310" s="39">
        <f>L310*U310*AZ310*1/(0.0821*273.15)</f>
        <v>3.9793089976944912E-3</v>
      </c>
      <c r="AG310" s="39">
        <f>AD310-AF310</f>
        <v>0.35523477578589502</v>
      </c>
      <c r="AH310" s="42">
        <f>P310*(AZ310-S310)</f>
        <v>0.28058366823929487</v>
      </c>
      <c r="AI310">
        <f>(((X310/10^6)*(Q310/1000))/(0.082056*H310))</f>
        <v>1.5679127313686531E-6</v>
      </c>
      <c r="AJ310">
        <f>(((K310/10^6)*AZ310)*(Q310/1000))/(0.082056*H310)</f>
        <v>1.0510143562421355E-6</v>
      </c>
      <c r="AK310">
        <f>(X310/10^6)*T310*(R310/1000)</f>
        <v>4.1057126460455528E-5</v>
      </c>
      <c r="AL310">
        <f>AI310+AK310</f>
        <v>4.2625039191824183E-5</v>
      </c>
      <c r="AM310" s="39">
        <f>((AL310-AJ310)/(R310/1000))*1000000</f>
        <v>36.468442838229869</v>
      </c>
      <c r="AN310" s="39">
        <f>AM310/(T310*AZ310)</f>
        <v>648.00737543258822</v>
      </c>
      <c r="AO310" s="39">
        <f>(K310*AZ310)*T310</f>
        <v>24.141845191878158</v>
      </c>
      <c r="AP310" s="39">
        <f>AM310-AO310</f>
        <v>12.326597646351711</v>
      </c>
      <c r="AQ310">
        <f>(((AH310/10^6)*(Q310/1000))/(0.082056*H310))</f>
        <v>7.3286304844395677E-10</v>
      </c>
      <c r="AR310">
        <f>(((M310/10^6)*AZ310)*(Q310/1000))/(0.082056*H310)</f>
        <v>7.4961941009431896E-10</v>
      </c>
      <c r="AS310">
        <f>(AH310/10^6)*V310*(R310/1000)</f>
        <v>1.4437335288065645E-8</v>
      </c>
      <c r="AT310">
        <f>AQ310+AS310</f>
        <v>1.5170198336509603E-8</v>
      </c>
      <c r="AU310" s="39">
        <f>((AT310-AR310)/(R310/1000))*1000000000</f>
        <v>12.649630637206391</v>
      </c>
      <c r="AV310" s="39">
        <f>(AU310/1000)/(V310*AZ310)</f>
        <v>0.29877415007536329</v>
      </c>
      <c r="AW310" s="39">
        <f>(M310*AZ310)*V310*1000</f>
        <v>12.953889549137779</v>
      </c>
      <c r="AX310" s="39">
        <f>AU310-AW310</f>
        <v>-0.3042589119313881</v>
      </c>
      <c r="AY310" s="26">
        <f>VLOOKUP($E310,Water!$C$2:$G$90, 5, FALSE)</f>
        <v>712.9</v>
      </c>
      <c r="AZ310">
        <f>AY310/760</f>
        <v>0.93802631578947371</v>
      </c>
      <c r="BA310" s="3">
        <f>Assumptions!$B$3</f>
        <v>406.07</v>
      </c>
      <c r="BB310" s="3">
        <f>BA310*AZ310*T310</f>
        <v>22.852734621167205</v>
      </c>
      <c r="BC310" s="3">
        <f>Assumptions!$B$4</f>
        <v>1.8474300000000001</v>
      </c>
      <c r="BD310" s="45">
        <f>BC310*AZ310*U310*1/(0.0821*273.15)</f>
        <v>3.6511501257062888E-3</v>
      </c>
      <c r="BE310" s="3">
        <f>Assumptions!$B$2</f>
        <v>0.33054499999999998</v>
      </c>
      <c r="BF310" s="44">
        <f>BE310*AZ310*V310*1000</f>
        <v>13.994758776556454</v>
      </c>
      <c r="BG310">
        <f>1923.6+(-125.06*F310)+(4.3773*(F310^2))+(-0.085681*(F310^3))+(0.00070284*(F310^4))</f>
        <v>1250.160272438784</v>
      </c>
      <c r="BH310">
        <f>1909.4+(-120.78*F310)+(4.1555*(F310^2))+(-0.080578*(F310^3))+(0.00065777*(F310^4))</f>
        <v>1256.316421073152</v>
      </c>
      <c r="BI310">
        <f>2141.2+(-152.56*F310)+(5.8963*(F310^2))+(-0.12411*(F310^3))+(0.0010655*(F310^4))</f>
        <v>1339.6909420927998</v>
      </c>
      <c r="BJ310" s="25">
        <f>VLOOKUP(E310,Wind!$C$2:$E$109,3, FALSE)</f>
        <v>6.1111111111111116</v>
      </c>
      <c r="BK310" s="44">
        <v>1.66</v>
      </c>
      <c r="BL310">
        <f>BK310/(1-(((1.3*10^-3)^0.5)/0.41)*LN(10/1.5))</f>
        <v>1.9923982880693825</v>
      </c>
      <c r="BM310">
        <f>BK310*1.22</f>
        <v>2.0251999999999999</v>
      </c>
      <c r="BN310">
        <f>2.07+0.215*(BM310^1.7)*(24/100)</f>
        <v>2.241255750541113</v>
      </c>
      <c r="BO310">
        <f>BN310*((600/BG310)^0.67)</f>
        <v>1.3705211430354678</v>
      </c>
      <c r="BP310">
        <f>BN310*((600/BH310)^0.67)</f>
        <v>1.3660179313365408</v>
      </c>
      <c r="BQ310">
        <f>BN310*((600/BI310)^0.67)</f>
        <v>1.3084576134231081</v>
      </c>
      <c r="BR310" s="39">
        <f>BO310*(AM310-BB310)</f>
        <v>18.660615988886136</v>
      </c>
      <c r="BS310" s="39">
        <f>BP310*(AD310-BD310)</f>
        <v>0.48570534446131131</v>
      </c>
      <c r="BT310" s="39">
        <f>BQ310*(AU310-BF310)</f>
        <v>-1.7600431549622493</v>
      </c>
      <c r="BU310">
        <f>(2.51+1.48*BM310)+(0.39*BM310*LOG10(0.0015))</f>
        <v>3.2768938069574309</v>
      </c>
      <c r="BV310">
        <f>BU310*((600/$BG310)^0.67)</f>
        <v>2.0038106962281552</v>
      </c>
      <c r="BW310">
        <f>BU310*((600/$BH310)^0.67)</f>
        <v>1.997226643281913</v>
      </c>
      <c r="BX310">
        <f>BU310*((600/$BI310)^0.67)</f>
        <v>1.9130688896424679</v>
      </c>
      <c r="BY310" s="39">
        <f>BV310*($AM310-$BB310)</f>
        <v>27.283301762071751</v>
      </c>
      <c r="BZ310" s="39">
        <f>BW310*($AD310-$BD310)</f>
        <v>0.71013976646223032</v>
      </c>
      <c r="CA310" s="39">
        <f>BX310*($AU310-$BF310)</f>
        <v>-2.5733227959732639</v>
      </c>
      <c r="CB310" s="42">
        <f>AVERAGE(0.72,0.69,0.4,0.22)</f>
        <v>0.50750000000000006</v>
      </c>
      <c r="CC310">
        <f>CB310*((600/$BG310)^0.67)</f>
        <v>0.31033472191764544</v>
      </c>
      <c r="CD310">
        <f>CB310*((600/$BH310)^0.67)</f>
        <v>0.30931503465676335</v>
      </c>
      <c r="CE310">
        <f>CB310*((600/$BI310)^0.67)</f>
        <v>0.29628133186134858</v>
      </c>
      <c r="CF310" s="39">
        <f>CC310*($AM310-$BB310)</f>
        <v>4.2254270232539417</v>
      </c>
      <c r="CG310" s="39">
        <f>CD310*($AD310-$BD310)</f>
        <v>0.10998096145636364</v>
      </c>
      <c r="CH310" s="39">
        <f>CE310*($AU310-$BF310)</f>
        <v>-0.39853635665081433</v>
      </c>
      <c r="CI310">
        <v>133.86263901889501</v>
      </c>
      <c r="CJ310">
        <f>((BG310/BH310)^0.67)*CI310</f>
        <v>133.4227977182756</v>
      </c>
      <c r="CK310">
        <f>((BH310/BH310)^0.67)*CI310</f>
        <v>133.86263901889501</v>
      </c>
      <c r="CL310">
        <f>((BI310/BH310)^0.67)*CI310</f>
        <v>139.75138618167153</v>
      </c>
      <c r="CM310" s="39">
        <f>CJ310*($AM310-$BB310)</f>
        <v>1816.6458832362148</v>
      </c>
      <c r="CN310" s="39">
        <f>CK310*($AD310-$BD310)</f>
        <v>47.596592770607181</v>
      </c>
      <c r="CO310" s="39">
        <f>CL310*($AU310-$BF310)</f>
        <v>-187.98352206614393</v>
      </c>
      <c r="CP310" s="27">
        <f>VLOOKUP(A310,Water!$A$2:$E$109, 5, FALSE)/1000</f>
        <v>2.0999999999999998E-4</v>
      </c>
      <c r="CQ310">
        <f>0.64*CP310</f>
        <v>1.3439999999999999E-4</v>
      </c>
      <c r="CR310" s="19">
        <f>CQ310*1000*(2.5*10^-5)</f>
        <v>3.36E-6</v>
      </c>
      <c r="CS310" s="18">
        <f>(-0.0000009*F310^3)+(0.0002*F310^2)-(0.0134*F310)+6.579</f>
        <v>6.4968450111999996</v>
      </c>
      <c r="CT310" s="18">
        <f>CS310-(SQRT(CP310))/(1+1.4*SQRT(CP310))</f>
        <v>6.4826417884073084</v>
      </c>
      <c r="CU310" s="18">
        <f>10^(-CT310)</f>
        <v>3.2912298376108541E-7</v>
      </c>
      <c r="CV310" s="18">
        <f>(0.000001*F310^3)+(0.00006*F310^2)-(0.014*F310)+10.625</f>
        <v>10.532888831999999</v>
      </c>
      <c r="CW310" s="18">
        <f>CV310-(2*SQRT(CR310))/(1+1.4*SQRT(CR310))</f>
        <v>10.529232155362624</v>
      </c>
      <c r="CX310" s="18">
        <f>10^(-CW310)</f>
        <v>2.9564316614230269E-11</v>
      </c>
      <c r="CY310">
        <f>EXP(1246.98+-61900/H310-183*LN(H310))</f>
        <v>5.1707964327275544E-3</v>
      </c>
      <c r="CZ310">
        <f>12.225*(F310^2)+15.258*F310+1125.7</f>
        <v>1794.7384</v>
      </c>
      <c r="DA310" s="15">
        <f>10^(-4470.99/H310+6.0875-0.01706*H310)</f>
        <v>2.1921974360707932E-15</v>
      </c>
      <c r="DB310">
        <f>(10^-I310)</f>
        <v>4.0738027780411214E-9</v>
      </c>
      <c r="DC310">
        <f>DB310^2</f>
        <v>1.6595869074375557E-17</v>
      </c>
      <c r="DD310" s="20">
        <f>((14.6836*10^-9)*((H310/217.2056)-1)^1.997)*100*100</f>
        <v>1.2298675381434274E-5</v>
      </c>
      <c r="DE310">
        <f>CY310+CZ310*DA310/DB310</f>
        <v>6.1365822434951665E-3</v>
      </c>
      <c r="DF310">
        <f>1+DC310*(CU310*CX310+CU310*DB310)^-1</f>
        <v>1.0122885719584691</v>
      </c>
      <c r="DG310">
        <f>(DE310*DF310/DD310)^0.5</f>
        <v>22.474305352757572</v>
      </c>
      <c r="DH310">
        <f>DD310/(BO310/60/60)</f>
        <v>3.2305398277257799E-2</v>
      </c>
      <c r="DI310" s="16">
        <f>DF310/((DF310-1)+TANH(DG310*DH310)/(DG310*DH310))</f>
        <v>1.1674247510975844</v>
      </c>
      <c r="DJ310">
        <f>$DI310*BR310</f>
        <v>21.784864976152999</v>
      </c>
      <c r="DK310">
        <f>$DI310*BY310</f>
        <v>31.8512017687069</v>
      </c>
      <c r="DL310">
        <f>$DI310*CF310</f>
        <v>4.9328680909032396</v>
      </c>
      <c r="DM310">
        <f>$DI310*CM310</f>
        <v>2120.7973680694895</v>
      </c>
    </row>
    <row r="311" spans="1:117" ht="15.75" x14ac:dyDescent="0.25">
      <c r="A311" s="52" t="s">
        <v>333</v>
      </c>
      <c r="B311" t="s">
        <v>340</v>
      </c>
      <c r="C311" s="68" t="s">
        <v>530</v>
      </c>
      <c r="D311" s="65">
        <v>43368</v>
      </c>
      <c r="E311" s="42" t="str">
        <f>A311&amp;D311</f>
        <v>61C43368</v>
      </c>
      <c r="F311" s="3">
        <f>VLOOKUP($E311,Water!$C$2:$E$90, 2, FALSE)</f>
        <v>6.8</v>
      </c>
      <c r="G311" s="3">
        <f>VLOOKUP($E311,Water!$C$2:$E$90, 3, FALSE)</f>
        <v>0.28000000000000003</v>
      </c>
      <c r="H311" s="1">
        <f>F311+273.15</f>
        <v>279.95</v>
      </c>
      <c r="I311" s="3">
        <f>VLOOKUP($E311,Water!$C$2:$F$90, 4, FALSE)</f>
        <v>8.39</v>
      </c>
      <c r="J311">
        <f>10^(I311*-1)</f>
        <v>4.0738027780411214E-9</v>
      </c>
      <c r="K311" s="25">
        <f>VLOOKUP($E311,Atm!$D$2:$G$100, 2, FALSE)</f>
        <v>428.97619210900632</v>
      </c>
      <c r="L311" s="25">
        <f>VLOOKUP($E311,Atm!$D$2:$G$100, 3, FALSE)</f>
        <v>2.013473718829526</v>
      </c>
      <c r="M311" s="25">
        <f>VLOOKUP($E311,Atm!$D$2:$G$100, 4, FALSE)</f>
        <v>0.30596050202684061</v>
      </c>
      <c r="N311" s="21">
        <f>VLOOKUP($C311,Raw!$B$2:$F$353, 3, FALSE)</f>
        <v>662.79131386736879</v>
      </c>
      <c r="O311" s="21">
        <f>VLOOKUP($C311,Raw!$B$2:$F$353, 4, FALSE)</f>
        <v>93.226413115350937</v>
      </c>
      <c r="P311" s="21">
        <f>VLOOKUP($C311,Raw!$B$2:$F$353, 5, FALSE)</f>
        <v>0.31265763004128344</v>
      </c>
      <c r="Q311" s="14">
        <v>60</v>
      </c>
      <c r="R311" s="25">
        <v>1140</v>
      </c>
      <c r="S311">
        <f>EXP(24.4543-(100/H311*(67.4509))-(4.8489*LN(H311/100))-(0.000544*G311))</f>
        <v>9.74094068551732E-3</v>
      </c>
      <c r="T311" s="8">
        <f>EXP(-58.0931+90.5069*(100/H311)+22.294*LN(H311/100)+G311*(0.027766-0.025888*(H311/100)+0.0050578*(H311/100)^2)*G311)</f>
        <v>5.9995993372072266E-2</v>
      </c>
      <c r="U311" s="9">
        <f>(EXP(-67.1962+99.1624*(100/H311)+27.9015*LN(H311/100)+G311*(-0.072909+0.041674*(H311/100)-0.0064603*(H311/100)^2)*G311))</f>
        <v>4.7248827758341425E-2</v>
      </c>
      <c r="V311" s="9">
        <f>(EXP(-64.8539+100.252*(100/H311)+25.2049*LN(H311/100)+(-0.062544+0.035337*(H311/100)-0.0054699*(H311/100)^2)*G311))</f>
        <v>4.5135660530522585E-2</v>
      </c>
      <c r="W311" s="9">
        <f>(EXP(-68.8862+101.4956*(100/H311)+28.7314*LN(H311/100)+G311*(-0.076146+0.04397*(H311/100)-0.0068672*(H311/100)^2)))</f>
        <v>4.7078204659856647E-2</v>
      </c>
      <c r="X311">
        <f>N311*(AZ311-S311)</f>
        <v>615.25948340901448</v>
      </c>
      <c r="Y311">
        <f>O311*(AZ311-S311)</f>
        <v>86.540715868379948</v>
      </c>
      <c r="Z311">
        <f>((Y311/10^6)*AZ311)/(0.082056*H311)</f>
        <v>3.5338221735945975E-6</v>
      </c>
      <c r="AA311">
        <f>(((L311/10^6)*AZ311)/(0.082056*H311))</f>
        <v>8.2218618163170396E-8</v>
      </c>
      <c r="AB311">
        <f>((Y311/10^6)*U311*1)/(0.082056*H311)</f>
        <v>1.7800028890261175E-7</v>
      </c>
      <c r="AC311">
        <f>(Z311*(Q311/1000))+(AB311*(R311/1000))</f>
        <v>4.1494965976465325E-7</v>
      </c>
      <c r="AD311" s="39">
        <f>((AC311-(AA311*(Q311/1000)))/(R311/1000))*1000000</f>
        <v>0.35966363392531847</v>
      </c>
      <c r="AE311" s="39">
        <f>(AD311/((U311*AZ311*1))*(0.0821*273.15))</f>
        <v>181.98467999014895</v>
      </c>
      <c r="AF311" s="39">
        <f>L311*U311*AZ311*1/(0.0821*273.15)</f>
        <v>3.9793089976944912E-3</v>
      </c>
      <c r="AG311" s="39">
        <f>AD311-AF311</f>
        <v>0.35568432492762397</v>
      </c>
      <c r="AH311" s="42">
        <f>P311*(AZ311-S311)</f>
        <v>0.29023550538198684</v>
      </c>
      <c r="AI311">
        <f>(((X311/10^6)*(Q311/1000))/(0.082056*H311))</f>
        <v>1.607010641156188E-6</v>
      </c>
      <c r="AJ311">
        <f>(((K311/10^6)*AZ311)*(Q311/1000))/(0.082056*H311)</f>
        <v>1.0510143562421355E-6</v>
      </c>
      <c r="AK311">
        <f>(X311/10^6)*T311*(R311/1000)</f>
        <v>4.2080938433131493E-5</v>
      </c>
      <c r="AL311">
        <f>AI311+AK311</f>
        <v>4.3687949074287683E-5</v>
      </c>
      <c r="AM311" s="39">
        <f>((AL311-AJ311)/(R311/1000))*1000000</f>
        <v>37.400819928110138</v>
      </c>
      <c r="AN311" s="39">
        <f>AM311/(T311*AZ311)</f>
        <v>664.57477409029605</v>
      </c>
      <c r="AO311" s="39">
        <f>(K311*AZ311)*T311</f>
        <v>24.141845191878158</v>
      </c>
      <c r="AP311" s="39">
        <f>AM311-AO311</f>
        <v>13.258974736231981</v>
      </c>
      <c r="AQ311">
        <f>(((AH311/10^6)*(Q311/1000))/(0.082056*H311))</f>
        <v>7.5807290772003286E-10</v>
      </c>
      <c r="AR311">
        <f>(((M311/10^6)*AZ311)*(Q311/1000))/(0.082056*H311)</f>
        <v>7.4961941009431896E-10</v>
      </c>
      <c r="AS311">
        <f>(AH311/10^6)*V311*(R311/1000)</f>
        <v>1.4933967219101661E-8</v>
      </c>
      <c r="AT311">
        <f>AQ311+AS311</f>
        <v>1.5692040126821692E-8</v>
      </c>
      <c r="AU311" s="39">
        <f>((AT311-AR311)/(R311/1000))*1000000000</f>
        <v>13.107386593620506</v>
      </c>
      <c r="AV311" s="39">
        <f>(AU311/1000)/(V311*AZ311)</f>
        <v>0.30958597934864601</v>
      </c>
      <c r="AW311" s="39">
        <f>(M311*AZ311)*V311*1000</f>
        <v>12.953889549137779</v>
      </c>
      <c r="AX311" s="39">
        <f>AU311-AW311</f>
        <v>0.15349704448272661</v>
      </c>
      <c r="AY311" s="26">
        <f>VLOOKUP($E311,Water!$C$2:$G$90, 5, FALSE)</f>
        <v>712.9</v>
      </c>
      <c r="AZ311">
        <f>AY311/760</f>
        <v>0.93802631578947371</v>
      </c>
      <c r="BA311" s="3">
        <f>Assumptions!$B$3</f>
        <v>406.07</v>
      </c>
      <c r="BB311" s="3">
        <f>BA311*AZ311*T311</f>
        <v>22.852734621167205</v>
      </c>
      <c r="BC311" s="3">
        <f>Assumptions!$B$4</f>
        <v>1.8474300000000001</v>
      </c>
      <c r="BD311" s="45">
        <f>BC311*AZ311*U311*1/(0.0821*273.15)</f>
        <v>3.6511501257062888E-3</v>
      </c>
      <c r="BE311" s="3">
        <f>Assumptions!$B$2</f>
        <v>0.33054499999999998</v>
      </c>
      <c r="BF311" s="44">
        <f>BE311*AZ311*V311*1000</f>
        <v>13.994758776556454</v>
      </c>
      <c r="BG311">
        <f>1923.6+(-125.06*F311)+(4.3773*(F311^2))+(-0.085681*(F311^3))+(0.00070284*(F311^4))</f>
        <v>1250.160272438784</v>
      </c>
      <c r="BH311">
        <f>1909.4+(-120.78*F311)+(4.1555*(F311^2))+(-0.080578*(F311^3))+(0.00065777*(F311^4))</f>
        <v>1256.316421073152</v>
      </c>
      <c r="BI311">
        <f>2141.2+(-152.56*F311)+(5.8963*(F311^2))+(-0.12411*(F311^3))+(0.0010655*(F311^4))</f>
        <v>1339.6909420927998</v>
      </c>
      <c r="BJ311" s="25">
        <f>VLOOKUP(E311,Wind!$C$2:$E$109,3, FALSE)</f>
        <v>6.1111111111111116</v>
      </c>
      <c r="BK311" s="44">
        <v>1.66</v>
      </c>
      <c r="BL311">
        <f>BK311/(1-(((1.3*10^-3)^0.5)/0.41)*LN(10/1.5))</f>
        <v>1.9923982880693825</v>
      </c>
      <c r="BM311">
        <f>BK311*1.22</f>
        <v>2.0251999999999999</v>
      </c>
      <c r="BN311">
        <f>2.07+0.215*(BM311^1.7)*(24/100)</f>
        <v>2.241255750541113</v>
      </c>
      <c r="BO311">
        <f>BN311*((600/BG311)^0.67)</f>
        <v>1.3705211430354678</v>
      </c>
      <c r="BP311">
        <f>BN311*((600/BH311)^0.67)</f>
        <v>1.3660179313365408</v>
      </c>
      <c r="BQ311">
        <f>BN311*((600/BI311)^0.67)</f>
        <v>1.3084576134231081</v>
      </c>
      <c r="BR311" s="39">
        <f>BO311*(AM311-BB311)</f>
        <v>19.938458503848924</v>
      </c>
      <c r="BS311" s="39">
        <f>BP311*(AD311-BD311)</f>
        <v>0.48631943664992999</v>
      </c>
      <c r="BT311" s="39">
        <f>BQ311*(AU311-BF311)</f>
        <v>-1.1610888887024244</v>
      </c>
      <c r="BU311">
        <f>(2.51+1.48*BM311)+(0.39*BM311*LOG10(0.0015))</f>
        <v>3.2768938069574309</v>
      </c>
      <c r="BV311">
        <f>BU311*((600/$BG311)^0.67)</f>
        <v>2.0038106962281552</v>
      </c>
      <c r="BW311">
        <f>BU311*((600/$BH311)^0.67)</f>
        <v>1.997226643281913</v>
      </c>
      <c r="BX311">
        <f>BU311*((600/$BI311)^0.67)</f>
        <v>1.9130688896424679</v>
      </c>
      <c r="BY311" s="39">
        <f>BV311*($AM311-$BB311)</f>
        <v>29.151608947691916</v>
      </c>
      <c r="BZ311" s="39">
        <f>BW311*($AD311-$BD311)</f>
        <v>0.71103761798555587</v>
      </c>
      <c r="CA311" s="39">
        <f>BX311*($AU311-$BF311)</f>
        <v>-1.6976041167088873</v>
      </c>
      <c r="CB311" s="42">
        <f>AVERAGE(0.72,0.69,0.4,0.22)</f>
        <v>0.50750000000000006</v>
      </c>
      <c r="CC311">
        <f>CB311*((600/$BG311)^0.67)</f>
        <v>0.31033472191764544</v>
      </c>
      <c r="CD311">
        <f>CB311*((600/$BH311)^0.67)</f>
        <v>0.30931503465676335</v>
      </c>
      <c r="CE311">
        <f>CB311*((600/$BI311)^0.67)</f>
        <v>0.29628133186134858</v>
      </c>
      <c r="CF311" s="39">
        <f>CC311*($AM311-$BB311)</f>
        <v>4.5147760081643185</v>
      </c>
      <c r="CG311" s="39">
        <f>CD311*($AD311-$BD311)</f>
        <v>0.11012001376471744</v>
      </c>
      <c r="CH311" s="39">
        <f>CE311*($AU311-$BF311)</f>
        <v>-0.26291181221697502</v>
      </c>
      <c r="CI311">
        <v>134.86263901889501</v>
      </c>
      <c r="CJ311">
        <f>((BG311/BH311)^0.67)*CI311</f>
        <v>134.41951195233045</v>
      </c>
      <c r="CK311">
        <f>((BH311/BH311)^0.67)*CI311</f>
        <v>134.86263901889501</v>
      </c>
      <c r="CL311">
        <f>((BI311/BH311)^0.67)*CI311</f>
        <v>140.79537715036852</v>
      </c>
      <c r="CM311" s="39">
        <f>CJ311*($AM311-$BB311)</f>
        <v>1955.5465268001387</v>
      </c>
      <c r="CN311" s="39">
        <f>CK311*($AD311-$BD311)</f>
        <v>48.012783088887311</v>
      </c>
      <c r="CO311" s="39">
        <f>CL311*($AU311-$BF311)</f>
        <v>-124.93790116921264</v>
      </c>
      <c r="CP311" s="27">
        <f>VLOOKUP(A311,Water!$A$2:$E$109, 5, FALSE)/1000</f>
        <v>2.0999999999999998E-4</v>
      </c>
      <c r="CQ311">
        <f>0.64*CP311</f>
        <v>1.3439999999999999E-4</v>
      </c>
      <c r="CR311" s="19">
        <f>CQ311*1000*(2.5*10^-5)</f>
        <v>3.36E-6</v>
      </c>
      <c r="CS311" s="18">
        <f>(-0.0000009*F311^3)+(0.0002*F311^2)-(0.0134*F311)+6.579</f>
        <v>6.4968450111999996</v>
      </c>
      <c r="CT311" s="18">
        <f>CS311-(SQRT(CP311))/(1+1.4*SQRT(CP311))</f>
        <v>6.4826417884073084</v>
      </c>
      <c r="CU311" s="18">
        <f>10^(-CT311)</f>
        <v>3.2912298376108541E-7</v>
      </c>
      <c r="CV311" s="18">
        <f>(0.000001*F311^3)+(0.00006*F311^2)-(0.014*F311)+10.625</f>
        <v>10.532888831999999</v>
      </c>
      <c r="CW311" s="18">
        <f>CV311-(2*SQRT(CR311))/(1+1.4*SQRT(CR311))</f>
        <v>10.529232155362624</v>
      </c>
      <c r="CX311" s="18">
        <f>10^(-CW311)</f>
        <v>2.9564316614230269E-11</v>
      </c>
      <c r="CY311">
        <f>EXP(1246.98+-61900/H311-183*LN(H311))</f>
        <v>5.1707964327275544E-3</v>
      </c>
      <c r="CZ311">
        <f>12.225*(F311^2)+15.258*F311+1125.7</f>
        <v>1794.7384</v>
      </c>
      <c r="DA311" s="15">
        <f>10^(-4470.99/H311+6.0875-0.01706*H311)</f>
        <v>2.1921974360707932E-15</v>
      </c>
      <c r="DB311">
        <f>(10^-I311)</f>
        <v>4.0738027780411214E-9</v>
      </c>
      <c r="DC311">
        <f>DB311^2</f>
        <v>1.6595869074375557E-17</v>
      </c>
      <c r="DD311" s="20">
        <f>((14.6836*10^-9)*((H311/217.2056)-1)^1.997)*100*100</f>
        <v>1.2298675381434274E-5</v>
      </c>
      <c r="DE311">
        <f>CY311+CZ311*DA311/DB311</f>
        <v>6.1365822434951665E-3</v>
      </c>
      <c r="DF311">
        <f>1+DC311*(CU311*CX311+CU311*DB311)^-1</f>
        <v>1.0122885719584691</v>
      </c>
      <c r="DG311">
        <f>(DE311*DF311/DD311)^0.5</f>
        <v>22.474305352757572</v>
      </c>
      <c r="DH311">
        <f>DD311/(BO311/60/60)</f>
        <v>3.2305398277257799E-2</v>
      </c>
      <c r="DI311" s="16">
        <f>DF311/((DF311-1)+TANH(DG311*DH311)/(DG311*DH311))</f>
        <v>1.1674247510975844</v>
      </c>
      <c r="DJ311">
        <f>$DI311*BR311</f>
        <v>23.276649956125343</v>
      </c>
      <c r="DK311">
        <f>$DI311*BY311</f>
        <v>34.032309819853346</v>
      </c>
      <c r="DL311">
        <f>$DI311*CF311</f>
        <v>5.2706612575925753</v>
      </c>
      <c r="DM311">
        <f>$DI311*CM311</f>
        <v>2282.9534173093975</v>
      </c>
    </row>
    <row r="312" spans="1:117" ht="15.75" x14ac:dyDescent="0.25">
      <c r="A312" s="52" t="s">
        <v>333</v>
      </c>
      <c r="B312" t="s">
        <v>341</v>
      </c>
      <c r="C312" s="68" t="s">
        <v>531</v>
      </c>
      <c r="D312" s="65">
        <v>43368</v>
      </c>
      <c r="E312" s="42" t="str">
        <f>A312&amp;D312</f>
        <v>61C43368</v>
      </c>
      <c r="F312" s="3">
        <f>VLOOKUP($E312,Water!$C$2:$E$90, 2, FALSE)</f>
        <v>6.8</v>
      </c>
      <c r="G312" s="3">
        <f>VLOOKUP($E312,Water!$C$2:$E$90, 3, FALSE)</f>
        <v>0.28000000000000003</v>
      </c>
      <c r="H312" s="1">
        <f>F312+273.15</f>
        <v>279.95</v>
      </c>
      <c r="I312" s="3">
        <f>VLOOKUP($E312,Water!$C$2:$F$90, 4, FALSE)</f>
        <v>8.39</v>
      </c>
      <c r="J312">
        <f>10^(I312*-1)</f>
        <v>4.0738027780411214E-9</v>
      </c>
      <c r="K312" s="25">
        <f>VLOOKUP($E312,Atm!$D$2:$G$100, 2, FALSE)</f>
        <v>428.97619210900632</v>
      </c>
      <c r="L312" s="25">
        <f>VLOOKUP($E312,Atm!$D$2:$G$100, 3, FALSE)</f>
        <v>2.013473718829526</v>
      </c>
      <c r="M312" s="25">
        <f>VLOOKUP($E312,Atm!$D$2:$G$100, 4, FALSE)</f>
        <v>0.30596050202684061</v>
      </c>
      <c r="N312" s="21">
        <f>VLOOKUP($C312,Raw!$B$2:$F$353, 3, FALSE)</f>
        <v>630.78986412860115</v>
      </c>
      <c r="O312" s="21">
        <f>VLOOKUP($C312,Raw!$B$2:$F$353, 4, FALSE)</f>
        <v>57.83121138091898</v>
      </c>
      <c r="P312" s="21">
        <f>VLOOKUP($C312,Raw!$B$2:$F$353, 5, FALSE)</f>
        <v>0.30232562693933707</v>
      </c>
      <c r="Q312" s="14">
        <v>60</v>
      </c>
      <c r="R312" s="25">
        <v>1140</v>
      </c>
      <c r="S312">
        <f>EXP(24.4543-(100/H312*(67.4509))-(4.8489*LN(H312/100))-(0.000544*G312))</f>
        <v>9.74094068551732E-3</v>
      </c>
      <c r="T312" s="8">
        <f>EXP(-58.0931+90.5069*(100/H312)+22.294*LN(H312/100)+G312*(0.027766-0.025888*(H312/100)+0.0050578*(H312/100)^2)*G312)</f>
        <v>5.9995993372072266E-2</v>
      </c>
      <c r="U312" s="9">
        <f>(EXP(-67.1962+99.1624*(100/H312)+27.9015*LN(H312/100)+G312*(-0.072909+0.041674*(H312/100)-0.0064603*(H312/100)^2)*G312))</f>
        <v>4.7248827758341425E-2</v>
      </c>
      <c r="V312" s="9">
        <f>(EXP(-64.8539+100.252*(100/H312)+25.2049*LN(H312/100)+(-0.062544+0.035337*(H312/100)-0.0054699*(H312/100)^2)*G312))</f>
        <v>4.5135660530522585E-2</v>
      </c>
      <c r="W312" s="9">
        <f>(EXP(-68.8862+101.4956*(100/H312)+28.7314*LN(H312/100)+G312*(-0.076146+0.04397*(H312/100)-0.0068672*(H312/100)^2)))</f>
        <v>4.7078204659856647E-2</v>
      </c>
      <c r="X312">
        <f>N312*(AZ312-S312)</f>
        <v>585.55300563439221</v>
      </c>
      <c r="Y312">
        <f>O312*(AZ312-S312)</f>
        <v>53.683867749452567</v>
      </c>
      <c r="Z312">
        <f>((Y312/10^6)*AZ312)/(0.082056*H312)</f>
        <v>2.1921385825588128E-6</v>
      </c>
      <c r="AA312">
        <f>(((L312/10^6)*AZ312)/(0.082056*H312))</f>
        <v>8.2218618163170396E-8</v>
      </c>
      <c r="AB312">
        <f>((Y312/10^6)*U312*1)/(0.082056*H312)</f>
        <v>1.1041905388609818E-7</v>
      </c>
      <c r="AC312">
        <f>(Z312*(Q312/1000))+(AB312*(R312/1000))</f>
        <v>2.5740603638368067E-7</v>
      </c>
      <c r="AD312" s="39">
        <f>((AC312-(AA312*(Q312/1000)))/(R312/1000))*1000000</f>
        <v>0.22146747306481621</v>
      </c>
      <c r="AE312" s="39">
        <f>(AD312/((U312*AZ312*1))*(0.0821*273.15))</f>
        <v>112.05938941910451</v>
      </c>
      <c r="AF312" s="39">
        <f>L312*U312*AZ312*1/(0.0821*273.15)</f>
        <v>3.9793089976944912E-3</v>
      </c>
      <c r="AG312" s="39">
        <f>AD312-AF312</f>
        <v>0.21748816406712171</v>
      </c>
      <c r="AH312" s="42">
        <f>P312*(AZ312-S312)</f>
        <v>0.28064445800692128</v>
      </c>
      <c r="AI312">
        <f>(((X312/10^6)*(Q312/1000))/(0.082056*H312))</f>
        <v>1.5294195967555738E-6</v>
      </c>
      <c r="AJ312">
        <f>(((K312/10^6)*AZ312)*(Q312/1000))/(0.082056*H312)</f>
        <v>1.0510143562421355E-6</v>
      </c>
      <c r="AK312">
        <f>(X312/10^6)*T312*(R312/1000)</f>
        <v>4.0049151039343307E-5</v>
      </c>
      <c r="AL312">
        <f>AI312+AK312</f>
        <v>4.157857063609888E-5</v>
      </c>
      <c r="AM312" s="39">
        <f>((AL312-AJ312)/(R312/1000))*1000000</f>
        <v>35.550487964786626</v>
      </c>
      <c r="AN312" s="39">
        <f>AM312/(T312*AZ312)</f>
        <v>631.69624498635108</v>
      </c>
      <c r="AO312" s="39">
        <f>(K312*AZ312)*T312</f>
        <v>24.141845191878158</v>
      </c>
      <c r="AP312" s="39">
        <f>AM312-AO312</f>
        <v>11.408642772908468</v>
      </c>
      <c r="AQ312">
        <f>(((AH312/10^6)*(Q312/1000))/(0.082056*H312))</f>
        <v>7.3302182666043829E-10</v>
      </c>
      <c r="AR312">
        <f>(((M312/10^6)*AZ312)*(Q312/1000))/(0.082056*H312)</f>
        <v>7.4961941009431896E-10</v>
      </c>
      <c r="AS312">
        <f>(AH312/10^6)*V312*(R312/1000)</f>
        <v>1.4440463204465105E-8</v>
      </c>
      <c r="AT312">
        <f>AQ312+AS312</f>
        <v>1.5173485031125545E-8</v>
      </c>
      <c r="AU312" s="39">
        <f>((AT312-AR312)/(R312/1000))*1000000000</f>
        <v>12.65251370265897</v>
      </c>
      <c r="AV312" s="39">
        <f>(AU312/1000)/(V312*AZ312)</f>
        <v>0.29884224577356278</v>
      </c>
      <c r="AW312" s="39">
        <f>(M312*AZ312)*V312*1000</f>
        <v>12.953889549137779</v>
      </c>
      <c r="AX312" s="39">
        <f>AU312-AW312</f>
        <v>-0.301375846478809</v>
      </c>
      <c r="AY312" s="26">
        <f>VLOOKUP($E312,Water!$C$2:$G$90, 5, FALSE)</f>
        <v>712.9</v>
      </c>
      <c r="AZ312">
        <f>AY312/760</f>
        <v>0.93802631578947371</v>
      </c>
      <c r="BA312" s="3">
        <f>Assumptions!$B$3</f>
        <v>406.07</v>
      </c>
      <c r="BB312" s="3">
        <f>BA312*AZ312*T312</f>
        <v>22.852734621167205</v>
      </c>
      <c r="BC312" s="3">
        <f>Assumptions!$B$4</f>
        <v>1.8474300000000001</v>
      </c>
      <c r="BD312" s="45">
        <f>BC312*AZ312*U312*1/(0.0821*273.15)</f>
        <v>3.6511501257062888E-3</v>
      </c>
      <c r="BE312" s="3">
        <f>Assumptions!$B$2</f>
        <v>0.33054499999999998</v>
      </c>
      <c r="BF312" s="44">
        <f>BE312*AZ312*V312*1000</f>
        <v>13.994758776556454</v>
      </c>
      <c r="BG312">
        <f>1923.6+(-125.06*F312)+(4.3773*(F312^2))+(-0.085681*(F312^3))+(0.00070284*(F312^4))</f>
        <v>1250.160272438784</v>
      </c>
      <c r="BH312">
        <f>1909.4+(-120.78*F312)+(4.1555*(F312^2))+(-0.080578*(F312^3))+(0.00065777*(F312^4))</f>
        <v>1256.316421073152</v>
      </c>
      <c r="BI312">
        <f>2141.2+(-152.56*F312)+(5.8963*(F312^2))+(-0.12411*(F312^3))+(0.0010655*(F312^4))</f>
        <v>1339.6909420927998</v>
      </c>
      <c r="BJ312" s="25">
        <f>VLOOKUP(E312,Wind!$C$2:$E$109,3, FALSE)</f>
        <v>6.1111111111111116</v>
      </c>
      <c r="BK312" s="44">
        <v>1.66</v>
      </c>
      <c r="BL312">
        <f>BK312/(1-(((1.3*10^-3)^0.5)/0.41)*LN(10/1.5))</f>
        <v>1.9923982880693825</v>
      </c>
      <c r="BM312">
        <f>BK312*1.22</f>
        <v>2.0251999999999999</v>
      </c>
      <c r="BN312">
        <f>2.07+0.215*(BM312^1.7)*(24/100)</f>
        <v>2.241255750541113</v>
      </c>
      <c r="BO312">
        <f>BN312*((600/BG312)^0.67)</f>
        <v>1.3705211430354678</v>
      </c>
      <c r="BP312">
        <f>BN312*((600/BH312)^0.67)</f>
        <v>1.3660179313365408</v>
      </c>
      <c r="BQ312">
        <f>BN312*((600/BI312)^0.67)</f>
        <v>1.3084576134231081</v>
      </c>
      <c r="BR312" s="39">
        <f>BO312*(AM312-BB312)</f>
        <v>17.402539426479724</v>
      </c>
      <c r="BS312" s="39">
        <f>BP312*(AD312-BD312)</f>
        <v>0.29754100287261481</v>
      </c>
      <c r="BT312" s="39">
        <f>BQ312*(AU312-BF312)</f>
        <v>-1.7562707860208251</v>
      </c>
      <c r="BU312">
        <f>(2.51+1.48*BM312)+(0.39*BM312*LOG10(0.0015))</f>
        <v>3.2768938069574309</v>
      </c>
      <c r="BV312">
        <f>BU312*((600/$BG312)^0.67)</f>
        <v>2.0038106962281552</v>
      </c>
      <c r="BW312">
        <f>BU312*((600/$BH312)^0.67)</f>
        <v>1.997226643281913</v>
      </c>
      <c r="BX312">
        <f>BU312*((600/$BI312)^0.67)</f>
        <v>1.9130688896424679</v>
      </c>
      <c r="BY312" s="39">
        <f>BV312*($AM312-$BB312)</f>
        <v>25.44389396801142</v>
      </c>
      <c r="BZ312" s="39">
        <f>BW312*($AD312-$BD312)</f>
        <v>0.43502856351568764</v>
      </c>
      <c r="CA312" s="39">
        <f>BX312*($AU312-$BF312)</f>
        <v>-2.5678072931491318</v>
      </c>
      <c r="CB312" s="42">
        <f>AVERAGE(0.72,0.69,0.4,0.22)</f>
        <v>0.50750000000000006</v>
      </c>
      <c r="CC312">
        <f>CB312*((600/$BG312)^0.67)</f>
        <v>0.31033472191764544</v>
      </c>
      <c r="CD312">
        <f>CB312*((600/$BH312)^0.67)</f>
        <v>0.30931503465676335</v>
      </c>
      <c r="CE312">
        <f>CB312*((600/$BI312)^0.67)</f>
        <v>0.29628133186134858</v>
      </c>
      <c r="CF312" s="39">
        <f>CC312*($AM312-$BB312)</f>
        <v>3.9405537528709855</v>
      </c>
      <c r="CG312" s="39">
        <f>CD312*($AD312-$BD312)</f>
        <v>6.7373863478719542E-2</v>
      </c>
      <c r="CH312" s="39">
        <f>CE312*($AU312-$BF312)</f>
        <v>-0.39768215817868074</v>
      </c>
      <c r="CI312">
        <v>135.86263901889501</v>
      </c>
      <c r="CJ312">
        <f>((BG312/BH312)^0.67)*CI312</f>
        <v>135.41622618638527</v>
      </c>
      <c r="CK312">
        <f>((BH312/BH312)^0.67)*CI312</f>
        <v>135.86263901889501</v>
      </c>
      <c r="CL312">
        <f>((BI312/BH312)^0.67)*CI312</f>
        <v>141.83936811906551</v>
      </c>
      <c r="CM312" s="39">
        <f>CJ312*($AM312-$BB312)</f>
        <v>1719.4818388384974</v>
      </c>
      <c r="CN312" s="39">
        <f>CK312*($AD312-$BD312)</f>
        <v>29.59310045589935</v>
      </c>
      <c r="CO312" s="39">
        <f>CL312*($AU312-$BF312)</f>
        <v>-190.3831931425475</v>
      </c>
      <c r="CP312" s="27">
        <f>VLOOKUP(A312,Water!$A$2:$E$109, 5, FALSE)/1000</f>
        <v>2.0999999999999998E-4</v>
      </c>
      <c r="CQ312">
        <f>0.64*CP312</f>
        <v>1.3439999999999999E-4</v>
      </c>
      <c r="CR312" s="19">
        <f>CQ312*1000*(2.5*10^-5)</f>
        <v>3.36E-6</v>
      </c>
      <c r="CS312" s="18">
        <f>(-0.0000009*F312^3)+(0.0002*F312^2)-(0.0134*F312)+6.579</f>
        <v>6.4968450111999996</v>
      </c>
      <c r="CT312" s="18">
        <f>CS312-(SQRT(CP312))/(1+1.4*SQRT(CP312))</f>
        <v>6.4826417884073084</v>
      </c>
      <c r="CU312" s="18">
        <f>10^(-CT312)</f>
        <v>3.2912298376108541E-7</v>
      </c>
      <c r="CV312" s="18">
        <f>(0.000001*F312^3)+(0.00006*F312^2)-(0.014*F312)+10.625</f>
        <v>10.532888831999999</v>
      </c>
      <c r="CW312" s="18">
        <f>CV312-(2*SQRT(CR312))/(1+1.4*SQRT(CR312))</f>
        <v>10.529232155362624</v>
      </c>
      <c r="CX312" s="18">
        <f>10^(-CW312)</f>
        <v>2.9564316614230269E-11</v>
      </c>
      <c r="CY312">
        <f>EXP(1246.98+-61900/H312-183*LN(H312))</f>
        <v>5.1707964327275544E-3</v>
      </c>
      <c r="CZ312">
        <f>12.225*(F312^2)+15.258*F312+1125.7</f>
        <v>1794.7384</v>
      </c>
      <c r="DA312" s="15">
        <f>10^(-4470.99/H312+6.0875-0.01706*H312)</f>
        <v>2.1921974360707932E-15</v>
      </c>
      <c r="DB312">
        <f>(10^-I312)</f>
        <v>4.0738027780411214E-9</v>
      </c>
      <c r="DC312">
        <f>DB312^2</f>
        <v>1.6595869074375557E-17</v>
      </c>
      <c r="DD312" s="20">
        <f>((14.6836*10^-9)*((H312/217.2056)-1)^1.997)*100*100</f>
        <v>1.2298675381434274E-5</v>
      </c>
      <c r="DE312">
        <f>CY312+CZ312*DA312/DB312</f>
        <v>6.1365822434951665E-3</v>
      </c>
      <c r="DF312">
        <f>1+DC312*(CU312*CX312+CU312*DB312)^-1</f>
        <v>1.0122885719584691</v>
      </c>
      <c r="DG312">
        <f>(DE312*DF312/DD312)^0.5</f>
        <v>22.474305352757572</v>
      </c>
      <c r="DH312">
        <f>DD312/(BO312/60/60)</f>
        <v>3.2305398277257799E-2</v>
      </c>
      <c r="DI312" s="16">
        <f>DF312/((DF312-1)+TANH(DG312*DH312)/(DG312*DH312))</f>
        <v>1.1674247510975844</v>
      </c>
      <c r="DJ312">
        <f>$DI312*BR312</f>
        <v>20.31615525842399</v>
      </c>
      <c r="DK312">
        <f>$DI312*BY312</f>
        <v>29.703831582559058</v>
      </c>
      <c r="DL312">
        <f>$DI312*CF312</f>
        <v>4.6002999841320626</v>
      </c>
      <c r="DM312">
        <f>$DI312*CM312</f>
        <v>2007.3656577228496</v>
      </c>
    </row>
    <row r="313" spans="1:117" ht="15.75" x14ac:dyDescent="0.25">
      <c r="A313" s="52" t="s">
        <v>333</v>
      </c>
      <c r="B313" t="s">
        <v>342</v>
      </c>
      <c r="C313" s="70" t="s">
        <v>532</v>
      </c>
      <c r="D313" s="67">
        <v>43368</v>
      </c>
      <c r="E313" s="42" t="str">
        <f>A313&amp;D313</f>
        <v>61C43368</v>
      </c>
      <c r="F313" s="3">
        <f>VLOOKUP($E313,Water!$C$2:$E$90, 2, FALSE)</f>
        <v>6.8</v>
      </c>
      <c r="G313" s="3">
        <f>VLOOKUP($E313,Water!$C$2:$E$90, 3, FALSE)</f>
        <v>0.28000000000000003</v>
      </c>
      <c r="H313" s="1">
        <f>F313+273.15</f>
        <v>279.95</v>
      </c>
      <c r="I313" s="3">
        <f>VLOOKUP($E313,Water!$C$2:$F$90, 4, FALSE)</f>
        <v>8.39</v>
      </c>
      <c r="J313">
        <f>10^(I313*-1)</f>
        <v>4.0738027780411214E-9</v>
      </c>
      <c r="K313" s="25">
        <f>VLOOKUP($E313,Atm!$D$2:$G$100, 2, FALSE)</f>
        <v>428.97619210900632</v>
      </c>
      <c r="L313" s="25">
        <f>VLOOKUP($E313,Atm!$D$2:$G$100, 3, FALSE)</f>
        <v>2.013473718829526</v>
      </c>
      <c r="M313" s="25">
        <f>VLOOKUP($E313,Atm!$D$2:$G$100, 4, FALSE)</f>
        <v>0.30596050202684061</v>
      </c>
      <c r="N313" s="21">
        <f>VLOOKUP($C313,Raw!$B$2:$F$353, 3, FALSE)</f>
        <v>613.73474217775026</v>
      </c>
      <c r="O313" s="21">
        <f>VLOOKUP($C313,Raw!$B$2:$F$353, 4, FALSE)</f>
        <v>52.950492549520682</v>
      </c>
      <c r="P313" s="21">
        <f>VLOOKUP($C313,Raw!$B$2:$F$353, 5, FALSE)</f>
        <v>0.30088314925605958</v>
      </c>
      <c r="Q313" s="14">
        <v>60</v>
      </c>
      <c r="R313" s="25">
        <v>1140</v>
      </c>
      <c r="S313">
        <f>EXP(24.4543-(100/H313*(67.4509))-(4.8489*LN(H313/100))-(0.000544*G313))</f>
        <v>9.74094068551732E-3</v>
      </c>
      <c r="T313" s="8">
        <f>EXP(-58.0931+90.5069*(100/H313)+22.294*LN(H313/100)+G313*(0.027766-0.025888*(H313/100)+0.0050578*(H313/100)^2)*G313)</f>
        <v>5.9995993372072266E-2</v>
      </c>
      <c r="U313" s="9">
        <f>(EXP(-67.1962+99.1624*(100/H313)+27.9015*LN(H313/100)+G313*(-0.072909+0.041674*(H313/100)-0.0064603*(H313/100)^2)*G313))</f>
        <v>4.7248827758341425E-2</v>
      </c>
      <c r="V313" s="9">
        <f>(EXP(-64.8539+100.252*(100/H313)+25.2049*LN(H313/100)+(-0.062544+0.035337*(H313/100)-0.0054699*(H313/100)^2)*G313))</f>
        <v>4.5135660530522585E-2</v>
      </c>
      <c r="W313" s="9">
        <f>(EXP(-68.8862+101.4956*(100/H313)+28.7314*LN(H313/100)+G313*(-0.076146+0.04397*(H313/100)-0.0068672*(H313/100)^2)))</f>
        <v>4.7078204659856647E-2</v>
      </c>
      <c r="X313">
        <f>N313*(AZ313-S313)</f>
        <v>569.72098535680288</v>
      </c>
      <c r="Y313">
        <f>O313*(AZ313-S313)</f>
        <v>49.153167838271052</v>
      </c>
      <c r="Z313">
        <f>((Y313/10^6)*AZ313)/(0.082056*H313)</f>
        <v>2.0071310095640735E-6</v>
      </c>
      <c r="AA313">
        <f>(((L313/10^6)*AZ313)/(0.082056*H313))</f>
        <v>8.2218618163170396E-8</v>
      </c>
      <c r="AB313">
        <f>((Y313/10^6)*U313*1)/(0.082056*H313)</f>
        <v>1.0110013521262774E-7</v>
      </c>
      <c r="AC313">
        <f>(Z313*(Q313/1000))+(AB313*(R313/1000))</f>
        <v>2.3568201471624003E-7</v>
      </c>
      <c r="AD313" s="39">
        <f>((AC313-(AA313*(Q313/1000)))/(R313/1000))*1000000</f>
        <v>0.20241131370741214</v>
      </c>
      <c r="AE313" s="39">
        <f>(AD313/((U313*AZ313*1))*(0.0821*273.15))</f>
        <v>102.41724399380817</v>
      </c>
      <c r="AF313" s="39">
        <f>L313*U313*AZ313*1/(0.0821*273.15)</f>
        <v>3.9793089976944912E-3</v>
      </c>
      <c r="AG313" s="39">
        <f>AD313-AF313</f>
        <v>0.19843200470971764</v>
      </c>
      <c r="AH313" s="42">
        <f>P313*(AZ313-S313)</f>
        <v>0.27930542706962097</v>
      </c>
      <c r="AI313">
        <f>(((X313/10^6)*(Q313/1000))/(0.082056*H313))</f>
        <v>1.4880675725395194E-6</v>
      </c>
      <c r="AJ313">
        <f>(((K313/10^6)*AZ313)*(Q313/1000))/(0.082056*H313)</f>
        <v>1.0510143562421355E-6</v>
      </c>
      <c r="AK313">
        <f>(X313/10^6)*T313*(R313/1000)</f>
        <v>3.8966313165992839E-5</v>
      </c>
      <c r="AL313">
        <f>AI313+AK313</f>
        <v>4.0454380738532359E-5</v>
      </c>
      <c r="AM313" s="39">
        <f>((AL313-AJ313)/(R313/1000))*1000000</f>
        <v>34.564356475693188</v>
      </c>
      <c r="AN313" s="39">
        <f>AM313/(T313*AZ313)</f>
        <v>614.17368497704399</v>
      </c>
      <c r="AO313" s="39">
        <f>(K313*AZ313)*T313</f>
        <v>24.141845191878158</v>
      </c>
      <c r="AP313" s="39">
        <f>AM313-AO313</f>
        <v>10.42251128381503</v>
      </c>
      <c r="AQ313">
        <f>(((AH313/10^6)*(Q313/1000))/(0.082056*H313))</f>
        <v>7.2952438042335471E-10</v>
      </c>
      <c r="AR313">
        <f>(((M313/10^6)*AZ313)*(Q313/1000))/(0.082056*H313)</f>
        <v>7.4961941009431896E-10</v>
      </c>
      <c r="AS313">
        <f>(AH313/10^6)*V313*(R313/1000)</f>
        <v>1.4371563832223631E-8</v>
      </c>
      <c r="AT313">
        <f>AQ313+AS313</f>
        <v>1.5101088212646985E-8</v>
      </c>
      <c r="AU313" s="39">
        <f>((AT313-AR313)/(R313/1000))*1000000000</f>
        <v>12.589007721537428</v>
      </c>
      <c r="AV313" s="39">
        <f>(AU313/1000)/(V313*AZ313)</f>
        <v>0.29734228533373125</v>
      </c>
      <c r="AW313" s="39">
        <f>(M313*AZ313)*V313*1000</f>
        <v>12.953889549137779</v>
      </c>
      <c r="AX313" s="39">
        <f>AU313-AW313</f>
        <v>-0.36488182760035137</v>
      </c>
      <c r="AY313" s="26">
        <f>VLOOKUP($E313,Water!$C$2:$G$90, 5, FALSE)</f>
        <v>712.9</v>
      </c>
      <c r="AZ313">
        <f>AY313/760</f>
        <v>0.93802631578947371</v>
      </c>
      <c r="BA313" s="3">
        <f>Assumptions!$B$3</f>
        <v>406.07</v>
      </c>
      <c r="BB313" s="3">
        <f>BA313*AZ313*T313</f>
        <v>22.852734621167205</v>
      </c>
      <c r="BC313" s="3">
        <f>Assumptions!$B$4</f>
        <v>1.8474300000000001</v>
      </c>
      <c r="BD313" s="45">
        <f>BC313*AZ313*U313*1/(0.0821*273.15)</f>
        <v>3.6511501257062888E-3</v>
      </c>
      <c r="BE313" s="3">
        <f>Assumptions!$B$2</f>
        <v>0.33054499999999998</v>
      </c>
      <c r="BF313" s="44">
        <f>BE313*AZ313*V313*1000</f>
        <v>13.994758776556454</v>
      </c>
      <c r="BG313">
        <f>1923.6+(-125.06*F313)+(4.3773*(F313^2))+(-0.085681*(F313^3))+(0.00070284*(F313^4))</f>
        <v>1250.160272438784</v>
      </c>
      <c r="BH313">
        <f>1909.4+(-120.78*F313)+(4.1555*(F313^2))+(-0.080578*(F313^3))+(0.00065777*(F313^4))</f>
        <v>1256.316421073152</v>
      </c>
      <c r="BI313">
        <f>2141.2+(-152.56*F313)+(5.8963*(F313^2))+(-0.12411*(F313^3))+(0.0010655*(F313^4))</f>
        <v>1339.6909420927998</v>
      </c>
      <c r="BJ313" s="25">
        <f>VLOOKUP(E313,Wind!$C$2:$E$109,3, FALSE)</f>
        <v>6.1111111111111116</v>
      </c>
      <c r="BK313" s="44">
        <v>1.66</v>
      </c>
      <c r="BL313">
        <f>BK313/(1-(((1.3*10^-3)^0.5)/0.41)*LN(10/1.5))</f>
        <v>1.9923982880693825</v>
      </c>
      <c r="BM313">
        <f>BK313*1.22</f>
        <v>2.0251999999999999</v>
      </c>
      <c r="BN313">
        <f>2.07+0.215*(BM313^1.7)*(24/100)</f>
        <v>2.241255750541113</v>
      </c>
      <c r="BO313">
        <f>BN313*((600/BG313)^0.67)</f>
        <v>1.3705211430354678</v>
      </c>
      <c r="BP313">
        <f>BN313*((600/BH313)^0.67)</f>
        <v>1.3660179313365408</v>
      </c>
      <c r="BQ313">
        <f>BN313*((600/BI313)^0.67)</f>
        <v>1.3084576134231081</v>
      </c>
      <c r="BR313" s="39">
        <f>BO313*(AM313-BB313)</f>
        <v>16.051025370864117</v>
      </c>
      <c r="BS313" s="39">
        <f>BP313*(AD313-BD313)</f>
        <v>0.27150994748799429</v>
      </c>
      <c r="BT313" s="39">
        <f>BQ313*(AU313-BF313)</f>
        <v>-1.8393656705172112</v>
      </c>
      <c r="BU313">
        <f>(2.51+1.48*BM313)+(0.39*BM313*LOG10(0.0015))</f>
        <v>3.2768938069574309</v>
      </c>
      <c r="BV313">
        <f>BU313*((600/$BG313)^0.67)</f>
        <v>2.0038106962281552</v>
      </c>
      <c r="BW313">
        <f>BU313*((600/$BH313)^0.67)</f>
        <v>1.997226643281913</v>
      </c>
      <c r="BX313">
        <f>BU313*((600/$BI313)^0.67)</f>
        <v>1.9130688896424679</v>
      </c>
      <c r="BY313" s="39">
        <f>BV313*($AM313-$BB313)</f>
        <v>23.467873142278588</v>
      </c>
      <c r="BZ313" s="39">
        <f>BW313*($AD313-$BD313)</f>
        <v>0.39696909432845429</v>
      </c>
      <c r="CA313" s="39">
        <f>BX313*($AU313-$BF313)</f>
        <v>-2.6892986099389762</v>
      </c>
      <c r="CB313" s="42">
        <f>AVERAGE(0.72,0.69,0.4,0.22)</f>
        <v>0.50750000000000006</v>
      </c>
      <c r="CC313">
        <f>CB313*((600/$BG313)^0.67)</f>
        <v>0.31033472191764544</v>
      </c>
      <c r="CD313">
        <f>CB313*((600/$BH313)^0.67)</f>
        <v>0.30931503465676335</v>
      </c>
      <c r="CE313">
        <f>CB313*((600/$BI313)^0.67)</f>
        <v>0.29628133186134858</v>
      </c>
      <c r="CF313" s="39">
        <f>CC313*($AM313-$BB313)</f>
        <v>3.6345229114289399</v>
      </c>
      <c r="CG313" s="39">
        <f>CD313*($AD313-$BD313)</f>
        <v>6.1479506886659298E-2</v>
      </c>
      <c r="CH313" s="39">
        <f>CE313*($AU313-$BF313)</f>
        <v>-0.41649779484653299</v>
      </c>
      <c r="CI313">
        <v>136.86263901889501</v>
      </c>
      <c r="CJ313">
        <f>((BG313/BH313)^0.67)*CI313</f>
        <v>136.41294042044009</v>
      </c>
      <c r="CK313">
        <f>((BH313/BH313)^0.67)*CI313</f>
        <v>136.86263901889501</v>
      </c>
      <c r="CL313">
        <f>((BI313/BH313)^0.67)*CI313</f>
        <v>142.8833590877625</v>
      </c>
      <c r="CM313" s="39">
        <f>CJ313*($AM313-$BB313)</f>
        <v>1597.6167742681771</v>
      </c>
      <c r="CN313" s="39">
        <f>CK313*($AD313-$BD313)</f>
        <v>27.202840519619528</v>
      </c>
      <c r="CO313" s="39">
        <f>CL313*($AU313-$BF313)</f>
        <v>-200.8584327822845</v>
      </c>
      <c r="CP313" s="27">
        <f>VLOOKUP(A313,Water!$A$2:$E$109, 5, FALSE)/1000</f>
        <v>2.0999999999999998E-4</v>
      </c>
      <c r="CQ313">
        <f>0.64*CP313</f>
        <v>1.3439999999999999E-4</v>
      </c>
      <c r="CR313" s="19">
        <f>CQ313*1000*(2.5*10^-5)</f>
        <v>3.36E-6</v>
      </c>
      <c r="CS313" s="18">
        <f>(-0.0000009*F313^3)+(0.0002*F313^2)-(0.0134*F313)+6.579</f>
        <v>6.4968450111999996</v>
      </c>
      <c r="CT313" s="18">
        <f>CS313-(SQRT(CP313))/(1+1.4*SQRT(CP313))</f>
        <v>6.4826417884073084</v>
      </c>
      <c r="CU313" s="18">
        <f>10^(-CT313)</f>
        <v>3.2912298376108541E-7</v>
      </c>
      <c r="CV313" s="18">
        <f>(0.000001*F313^3)+(0.00006*F313^2)-(0.014*F313)+10.625</f>
        <v>10.532888831999999</v>
      </c>
      <c r="CW313" s="18">
        <f>CV313-(2*SQRT(CR313))/(1+1.4*SQRT(CR313))</f>
        <v>10.529232155362624</v>
      </c>
      <c r="CX313" s="18">
        <f>10^(-CW313)</f>
        <v>2.9564316614230269E-11</v>
      </c>
      <c r="CY313">
        <f>EXP(1246.98+-61900/H313-183*LN(H313))</f>
        <v>5.1707964327275544E-3</v>
      </c>
      <c r="CZ313">
        <f>12.225*(F313^2)+15.258*F313+1125.7</f>
        <v>1794.7384</v>
      </c>
      <c r="DA313" s="15">
        <f>10^(-4470.99/H313+6.0875-0.01706*H313)</f>
        <v>2.1921974360707932E-15</v>
      </c>
      <c r="DB313">
        <f>(10^-I313)</f>
        <v>4.0738027780411214E-9</v>
      </c>
      <c r="DC313">
        <f>DB313^2</f>
        <v>1.6595869074375557E-17</v>
      </c>
      <c r="DD313" s="20">
        <f>((14.6836*10^-9)*((H313/217.2056)-1)^1.997)*100*100</f>
        <v>1.2298675381434274E-5</v>
      </c>
      <c r="DE313">
        <f>CY313+CZ313*DA313/DB313</f>
        <v>6.1365822434951665E-3</v>
      </c>
      <c r="DF313">
        <f>1+DC313*(CU313*CX313+CU313*DB313)^-1</f>
        <v>1.0122885719584691</v>
      </c>
      <c r="DG313">
        <f>(DE313*DF313/DD313)^0.5</f>
        <v>22.474305352757572</v>
      </c>
      <c r="DH313">
        <f>DD313/(BO313/60/60)</f>
        <v>3.2305398277257799E-2</v>
      </c>
      <c r="DI313" s="16">
        <f>DF313/((DF313-1)+TANH(DG313*DH313)/(DG313*DH313))</f>
        <v>1.1674247510975844</v>
      </c>
      <c r="DJ313">
        <f>$DI313*BR313</f>
        <v>18.738364298442054</v>
      </c>
      <c r="DK313">
        <f>$DI313*BY313</f>
        <v>27.396975961914265</v>
      </c>
      <c r="DL313">
        <f>$DI313*CF313</f>
        <v>4.2430320052333981</v>
      </c>
      <c r="DM313">
        <f>$DI313*CM313</f>
        <v>1865.0973650493522</v>
      </c>
    </row>
    <row r="314" spans="1:117" ht="15.75" x14ac:dyDescent="0.25">
      <c r="A314" s="52" t="s">
        <v>334</v>
      </c>
      <c r="B314" t="s">
        <v>339</v>
      </c>
      <c r="C314" s="68" t="s">
        <v>533</v>
      </c>
      <c r="D314" s="65">
        <v>43368</v>
      </c>
      <c r="E314" s="42" t="str">
        <f>A314&amp;D314</f>
        <v>61B43368</v>
      </c>
      <c r="F314" s="3">
        <f>VLOOKUP($E314,Water!$C$2:$E$90, 2, FALSE)</f>
        <v>6.3</v>
      </c>
      <c r="G314" s="3">
        <f>VLOOKUP($E314,Water!$C$2:$E$90, 3, FALSE)</f>
        <v>2.82</v>
      </c>
      <c r="H314" s="1">
        <f>F314+273.15</f>
        <v>279.45</v>
      </c>
      <c r="I314" s="3">
        <f>VLOOKUP($E314,Water!$C$2:$F$90, 4, FALSE)</f>
        <v>8.2200000000000006</v>
      </c>
      <c r="J314">
        <f>10^(I314*-1)</f>
        <v>6.0255958607435582E-9</v>
      </c>
      <c r="K314" s="25">
        <f>VLOOKUP($E314,Atm!$D$2:$G$100, 2, FALSE)</f>
        <v>441.85422923176611</v>
      </c>
      <c r="L314" s="25">
        <f>VLOOKUP($E314,Atm!$D$2:$G$100, 3, FALSE)</f>
        <v>2.035652927534306</v>
      </c>
      <c r="M314" s="25">
        <f>VLOOKUP($E314,Atm!$D$2:$G$100, 4, FALSE)</f>
        <v>0.31028877015853901</v>
      </c>
      <c r="N314" s="21">
        <f>VLOOKUP($C314,Raw!$B$2:$F$353, 3, FALSE)</f>
        <v>789.75435191816518</v>
      </c>
      <c r="O314" s="21">
        <f>VLOOKUP($C314,Raw!$B$2:$F$353, 4, FALSE)</f>
        <v>27.936534137499748</v>
      </c>
      <c r="P314" s="21">
        <f>VLOOKUP($C314,Raw!$B$2:$F$353, 5, FALSE)</f>
        <v>0.46117301800862281</v>
      </c>
      <c r="Q314" s="14">
        <v>60</v>
      </c>
      <c r="R314" s="25">
        <v>1140</v>
      </c>
      <c r="S314">
        <f>EXP(24.4543-(100/H314*(67.4509))-(4.8489*LN(H314/100))-(0.000544*G314))</f>
        <v>9.398164968241517E-3</v>
      </c>
      <c r="T314" s="8">
        <f>EXP(-58.0931+90.5069*(100/H314)+22.294*LN(H314/100)+G314*(0.027766-0.025888*(H314/100)+0.0050578*(H314/100)^2)*G314)</f>
        <v>5.8689732566144348E-2</v>
      </c>
      <c r="U314" s="9">
        <f>(EXP(-67.1962+99.1624*(100/H314)+27.9015*LN(H314/100)+G314*(-0.072909+0.041674*(H314/100)-0.0064603*(H314/100)^2)*G314))</f>
        <v>4.5358016564383034E-2</v>
      </c>
      <c r="V314" s="9">
        <f>(EXP(-64.8539+100.252*(100/H314)+25.2049*LN(H314/100)+(-0.062544+0.035337*(H314/100)-0.0054699*(H314/100)^2)*G314))</f>
        <v>4.5247430810498215E-2</v>
      </c>
      <c r="W314" s="9">
        <f>(EXP(-68.8862+101.4956*(100/H314)+28.7314*LN(H314/100)+G314*(-0.076146+0.04397*(H314/100)-0.0068672*(H314/100)^2)))</f>
        <v>4.6889095636580697E-2</v>
      </c>
      <c r="X314">
        <f>N314*(AZ314-S314)</f>
        <v>733.38812342478639</v>
      </c>
      <c r="Y314">
        <f>O314*(AZ314-S314)</f>
        <v>25.942652036460618</v>
      </c>
      <c r="Z314">
        <f>((Y314/10^6)*AZ314)/(0.082056*H314)</f>
        <v>1.0612432392840133E-6</v>
      </c>
      <c r="AA314">
        <f>(((L314/10^6)*AZ314)/(0.082056*H314))</f>
        <v>8.3273017108594219E-8</v>
      </c>
      <c r="AB314">
        <f>((Y314/10^6)*U314*1)/(0.082056*H314)</f>
        <v>5.1316138594439152E-8</v>
      </c>
      <c r="AC314">
        <f>(Z314*(Q314/1000))+(AB314*(R314/1000))</f>
        <v>1.2217499235470142E-7</v>
      </c>
      <c r="AD314" s="39">
        <f>((AC314-(AA314*(Q314/1000)))/(R314/1000))*1000000</f>
        <v>0.10278825555104015</v>
      </c>
      <c r="AE314" s="39">
        <f>(AD314/((U314*AZ314*1))*(0.0821*273.15))</f>
        <v>54.177477425530249</v>
      </c>
      <c r="AF314" s="39">
        <f>L314*U314*AZ314*1/(0.0821*273.15)</f>
        <v>3.8621438884125264E-3</v>
      </c>
      <c r="AG314" s="39">
        <f>AD314-AF314</f>
        <v>9.892611166262763E-2</v>
      </c>
      <c r="AH314" s="42">
        <f>P314*(AZ314-S314)</f>
        <v>0.42825824692199421</v>
      </c>
      <c r="AI314">
        <f>(((X314/10^6)*(Q314/1000))/(0.082056*H314))</f>
        <v>1.9189809638526749E-6</v>
      </c>
      <c r="AJ314">
        <f>(((K314/10^6)*AZ314)*(Q314/1000))/(0.082056*H314)</f>
        <v>1.0845031869422588E-6</v>
      </c>
      <c r="AK314">
        <f>(X314/10^6)*T314*(R314/1000)</f>
        <v>4.9068282227325378E-5</v>
      </c>
      <c r="AL314">
        <f>AI314+AK314</f>
        <v>5.0987263191178051E-5</v>
      </c>
      <c r="AM314" s="39">
        <f>((AL314-AJ314)/(R314/1000))*1000000</f>
        <v>43.774350880908592</v>
      </c>
      <c r="AN314" s="39">
        <f>AM314/(T314*AZ314)</f>
        <v>795.13809647418623</v>
      </c>
      <c r="AO314" s="39">
        <f>(K314*AZ314)*T314</f>
        <v>24.325185970048253</v>
      </c>
      <c r="AP314" s="39">
        <f>AM314-AO314</f>
        <v>19.44916491086034</v>
      </c>
      <c r="AQ314">
        <f>(((AH314/10^6)*(Q314/1000))/(0.082056*H314))</f>
        <v>1.1205791274863862E-9</v>
      </c>
      <c r="AR314">
        <f>(((M314/10^6)*AZ314)*(Q314/1000))/(0.082056*H314)</f>
        <v>7.6158411043027565E-10</v>
      </c>
      <c r="AS314">
        <f>(AH314/10^6)*V314*(R314/1000)</f>
        <v>2.209044735215614E-8</v>
      </c>
      <c r="AT314">
        <f>AQ314+AS314</f>
        <v>2.3211026479642525E-8</v>
      </c>
      <c r="AU314" s="39">
        <f>((AT314-AR314)/(R314/1000))*1000000000</f>
        <v>19.692493306326533</v>
      </c>
      <c r="AV314" s="39">
        <f>(AU314/1000)/(V314*AZ314)</f>
        <v>0.46397198625766362</v>
      </c>
      <c r="AW314" s="39">
        <f>(M314*AZ314)*V314*1000</f>
        <v>13.169673407786252</v>
      </c>
      <c r="AX314" s="39">
        <f>AU314-AW314</f>
        <v>6.5228198985402805</v>
      </c>
      <c r="AY314" s="26">
        <f>VLOOKUP($E314,Water!$C$2:$G$90, 5, FALSE)</f>
        <v>712.9</v>
      </c>
      <c r="AZ314">
        <f>AY314/760</f>
        <v>0.93802631578947371</v>
      </c>
      <c r="BA314" s="3">
        <f>Assumptions!$B$3</f>
        <v>406.07</v>
      </c>
      <c r="BB314" s="3">
        <f>BA314*AZ314*T314</f>
        <v>22.355174203111048</v>
      </c>
      <c r="BC314" s="3">
        <f>Assumptions!$B$4</f>
        <v>1.8474300000000001</v>
      </c>
      <c r="BD314" s="45">
        <f>BC314*AZ314*U314*1/(0.0821*273.15)</f>
        <v>3.505037812321133E-3</v>
      </c>
      <c r="BE314" s="3">
        <f>Assumptions!$B$2</f>
        <v>0.33054499999999998</v>
      </c>
      <c r="BF314" s="44">
        <f>BE314*AZ314*V314*1000</f>
        <v>14.0294142593446</v>
      </c>
      <c r="BG314">
        <f>1923.6+(-125.06*F314)+(4.3773*(F314^2))+(-0.085681*(F314^3))+(0.00070284*(F314^4))</f>
        <v>1289.1399411039238</v>
      </c>
      <c r="BH314">
        <f>1909.4+(-120.78*F314)+(4.1555*(F314^2))+(-0.080578*(F314^3))+(0.00065777*(F314^4))</f>
        <v>1294.305690349697</v>
      </c>
      <c r="BI314">
        <f>2141.2+(-152.56*F314)+(5.8963*(F314^2))+(-0.12411*(F314^3))+(0.0010655*(F314^4))</f>
        <v>1384.7412918245495</v>
      </c>
      <c r="BJ314" s="25">
        <f>VLOOKUP(E314,Wind!$C$2:$E$109,3, FALSE)</f>
        <v>5</v>
      </c>
      <c r="BK314" s="44">
        <v>1.66</v>
      </c>
      <c r="BL314">
        <f>BK314/(1-(((1.3*10^-3)^0.5)/0.41)*LN(10/1.5))</f>
        <v>1.9923982880693825</v>
      </c>
      <c r="BM314">
        <f>BK314*1.22</f>
        <v>2.0251999999999999</v>
      </c>
      <c r="BN314">
        <f>2.07+0.215*(BM314^1.7)*(24/100)</f>
        <v>2.241255750541113</v>
      </c>
      <c r="BO314">
        <f>BN314*((600/BG314)^0.67)</f>
        <v>1.3426156698224783</v>
      </c>
      <c r="BP314">
        <f>BN314*((600/BH314)^0.67)</f>
        <v>1.3390230655122506</v>
      </c>
      <c r="BQ314">
        <f>BN314*((600/BI314)^0.67)</f>
        <v>1.2797813117810228</v>
      </c>
      <c r="BR314" s="39">
        <f>BO314*(AM314-BB314)</f>
        <v>28.757722242307153</v>
      </c>
      <c r="BS314" s="39">
        <f>BP314*(AD314-BD314)</f>
        <v>0.1329425185704198</v>
      </c>
      <c r="BT314" s="39">
        <f>BQ314*(AU314-BF314)</f>
        <v>7.2475027314661622</v>
      </c>
      <c r="BU314">
        <f>(2.51+1.48*BM314)+(0.39*BM314*LOG10(0.0015))</f>
        <v>3.2768938069574309</v>
      </c>
      <c r="BV314">
        <f>BU314*((600/$BG314)^0.67)</f>
        <v>1.9630106793939384</v>
      </c>
      <c r="BW314">
        <f>BU314*((600/$BH314)^0.67)</f>
        <v>1.9577580067294327</v>
      </c>
      <c r="BX314">
        <f>BU314*((600/$BI314)^0.67)</f>
        <v>1.87114186046041</v>
      </c>
      <c r="BY314" s="39">
        <f>BV314*($AM314-$BB314)</f>
        <v>42.046072562342161</v>
      </c>
      <c r="BZ314" s="39">
        <f>BW314*($AD314-$BD314)</f>
        <v>0.19437251446183881</v>
      </c>
      <c r="CA314" s="39">
        <f>BX314*($AU314-$BF314)</f>
        <v>10.596424263904138</v>
      </c>
      <c r="CB314" s="42">
        <f>AVERAGE(0.72,0.69,0.4,0.22)</f>
        <v>0.50750000000000006</v>
      </c>
      <c r="CC314">
        <f>CB314*((600/$BG314)^0.67)</f>
        <v>0.30401593047576153</v>
      </c>
      <c r="CD314">
        <f>CB314*((600/$BH314)^0.67)</f>
        <v>0.30320243710848283</v>
      </c>
      <c r="CE314">
        <f>CB314*((600/$BI314)^0.67)</f>
        <v>0.28978799745279454</v>
      </c>
      <c r="CF314" s="39">
        <f>CC314*($AM314-$BB314)</f>
        <v>6.511770927725351</v>
      </c>
      <c r="CG314" s="39">
        <f>CD314*($AD314-$BD314)</f>
        <v>3.0102913582351763E-2</v>
      </c>
      <c r="CH314" s="39">
        <f>CE314*($AU314-$BF314)</f>
        <v>1.6410923364417744</v>
      </c>
      <c r="CI314">
        <v>137.86263901889501</v>
      </c>
      <c r="CJ314">
        <f>((BG314/BH314)^0.67)*CI314</f>
        <v>137.49374274999914</v>
      </c>
      <c r="CK314">
        <f>((BH314/BH314)^0.67)*CI314</f>
        <v>137.86263901889501</v>
      </c>
      <c r="CL314">
        <f>((BI314/BH314)^0.67)*CI314</f>
        <v>144.24437348736336</v>
      </c>
      <c r="CM314" s="39">
        <f>CJ314*($AM314-$BB314)</f>
        <v>2945.0027680538769</v>
      </c>
      <c r="CN314" s="39">
        <f>CK314*($AD314-$BD314)</f>
        <v>13.687446407747375</v>
      </c>
      <c r="CO314" s="39">
        <f>CL314*($AU314-$BF314)</f>
        <v>816.86728914132368</v>
      </c>
      <c r="CP314" s="27">
        <f>VLOOKUP(A314,Water!$A$2:$E$109, 5, FALSE)/1000</f>
        <v>1.1000000000000001E-3</v>
      </c>
      <c r="CQ314">
        <f>0.64*CP314</f>
        <v>7.0400000000000009E-4</v>
      </c>
      <c r="CR314" s="19">
        <f>CQ314*1000*(2.5*10^-5)</f>
        <v>1.7600000000000004E-5</v>
      </c>
      <c r="CS314" s="18">
        <f>(-0.0000009*F314^3)+(0.0002*F314^2)-(0.0134*F314)+6.579</f>
        <v>6.5022929576999999</v>
      </c>
      <c r="CT314" s="18">
        <f>CS314-(SQRT(CP314))/(1+1.4*SQRT(CP314))</f>
        <v>6.4705983762789021</v>
      </c>
      <c r="CU314" s="18">
        <f>10^(-CT314)</f>
        <v>3.3837761397073243E-7</v>
      </c>
      <c r="CV314" s="18">
        <f>(0.000001*F314^3)+(0.00006*F314^2)-(0.014*F314)+10.625</f>
        <v>10.539431447</v>
      </c>
      <c r="CW314" s="18">
        <f>CV314-(2*SQRT(CR314))/(1+1.4*SQRT(CR314))</f>
        <v>10.531089968466995</v>
      </c>
      <c r="CX314" s="18">
        <f>10^(-CW314)</f>
        <v>2.9438117304390894E-11</v>
      </c>
      <c r="CY314">
        <f>EXP(1246.98+-61900/H314-183*LN(H314))</f>
        <v>4.8285441679797939E-3</v>
      </c>
      <c r="CZ314">
        <f>12.225*(F314^2)+15.258*F314+1125.7</f>
        <v>1707.03565</v>
      </c>
      <c r="DA314" s="15">
        <f>10^(-4470.99/H314+6.0875-0.01706*H314)</f>
        <v>2.0933144729165675E-15</v>
      </c>
      <c r="DB314">
        <f>(10^-I314)</f>
        <v>6.0255958607435582E-9</v>
      </c>
      <c r="DC314">
        <f>DB314^2</f>
        <v>3.6307805477009903E-17</v>
      </c>
      <c r="DD314" s="20">
        <f>((14.6836*10^-9)*((H314/217.2056)-1)^1.997)*100*100</f>
        <v>1.2103734570902914E-5</v>
      </c>
      <c r="DE314">
        <f>CY314+CZ314*DA314/DB314</f>
        <v>5.4215747187357465E-3</v>
      </c>
      <c r="DF314">
        <f>1+DC314*(CU314*CX314+CU314*DB314)^-1</f>
        <v>1.0177207374746611</v>
      </c>
      <c r="DG314">
        <f>(DE314*DF314/DD314)^0.5</f>
        <v>21.350956714998073</v>
      </c>
      <c r="DH314">
        <f>DD314/(BO314/60/60)</f>
        <v>3.2454145616378667E-2</v>
      </c>
      <c r="DI314" s="16">
        <f>DF314/((DF314-1)+TANH(DG314*DH314)/(DG314*DH314))</f>
        <v>1.1520374692106814</v>
      </c>
      <c r="DJ314">
        <f>$DI314*BR314</f>
        <v>33.129973552291254</v>
      </c>
      <c r="DK314">
        <f>$DI314*BY314</f>
        <v>48.438651024969332</v>
      </c>
      <c r="DL314">
        <f>$DI314*CF314</f>
        <v>7.5018040996564039</v>
      </c>
      <c r="DM314">
        <f>$DI314*CM314</f>
        <v>3392.7535357272395</v>
      </c>
    </row>
    <row r="315" spans="1:117" ht="15.75" x14ac:dyDescent="0.25">
      <c r="A315" s="52" t="s">
        <v>334</v>
      </c>
      <c r="B315" t="s">
        <v>340</v>
      </c>
      <c r="C315" s="68" t="s">
        <v>534</v>
      </c>
      <c r="D315" s="65">
        <v>43368</v>
      </c>
      <c r="E315" s="42" t="str">
        <f>A315&amp;D315</f>
        <v>61B43368</v>
      </c>
      <c r="F315" s="3">
        <f>VLOOKUP($E315,Water!$C$2:$E$90, 2, FALSE)</f>
        <v>6.3</v>
      </c>
      <c r="G315" s="3">
        <f>VLOOKUP($E315,Water!$C$2:$E$90, 3, FALSE)</f>
        <v>2.82</v>
      </c>
      <c r="H315" s="1">
        <f>F315+273.15</f>
        <v>279.45</v>
      </c>
      <c r="I315" s="3">
        <f>VLOOKUP($E315,Water!$C$2:$F$90, 4, FALSE)</f>
        <v>8.2200000000000006</v>
      </c>
      <c r="J315">
        <f>10^(I315*-1)</f>
        <v>6.0255958607435582E-9</v>
      </c>
      <c r="K315" s="25">
        <f>VLOOKUP($E315,Atm!$D$2:$G$100, 2, FALSE)</f>
        <v>441.85422923176611</v>
      </c>
      <c r="L315" s="25">
        <f>VLOOKUP($E315,Atm!$D$2:$G$100, 3, FALSE)</f>
        <v>2.035652927534306</v>
      </c>
      <c r="M315" s="25">
        <f>VLOOKUP($E315,Atm!$D$2:$G$100, 4, FALSE)</f>
        <v>0.31028877015853901</v>
      </c>
      <c r="N315" s="21">
        <f>VLOOKUP($C315,Raw!$B$2:$F$353, 3, FALSE)</f>
        <v>781.59336777565045</v>
      </c>
      <c r="O315" s="21">
        <f>VLOOKUP($C315,Raw!$B$2:$F$353, 4, FALSE)</f>
        <v>28.194386511134802</v>
      </c>
      <c r="P315" s="21">
        <f>VLOOKUP($C315,Raw!$B$2:$F$353, 5, FALSE)</f>
        <v>0.45824361350341802</v>
      </c>
      <c r="Q315" s="14">
        <v>60</v>
      </c>
      <c r="R315" s="25">
        <v>1140</v>
      </c>
      <c r="S315">
        <f>EXP(24.4543-(100/H315*(67.4509))-(4.8489*LN(H315/100))-(0.000544*G315))</f>
        <v>9.398164968241517E-3</v>
      </c>
      <c r="T315" s="8">
        <f>EXP(-58.0931+90.5069*(100/H315)+22.294*LN(H315/100)+G315*(0.027766-0.025888*(H315/100)+0.0050578*(H315/100)^2)*G315)</f>
        <v>5.8689732566144348E-2</v>
      </c>
      <c r="U315" s="9">
        <f>(EXP(-67.1962+99.1624*(100/H315)+27.9015*LN(H315/100)+G315*(-0.072909+0.041674*(H315/100)-0.0064603*(H315/100)^2)*G315))</f>
        <v>4.5358016564383034E-2</v>
      </c>
      <c r="V315" s="9">
        <f>(EXP(-64.8539+100.252*(100/H315)+25.2049*LN(H315/100)+(-0.062544+0.035337*(H315/100)-0.0054699*(H315/100)^2)*G315))</f>
        <v>4.5247430810498215E-2</v>
      </c>
      <c r="W315" s="9">
        <f>(EXP(-68.8862+101.4956*(100/H315)+28.7314*LN(H315/100)+G315*(-0.076146+0.04397*(H315/100)-0.0068672*(H315/100)^2)))</f>
        <v>4.6889095636580697E-2</v>
      </c>
      <c r="X315">
        <f>N315*(AZ315-S315)</f>
        <v>725.80960381164152</v>
      </c>
      <c r="Y315">
        <f>O315*(AZ315-S315)</f>
        <v>26.182101009374204</v>
      </c>
      <c r="Z315">
        <f>((Y315/10^6)*AZ315)/(0.082056*H315)</f>
        <v>1.0710384446200331E-6</v>
      </c>
      <c r="AA315">
        <f>(((L315/10^6)*AZ315)/(0.082056*H315))</f>
        <v>8.3273017108594219E-8</v>
      </c>
      <c r="AB315">
        <f>((Y315/10^6)*U315*1)/(0.082056*H315)</f>
        <v>5.1789783180314961E-8</v>
      </c>
      <c r="AC315">
        <f>(Z315*(Q315/1000))+(AB315*(R315/1000))</f>
        <v>1.2330265950276105E-7</v>
      </c>
      <c r="AD315" s="39">
        <f>((AC315-(AA315*(Q315/1000)))/(R315/1000))*1000000</f>
        <v>0.10377743725986439</v>
      </c>
      <c r="AE315" s="39">
        <f>(AD315/((U315*AZ315*1))*(0.0821*273.15))</f>
        <v>54.698853816366672</v>
      </c>
      <c r="AF315" s="39">
        <f>L315*U315*AZ315*1/(0.0821*273.15)</f>
        <v>3.8621438884125264E-3</v>
      </c>
      <c r="AG315" s="39">
        <f>AD315-AF315</f>
        <v>9.9915293371451872E-2</v>
      </c>
      <c r="AH315" s="42">
        <f>P315*(AZ315-S315)</f>
        <v>0.42553791943331848</v>
      </c>
      <c r="AI315">
        <f>(((X315/10^6)*(Q315/1000))/(0.082056*H315))</f>
        <v>1.8991510342324678E-6</v>
      </c>
      <c r="AJ315">
        <f>(((K315/10^6)*AZ315)*(Q315/1000))/(0.082056*H315)</f>
        <v>1.0845031869422588E-6</v>
      </c>
      <c r="AK315">
        <f>(X315/10^6)*T315*(R315/1000)</f>
        <v>4.8561231557474643E-5</v>
      </c>
      <c r="AL315">
        <f>AI315+AK315</f>
        <v>5.046038259170711E-5</v>
      </c>
      <c r="AM315" s="39">
        <f>((AL315-AJ315)/(R315/1000))*1000000</f>
        <v>43.3121749164604</v>
      </c>
      <c r="AN315" s="39">
        <f>AM315/(T315*AZ315)</f>
        <v>786.74291278300484</v>
      </c>
      <c r="AO315" s="39">
        <f>(K315*AZ315)*T315</f>
        <v>24.325185970048253</v>
      </c>
      <c r="AP315" s="39">
        <f>AM315-AO315</f>
        <v>18.986988946412147</v>
      </c>
      <c r="AQ315">
        <f>(((AH315/10^6)*(Q315/1000))/(0.082056*H315))</f>
        <v>1.1134611274813735E-9</v>
      </c>
      <c r="AR315">
        <f>(((M315/10^6)*AZ315)*(Q315/1000))/(0.082056*H315)</f>
        <v>7.6158411043027565E-10</v>
      </c>
      <c r="AS315">
        <f>(AH315/10^6)*V315*(R315/1000)</f>
        <v>2.1950127226154785E-8</v>
      </c>
      <c r="AT315">
        <f>AQ315+AS315</f>
        <v>2.3063588353636158E-8</v>
      </c>
      <c r="AU315" s="39">
        <f>((AT315-AR315)/(R315/1000))*1000000000</f>
        <v>19.563161616847268</v>
      </c>
      <c r="AV315" s="39">
        <f>(AU315/1000)/(V315*AZ315)</f>
        <v>0.46092482102976046</v>
      </c>
      <c r="AW315" s="39">
        <f>(M315*AZ315)*V315*1000</f>
        <v>13.169673407786252</v>
      </c>
      <c r="AX315" s="39">
        <f>AU315-AW315</f>
        <v>6.3934882090610152</v>
      </c>
      <c r="AY315" s="26">
        <f>VLOOKUP($E315,Water!$C$2:$G$90, 5, FALSE)</f>
        <v>712.9</v>
      </c>
      <c r="AZ315">
        <f>AY315/760</f>
        <v>0.93802631578947371</v>
      </c>
      <c r="BA315" s="3">
        <f>Assumptions!$B$3</f>
        <v>406.07</v>
      </c>
      <c r="BB315" s="3">
        <f>BA315*AZ315*T315</f>
        <v>22.355174203111048</v>
      </c>
      <c r="BC315" s="3">
        <f>Assumptions!$B$4</f>
        <v>1.8474300000000001</v>
      </c>
      <c r="BD315" s="45">
        <f>BC315*AZ315*U315*1/(0.0821*273.15)</f>
        <v>3.505037812321133E-3</v>
      </c>
      <c r="BE315" s="3">
        <f>Assumptions!$B$2</f>
        <v>0.33054499999999998</v>
      </c>
      <c r="BF315" s="44">
        <f>BE315*AZ315*V315*1000</f>
        <v>14.0294142593446</v>
      </c>
      <c r="BG315">
        <f>1923.6+(-125.06*F315)+(4.3773*(F315^2))+(-0.085681*(F315^3))+(0.00070284*(F315^4))</f>
        <v>1289.1399411039238</v>
      </c>
      <c r="BH315">
        <f>1909.4+(-120.78*F315)+(4.1555*(F315^2))+(-0.080578*(F315^3))+(0.00065777*(F315^4))</f>
        <v>1294.305690349697</v>
      </c>
      <c r="BI315">
        <f>2141.2+(-152.56*F315)+(5.8963*(F315^2))+(-0.12411*(F315^3))+(0.0010655*(F315^4))</f>
        <v>1384.7412918245495</v>
      </c>
      <c r="BJ315" s="25">
        <f>VLOOKUP(E315,Wind!$C$2:$E$109,3, FALSE)</f>
        <v>5</v>
      </c>
      <c r="BK315" s="44">
        <v>1.66</v>
      </c>
      <c r="BL315">
        <f>BK315/(1-(((1.3*10^-3)^0.5)/0.41)*LN(10/1.5))</f>
        <v>1.9923982880693825</v>
      </c>
      <c r="BM315">
        <f>BK315*1.22</f>
        <v>2.0251999999999999</v>
      </c>
      <c r="BN315">
        <f>2.07+0.215*(BM315^1.7)*(24/100)</f>
        <v>2.241255750541113</v>
      </c>
      <c r="BO315">
        <f>BN315*((600/BG315)^0.67)</f>
        <v>1.3426156698224783</v>
      </c>
      <c r="BP315">
        <f>BN315*((600/BH315)^0.67)</f>
        <v>1.3390230655122506</v>
      </c>
      <c r="BQ315">
        <f>BN315*((600/BI315)^0.67)</f>
        <v>1.2797813117810228</v>
      </c>
      <c r="BR315" s="39">
        <f>BO315*(AM315-BB315)</f>
        <v>28.137197550223696</v>
      </c>
      <c r="BS315" s="39">
        <f>BP315*(AD315-BD315)</f>
        <v>0.13426705569451827</v>
      </c>
      <c r="BT315" s="39">
        <f>BQ315*(AU315-BF315)</f>
        <v>7.0819864522495326</v>
      </c>
      <c r="BU315">
        <f>(2.51+1.48*BM315)+(0.39*BM315*LOG10(0.0015))</f>
        <v>3.2768938069574309</v>
      </c>
      <c r="BV315">
        <f>BU315*((600/$BG315)^0.67)</f>
        <v>1.9630106793939384</v>
      </c>
      <c r="BW315">
        <f>BU315*((600/$BH315)^0.67)</f>
        <v>1.9577580067294327</v>
      </c>
      <c r="BX315">
        <f>BU315*((600/$BI315)^0.67)</f>
        <v>1.87114186046041</v>
      </c>
      <c r="BY315" s="39">
        <f>BV315*($AM315-$BB315)</f>
        <v>41.138816208371161</v>
      </c>
      <c r="BZ315" s="39">
        <f>BW315*($AD315-$BD315)</f>
        <v>0.19630909287239975</v>
      </c>
      <c r="CA315" s="39">
        <f>BX315*($AU315-$BF315)</f>
        <v>10.354426325835419</v>
      </c>
      <c r="CB315" s="42">
        <f>AVERAGE(0.72,0.69,0.4,0.22)</f>
        <v>0.50750000000000006</v>
      </c>
      <c r="CC315">
        <f>CB315*((600/$BG315)^0.67)</f>
        <v>0.30401593047576153</v>
      </c>
      <c r="CD315">
        <f>CB315*((600/$BH315)^0.67)</f>
        <v>0.30320243710848283</v>
      </c>
      <c r="CE315">
        <f>CB315*((600/$BI315)^0.67)</f>
        <v>0.28978799745279454</v>
      </c>
      <c r="CF315" s="39">
        <f>CC315*($AM315-$BB315)</f>
        <v>6.3712620718501016</v>
      </c>
      <c r="CG315" s="39">
        <f>CD315*($AD315-$BD315)</f>
        <v>3.0402835887210405E-2</v>
      </c>
      <c r="CH315" s="39">
        <f>CE315*($AU315-$BF315)</f>
        <v>1.6036135651403916</v>
      </c>
      <c r="CI315">
        <v>138.86263901889501</v>
      </c>
      <c r="CJ315">
        <f>((BG315/BH315)^0.67)*CI315</f>
        <v>138.49106692519612</v>
      </c>
      <c r="CK315">
        <f>((BH315/BH315)^0.67)*CI315</f>
        <v>138.86263901889501</v>
      </c>
      <c r="CL315">
        <f>((BI315/BH315)^0.67)*CI315</f>
        <v>145.29066401621066</v>
      </c>
      <c r="CM315" s="39">
        <f>CJ315*($AM315-$BB315)</f>
        <v>2902.357388343848</v>
      </c>
      <c r="CN315" s="39">
        <f>CK315*($AD315-$BD315)</f>
        <v>13.924090008042647</v>
      </c>
      <c r="CO315" s="39">
        <f>CL315*($AU315-$BF315)</f>
        <v>804.00182806951364</v>
      </c>
      <c r="CP315" s="27">
        <f>VLOOKUP(A315,Water!$A$2:$E$109, 5, FALSE)/1000</f>
        <v>1.1000000000000001E-3</v>
      </c>
      <c r="CQ315">
        <f>0.64*CP315</f>
        <v>7.0400000000000009E-4</v>
      </c>
      <c r="CR315" s="19">
        <f>CQ315*1000*(2.5*10^-5)</f>
        <v>1.7600000000000004E-5</v>
      </c>
      <c r="CS315" s="18">
        <f>(-0.0000009*F315^3)+(0.0002*F315^2)-(0.0134*F315)+6.579</f>
        <v>6.5022929576999999</v>
      </c>
      <c r="CT315" s="18">
        <f>CS315-(SQRT(CP315))/(1+1.4*SQRT(CP315))</f>
        <v>6.4705983762789021</v>
      </c>
      <c r="CU315" s="18">
        <f>10^(-CT315)</f>
        <v>3.3837761397073243E-7</v>
      </c>
      <c r="CV315" s="18">
        <f>(0.000001*F315^3)+(0.00006*F315^2)-(0.014*F315)+10.625</f>
        <v>10.539431447</v>
      </c>
      <c r="CW315" s="18">
        <f>CV315-(2*SQRT(CR315))/(1+1.4*SQRT(CR315))</f>
        <v>10.531089968466995</v>
      </c>
      <c r="CX315" s="18">
        <f>10^(-CW315)</f>
        <v>2.9438117304390894E-11</v>
      </c>
      <c r="CY315">
        <f>EXP(1246.98+-61900/H315-183*LN(H315))</f>
        <v>4.8285441679797939E-3</v>
      </c>
      <c r="CZ315">
        <f>12.225*(F315^2)+15.258*F315+1125.7</f>
        <v>1707.03565</v>
      </c>
      <c r="DA315" s="15">
        <f>10^(-4470.99/H315+6.0875-0.01706*H315)</f>
        <v>2.0933144729165675E-15</v>
      </c>
      <c r="DB315">
        <f>(10^-I315)</f>
        <v>6.0255958607435582E-9</v>
      </c>
      <c r="DC315">
        <f>DB315^2</f>
        <v>3.6307805477009903E-17</v>
      </c>
      <c r="DD315" s="20">
        <f>((14.6836*10^-9)*((H315/217.2056)-1)^1.997)*100*100</f>
        <v>1.2103734570902914E-5</v>
      </c>
      <c r="DE315">
        <f>CY315+CZ315*DA315/DB315</f>
        <v>5.4215747187357465E-3</v>
      </c>
      <c r="DF315">
        <f>1+DC315*(CU315*CX315+CU315*DB315)^-1</f>
        <v>1.0177207374746611</v>
      </c>
      <c r="DG315">
        <f>(DE315*DF315/DD315)^0.5</f>
        <v>21.350956714998073</v>
      </c>
      <c r="DH315">
        <f>DD315/(BO315/60/60)</f>
        <v>3.2454145616378667E-2</v>
      </c>
      <c r="DI315" s="16">
        <f>DF315/((DF315-1)+TANH(DG315*DH315)/(DG315*DH315))</f>
        <v>1.1520374692106814</v>
      </c>
      <c r="DJ315">
        <f>$DI315*BR315</f>
        <v>32.41510585644069</v>
      </c>
      <c r="DK315">
        <f>$DI315*BY315</f>
        <v>47.393457711015273</v>
      </c>
      <c r="DL315">
        <f>$DI315*CF315</f>
        <v>7.3399326329321939</v>
      </c>
      <c r="DM315">
        <f>$DI315*CM315</f>
        <v>3343.6244604125695</v>
      </c>
    </row>
    <row r="316" spans="1:117" ht="15.75" x14ac:dyDescent="0.25">
      <c r="A316" s="52" t="s">
        <v>334</v>
      </c>
      <c r="B316" t="s">
        <v>341</v>
      </c>
      <c r="C316" s="68" t="s">
        <v>535</v>
      </c>
      <c r="D316" s="65">
        <v>43368</v>
      </c>
      <c r="E316" s="42" t="str">
        <f>A316&amp;D316</f>
        <v>61B43368</v>
      </c>
      <c r="F316" s="3">
        <f>VLOOKUP($E316,Water!$C$2:$E$90, 2, FALSE)</f>
        <v>6.3</v>
      </c>
      <c r="G316" s="3">
        <f>VLOOKUP($E316,Water!$C$2:$E$90, 3, FALSE)</f>
        <v>2.82</v>
      </c>
      <c r="H316" s="1">
        <f>F316+273.15</f>
        <v>279.45</v>
      </c>
      <c r="I316" s="3">
        <f>VLOOKUP($E316,Water!$C$2:$F$90, 4, FALSE)</f>
        <v>8.2200000000000006</v>
      </c>
      <c r="J316">
        <f>10^(I316*-1)</f>
        <v>6.0255958607435582E-9</v>
      </c>
      <c r="K316" s="25">
        <f>VLOOKUP($E316,Atm!$D$2:$G$100, 2, FALSE)</f>
        <v>441.85422923176611</v>
      </c>
      <c r="L316" s="25">
        <f>VLOOKUP($E316,Atm!$D$2:$G$100, 3, FALSE)</f>
        <v>2.035652927534306</v>
      </c>
      <c r="M316" s="25">
        <f>VLOOKUP($E316,Atm!$D$2:$G$100, 4, FALSE)</f>
        <v>0.31028877015853901</v>
      </c>
      <c r="N316" s="21">
        <f>VLOOKUP($C316,Raw!$B$2:$F$353, 3, FALSE)</f>
        <v>630.10021612162018</v>
      </c>
      <c r="O316" s="21">
        <f>VLOOKUP($C316,Raw!$B$2:$F$353, 4, FALSE)</f>
        <v>17.510308673838761</v>
      </c>
      <c r="P316" s="21">
        <f>VLOOKUP($C316,Raw!$B$2:$F$353, 5, FALSE)</f>
        <v>0.3726101109849857</v>
      </c>
      <c r="Q316" s="14">
        <v>60</v>
      </c>
      <c r="R316" s="25">
        <v>1140</v>
      </c>
      <c r="S316">
        <f>EXP(24.4543-(100/H316*(67.4509))-(4.8489*LN(H316/100))-(0.000544*G316))</f>
        <v>9.398164968241517E-3</v>
      </c>
      <c r="T316" s="8">
        <f>EXP(-58.0931+90.5069*(100/H316)+22.294*LN(H316/100)+G316*(0.027766-0.025888*(H316/100)+0.0050578*(H316/100)^2)*G316)</f>
        <v>5.8689732566144348E-2</v>
      </c>
      <c r="U316" s="9">
        <f>(EXP(-67.1962+99.1624*(100/H316)+27.9015*LN(H316/100)+G316*(-0.072909+0.041674*(H316/100)-0.0064603*(H316/100)^2)*G316))</f>
        <v>4.5358016564383034E-2</v>
      </c>
      <c r="V316" s="9">
        <f>(EXP(-64.8539+100.252*(100/H316)+25.2049*LN(H316/100)+(-0.062544+0.035337*(H316/100)-0.0054699*(H316/100)^2)*G316))</f>
        <v>4.5247430810498215E-2</v>
      </c>
      <c r="W316" s="9">
        <f>(EXP(-68.8862+101.4956*(100/H316)+28.7314*LN(H316/100)+G316*(-0.076146+0.04397*(H316/100)-0.0068672*(H316/100)^2)))</f>
        <v>4.6889095636580697E-2</v>
      </c>
      <c r="X316">
        <f>N316*(AZ316-S316)</f>
        <v>585.12879852907895</v>
      </c>
      <c r="Y316">
        <f>O316*(AZ316-S316)</f>
        <v>16.26056556409587</v>
      </c>
      <c r="Z316">
        <f>((Y316/10^6)*AZ316)/(0.082056*H316)</f>
        <v>6.6517545112883879E-7</v>
      </c>
      <c r="AA316">
        <f>(((L316/10^6)*AZ316)/(0.082056*H316))</f>
        <v>8.3273017108594219E-8</v>
      </c>
      <c r="AB316">
        <f>((Y316/10^6)*U316*1)/(0.082056*H316)</f>
        <v>3.2164384540885607E-8</v>
      </c>
      <c r="AC316">
        <f>(Z316*(Q316/1000))+(AB316*(R316/1000))</f>
        <v>7.657792544433991E-8</v>
      </c>
      <c r="AD316" s="39">
        <f>((AC316-(AA316*(Q316/1000)))/(R316/1000))*1000000</f>
        <v>6.2790828436687943E-2</v>
      </c>
      <c r="AE316" s="39">
        <f>(AD316/((U316*AZ316*1))*(0.0821*273.15))</f>
        <v>33.09569436626731</v>
      </c>
      <c r="AF316" s="39">
        <f>L316*U316*AZ316*1/(0.0821*273.15)</f>
        <v>3.8621438884125264E-3</v>
      </c>
      <c r="AG316" s="39">
        <f>AD316-AF316</f>
        <v>5.8928684548275413E-2</v>
      </c>
      <c r="AH316" s="42">
        <f>P316*(AZ316-S316)</f>
        <v>0.34601623834128137</v>
      </c>
      <c r="AI316">
        <f>(((X316/10^6)*(Q316/1000))/(0.082056*H316))</f>
        <v>1.5310460994865633E-6</v>
      </c>
      <c r="AJ316">
        <f>(((K316/10^6)*AZ316)*(Q316/1000))/(0.082056*H316)</f>
        <v>1.0845031869422588E-6</v>
      </c>
      <c r="AK316">
        <f>(X316/10^6)*T316*(R316/1000)</f>
        <v>3.9148800080759937E-5</v>
      </c>
      <c r="AL316">
        <f>AI316+AK316</f>
        <v>4.0679846180246499E-5</v>
      </c>
      <c r="AM316" s="39">
        <f>((AL316-AJ316)/(R316/1000))*1000000</f>
        <v>34.732757011670387</v>
      </c>
      <c r="AN316" s="39">
        <f>AM316/(T316*AZ316)</f>
        <v>630.90229186253566</v>
      </c>
      <c r="AO316" s="39">
        <f>(K316*AZ316)*T316</f>
        <v>24.325185970048253</v>
      </c>
      <c r="AP316" s="39">
        <f>AM316-AO316</f>
        <v>10.407571041622134</v>
      </c>
      <c r="AQ316">
        <f>(((AH316/10^6)*(Q316/1000))/(0.082056*H316))</f>
        <v>9.0538495695850486E-10</v>
      </c>
      <c r="AR316">
        <f>(((M316/10^6)*AZ316)*(Q316/1000))/(0.082056*H316)</f>
        <v>7.6158411043027565E-10</v>
      </c>
      <c r="AS316">
        <f>(AH316/10^6)*V316*(R316/1000)</f>
        <v>1.7848234216167825E-8</v>
      </c>
      <c r="AT316">
        <f>AQ316+AS316</f>
        <v>1.8753619173126329E-8</v>
      </c>
      <c r="AU316" s="39">
        <f>((AT316-AR316)/(R316/1000))*1000000000</f>
        <v>15.782486897101801</v>
      </c>
      <c r="AV316" s="39">
        <f>(AU316/1000)/(V316*AZ316)</f>
        <v>0.37184889083503503</v>
      </c>
      <c r="AW316" s="39">
        <f>(M316*AZ316)*V316*1000</f>
        <v>13.169673407786252</v>
      </c>
      <c r="AX316" s="39">
        <f>AU316-AW316</f>
        <v>2.612813489315549</v>
      </c>
      <c r="AY316" s="26">
        <f>VLOOKUP($E316,Water!$C$2:$G$90, 5, FALSE)</f>
        <v>712.9</v>
      </c>
      <c r="AZ316">
        <f>AY316/760</f>
        <v>0.93802631578947371</v>
      </c>
      <c r="BA316" s="3">
        <f>Assumptions!$B$3</f>
        <v>406.07</v>
      </c>
      <c r="BB316" s="3">
        <f>BA316*AZ316*T316</f>
        <v>22.355174203111048</v>
      </c>
      <c r="BC316" s="3">
        <f>Assumptions!$B$4</f>
        <v>1.8474300000000001</v>
      </c>
      <c r="BD316" s="45">
        <f>BC316*AZ316*U316*1/(0.0821*273.15)</f>
        <v>3.505037812321133E-3</v>
      </c>
      <c r="BE316" s="3">
        <f>Assumptions!$B$2</f>
        <v>0.33054499999999998</v>
      </c>
      <c r="BF316" s="44">
        <f>BE316*AZ316*V316*1000</f>
        <v>14.0294142593446</v>
      </c>
      <c r="BG316">
        <f>1923.6+(-125.06*F316)+(4.3773*(F316^2))+(-0.085681*(F316^3))+(0.00070284*(F316^4))</f>
        <v>1289.1399411039238</v>
      </c>
      <c r="BH316">
        <f>1909.4+(-120.78*F316)+(4.1555*(F316^2))+(-0.080578*(F316^3))+(0.00065777*(F316^4))</f>
        <v>1294.305690349697</v>
      </c>
      <c r="BI316">
        <f>2141.2+(-152.56*F316)+(5.8963*(F316^2))+(-0.12411*(F316^3))+(0.0010655*(F316^4))</f>
        <v>1384.7412918245495</v>
      </c>
      <c r="BJ316" s="25">
        <f>VLOOKUP(E316,Wind!$C$2:$E$109,3, FALSE)</f>
        <v>5</v>
      </c>
      <c r="BK316" s="44">
        <v>1.66</v>
      </c>
      <c r="BL316">
        <f>BK316/(1-(((1.3*10^-3)^0.5)/0.41)*LN(10/1.5))</f>
        <v>1.9923982880693825</v>
      </c>
      <c r="BM316">
        <f>BK316*1.22</f>
        <v>2.0251999999999999</v>
      </c>
      <c r="BN316">
        <f>2.07+0.215*(BM316^1.7)*(24/100)</f>
        <v>2.241255750541113</v>
      </c>
      <c r="BO316">
        <f>BN316*((600/BG316)^0.67)</f>
        <v>1.3426156698224783</v>
      </c>
      <c r="BP316">
        <f>BN316*((600/BH316)^0.67)</f>
        <v>1.3390230655122506</v>
      </c>
      <c r="BQ316">
        <f>BN316*((600/BI316)^0.67)</f>
        <v>1.2797813117810228</v>
      </c>
      <c r="BR316" s="39">
        <f>BO316*(AM316-BB316)</f>
        <v>16.618336633297087</v>
      </c>
      <c r="BS316" s="39">
        <f>BP316*(AD316-BD316)</f>
        <v>7.9385041103157097E-2</v>
      </c>
      <c r="BT316" s="39">
        <f>BQ316*(AU316-BF316)</f>
        <v>2.2435495999963289</v>
      </c>
      <c r="BU316">
        <f>(2.51+1.48*BM316)+(0.39*BM316*LOG10(0.0015))</f>
        <v>3.2768938069574309</v>
      </c>
      <c r="BV316">
        <f>BU316*((600/$BG316)^0.67)</f>
        <v>1.9630106793939384</v>
      </c>
      <c r="BW316">
        <f>BU316*((600/$BH316)^0.67)</f>
        <v>1.9577580067294327</v>
      </c>
      <c r="BX316">
        <f>BU316*((600/$BI316)^0.67)</f>
        <v>1.87114186046041</v>
      </c>
      <c r="BY316" s="39">
        <f>BV316*($AM316-$BB316)</f>
        <v>24.297327238284801</v>
      </c>
      <c r="BZ316" s="39">
        <f>BW316*($AD316-$BD316)</f>
        <v>0.11606723128013886</v>
      </c>
      <c r="CA316" s="39">
        <f>BX316*($AU316-$BF316)</f>
        <v>3.280247596935248</v>
      </c>
      <c r="CB316" s="42">
        <f>AVERAGE(0.72,0.69,0.4,0.22)</f>
        <v>0.50750000000000006</v>
      </c>
      <c r="CC316">
        <f>CB316*((600/$BG316)^0.67)</f>
        <v>0.30401593047576153</v>
      </c>
      <c r="CD316">
        <f>CB316*((600/$BH316)^0.67)</f>
        <v>0.30320243710848283</v>
      </c>
      <c r="CE316">
        <f>CB316*((600/$BI316)^0.67)</f>
        <v>0.28978799745279454</v>
      </c>
      <c r="CF316" s="39">
        <f>CC316*($AM316-$BB316)</f>
        <v>3.762982354584957</v>
      </c>
      <c r="CG316" s="39">
        <f>CD316*($AD316-$BD316)</f>
        <v>1.797559620321126E-2</v>
      </c>
      <c r="CH316" s="39">
        <f>CE316*($AU316-$BF316)</f>
        <v>0.50801940908494769</v>
      </c>
      <c r="CI316">
        <v>139.86263901889501</v>
      </c>
      <c r="CJ316">
        <f>((BG316/BH316)^0.67)*CI316</f>
        <v>139.4883911003931</v>
      </c>
      <c r="CK316">
        <f>((BH316/BH316)^0.67)*CI316</f>
        <v>139.86263901889501</v>
      </c>
      <c r="CL316">
        <f>((BI316/BH316)^0.67)*CI316</f>
        <v>146.33695454505795</v>
      </c>
      <c r="CM316" s="39">
        <f>CJ316*($AM316-$BB316)</f>
        <v>1726.5291116778271</v>
      </c>
      <c r="CN316" s="39">
        <f>CK316*($AD316-$BD316)</f>
        <v>8.2918671330456064</v>
      </c>
      <c r="CO316" s="39">
        <f>CL316*($AU316-$BF316)</f>
        <v>256.53931090566039</v>
      </c>
      <c r="CP316" s="27">
        <f>VLOOKUP(A316,Water!$A$2:$E$109, 5, FALSE)/1000</f>
        <v>1.1000000000000001E-3</v>
      </c>
      <c r="CQ316">
        <f>0.64*CP316</f>
        <v>7.0400000000000009E-4</v>
      </c>
      <c r="CR316" s="19">
        <f>CQ316*1000*(2.5*10^-5)</f>
        <v>1.7600000000000004E-5</v>
      </c>
      <c r="CS316" s="18">
        <f>(-0.0000009*F316^3)+(0.0002*F316^2)-(0.0134*F316)+6.579</f>
        <v>6.5022929576999999</v>
      </c>
      <c r="CT316" s="18">
        <f>CS316-(SQRT(CP316))/(1+1.4*SQRT(CP316))</f>
        <v>6.4705983762789021</v>
      </c>
      <c r="CU316" s="18">
        <f>10^(-CT316)</f>
        <v>3.3837761397073243E-7</v>
      </c>
      <c r="CV316" s="18">
        <f>(0.000001*F316^3)+(0.00006*F316^2)-(0.014*F316)+10.625</f>
        <v>10.539431447</v>
      </c>
      <c r="CW316" s="18">
        <f>CV316-(2*SQRT(CR316))/(1+1.4*SQRT(CR316))</f>
        <v>10.531089968466995</v>
      </c>
      <c r="CX316" s="18">
        <f>10^(-CW316)</f>
        <v>2.9438117304390894E-11</v>
      </c>
      <c r="CY316">
        <f>EXP(1246.98+-61900/H316-183*LN(H316))</f>
        <v>4.8285441679797939E-3</v>
      </c>
      <c r="CZ316">
        <f>12.225*(F316^2)+15.258*F316+1125.7</f>
        <v>1707.03565</v>
      </c>
      <c r="DA316" s="15">
        <f>10^(-4470.99/H316+6.0875-0.01706*H316)</f>
        <v>2.0933144729165675E-15</v>
      </c>
      <c r="DB316">
        <f>(10^-I316)</f>
        <v>6.0255958607435582E-9</v>
      </c>
      <c r="DC316">
        <f>DB316^2</f>
        <v>3.6307805477009903E-17</v>
      </c>
      <c r="DD316" s="20">
        <f>((14.6836*10^-9)*((H316/217.2056)-1)^1.997)*100*100</f>
        <v>1.2103734570902914E-5</v>
      </c>
      <c r="DE316">
        <f>CY316+CZ316*DA316/DB316</f>
        <v>5.4215747187357465E-3</v>
      </c>
      <c r="DF316">
        <f>1+DC316*(CU316*CX316+CU316*DB316)^-1</f>
        <v>1.0177207374746611</v>
      </c>
      <c r="DG316">
        <f>(DE316*DF316/DD316)^0.5</f>
        <v>21.350956714998073</v>
      </c>
      <c r="DH316">
        <f>DD316/(BO316/60/60)</f>
        <v>3.2454145616378667E-2</v>
      </c>
      <c r="DI316" s="16">
        <f>DF316/((DF316-1)+TANH(DG316*DH316)/(DG316*DH316))</f>
        <v>1.1520374692106814</v>
      </c>
      <c r="DJ316">
        <f>$DI316*BR316</f>
        <v>19.144946477514733</v>
      </c>
      <c r="DK316">
        <f>$DI316*BY316</f>
        <v>27.991431380177378</v>
      </c>
      <c r="DL316">
        <f>$DI316*CF316</f>
        <v>4.3350966684605048</v>
      </c>
      <c r="DM316">
        <f>$DI316*CM316</f>
        <v>1989.02622833589</v>
      </c>
    </row>
    <row r="317" spans="1:117" ht="15.75" x14ac:dyDescent="0.25">
      <c r="A317" s="52" t="s">
        <v>334</v>
      </c>
      <c r="B317" t="s">
        <v>342</v>
      </c>
      <c r="C317" s="68" t="s">
        <v>536</v>
      </c>
      <c r="D317" s="65">
        <v>43368</v>
      </c>
      <c r="E317" s="42" t="str">
        <f>A317&amp;D317</f>
        <v>61B43368</v>
      </c>
      <c r="F317" s="3">
        <f>VLOOKUP($E317,Water!$C$2:$E$90, 2, FALSE)</f>
        <v>6.3</v>
      </c>
      <c r="G317" s="3">
        <f>VLOOKUP($E317,Water!$C$2:$E$90, 3, FALSE)</f>
        <v>2.82</v>
      </c>
      <c r="H317" s="1">
        <f>F317+273.15</f>
        <v>279.45</v>
      </c>
      <c r="I317" s="3">
        <f>VLOOKUP($E317,Water!$C$2:$F$90, 4, FALSE)</f>
        <v>8.2200000000000006</v>
      </c>
      <c r="J317">
        <f>10^(I317*-1)</f>
        <v>6.0255958607435582E-9</v>
      </c>
      <c r="K317" s="25">
        <f>VLOOKUP($E317,Atm!$D$2:$G$100, 2, FALSE)</f>
        <v>441.85422923176611</v>
      </c>
      <c r="L317" s="25">
        <f>VLOOKUP($E317,Atm!$D$2:$G$100, 3, FALSE)</f>
        <v>2.035652927534306</v>
      </c>
      <c r="M317" s="25">
        <f>VLOOKUP($E317,Atm!$D$2:$G$100, 4, FALSE)</f>
        <v>0.31028877015853901</v>
      </c>
      <c r="N317" s="21">
        <f>VLOOKUP($C317,Raw!$B$2:$F$353, 3, FALSE)</f>
        <v>731.08651015155112</v>
      </c>
      <c r="O317" s="21">
        <f>VLOOKUP($C317,Raw!$B$2:$F$353, 4, FALSE)</f>
        <v>26.801108489125799</v>
      </c>
      <c r="P317" s="21">
        <f>VLOOKUP($C317,Raw!$B$2:$F$353, 5, FALSE)</f>
        <v>0.42476523173577907</v>
      </c>
      <c r="Q317" s="14">
        <v>60</v>
      </c>
      <c r="R317" s="25">
        <v>1140</v>
      </c>
      <c r="S317">
        <f>EXP(24.4543-(100/H317*(67.4509))-(4.8489*LN(H317/100))-(0.000544*G317))</f>
        <v>9.398164968241517E-3</v>
      </c>
      <c r="T317" s="8">
        <f>EXP(-58.0931+90.5069*(100/H317)+22.294*LN(H317/100)+G317*(0.027766-0.025888*(H317/100)+0.0050578*(H317/100)^2)*G317)</f>
        <v>5.8689732566144348E-2</v>
      </c>
      <c r="U317" s="9">
        <f>(EXP(-67.1962+99.1624*(100/H317)+27.9015*LN(H317/100)+G317*(-0.072909+0.041674*(H317/100)-0.0064603*(H317/100)^2)*G317))</f>
        <v>4.5358016564383034E-2</v>
      </c>
      <c r="V317" s="9">
        <f>(EXP(-64.8539+100.252*(100/H317)+25.2049*LN(H317/100)+(-0.062544+0.035337*(H317/100)-0.0054699*(H317/100)^2)*G317))</f>
        <v>4.5247430810498215E-2</v>
      </c>
      <c r="W317" s="9">
        <f>(EXP(-68.8862+101.4956*(100/H317)+28.7314*LN(H317/100)+G317*(-0.076146+0.04397*(H317/100)-0.0068672*(H317/100)^2)))</f>
        <v>4.6889095636580697E-2</v>
      </c>
      <c r="X317">
        <f>N317*(AZ317-S317)</f>
        <v>678.90751401238288</v>
      </c>
      <c r="Y317">
        <f>O317*(AZ317-S317)</f>
        <v>24.888263816216117</v>
      </c>
      <c r="Z317">
        <f>((Y317/10^6)*AZ317)/(0.082056*H317)</f>
        <v>1.0181110888491789E-6</v>
      </c>
      <c r="AA317">
        <f>(((L317/10^6)*AZ317)/(0.082056*H317))</f>
        <v>8.3273017108594219E-8</v>
      </c>
      <c r="AB317">
        <f>((Y317/10^6)*U317*1)/(0.082056*H317)</f>
        <v>4.9230494768728235E-8</v>
      </c>
      <c r="AC317">
        <f>(Z317*(Q317/1000))+(AB317*(R317/1000))</f>
        <v>1.1720942936730093E-7</v>
      </c>
      <c r="AD317" s="39">
        <f>((AC317-(AA317*(Q317/1000)))/(R317/1000))*1000000</f>
        <v>9.8432498544548497E-2</v>
      </c>
      <c r="AE317" s="39">
        <f>(AD317/((U317*AZ317*1))*(0.0821*273.15))</f>
        <v>51.881651646357284</v>
      </c>
      <c r="AF317" s="39">
        <f>L317*U317*AZ317*1/(0.0821*273.15)</f>
        <v>3.8621438884125264E-3</v>
      </c>
      <c r="AG317" s="39">
        <f>AD317-AF317</f>
        <v>9.4570354656135974E-2</v>
      </c>
      <c r="AH317" s="42">
        <f>P317*(AZ317-S317)</f>
        <v>0.3944489516799487</v>
      </c>
      <c r="AI317">
        <f>(((X317/10^6)*(Q317/1000))/(0.082056*H317))</f>
        <v>1.7764271795436531E-6</v>
      </c>
      <c r="AJ317">
        <f>(((K317/10^6)*AZ317)*(Q317/1000))/(0.082056*H317)</f>
        <v>1.0845031869422588E-6</v>
      </c>
      <c r="AK317">
        <f>(X317/10^6)*T317*(R317/1000)</f>
        <v>4.5423186495367213E-5</v>
      </c>
      <c r="AL317">
        <f>AI317+AK317</f>
        <v>4.7199613674910869E-5</v>
      </c>
      <c r="AM317" s="39">
        <f>((AL317-AJ317)/(R317/1000))*1000000</f>
        <v>40.451851305235621</v>
      </c>
      <c r="AN317" s="39">
        <f>AM317/(T317*AZ317)</f>
        <v>734.78663643028437</v>
      </c>
      <c r="AO317" s="39">
        <f>(K317*AZ317)*T317</f>
        <v>24.325185970048253</v>
      </c>
      <c r="AP317" s="39">
        <f>AM317-AO317</f>
        <v>16.126665335187369</v>
      </c>
      <c r="AQ317">
        <f>(((AH317/10^6)*(Q317/1000))/(0.082056*H317))</f>
        <v>1.0321138361918046E-9</v>
      </c>
      <c r="AR317">
        <f>(((M317/10^6)*AZ317)*(Q317/1000))/(0.082056*H317)</f>
        <v>7.6158411043027565E-10</v>
      </c>
      <c r="AS317">
        <f>(AH317/10^6)*V317*(R317/1000)</f>
        <v>2.0346493880329714E-8</v>
      </c>
      <c r="AT317">
        <f>AQ317+AS317</f>
        <v>2.1378607716521518E-8</v>
      </c>
      <c r="AU317" s="39">
        <f>((AT317-AR317)/(R317/1000))*1000000000</f>
        <v>18.085108426395827</v>
      </c>
      <c r="AV317" s="39">
        <f>(AU317/1000)/(V317*AZ317)</f>
        <v>0.42610062361094431</v>
      </c>
      <c r="AW317" s="39">
        <f>(M317*AZ317)*V317*1000</f>
        <v>13.169673407786252</v>
      </c>
      <c r="AX317" s="39">
        <f>AU317-AW317</f>
        <v>4.9154350186095748</v>
      </c>
      <c r="AY317" s="26">
        <f>VLOOKUP($E317,Water!$C$2:$G$90, 5, FALSE)</f>
        <v>712.9</v>
      </c>
      <c r="AZ317">
        <f>AY317/760</f>
        <v>0.93802631578947371</v>
      </c>
      <c r="BA317" s="3">
        <f>Assumptions!$B$3</f>
        <v>406.07</v>
      </c>
      <c r="BB317" s="3">
        <f>BA317*AZ317*T317</f>
        <v>22.355174203111048</v>
      </c>
      <c r="BC317" s="3">
        <f>Assumptions!$B$4</f>
        <v>1.8474300000000001</v>
      </c>
      <c r="BD317" s="45">
        <f>BC317*AZ317*U317*1/(0.0821*273.15)</f>
        <v>3.505037812321133E-3</v>
      </c>
      <c r="BE317" s="3">
        <f>Assumptions!$B$2</f>
        <v>0.33054499999999998</v>
      </c>
      <c r="BF317" s="44">
        <f>BE317*AZ317*V317*1000</f>
        <v>14.0294142593446</v>
      </c>
      <c r="BG317">
        <f>1923.6+(-125.06*F317)+(4.3773*(F317^2))+(-0.085681*(F317^3))+(0.00070284*(F317^4))</f>
        <v>1289.1399411039238</v>
      </c>
      <c r="BH317">
        <f>1909.4+(-120.78*F317)+(4.1555*(F317^2))+(-0.080578*(F317^3))+(0.00065777*(F317^4))</f>
        <v>1294.305690349697</v>
      </c>
      <c r="BI317">
        <f>2141.2+(-152.56*F317)+(5.8963*(F317^2))+(-0.12411*(F317^3))+(0.0010655*(F317^4))</f>
        <v>1384.7412918245495</v>
      </c>
      <c r="BJ317" s="25">
        <f>VLOOKUP(E317,Wind!$C$2:$E$109,3, FALSE)</f>
        <v>5</v>
      </c>
      <c r="BK317" s="44">
        <v>1.66</v>
      </c>
      <c r="BL317">
        <f>BK317/(1-(((1.3*10^-3)^0.5)/0.41)*LN(10/1.5))</f>
        <v>1.9923982880693825</v>
      </c>
      <c r="BM317">
        <f>BK317*1.22</f>
        <v>2.0251999999999999</v>
      </c>
      <c r="BN317">
        <f>2.07+0.215*(BM317^1.7)*(24/100)</f>
        <v>2.241255750541113</v>
      </c>
      <c r="BO317">
        <f>BN317*((600/BG317)^0.67)</f>
        <v>1.3426156698224783</v>
      </c>
      <c r="BP317">
        <f>BN317*((600/BH317)^0.67)</f>
        <v>1.3390230655122506</v>
      </c>
      <c r="BQ317">
        <f>BN317*((600/BI317)^0.67)</f>
        <v>1.2797813117810228</v>
      </c>
      <c r="BR317" s="39">
        <f>BO317*(AM317-BB317)</f>
        <v>24.296882249030087</v>
      </c>
      <c r="BS317" s="39">
        <f>BP317*(AD317-BD317)</f>
        <v>0.12711005947096088</v>
      </c>
      <c r="BT317" s="39">
        <f>BQ317*(AU317-BF317)</f>
        <v>5.1904016012914624</v>
      </c>
      <c r="BU317">
        <f>(2.51+1.48*BM317)+(0.39*BM317*LOG10(0.0015))</f>
        <v>3.2768938069574309</v>
      </c>
      <c r="BV317">
        <f>BU317*((600/$BG317)^0.67)</f>
        <v>1.9630106793939384</v>
      </c>
      <c r="BW317">
        <f>BU317*((600/$BH317)^0.67)</f>
        <v>1.9577580067294327</v>
      </c>
      <c r="BX317">
        <f>BU317*((600/$BI317)^0.67)</f>
        <v>1.87114186046041</v>
      </c>
      <c r="BY317" s="39">
        <f>BV317*($AM317-$BB317)</f>
        <v>35.52397041301429</v>
      </c>
      <c r="BZ317" s="39">
        <f>BW317*($AD317-$BD317)</f>
        <v>0.18584499630701196</v>
      </c>
      <c r="CA317" s="39">
        <f>BX317*($AU317-$BF317)</f>
        <v>7.5887791291946654</v>
      </c>
      <c r="CB317" s="42">
        <f>AVERAGE(0.72,0.69,0.4,0.22)</f>
        <v>0.50750000000000006</v>
      </c>
      <c r="CC317">
        <f>CB317*((600/$BG317)^0.67)</f>
        <v>0.30401593047576153</v>
      </c>
      <c r="CD317">
        <f>CB317*((600/$BH317)^0.67)</f>
        <v>0.30320243710848283</v>
      </c>
      <c r="CE317">
        <f>CB317*((600/$BI317)^0.67)</f>
        <v>0.28978799745279454</v>
      </c>
      <c r="CF317" s="39">
        <f>CC317*($AM317-$BB317)</f>
        <v>5.5016781277218101</v>
      </c>
      <c r="CG317" s="39">
        <f>CD317*($AD317-$BD317)</f>
        <v>2.8782237442531142E-2</v>
      </c>
      <c r="CH317" s="39">
        <f>CE317*($AU317-$BF317)</f>
        <v>1.1752914909507546</v>
      </c>
      <c r="CI317">
        <v>140.86263901889501</v>
      </c>
      <c r="CJ317">
        <f>((BG317/BH317)^0.67)*CI317</f>
        <v>140.48571527559008</v>
      </c>
      <c r="CK317">
        <f>((BH317/BH317)^0.67)*CI317</f>
        <v>140.86263901889501</v>
      </c>
      <c r="CL317">
        <f>((BI317/BH317)^0.67)*CI317</f>
        <v>147.38324507390524</v>
      </c>
      <c r="CM317" s="39">
        <f>CJ317*($AM317-$BB317)</f>
        <v>2542.3246268033636</v>
      </c>
      <c r="CN317" s="39">
        <f>CK317*($AD317-$BD317)</f>
        <v>13.371732634104074</v>
      </c>
      <c r="CO317" s="39">
        <f>CL317*($AU317-$BF317)</f>
        <v>597.74136736731896</v>
      </c>
      <c r="CP317" s="27">
        <f>VLOOKUP(A317,Water!$A$2:$E$109, 5, FALSE)/1000</f>
        <v>1.1000000000000001E-3</v>
      </c>
      <c r="CQ317">
        <f>0.64*CP317</f>
        <v>7.0400000000000009E-4</v>
      </c>
      <c r="CR317" s="19">
        <f>CQ317*1000*(2.5*10^-5)</f>
        <v>1.7600000000000004E-5</v>
      </c>
      <c r="CS317" s="18">
        <f>(-0.0000009*F317^3)+(0.0002*F317^2)-(0.0134*F317)+6.579</f>
        <v>6.5022929576999999</v>
      </c>
      <c r="CT317" s="18">
        <f>CS317-(SQRT(CP317))/(1+1.4*SQRT(CP317))</f>
        <v>6.4705983762789021</v>
      </c>
      <c r="CU317" s="18">
        <f>10^(-CT317)</f>
        <v>3.3837761397073243E-7</v>
      </c>
      <c r="CV317" s="18">
        <f>(0.000001*F317^3)+(0.00006*F317^2)-(0.014*F317)+10.625</f>
        <v>10.539431447</v>
      </c>
      <c r="CW317" s="18">
        <f>CV317-(2*SQRT(CR317))/(1+1.4*SQRT(CR317))</f>
        <v>10.531089968466995</v>
      </c>
      <c r="CX317" s="18">
        <f>10^(-CW317)</f>
        <v>2.9438117304390894E-11</v>
      </c>
      <c r="CY317">
        <f>EXP(1246.98+-61900/H317-183*LN(H317))</f>
        <v>4.8285441679797939E-3</v>
      </c>
      <c r="CZ317">
        <f>12.225*(F317^2)+15.258*F317+1125.7</f>
        <v>1707.03565</v>
      </c>
      <c r="DA317" s="15">
        <f>10^(-4470.99/H317+6.0875-0.01706*H317)</f>
        <v>2.0933144729165675E-15</v>
      </c>
      <c r="DB317">
        <f>(10^-I317)</f>
        <v>6.0255958607435582E-9</v>
      </c>
      <c r="DC317">
        <f>DB317^2</f>
        <v>3.6307805477009903E-17</v>
      </c>
      <c r="DD317" s="20">
        <f>((14.6836*10^-9)*((H317/217.2056)-1)^1.997)*100*100</f>
        <v>1.2103734570902914E-5</v>
      </c>
      <c r="DE317">
        <f>CY317+CZ317*DA317/DB317</f>
        <v>5.4215747187357465E-3</v>
      </c>
      <c r="DF317">
        <f>1+DC317*(CU317*CX317+CU317*DB317)^-1</f>
        <v>1.0177207374746611</v>
      </c>
      <c r="DG317">
        <f>(DE317*DF317/DD317)^0.5</f>
        <v>21.350956714998073</v>
      </c>
      <c r="DH317">
        <f>DD317/(BO317/60/60)</f>
        <v>3.2454145616378667E-2</v>
      </c>
      <c r="DI317" s="16">
        <f>DF317/((DF317-1)+TANH(DG317*DH317)/(DG317*DH317))</f>
        <v>1.1520374692106814</v>
      </c>
      <c r="DJ317">
        <f>$DI317*BR317</f>
        <v>27.990918735882552</v>
      </c>
      <c r="DK317">
        <f>$DI317*BY317</f>
        <v>40.924944970924109</v>
      </c>
      <c r="DL317">
        <f>$DI317*CF317</f>
        <v>6.3381393466723939</v>
      </c>
      <c r="DM317">
        <f>$DI317*CM317</f>
        <v>2928.8532289745372</v>
      </c>
    </row>
    <row r="318" spans="1:117" ht="15.75" x14ac:dyDescent="0.25">
      <c r="A318" s="52" t="s">
        <v>332</v>
      </c>
      <c r="B318" t="s">
        <v>339</v>
      </c>
      <c r="C318" s="68" t="s">
        <v>537</v>
      </c>
      <c r="D318" s="65">
        <v>43368</v>
      </c>
      <c r="E318" s="42" t="str">
        <f>A318&amp;D318</f>
        <v>62E43368</v>
      </c>
      <c r="F318" s="3">
        <f>VLOOKUP($E318,Water!$C$2:$E$90, 2, FALSE)</f>
        <v>8.1999999999999993</v>
      </c>
      <c r="G318" s="3">
        <f>VLOOKUP($E318,Water!$C$2:$E$90, 3, FALSE)</f>
        <v>2.71</v>
      </c>
      <c r="H318" s="1">
        <f>F318+273.15</f>
        <v>281.34999999999997</v>
      </c>
      <c r="I318" s="3">
        <f>VLOOKUP($E318,Water!$C$2:$F$90, 4, FALSE)</f>
        <v>8.2799999999999994</v>
      </c>
      <c r="J318">
        <f>10^(I318*-1)</f>
        <v>5.2480746024977305E-9</v>
      </c>
      <c r="K318" s="25">
        <f>VLOOKUP($E318,Atm!$D$2:$G$100, 2, FALSE)</f>
        <v>439.91218641854908</v>
      </c>
      <c r="L318" s="25">
        <f>VLOOKUP($E318,Atm!$D$2:$G$100, 3, FALSE)</f>
        <v>2.0405343881206348</v>
      </c>
      <c r="M318" s="25">
        <f>VLOOKUP($E318,Atm!$D$2:$G$100, 4, FALSE)</f>
        <v>0.31017886086011426</v>
      </c>
      <c r="N318" s="21">
        <f>VLOOKUP($C318,Raw!$B$2:$F$353, 3, FALSE)</f>
        <v>1501.9122255675929</v>
      </c>
      <c r="O318" s="21">
        <f>VLOOKUP($C318,Raw!$B$2:$F$353, 4, FALSE)</f>
        <v>95.77426851186253</v>
      </c>
      <c r="P318" s="21">
        <f>VLOOKUP($C318,Raw!$B$2:$F$353, 5, FALSE)</f>
        <v>0.61982537760417922</v>
      </c>
      <c r="Q318" s="14">
        <v>60</v>
      </c>
      <c r="R318" s="25">
        <v>1140</v>
      </c>
      <c r="S318">
        <f>EXP(24.4543-(100/H318*(67.4509))-(4.8489*LN(H318/100))-(0.000544*G318))</f>
        <v>1.0705085123991829E-2</v>
      </c>
      <c r="T318" s="8">
        <f>EXP(-58.0931+90.5069*(100/H318)+22.294*LN(H318/100)+G318*(0.027766-0.025888*(H318/100)+0.0050578*(H318/100)^2)*G318)</f>
        <v>5.5039350712708386E-2</v>
      </c>
      <c r="U318" s="9">
        <f>(EXP(-67.1962+99.1624*(100/H318)+27.9015*LN(H318/100)+G318*(-0.072909+0.041674*(H318/100)-0.0064603*(H318/100)^2)*G318))</f>
        <v>4.3335498780011542E-2</v>
      </c>
      <c r="V318" s="9">
        <f>(EXP(-64.8539+100.252*(100/H318)+25.2049*LN(H318/100)+(-0.062544+0.035337*(H318/100)-0.0054699*(H318/100)^2)*G318))</f>
        <v>4.2166423079653292E-2</v>
      </c>
      <c r="W318" s="9">
        <f>(EXP(-68.8862+101.4956*(100/H318)+28.7314*LN(H318/100)+G318*(-0.076146+0.04397*(H318/100)-0.0068672*(H318/100)^2)))</f>
        <v>4.4622482373697689E-2</v>
      </c>
      <c r="X318">
        <f>N318*(AZ318-S318)</f>
        <v>1373.7835705155981</v>
      </c>
      <c r="Y318">
        <f>O318*(AZ318-S318)</f>
        <v>87.603732308672605</v>
      </c>
      <c r="Z318">
        <f>((Y318/10^6)*AZ318)/(0.082056*H318)</f>
        <v>3.5114975728959587E-6</v>
      </c>
      <c r="AA318">
        <f>(((L318/10^6)*AZ318)/(0.082056*H318))</f>
        <v>8.1792537400680993E-8</v>
      </c>
      <c r="AB318">
        <f>((Y318/10^6)*U318*1)/(0.082056*H318)</f>
        <v>1.6444063568540766E-7</v>
      </c>
      <c r="AC318">
        <f>(Z318*(Q318/1000))+(AB318*(R318/1000))</f>
        <v>3.9815217905512222E-7</v>
      </c>
      <c r="AD318" s="39">
        <f>((AC318-(AA318*(Q318/1000)))/(R318/1000))*1000000</f>
        <v>0.34495142702726439</v>
      </c>
      <c r="AE318" s="39">
        <f>(AD318/((U318*AZ318*1))*(0.0821*273.15))</f>
        <v>192.89966934680069</v>
      </c>
      <c r="AF318" s="39">
        <f>L318*U318*AZ318*1/(0.0821*273.15)</f>
        <v>3.6489707393689368E-3</v>
      </c>
      <c r="AG318" s="39">
        <f>AD318-AF318</f>
        <v>0.34130245628789546</v>
      </c>
      <c r="AH318" s="42">
        <f>P318*(AZ318-S318)</f>
        <v>0.56694785876681475</v>
      </c>
      <c r="AI318">
        <f>(((X318/10^6)*(Q318/1000))/(0.082056*H318))</f>
        <v>3.5703624523002087E-6</v>
      </c>
      <c r="AJ318">
        <f>(((K318/10^6)*AZ318)*(Q318/1000))/(0.082056*H318)</f>
        <v>1.0580032614043059E-6</v>
      </c>
      <c r="AK318">
        <f>(X318/10^6)*T318*(R318/1000)</f>
        <v>8.6197857544699816E-5</v>
      </c>
      <c r="AL318">
        <f>AI318+AK318</f>
        <v>8.9768219997000026E-5</v>
      </c>
      <c r="AM318" s="39">
        <f>((AL318-AJ318)/(R318/1000))*1000000</f>
        <v>77.815979592627826</v>
      </c>
      <c r="AN318" s="39">
        <f>AM318/(T318*AZ318)</f>
        <v>1527.8068816015659</v>
      </c>
      <c r="AO318" s="39">
        <f>(K318*AZ318)*T318</f>
        <v>22.406102586086828</v>
      </c>
      <c r="AP318" s="39">
        <f>AM318-AO318</f>
        <v>55.409877006540995</v>
      </c>
      <c r="AQ318">
        <f>(((AH318/10^6)*(Q318/1000))/(0.082056*H318))</f>
        <v>1.4734557835724634E-9</v>
      </c>
      <c r="AR318">
        <f>(((M318/10^6)*AZ318)*(Q318/1000))/(0.082056*H318)</f>
        <v>7.4599035112075687E-10</v>
      </c>
      <c r="AS318">
        <f>(AH318/10^6)*V318*(R318/1000)</f>
        <v>2.7253026135626139E-8</v>
      </c>
      <c r="AT318">
        <f>AQ318+AS318</f>
        <v>2.8726481919198602E-8</v>
      </c>
      <c r="AU318" s="39">
        <f>((AT318-AR318)/(R318/1000))*1000000000</f>
        <v>24.544290849191093</v>
      </c>
      <c r="AV318" s="39">
        <f>(AU318/1000)/(V318*AZ318)</f>
        <v>0.62900877131569266</v>
      </c>
      <c r="AW318" s="39">
        <f>(M318*AZ318)*V318*1000</f>
        <v>12.103360912276495</v>
      </c>
      <c r="AX318" s="39">
        <f>AU318-AW318</f>
        <v>12.440929936914598</v>
      </c>
      <c r="AY318" s="26">
        <f>VLOOKUP($E318,Water!$C$2:$G$90, 5, FALSE)</f>
        <v>703.3</v>
      </c>
      <c r="AZ318">
        <f>AY318/760</f>
        <v>0.92539473684210516</v>
      </c>
      <c r="BA318" s="3">
        <f>Assumptions!$B$3</f>
        <v>406.07</v>
      </c>
      <c r="BB318" s="3">
        <f>BA318*AZ318*T318</f>
        <v>20.682414259094138</v>
      </c>
      <c r="BC318" s="3">
        <f>Assumptions!$B$4</f>
        <v>1.8474300000000001</v>
      </c>
      <c r="BD318" s="45">
        <f>BC318*AZ318*U318*1/(0.0821*273.15)</f>
        <v>3.3036532254872336E-3</v>
      </c>
      <c r="BE318" s="3">
        <f>Assumptions!$B$2</f>
        <v>0.33054499999999998</v>
      </c>
      <c r="BF318" s="44">
        <f>BE318*AZ318*V318*1000</f>
        <v>12.898059595855852</v>
      </c>
      <c r="BG318">
        <f>1923.6+(-125.06*F318)+(4.3773*(F318^2))+(-0.085681*(F318^3))+(0.00070284*(F318^4))</f>
        <v>1148.373582969984</v>
      </c>
      <c r="BH318">
        <f>1909.4+(-120.78*F318)+(4.1555*(F318^2))+(-0.080578*(F318^3))+(0.00065777*(F318^4))</f>
        <v>1156.965610596752</v>
      </c>
      <c r="BI318">
        <f>2141.2+(-152.56*F318)+(5.8963*(F318^2))+(-0.12411*(F318^3))+(0.0010655*(F318^4))</f>
        <v>1223.0622868727999</v>
      </c>
      <c r="BJ318" s="25">
        <f>VLOOKUP(E318,Wind!$C$2:$E$109,3, FALSE)</f>
        <v>2.4166666666666665</v>
      </c>
      <c r="BK318" s="44">
        <v>1.66</v>
      </c>
      <c r="BL318">
        <f>BK318/(1-(((1.3*10^-3)^0.5)/0.41)*LN(10/1.5))</f>
        <v>1.9923982880693825</v>
      </c>
      <c r="BM318">
        <f>BK318*1.22</f>
        <v>2.0251999999999999</v>
      </c>
      <c r="BN318">
        <f>2.07+0.215*(BM318^1.7)*(24/100)</f>
        <v>2.241255750541113</v>
      </c>
      <c r="BO318">
        <f>BN318*((600/BG318)^0.67)</f>
        <v>1.4507648176017609</v>
      </c>
      <c r="BP318">
        <f>BN318*((600/BH318)^0.67)</f>
        <v>1.4435374419968705</v>
      </c>
      <c r="BQ318">
        <f>BN318*((600/BI318)^0.67)</f>
        <v>1.3907920817712456</v>
      </c>
      <c r="BR318" s="39">
        <f>BO318*(AM318-BB318)</f>
        <v>82.887366490042297</v>
      </c>
      <c r="BS318" s="39">
        <f>BP318*(AD318-BD318)</f>
        <v>0.49318135345774278</v>
      </c>
      <c r="BT318" s="39">
        <f>BQ318*(AU318-BF318)</f>
        <v>16.197486209615462</v>
      </c>
      <c r="BU318">
        <f>(2.51+1.48*BM318)+(0.39*BM318*LOG10(0.0015))</f>
        <v>3.2768938069574309</v>
      </c>
      <c r="BV318">
        <f>BU318*((600/$BG318)^0.67)</f>
        <v>2.1211333177854264</v>
      </c>
      <c r="BW318">
        <f>BU318*((600/$BH318)^0.67)</f>
        <v>2.1105663209781667</v>
      </c>
      <c r="BX318">
        <f>BU318*((600/$BI318)^0.67)</f>
        <v>2.0334484176655439</v>
      </c>
      <c r="BY318" s="39">
        <f>BV318*($AM318-$BB318)</f>
        <v>121.18790899282874</v>
      </c>
      <c r="BZ318" s="39">
        <f>BW318*($AD318-$BD318)</f>
        <v>0.72107028502319759</v>
      </c>
      <c r="CA318" s="39">
        <f>BX318*($AU318-$BF318)</f>
        <v>23.682010513861549</v>
      </c>
      <c r="CB318" s="42">
        <f>AVERAGE(0.72,0.69,0.4,0.22)</f>
        <v>0.50750000000000006</v>
      </c>
      <c r="CC318">
        <f>CB318*((600/$BG318)^0.67)</f>
        <v>0.32850474326954232</v>
      </c>
      <c r="CD318">
        <f>CB318*((600/$BH318)^0.67)</f>
        <v>0.3268682084302692</v>
      </c>
      <c r="CE318">
        <f>CB318*((600/$BI318)^0.67)</f>
        <v>0.31492478327317053</v>
      </c>
      <c r="CF318" s="39">
        <f>CC318*($AM318-$BB318)</f>
        <v>18.768647211966108</v>
      </c>
      <c r="CG318" s="39">
        <f>CD318*($AD318-$BD318)</f>
        <v>0.11167379573677676</v>
      </c>
      <c r="CH318" s="39">
        <f>CE318*($AU318-$BF318)</f>
        <v>3.6676868534058258</v>
      </c>
      <c r="CI318">
        <v>141.86263901889501</v>
      </c>
      <c r="CJ318">
        <f>((BG318/BH318)^0.67)*CI318</f>
        <v>141.1559120814542</v>
      </c>
      <c r="CK318">
        <f>((BH318/BH318)^0.67)*CI318</f>
        <v>141.86263901889501</v>
      </c>
      <c r="CL318">
        <f>((BI318/BH318)^0.67)*CI318</f>
        <v>147.2427357966103</v>
      </c>
      <c r="CM318" s="39">
        <f>CJ318*($AM318-$BB318)</f>
        <v>8064.7405251203008</v>
      </c>
      <c r="CN318" s="39">
        <f>CK318*($AD318-$BD318)</f>
        <v>48.467054806450605</v>
      </c>
      <c r="CO318" s="39">
        <f>CL318*($AU318-$BF318)</f>
        <v>1714.8229514610666</v>
      </c>
      <c r="CP318" s="27">
        <f>VLOOKUP(A318,Water!$A$2:$E$109, 5, FALSE)/1000</f>
        <v>1.1899999999999999E-3</v>
      </c>
      <c r="CQ318">
        <f>0.64*CP318</f>
        <v>7.6159999999999997E-4</v>
      </c>
      <c r="CR318" s="19">
        <f>CQ318*1000*(2.5*10^-5)</f>
        <v>1.9040000000000001E-5</v>
      </c>
      <c r="CS318" s="18">
        <f>(-0.0000009*F318^3)+(0.0002*F318^2)-(0.0134*F318)+6.579</f>
        <v>6.4820717688</v>
      </c>
      <c r="CT318" s="18">
        <f>CS318-(SQRT(CP318))/(1+1.4*SQRT(CP318))</f>
        <v>6.4491646395905109</v>
      </c>
      <c r="CU318" s="18">
        <f>10^(-CT318)</f>
        <v>3.5549652547291726E-7</v>
      </c>
      <c r="CV318" s="18">
        <f>(0.000001*F318^3)+(0.00006*F318^2)-(0.014*F318)+10.625</f>
        <v>10.514785767999999</v>
      </c>
      <c r="CW318" s="18">
        <f>CV318-(2*SQRT(CR318))/(1+1.4*SQRT(CR318))</f>
        <v>10.506111786609184</v>
      </c>
      <c r="CX318" s="18">
        <f>10^(-CW318)</f>
        <v>3.1180868909019839E-11</v>
      </c>
      <c r="CY318">
        <f>EXP(1246.98+-61900/H318-183*LN(H318))</f>
        <v>6.2363420942361143E-3</v>
      </c>
      <c r="CZ318">
        <f>12.225*(F318^2)+15.258*F318+1125.7</f>
        <v>2072.8245999999999</v>
      </c>
      <c r="DA318" s="15">
        <f>10^(-4470.99/H318+6.0875-0.01706*H318)</f>
        <v>2.4915285739882026E-15</v>
      </c>
      <c r="DB318">
        <f>(10^-I318)</f>
        <v>5.2480746024977305E-9</v>
      </c>
      <c r="DC318">
        <f>DB318^2</f>
        <v>2.7542287033381713E-17</v>
      </c>
      <c r="DD318" s="20">
        <f>((14.6836*10^-9)*((H318/217.2056)-1)^1.997)*100*100</f>
        <v>1.2852781966109816E-5</v>
      </c>
      <c r="DE318">
        <f>CY318+CZ318*DA318/DB318</f>
        <v>7.2204176097228241E-3</v>
      </c>
      <c r="DF318">
        <f>1+DC318*(CU318*CX318+CU318*DB318)^-1</f>
        <v>1.0146754680379173</v>
      </c>
      <c r="DG318">
        <f>(DE318*DF318/DD318)^0.5</f>
        <v>23.875153281333489</v>
      </c>
      <c r="DH318">
        <f>DD318/(BO318/60/60)</f>
        <v>3.189353265023593E-2</v>
      </c>
      <c r="DI318" s="16">
        <f>DF318/((DF318-1)+TANH(DG318*DH318)/(DG318*DH318))</f>
        <v>1.1830083865139485</v>
      </c>
      <c r="DJ318">
        <f>$DI318*BR318</f>
        <v>98.056449693775264</v>
      </c>
      <c r="DK318">
        <f>$DI318*BY318</f>
        <v>143.36631268260555</v>
      </c>
      <c r="DL318">
        <f>$DI318*CF318</f>
        <v>22.203467055277542</v>
      </c>
      <c r="DM318">
        <f>$DI318*CM318</f>
        <v>9540.6556762762211</v>
      </c>
    </row>
    <row r="319" spans="1:117" ht="15.75" x14ac:dyDescent="0.25">
      <c r="A319" s="52" t="s">
        <v>332</v>
      </c>
      <c r="B319" t="s">
        <v>340</v>
      </c>
      <c r="C319" s="68" t="s">
        <v>538</v>
      </c>
      <c r="D319" s="65">
        <v>43368</v>
      </c>
      <c r="E319" s="42" t="str">
        <f>A319&amp;D319</f>
        <v>62E43368</v>
      </c>
      <c r="F319" s="3">
        <f>VLOOKUP($E319,Water!$C$2:$E$90, 2, FALSE)</f>
        <v>8.1999999999999993</v>
      </c>
      <c r="G319" s="3">
        <f>VLOOKUP($E319,Water!$C$2:$E$90, 3, FALSE)</f>
        <v>2.71</v>
      </c>
      <c r="H319" s="1">
        <f>F319+273.15</f>
        <v>281.34999999999997</v>
      </c>
      <c r="I319" s="3">
        <f>VLOOKUP($E319,Water!$C$2:$F$90, 4, FALSE)</f>
        <v>8.2799999999999994</v>
      </c>
      <c r="J319">
        <f>10^(I319*-1)</f>
        <v>5.2480746024977305E-9</v>
      </c>
      <c r="K319" s="25">
        <f>VLOOKUP($E319,Atm!$D$2:$G$100, 2, FALSE)</f>
        <v>439.91218641854908</v>
      </c>
      <c r="L319" s="25">
        <f>VLOOKUP($E319,Atm!$D$2:$G$100, 3, FALSE)</f>
        <v>2.0405343881206348</v>
      </c>
      <c r="M319" s="25">
        <f>VLOOKUP($E319,Atm!$D$2:$G$100, 4, FALSE)</f>
        <v>0.31017886086011426</v>
      </c>
      <c r="N319" s="21">
        <f>VLOOKUP($C319,Raw!$B$2:$F$353, 3, FALSE)</f>
        <v>1501.628298653236</v>
      </c>
      <c r="O319" s="21">
        <f>VLOOKUP($C319,Raw!$B$2:$F$353, 4, FALSE)</f>
        <v>95.469118131662583</v>
      </c>
      <c r="P319" s="21">
        <f>VLOOKUP($C319,Raw!$B$2:$F$353, 5, FALSE)</f>
        <v>0.61473108085991413</v>
      </c>
      <c r="Q319" s="14">
        <v>60</v>
      </c>
      <c r="R319" s="25">
        <v>1140</v>
      </c>
      <c r="S319">
        <f>EXP(24.4543-(100/H319*(67.4509))-(4.8489*LN(H319/100))-(0.000544*G319))</f>
        <v>1.0705085123991829E-2</v>
      </c>
      <c r="T319" s="8">
        <f>EXP(-58.0931+90.5069*(100/H319)+22.294*LN(H319/100)+G319*(0.027766-0.025888*(H319/100)+0.0050578*(H319/100)^2)*G319)</f>
        <v>5.5039350712708386E-2</v>
      </c>
      <c r="U319" s="9">
        <f>(EXP(-67.1962+99.1624*(100/H319)+27.9015*LN(H319/100)+G319*(-0.072909+0.041674*(H319/100)-0.0064603*(H319/100)^2)*G319))</f>
        <v>4.3335498780011542E-2</v>
      </c>
      <c r="V319" s="9">
        <f>(EXP(-64.8539+100.252*(100/H319)+25.2049*LN(H319/100)+(-0.062544+0.035337*(H319/100)-0.0054699*(H319/100)^2)*G319))</f>
        <v>4.2166423079653292E-2</v>
      </c>
      <c r="W319" s="9">
        <f>(EXP(-68.8862+101.4956*(100/H319)+28.7314*LN(H319/100)+G319*(-0.076146+0.04397*(H319/100)-0.0068672*(H319/100)^2)))</f>
        <v>4.4622482373697689E-2</v>
      </c>
      <c r="X319">
        <f>N319*(AZ319-S319)</f>
        <v>1373.5238655051915</v>
      </c>
      <c r="Y319">
        <f>O319*(AZ319-S319)</f>
        <v>87.324614413685865</v>
      </c>
      <c r="Z319">
        <f>((Y319/10^6)*AZ319)/(0.082056*H319)</f>
        <v>3.5003094444342138E-6</v>
      </c>
      <c r="AA319">
        <f>(((L319/10^6)*AZ319)/(0.082056*H319))</f>
        <v>8.1792537400680993E-8</v>
      </c>
      <c r="AB319">
        <f>((Y319/10^6)*U319*1)/(0.082056*H319)</f>
        <v>1.6391670453689142E-7</v>
      </c>
      <c r="AC319">
        <f>(Z319*(Q319/1000))+(AB319*(R319/1000))</f>
        <v>3.9688360983810904E-7</v>
      </c>
      <c r="AD319" s="39">
        <f>((AC319-(AA319*(Q319/1000)))/(R319/1000))*1000000</f>
        <v>0.34383864701234051</v>
      </c>
      <c r="AE319" s="39">
        <f>(AD319/((U319*AZ319*1))*(0.0821*273.15))</f>
        <v>192.27739362878324</v>
      </c>
      <c r="AF319" s="39">
        <f>L319*U319*AZ319*1/(0.0821*273.15)</f>
        <v>3.6489707393689368E-3</v>
      </c>
      <c r="AG319" s="39">
        <f>AD319-AF319</f>
        <v>0.34018967627297159</v>
      </c>
      <c r="AH319" s="42">
        <f>P319*(AZ319-S319)</f>
        <v>0.56228815825205425</v>
      </c>
      <c r="AI319">
        <f>(((X319/10^6)*(Q319/1000))/(0.082056*H319))</f>
        <v>3.569687498080541E-6</v>
      </c>
      <c r="AJ319">
        <f>(((K319/10^6)*AZ319)*(Q319/1000))/(0.082056*H319)</f>
        <v>1.0580032614043059E-6</v>
      </c>
      <c r="AK319">
        <f>(X319/10^6)*T319*(R319/1000)</f>
        <v>8.6181562390229242E-5</v>
      </c>
      <c r="AL319">
        <f>AI319+AK319</f>
        <v>8.9751249888309781E-5</v>
      </c>
      <c r="AM319" s="39">
        <f>((AL319-AJ319)/(R319/1000))*1000000</f>
        <v>77.80109353237323</v>
      </c>
      <c r="AN319" s="39">
        <f>AM319/(T319*AZ319)</f>
        <v>1527.5146148278779</v>
      </c>
      <c r="AO319" s="39">
        <f>(K319*AZ319)*T319</f>
        <v>22.406102586086828</v>
      </c>
      <c r="AP319" s="39">
        <f>AM319-AO319</f>
        <v>55.394990946286399</v>
      </c>
      <c r="AQ319">
        <f>(((AH319/10^6)*(Q319/1000))/(0.082056*H319))</f>
        <v>1.4613455646748675E-9</v>
      </c>
      <c r="AR319">
        <f>(((M319/10^6)*AZ319)*(Q319/1000))/(0.082056*H319)</f>
        <v>7.4599035112075687E-10</v>
      </c>
      <c r="AS319">
        <f>(AH319/10^6)*V319*(R319/1000)</f>
        <v>2.7029035625830083E-8</v>
      </c>
      <c r="AT319">
        <f>AQ319+AS319</f>
        <v>2.8490381190504951E-8</v>
      </c>
      <c r="AU319" s="39">
        <f>((AT319-AR319)/(R319/1000))*1000000000</f>
        <v>24.337184946828241</v>
      </c>
      <c r="AV319" s="39">
        <f>(AU319/1000)/(V319*AZ319)</f>
        <v>0.62370116516084717</v>
      </c>
      <c r="AW319" s="39">
        <f>(M319*AZ319)*V319*1000</f>
        <v>12.103360912276495</v>
      </c>
      <c r="AX319" s="39">
        <f>AU319-AW319</f>
        <v>12.233824034551747</v>
      </c>
      <c r="AY319" s="26">
        <f>VLOOKUP($E319,Water!$C$2:$G$90, 5, FALSE)</f>
        <v>703.3</v>
      </c>
      <c r="AZ319">
        <f>AY319/760</f>
        <v>0.92539473684210516</v>
      </c>
      <c r="BA319" s="3">
        <f>Assumptions!$B$3</f>
        <v>406.07</v>
      </c>
      <c r="BB319" s="3">
        <f>BA319*AZ319*T319</f>
        <v>20.682414259094138</v>
      </c>
      <c r="BC319" s="3">
        <f>Assumptions!$B$4</f>
        <v>1.8474300000000001</v>
      </c>
      <c r="BD319" s="45">
        <f>BC319*AZ319*U319*1/(0.0821*273.15)</f>
        <v>3.3036532254872336E-3</v>
      </c>
      <c r="BE319" s="3">
        <f>Assumptions!$B$2</f>
        <v>0.33054499999999998</v>
      </c>
      <c r="BF319" s="44">
        <f>BE319*AZ319*V319*1000</f>
        <v>12.898059595855852</v>
      </c>
      <c r="BG319">
        <f>1923.6+(-125.06*F319)+(4.3773*(F319^2))+(-0.085681*(F319^3))+(0.00070284*(F319^4))</f>
        <v>1148.373582969984</v>
      </c>
      <c r="BH319">
        <f>1909.4+(-120.78*F319)+(4.1555*(F319^2))+(-0.080578*(F319^3))+(0.00065777*(F319^4))</f>
        <v>1156.965610596752</v>
      </c>
      <c r="BI319">
        <f>2141.2+(-152.56*F319)+(5.8963*(F319^2))+(-0.12411*(F319^3))+(0.0010655*(F319^4))</f>
        <v>1223.0622868727999</v>
      </c>
      <c r="BJ319" s="25">
        <f>VLOOKUP(E319,Wind!$C$2:$E$109,3, FALSE)</f>
        <v>2.4166666666666665</v>
      </c>
      <c r="BK319" s="44">
        <v>1.66</v>
      </c>
      <c r="BL319">
        <f>BK319/(1-(((1.3*10^-3)^0.5)/0.41)*LN(10/1.5))</f>
        <v>1.9923982880693825</v>
      </c>
      <c r="BM319">
        <f>BK319*1.22</f>
        <v>2.0251999999999999</v>
      </c>
      <c r="BN319">
        <f>2.07+0.215*(BM319^1.7)*(24/100)</f>
        <v>2.241255750541113</v>
      </c>
      <c r="BO319">
        <f>BN319*((600/BG319)^0.67)</f>
        <v>1.4507648176017609</v>
      </c>
      <c r="BP319">
        <f>BN319*((600/BH319)^0.67)</f>
        <v>1.4435374419968705</v>
      </c>
      <c r="BQ319">
        <f>BN319*((600/BI319)^0.67)</f>
        <v>1.3907920817712456</v>
      </c>
      <c r="BR319" s="39">
        <f>BO319*(AM319-BB319)</f>
        <v>82.865770317552219</v>
      </c>
      <c r="BS319" s="39">
        <f>BP319*(AD319-BD319)</f>
        <v>0.49157501384149432</v>
      </c>
      <c r="BT319" s="39">
        <f>BQ319*(AU319-BF319)</f>
        <v>15.909444960521119</v>
      </c>
      <c r="BU319">
        <f>(2.51+1.48*BM319)+(0.39*BM319*LOG10(0.0015))</f>
        <v>3.2768938069574309</v>
      </c>
      <c r="BV319">
        <f>BU319*((600/$BG319)^0.67)</f>
        <v>2.1211333177854264</v>
      </c>
      <c r="BW319">
        <f>BU319*((600/$BH319)^0.67)</f>
        <v>2.1105663209781667</v>
      </c>
      <c r="BX319">
        <f>BU319*((600/$BI319)^0.67)</f>
        <v>2.0334484176655439</v>
      </c>
      <c r="BY319" s="39">
        <f>BV319*($AM319-$BB319)</f>
        <v>121.15633367445214</v>
      </c>
      <c r="BZ319" s="39">
        <f>BW319*($AD319-$BD319)</f>
        <v>0.71872168900104172</v>
      </c>
      <c r="CA319" s="39">
        <f>BX319*($AU319-$BF319)</f>
        <v>23.260871344412614</v>
      </c>
      <c r="CB319" s="42">
        <f>AVERAGE(0.72,0.69,0.4,0.22)</f>
        <v>0.50750000000000006</v>
      </c>
      <c r="CC319">
        <f>CB319*((600/$BG319)^0.67)</f>
        <v>0.32850474326954232</v>
      </c>
      <c r="CD319">
        <f>CB319*((600/$BH319)^0.67)</f>
        <v>0.3268682084302692</v>
      </c>
      <c r="CE319">
        <f>CB319*((600/$BI319)^0.67)</f>
        <v>0.31492478327317053</v>
      </c>
      <c r="CF319" s="39">
        <f>CC319*($AM319-$BB319)</f>
        <v>18.763757070563877</v>
      </c>
      <c r="CG319" s="39">
        <f>CD319*($AD319-$BD319)</f>
        <v>0.11131006332692157</v>
      </c>
      <c r="CH319" s="39">
        <f>CE319*($AU319-$BF319)</f>
        <v>3.6024640719896106</v>
      </c>
      <c r="CI319">
        <v>142.86263901889501</v>
      </c>
      <c r="CJ319">
        <f>((BG319/BH319)^0.67)*CI319</f>
        <v>142.15093031217143</v>
      </c>
      <c r="CK319">
        <f>((BH319/BH319)^0.67)*CI319</f>
        <v>142.86263901889501</v>
      </c>
      <c r="CL319">
        <f>((BI319/BH319)^0.67)*CI319</f>
        <v>148.28066048781105</v>
      </c>
      <c r="CM319" s="39">
        <f>CJ319*($AM319-$BB319)</f>
        <v>8119.4733968991668</v>
      </c>
      <c r="CN319" s="39">
        <f>CK319*($AD319-$BD319)</f>
        <v>48.649727890672871</v>
      </c>
      <c r="CO319" s="39">
        <f>CL319*($AU319-$BF319)</f>
        <v>1696.2010624450493</v>
      </c>
      <c r="CP319" s="27">
        <f>VLOOKUP(A319,Water!$A$2:$E$109, 5, FALSE)/1000</f>
        <v>1.1899999999999999E-3</v>
      </c>
      <c r="CQ319">
        <f>0.64*CP319</f>
        <v>7.6159999999999997E-4</v>
      </c>
      <c r="CR319" s="19">
        <f>CQ319*1000*(2.5*10^-5)</f>
        <v>1.9040000000000001E-5</v>
      </c>
      <c r="CS319" s="18">
        <f>(-0.0000009*F319^3)+(0.0002*F319^2)-(0.0134*F319)+6.579</f>
        <v>6.4820717688</v>
      </c>
      <c r="CT319" s="18">
        <f>CS319-(SQRT(CP319))/(1+1.4*SQRT(CP319))</f>
        <v>6.4491646395905109</v>
      </c>
      <c r="CU319" s="18">
        <f>10^(-CT319)</f>
        <v>3.5549652547291726E-7</v>
      </c>
      <c r="CV319" s="18">
        <f>(0.000001*F319^3)+(0.00006*F319^2)-(0.014*F319)+10.625</f>
        <v>10.514785767999999</v>
      </c>
      <c r="CW319" s="18">
        <f>CV319-(2*SQRT(CR319))/(1+1.4*SQRT(CR319))</f>
        <v>10.506111786609184</v>
      </c>
      <c r="CX319" s="18">
        <f>10^(-CW319)</f>
        <v>3.1180868909019839E-11</v>
      </c>
      <c r="CY319">
        <f>EXP(1246.98+-61900/H319-183*LN(H319))</f>
        <v>6.2363420942361143E-3</v>
      </c>
      <c r="CZ319">
        <f>12.225*(F319^2)+15.258*F319+1125.7</f>
        <v>2072.8245999999999</v>
      </c>
      <c r="DA319" s="15">
        <f>10^(-4470.99/H319+6.0875-0.01706*H319)</f>
        <v>2.4915285739882026E-15</v>
      </c>
      <c r="DB319">
        <f>(10^-I319)</f>
        <v>5.2480746024977305E-9</v>
      </c>
      <c r="DC319">
        <f>DB319^2</f>
        <v>2.7542287033381713E-17</v>
      </c>
      <c r="DD319" s="20">
        <f>((14.6836*10^-9)*((H319/217.2056)-1)^1.997)*100*100</f>
        <v>1.2852781966109816E-5</v>
      </c>
      <c r="DE319">
        <f>CY319+CZ319*DA319/DB319</f>
        <v>7.2204176097228241E-3</v>
      </c>
      <c r="DF319">
        <f>1+DC319*(CU319*CX319+CU319*DB319)^-1</f>
        <v>1.0146754680379173</v>
      </c>
      <c r="DG319">
        <f>(DE319*DF319/DD319)^0.5</f>
        <v>23.875153281333489</v>
      </c>
      <c r="DH319">
        <f>DD319/(BO319/60/60)</f>
        <v>3.189353265023593E-2</v>
      </c>
      <c r="DI319" s="16">
        <f>DF319/((DF319-1)+TANH(DG319*DH319)/(DG319*DH319))</f>
        <v>1.1830083865139485</v>
      </c>
      <c r="DJ319">
        <f>$DI319*BR319</f>
        <v>98.030901240602887</v>
      </c>
      <c r="DK319">
        <f>$DI319*BY319</f>
        <v>143.3289588161592</v>
      </c>
      <c r="DL319">
        <f>$DI319*CF319</f>
        <v>22.197681976987464</v>
      </c>
      <c r="DM319">
        <f>$DI319*CM319</f>
        <v>9605.4051226086121</v>
      </c>
    </row>
    <row r="320" spans="1:117" ht="15.75" x14ac:dyDescent="0.25">
      <c r="A320" s="52" t="s">
        <v>332</v>
      </c>
      <c r="B320" t="s">
        <v>341</v>
      </c>
      <c r="C320" s="68" t="s">
        <v>539</v>
      </c>
      <c r="D320" s="65">
        <v>43368</v>
      </c>
      <c r="E320" s="42" t="str">
        <f>A320&amp;D320</f>
        <v>62E43368</v>
      </c>
      <c r="F320" s="3">
        <f>VLOOKUP($E320,Water!$C$2:$E$90, 2, FALSE)</f>
        <v>8.1999999999999993</v>
      </c>
      <c r="G320" s="3">
        <f>VLOOKUP($E320,Water!$C$2:$E$90, 3, FALSE)</f>
        <v>2.71</v>
      </c>
      <c r="H320" s="1">
        <f>F320+273.15</f>
        <v>281.34999999999997</v>
      </c>
      <c r="I320" s="3">
        <f>VLOOKUP($E320,Water!$C$2:$F$90, 4, FALSE)</f>
        <v>8.2799999999999994</v>
      </c>
      <c r="J320">
        <f>10^(I320*-1)</f>
        <v>5.2480746024977305E-9</v>
      </c>
      <c r="K320" s="25">
        <f>VLOOKUP($E320,Atm!$D$2:$G$100, 2, FALSE)</f>
        <v>439.91218641854908</v>
      </c>
      <c r="L320" s="25">
        <f>VLOOKUP($E320,Atm!$D$2:$G$100, 3, FALSE)</f>
        <v>2.0405343881206348</v>
      </c>
      <c r="M320" s="25">
        <f>VLOOKUP($E320,Atm!$D$2:$G$100, 4, FALSE)</f>
        <v>0.31017886086011426</v>
      </c>
      <c r="N320" s="21">
        <f>VLOOKUP($C320,Raw!$B$2:$F$353, 3, FALSE)</f>
        <v>1501.54842006235</v>
      </c>
      <c r="O320" s="21">
        <f>VLOOKUP($C320,Raw!$B$2:$F$353, 4, FALSE)</f>
        <v>100.21102601414179</v>
      </c>
      <c r="P320" s="21">
        <f>VLOOKUP($C320,Raw!$B$2:$F$353, 5, FALSE)</f>
        <v>0.78434717324361447</v>
      </c>
      <c r="Q320" s="14">
        <v>60</v>
      </c>
      <c r="R320" s="25">
        <v>1140</v>
      </c>
      <c r="S320">
        <f>EXP(24.4543-(100/H320*(67.4509))-(4.8489*LN(H320/100))-(0.000544*G320))</f>
        <v>1.0705085123991829E-2</v>
      </c>
      <c r="T320" s="8">
        <f>EXP(-58.0931+90.5069*(100/H320)+22.294*LN(H320/100)+G320*(0.027766-0.025888*(H320/100)+0.0050578*(H320/100)^2)*G320)</f>
        <v>5.5039350712708386E-2</v>
      </c>
      <c r="U320" s="9">
        <f>(EXP(-67.1962+99.1624*(100/H320)+27.9015*LN(H320/100)+G320*(-0.072909+0.041674*(H320/100)-0.0064603*(H320/100)^2)*G320))</f>
        <v>4.3335498780011542E-2</v>
      </c>
      <c r="V320" s="9">
        <f>(EXP(-64.8539+100.252*(100/H320)+25.2049*LN(H320/100)+(-0.062544+0.035337*(H320/100)-0.0054699*(H320/100)^2)*G320))</f>
        <v>4.2166423079653292E-2</v>
      </c>
      <c r="W320" s="9">
        <f>(EXP(-68.8862+101.4956*(100/H320)+28.7314*LN(H320/100)+G320*(-0.076146+0.04397*(H320/100)-0.0068672*(H320/100)^2)))</f>
        <v>4.4622482373697689E-2</v>
      </c>
      <c r="X320">
        <f>N320*(AZ320-S320)</f>
        <v>1373.4508013847144</v>
      </c>
      <c r="Y320">
        <f>O320*(AZ320-S320)</f>
        <v>91.661988483190157</v>
      </c>
      <c r="Z320">
        <f>((Y320/10^6)*AZ320)/(0.082056*H320)</f>
        <v>3.6741682300866422E-6</v>
      </c>
      <c r="AA320">
        <f>(((L320/10^6)*AZ320)/(0.082056*H320))</f>
        <v>8.1792537400680993E-8</v>
      </c>
      <c r="AB320">
        <f>((Y320/10^6)*U320*1)/(0.082056*H320)</f>
        <v>1.7205837305258412E-7</v>
      </c>
      <c r="AC320">
        <f>(Z320*(Q320/1000))+(AB320*(R320/1000))</f>
        <v>4.1659663908514444E-7</v>
      </c>
      <c r="AD320" s="39">
        <f>((AC320-(AA320*(Q320/1000)))/(R320/1000))*1000000</f>
        <v>0.36113077793079268</v>
      </c>
      <c r="AE320" s="39">
        <f>(AD320/((U320*AZ320*1))*(0.0821*273.15))</f>
        <v>201.94729517178328</v>
      </c>
      <c r="AF320" s="39">
        <f>L320*U320*AZ320*1/(0.0821*273.15)</f>
        <v>3.6489707393689368E-3</v>
      </c>
      <c r="AG320" s="39">
        <f>AD320-AF320</f>
        <v>0.35748180719142375</v>
      </c>
      <c r="AH320" s="42">
        <f>P320*(AZ320-S320)</f>
        <v>0.71743424272028844</v>
      </c>
      <c r="AI320">
        <f>(((X320/10^6)*(Q320/1000))/(0.082056*H320))</f>
        <v>3.5694976098055902E-6</v>
      </c>
      <c r="AJ320">
        <f>(((K320/10^6)*AZ320)*(Q320/1000))/(0.082056*H320)</f>
        <v>1.0580032614043059E-6</v>
      </c>
      <c r="AK320">
        <f>(X320/10^6)*T320*(R320/1000)</f>
        <v>8.6176977992232591E-5</v>
      </c>
      <c r="AL320">
        <f>AI320+AK320</f>
        <v>8.9746475602038185E-5</v>
      </c>
      <c r="AM320" s="39">
        <f>((AL320-AJ320)/(R320/1000))*1000000</f>
        <v>77.796905561959548</v>
      </c>
      <c r="AN320" s="39">
        <f>AM320/(T320*AZ320)</f>
        <v>1527.4323899423023</v>
      </c>
      <c r="AO320" s="39">
        <f>(K320*AZ320)*T320</f>
        <v>22.406102586086828</v>
      </c>
      <c r="AP320" s="39">
        <f>AM320-AO320</f>
        <v>55.390802975872717</v>
      </c>
      <c r="AQ320">
        <f>(((AH320/10^6)*(Q320/1000))/(0.082056*H320))</f>
        <v>1.8645588265709054E-9</v>
      </c>
      <c r="AR320">
        <f>(((M320/10^6)*AZ320)*(Q320/1000))/(0.082056*H320)</f>
        <v>7.4599035112075687E-10</v>
      </c>
      <c r="AS320">
        <f>(AH320/10^6)*V320*(R320/1000)</f>
        <v>3.4486864823826759E-8</v>
      </c>
      <c r="AT320">
        <f>AQ320+AS320</f>
        <v>3.6351423650397661E-8</v>
      </c>
      <c r="AU320" s="39">
        <f>((AT320-AR320)/(R320/1000))*1000000000</f>
        <v>31.232836227435882</v>
      </c>
      <c r="AV320" s="39">
        <f>(AU320/1000)/(V320*AZ320)</f>
        <v>0.80041945643628831</v>
      </c>
      <c r="AW320" s="39">
        <f>(M320*AZ320)*V320*1000</f>
        <v>12.103360912276495</v>
      </c>
      <c r="AX320" s="39">
        <f>AU320-AW320</f>
        <v>19.129475315159389</v>
      </c>
      <c r="AY320" s="26">
        <f>VLOOKUP($E320,Water!$C$2:$G$90, 5, FALSE)</f>
        <v>703.3</v>
      </c>
      <c r="AZ320">
        <f>AY320/760</f>
        <v>0.92539473684210516</v>
      </c>
      <c r="BA320" s="3">
        <f>Assumptions!$B$3</f>
        <v>406.07</v>
      </c>
      <c r="BB320" s="3">
        <f>BA320*AZ320*T320</f>
        <v>20.682414259094138</v>
      </c>
      <c r="BC320" s="3">
        <f>Assumptions!$B$4</f>
        <v>1.8474300000000001</v>
      </c>
      <c r="BD320" s="45">
        <f>BC320*AZ320*U320*1/(0.0821*273.15)</f>
        <v>3.3036532254872336E-3</v>
      </c>
      <c r="BE320" s="3">
        <f>Assumptions!$B$2</f>
        <v>0.33054499999999998</v>
      </c>
      <c r="BF320" s="44">
        <f>BE320*AZ320*V320*1000</f>
        <v>12.898059595855852</v>
      </c>
      <c r="BG320">
        <f>1923.6+(-125.06*F320)+(4.3773*(F320^2))+(-0.085681*(F320^3))+(0.00070284*(F320^4))</f>
        <v>1148.373582969984</v>
      </c>
      <c r="BH320">
        <f>1909.4+(-120.78*F320)+(4.1555*(F320^2))+(-0.080578*(F320^3))+(0.00065777*(F320^4))</f>
        <v>1156.965610596752</v>
      </c>
      <c r="BI320">
        <f>2141.2+(-152.56*F320)+(5.8963*(F320^2))+(-0.12411*(F320^3))+(0.0010655*(F320^4))</f>
        <v>1223.0622868727999</v>
      </c>
      <c r="BJ320" s="25">
        <f>VLOOKUP(E320,Wind!$C$2:$E$109,3, FALSE)</f>
        <v>2.4166666666666665</v>
      </c>
      <c r="BK320" s="44">
        <v>1.66</v>
      </c>
      <c r="BL320">
        <f>BK320/(1-(((1.3*10^-3)^0.5)/0.41)*LN(10/1.5))</f>
        <v>1.9923982880693825</v>
      </c>
      <c r="BM320">
        <f>BK320*1.22</f>
        <v>2.0251999999999999</v>
      </c>
      <c r="BN320">
        <f>2.07+0.215*(BM320^1.7)*(24/100)</f>
        <v>2.241255750541113</v>
      </c>
      <c r="BO320">
        <f>BN320*((600/BG320)^0.67)</f>
        <v>1.4507648176017609</v>
      </c>
      <c r="BP320">
        <f>BN320*((600/BH320)^0.67)</f>
        <v>1.4435374419968705</v>
      </c>
      <c r="BQ320">
        <f>BN320*((600/BI320)^0.67)</f>
        <v>1.3907920817712456</v>
      </c>
      <c r="BR320" s="39">
        <f>BO320*(AM320-BB320)</f>
        <v>82.859694557418891</v>
      </c>
      <c r="BS320" s="39">
        <f>BP320*(AD320-BD320)</f>
        <v>0.51653685227419177</v>
      </c>
      <c r="BT320" s="39">
        <f>BQ320*(AU320-BF320)</f>
        <v>25.499862160245975</v>
      </c>
      <c r="BU320">
        <f>(2.51+1.48*BM320)+(0.39*BM320*LOG10(0.0015))</f>
        <v>3.2768938069574309</v>
      </c>
      <c r="BV320">
        <f>BU320*((600/$BG320)^0.67)</f>
        <v>2.1211333177854264</v>
      </c>
      <c r="BW320">
        <f>BU320*((600/$BH320)^0.67)</f>
        <v>2.1105663209781667</v>
      </c>
      <c r="BX320">
        <f>BU320*((600/$BI320)^0.67)</f>
        <v>2.0334484176655439</v>
      </c>
      <c r="BY320" s="39">
        <f>BV320*($AM320-$BB320)</f>
        <v>121.14745043087379</v>
      </c>
      <c r="BZ320" s="39">
        <f>BW320*($AD320-$BD320)</f>
        <v>0.75521787813547214</v>
      </c>
      <c r="CA320" s="39">
        <f>BX320*($AU320-$BF320)</f>
        <v>37.282822529737601</v>
      </c>
      <c r="CB320" s="42">
        <f>AVERAGE(0.72,0.69,0.4,0.22)</f>
        <v>0.50750000000000006</v>
      </c>
      <c r="CC320">
        <f>CB320*((600/$BG320)^0.67)</f>
        <v>0.32850474326954232</v>
      </c>
      <c r="CD320">
        <f>CB320*((600/$BH320)^0.67)</f>
        <v>0.3268682084302692</v>
      </c>
      <c r="CE320">
        <f>CB320*((600/$BI320)^0.67)</f>
        <v>0.31492478327317053</v>
      </c>
      <c r="CF320" s="39">
        <f>CC320*($AM320-$BB320)</f>
        <v>18.762381302418309</v>
      </c>
      <c r="CG320" s="39">
        <f>CD320*($AD320-$BD320)</f>
        <v>0.11696231118017771</v>
      </c>
      <c r="CH320" s="39">
        <f>CE320*($AU320-$BF320)</f>
        <v>5.774075557062333</v>
      </c>
      <c r="CI320">
        <v>143.86263901889501</v>
      </c>
      <c r="CJ320">
        <f>((BG320/BH320)^0.67)*CI320</f>
        <v>143.14594854288862</v>
      </c>
      <c r="CK320">
        <f>((BH320/BH320)^0.67)*CI320</f>
        <v>143.86263901889501</v>
      </c>
      <c r="CL320">
        <f>((BI320/BH320)^0.67)*CI320</f>
        <v>149.31858517901179</v>
      </c>
      <c r="CM320" s="39">
        <f>CJ320*($AM320-$BB320)</f>
        <v>8175.7080330932313</v>
      </c>
      <c r="CN320" s="39">
        <f>CK320*($AD320-$BD320)</f>
        <v>51.477954472648484</v>
      </c>
      <c r="CO320" s="39">
        <f>CL320*($AU320-$BF320)</f>
        <v>2737.7229062007377</v>
      </c>
      <c r="CP320" s="27">
        <f>VLOOKUP(A320,Water!$A$2:$E$109, 5, FALSE)/1000</f>
        <v>1.1899999999999999E-3</v>
      </c>
      <c r="CQ320">
        <f>0.64*CP320</f>
        <v>7.6159999999999997E-4</v>
      </c>
      <c r="CR320" s="19">
        <f>CQ320*1000*(2.5*10^-5)</f>
        <v>1.9040000000000001E-5</v>
      </c>
      <c r="CS320" s="18">
        <f>(-0.0000009*F320^3)+(0.0002*F320^2)-(0.0134*F320)+6.579</f>
        <v>6.4820717688</v>
      </c>
      <c r="CT320" s="18">
        <f>CS320-(SQRT(CP320))/(1+1.4*SQRT(CP320))</f>
        <v>6.4491646395905109</v>
      </c>
      <c r="CU320" s="18">
        <f>10^(-CT320)</f>
        <v>3.5549652547291726E-7</v>
      </c>
      <c r="CV320" s="18">
        <f>(0.000001*F320^3)+(0.00006*F320^2)-(0.014*F320)+10.625</f>
        <v>10.514785767999999</v>
      </c>
      <c r="CW320" s="18">
        <f>CV320-(2*SQRT(CR320))/(1+1.4*SQRT(CR320))</f>
        <v>10.506111786609184</v>
      </c>
      <c r="CX320" s="18">
        <f>10^(-CW320)</f>
        <v>3.1180868909019839E-11</v>
      </c>
      <c r="CY320">
        <f>EXP(1246.98+-61900/H320-183*LN(H320))</f>
        <v>6.2363420942361143E-3</v>
      </c>
      <c r="CZ320">
        <f>12.225*(F320^2)+15.258*F320+1125.7</f>
        <v>2072.8245999999999</v>
      </c>
      <c r="DA320" s="15">
        <f>10^(-4470.99/H320+6.0875-0.01706*H320)</f>
        <v>2.4915285739882026E-15</v>
      </c>
      <c r="DB320">
        <f>(10^-I320)</f>
        <v>5.2480746024977305E-9</v>
      </c>
      <c r="DC320">
        <f>DB320^2</f>
        <v>2.7542287033381713E-17</v>
      </c>
      <c r="DD320" s="20">
        <f>((14.6836*10^-9)*((H320/217.2056)-1)^1.997)*100*100</f>
        <v>1.2852781966109816E-5</v>
      </c>
      <c r="DE320">
        <f>CY320+CZ320*DA320/DB320</f>
        <v>7.2204176097228241E-3</v>
      </c>
      <c r="DF320">
        <f>1+DC320*(CU320*CX320+CU320*DB320)^-1</f>
        <v>1.0146754680379173</v>
      </c>
      <c r="DG320">
        <f>(DE320*DF320/DD320)^0.5</f>
        <v>23.875153281333489</v>
      </c>
      <c r="DH320">
        <f>DD320/(BO320/60/60)</f>
        <v>3.189353265023593E-2</v>
      </c>
      <c r="DI320" s="16">
        <f>DF320/((DF320-1)+TANH(DG320*DH320)/(DG320*DH320))</f>
        <v>1.1830083865139485</v>
      </c>
      <c r="DJ320">
        <f>$DI320*BR320</f>
        <v>98.023713565410716</v>
      </c>
      <c r="DK320">
        <f>$DI320*BY320</f>
        <v>143.31844986450656</v>
      </c>
      <c r="DL320">
        <f>$DI320*CF320</f>
        <v>22.196054431733359</v>
      </c>
      <c r="DM320">
        <f>$DI320*CM320</f>
        <v>9671.9311688387515</v>
      </c>
    </row>
    <row r="321" spans="1:117" ht="15.75" x14ac:dyDescent="0.25">
      <c r="A321" s="52" t="s">
        <v>332</v>
      </c>
      <c r="B321" t="s">
        <v>342</v>
      </c>
      <c r="C321" s="68" t="s">
        <v>540</v>
      </c>
      <c r="D321" s="65">
        <v>43368</v>
      </c>
      <c r="E321" s="42" t="str">
        <f>A321&amp;D321</f>
        <v>62E43368</v>
      </c>
      <c r="F321" s="3">
        <f>VLOOKUP($E321,Water!$C$2:$E$90, 2, FALSE)</f>
        <v>8.1999999999999993</v>
      </c>
      <c r="G321" s="3">
        <f>VLOOKUP($E321,Water!$C$2:$E$90, 3, FALSE)</f>
        <v>2.71</v>
      </c>
      <c r="H321" s="1">
        <f>F321+273.15</f>
        <v>281.34999999999997</v>
      </c>
      <c r="I321" s="3">
        <f>VLOOKUP($E321,Water!$C$2:$F$90, 4, FALSE)</f>
        <v>8.2799999999999994</v>
      </c>
      <c r="J321">
        <f>10^(I321*-1)</f>
        <v>5.2480746024977305E-9</v>
      </c>
      <c r="K321" s="25">
        <f>VLOOKUP($E321,Atm!$D$2:$G$100, 2, FALSE)</f>
        <v>439.91218641854908</v>
      </c>
      <c r="L321" s="25">
        <f>VLOOKUP($E321,Atm!$D$2:$G$100, 3, FALSE)</f>
        <v>2.0405343881206348</v>
      </c>
      <c r="M321" s="25">
        <f>VLOOKUP($E321,Atm!$D$2:$G$100, 4, FALSE)</f>
        <v>0.31017886086011426</v>
      </c>
      <c r="N321" s="21">
        <f>VLOOKUP($C321,Raw!$B$2:$F$353, 3, FALSE)</f>
        <v>1469.583515164762</v>
      </c>
      <c r="O321" s="21">
        <f>VLOOKUP($C321,Raw!$B$2:$F$353, 4, FALSE)</f>
        <v>95.334576990480556</v>
      </c>
      <c r="P321" s="21">
        <f>VLOOKUP($C321,Raw!$B$2:$F$353, 5, FALSE)</f>
        <v>0.5987258827598092</v>
      </c>
      <c r="Q321" s="14">
        <v>60</v>
      </c>
      <c r="R321" s="25">
        <v>1140</v>
      </c>
      <c r="S321">
        <f>EXP(24.4543-(100/H321*(67.4509))-(4.8489*LN(H321/100))-(0.000544*G321))</f>
        <v>1.0705085123991829E-2</v>
      </c>
      <c r="T321" s="8">
        <f>EXP(-58.0931+90.5069*(100/H321)+22.294*LN(H321/100)+G321*(0.027766-0.025888*(H321/100)+0.0050578*(H321/100)^2)*G321)</f>
        <v>5.5039350712708386E-2</v>
      </c>
      <c r="U321" s="9">
        <f>(EXP(-67.1962+99.1624*(100/H321)+27.9015*LN(H321/100)+G321*(-0.072909+0.041674*(H321/100)-0.0064603*(H321/100)^2)*G321))</f>
        <v>4.3335498780011542E-2</v>
      </c>
      <c r="V321" s="9">
        <f>(EXP(-64.8539+100.252*(100/H321)+25.2049*LN(H321/100)+(-0.062544+0.035337*(H321/100)-0.0054699*(H321/100)^2)*G321))</f>
        <v>4.2166423079653292E-2</v>
      </c>
      <c r="W321" s="9">
        <f>(EXP(-68.8862+101.4956*(100/H321)+28.7314*LN(H321/100)+G321*(-0.076146+0.04397*(H321/100)-0.0068672*(H321/100)^2)))</f>
        <v>4.4622482373697689E-2</v>
      </c>
      <c r="X321">
        <f>N321*(AZ321-S321)</f>
        <v>1344.2128336567368</v>
      </c>
      <c r="Y321">
        <f>O321*(AZ321-S321)</f>
        <v>87.201551024116327</v>
      </c>
      <c r="Z321">
        <f>((Y321/10^6)*AZ321)/(0.082056*H321)</f>
        <v>3.4953765861826597E-6</v>
      </c>
      <c r="AA321">
        <f>(((L321/10^6)*AZ321)/(0.082056*H321))</f>
        <v>8.1792537400680993E-8</v>
      </c>
      <c r="AB321">
        <f>((Y321/10^6)*U321*1)/(0.082056*H321)</f>
        <v>1.6368570271223046E-7</v>
      </c>
      <c r="AC321">
        <f>(Z321*(Q321/1000))+(AB321*(R321/1000))</f>
        <v>3.9632429626290226E-7</v>
      </c>
      <c r="AD321" s="39">
        <f>((AC321-(AA321*(Q321/1000)))/(R321/1000))*1000000</f>
        <v>0.34334802106917667</v>
      </c>
      <c r="AE321" s="39">
        <f>(AD321/((U321*AZ321*1))*(0.0821*273.15))</f>
        <v>192.00303157431989</v>
      </c>
      <c r="AF321" s="39">
        <f>L321*U321*AZ321*1/(0.0821*273.15)</f>
        <v>3.6489707393689368E-3</v>
      </c>
      <c r="AG321" s="39">
        <f>AD321-AF321</f>
        <v>0.33969905032980774</v>
      </c>
      <c r="AH321" s="42">
        <f>P321*(AZ321-S321)</f>
        <v>0.54764836917618986</v>
      </c>
      <c r="AI321">
        <f>(((X321/10^6)*(Q321/1000))/(0.082056*H321))</f>
        <v>3.4935102822541632E-6</v>
      </c>
      <c r="AJ321">
        <f>(((K321/10^6)*AZ321)*(Q321/1000))/(0.082056*H321)</f>
        <v>1.0580032614043059E-6</v>
      </c>
      <c r="AK321">
        <f>(X321/10^6)*T321*(R321/1000)</f>
        <v>8.4342445805938606E-5</v>
      </c>
      <c r="AL321">
        <f>AI321+AK321</f>
        <v>8.7835956088192762E-5</v>
      </c>
      <c r="AM321" s="39">
        <f>((AL321-AJ321)/(R321/1000))*1000000</f>
        <v>76.121011251568831</v>
      </c>
      <c r="AN321" s="39">
        <f>AM321/(T321*AZ321)</f>
        <v>1494.5285715536377</v>
      </c>
      <c r="AO321" s="39">
        <f>(K321*AZ321)*T321</f>
        <v>22.406102586086828</v>
      </c>
      <c r="AP321" s="39">
        <f>AM321-AO321</f>
        <v>53.714908665482</v>
      </c>
      <c r="AQ321">
        <f>(((AH321/10^6)*(Q321/1000))/(0.082056*H321))</f>
        <v>1.4232978296837995E-9</v>
      </c>
      <c r="AR321">
        <f>(((M321/10^6)*AZ321)*(Q321/1000))/(0.082056*H321)</f>
        <v>7.4599035112075687E-10</v>
      </c>
      <c r="AS321">
        <f>(AH321/10^6)*V321*(R321/1000)</f>
        <v>2.6325305030264531E-8</v>
      </c>
      <c r="AT321">
        <f>AQ321+AS321</f>
        <v>2.7748602859948332E-8</v>
      </c>
      <c r="AU321" s="39">
        <f>((AT321-AR321)/(R321/1000))*1000000000</f>
        <v>23.686502200725947</v>
      </c>
      <c r="AV321" s="39">
        <f>(AU321/1000)/(V321*AZ321)</f>
        <v>0.60702579420974012</v>
      </c>
      <c r="AW321" s="39">
        <f>(M321*AZ321)*V321*1000</f>
        <v>12.103360912276495</v>
      </c>
      <c r="AX321" s="39">
        <f>AU321-AW321</f>
        <v>11.583141288449452</v>
      </c>
      <c r="AY321" s="26">
        <f>VLOOKUP($E321,Water!$C$2:$G$90, 5, FALSE)</f>
        <v>703.3</v>
      </c>
      <c r="AZ321">
        <f>AY321/760</f>
        <v>0.92539473684210516</v>
      </c>
      <c r="BA321" s="3">
        <f>Assumptions!$B$3</f>
        <v>406.07</v>
      </c>
      <c r="BB321" s="3">
        <f>BA321*AZ321*T321</f>
        <v>20.682414259094138</v>
      </c>
      <c r="BC321" s="3">
        <f>Assumptions!$B$4</f>
        <v>1.8474300000000001</v>
      </c>
      <c r="BD321" s="45">
        <f>BC321*AZ321*U321*1/(0.0821*273.15)</f>
        <v>3.3036532254872336E-3</v>
      </c>
      <c r="BE321" s="3">
        <f>Assumptions!$B$2</f>
        <v>0.33054499999999998</v>
      </c>
      <c r="BF321" s="44">
        <f>BE321*AZ321*V321*1000</f>
        <v>12.898059595855852</v>
      </c>
      <c r="BG321">
        <f>1923.6+(-125.06*F321)+(4.3773*(F321^2))+(-0.085681*(F321^3))+(0.00070284*(F321^4))</f>
        <v>1148.373582969984</v>
      </c>
      <c r="BH321">
        <f>1909.4+(-120.78*F321)+(4.1555*(F321^2))+(-0.080578*(F321^3))+(0.00065777*(F321^4))</f>
        <v>1156.965610596752</v>
      </c>
      <c r="BI321">
        <f>2141.2+(-152.56*F321)+(5.8963*(F321^2))+(-0.12411*(F321^3))+(0.0010655*(F321^4))</f>
        <v>1223.0622868727999</v>
      </c>
      <c r="BJ321" s="25">
        <f>VLOOKUP(E321,Wind!$C$2:$E$109,3, FALSE)</f>
        <v>2.4166666666666665</v>
      </c>
      <c r="BK321" s="44">
        <v>1.66</v>
      </c>
      <c r="BL321">
        <f>BK321/(1-(((1.3*10^-3)^0.5)/0.41)*LN(10/1.5))</f>
        <v>1.9923982880693825</v>
      </c>
      <c r="BM321">
        <f>BK321*1.22</f>
        <v>2.0251999999999999</v>
      </c>
      <c r="BN321">
        <f>2.07+0.215*(BM321^1.7)*(24/100)</f>
        <v>2.241255750541113</v>
      </c>
      <c r="BO321">
        <f>BN321*((600/BG321)^0.67)</f>
        <v>1.4507648176017609</v>
      </c>
      <c r="BP321">
        <f>BN321*((600/BH321)^0.67)</f>
        <v>1.4435374419968705</v>
      </c>
      <c r="BQ321">
        <f>BN321*((600/BI321)^0.67)</f>
        <v>1.3907920817712456</v>
      </c>
      <c r="BR321" s="39">
        <f>BO321*(AM321-BB321)</f>
        <v>80.428366053885085</v>
      </c>
      <c r="BS321" s="39">
        <f>BP321*(AD321-BD321)</f>
        <v>0.49086677692252229</v>
      </c>
      <c r="BT321" s="39">
        <f>BQ321*(AU321-BF321)</f>
        <v>15.004480549496879</v>
      </c>
      <c r="BU321">
        <f>(2.51+1.48*BM321)+(0.39*BM321*LOG10(0.0015))</f>
        <v>3.2768938069574309</v>
      </c>
      <c r="BV321">
        <f>BU321*((600/$BG321)^0.67)</f>
        <v>2.1211333177854264</v>
      </c>
      <c r="BW321">
        <f>BU321*((600/$BH321)^0.67)</f>
        <v>2.1105663209781667</v>
      </c>
      <c r="BX321">
        <f>BU321*((600/$BI321)^0.67)</f>
        <v>2.0334484176655439</v>
      </c>
      <c r="BY321" s="39">
        <f>BV321*($AM321-$BB321)</f>
        <v>117.592655172017</v>
      </c>
      <c r="BZ321" s="39">
        <f>BW321*($AD321-$BD321)</f>
        <v>0.71768619040920201</v>
      </c>
      <c r="CA321" s="39">
        <f>BX321*($AU321-$BF321)</f>
        <v>21.937741543948633</v>
      </c>
      <c r="CB321" s="42">
        <f>AVERAGE(0.72,0.69,0.4,0.22)</f>
        <v>0.50750000000000006</v>
      </c>
      <c r="CC321">
        <f>CB321*((600/$BG321)^0.67)</f>
        <v>0.32850474326954232</v>
      </c>
      <c r="CD321">
        <f>CB321*((600/$BH321)^0.67)</f>
        <v>0.3268682084302692</v>
      </c>
      <c r="CE321">
        <f>CB321*((600/$BI321)^0.67)</f>
        <v>0.31492478327317053</v>
      </c>
      <c r="CF321" s="39">
        <f>CC321*($AM321-$BB321)</f>
        <v>18.211842072236522</v>
      </c>
      <c r="CG321" s="39">
        <f>CD321*($AD321-$BD321)</f>
        <v>0.1111496933038702</v>
      </c>
      <c r="CH321" s="39">
        <f>CE321*($AU321-$BF321)</f>
        <v>3.3975479491937541</v>
      </c>
      <c r="CI321">
        <v>144.86263901889501</v>
      </c>
      <c r="CJ321">
        <f>((BG321/BH321)^0.67)*CI321</f>
        <v>144.14096677360584</v>
      </c>
      <c r="CK321">
        <f>((BH321/BH321)^0.67)*CI321</f>
        <v>144.86263901889501</v>
      </c>
      <c r="CL321">
        <f>((BI321/BH321)^0.67)*CI321</f>
        <v>150.35650987021256</v>
      </c>
      <c r="CM321" s="39">
        <f>CJ321*($AM321-$BB321)</f>
        <v>7990.9729670676197</v>
      </c>
      <c r="CN321" s="39">
        <f>CK321*($AD321-$BD321)</f>
        <v>49.259724509348729</v>
      </c>
      <c r="CO321" s="39">
        <f>CL321*($AU321-$BF321)</f>
        <v>1622.1125770033723</v>
      </c>
      <c r="CP321" s="27">
        <f>VLOOKUP(A321,Water!$A$2:$E$109, 5, FALSE)/1000</f>
        <v>1.1899999999999999E-3</v>
      </c>
      <c r="CQ321">
        <f>0.64*CP321</f>
        <v>7.6159999999999997E-4</v>
      </c>
      <c r="CR321" s="19">
        <f>CQ321*1000*(2.5*10^-5)</f>
        <v>1.9040000000000001E-5</v>
      </c>
      <c r="CS321" s="18">
        <f>(-0.0000009*F321^3)+(0.0002*F321^2)-(0.0134*F321)+6.579</f>
        <v>6.4820717688</v>
      </c>
      <c r="CT321" s="18">
        <f>CS321-(SQRT(CP321))/(1+1.4*SQRT(CP321))</f>
        <v>6.4491646395905109</v>
      </c>
      <c r="CU321" s="18">
        <f>10^(-CT321)</f>
        <v>3.5549652547291726E-7</v>
      </c>
      <c r="CV321" s="18">
        <f>(0.000001*F321^3)+(0.00006*F321^2)-(0.014*F321)+10.625</f>
        <v>10.514785767999999</v>
      </c>
      <c r="CW321" s="18">
        <f>CV321-(2*SQRT(CR321))/(1+1.4*SQRT(CR321))</f>
        <v>10.506111786609184</v>
      </c>
      <c r="CX321" s="18">
        <f>10^(-CW321)</f>
        <v>3.1180868909019839E-11</v>
      </c>
      <c r="CY321">
        <f>EXP(1246.98+-61900/H321-183*LN(H321))</f>
        <v>6.2363420942361143E-3</v>
      </c>
      <c r="CZ321">
        <f>12.225*(F321^2)+15.258*F321+1125.7</f>
        <v>2072.8245999999999</v>
      </c>
      <c r="DA321" s="15">
        <f>10^(-4470.99/H321+6.0875-0.01706*H321)</f>
        <v>2.4915285739882026E-15</v>
      </c>
      <c r="DB321">
        <f>(10^-I321)</f>
        <v>5.2480746024977305E-9</v>
      </c>
      <c r="DC321">
        <f>DB321^2</f>
        <v>2.7542287033381713E-17</v>
      </c>
      <c r="DD321" s="20">
        <f>((14.6836*10^-9)*((H321/217.2056)-1)^1.997)*100*100</f>
        <v>1.2852781966109816E-5</v>
      </c>
      <c r="DE321">
        <f>CY321+CZ321*DA321/DB321</f>
        <v>7.2204176097228241E-3</v>
      </c>
      <c r="DF321">
        <f>1+DC321*(CU321*CX321+CU321*DB321)^-1</f>
        <v>1.0146754680379173</v>
      </c>
      <c r="DG321">
        <f>(DE321*DF321/DD321)^0.5</f>
        <v>23.875153281333489</v>
      </c>
      <c r="DH321">
        <f>DD321/(BO321/60/60)</f>
        <v>3.189353265023593E-2</v>
      </c>
      <c r="DI321" s="16">
        <f>DF321/((DF321-1)+TANH(DG321*DH321)/(DG321*DH321))</f>
        <v>1.1830083865139485</v>
      </c>
      <c r="DJ321">
        <f>$DI321*BR321</f>
        <v>95.147431555359816</v>
      </c>
      <c r="DK321">
        <f>$DI321*BY321</f>
        <v>139.11309726093896</v>
      </c>
      <c r="DL321">
        <f>$DI321*CF321</f>
        <v>21.544761905323369</v>
      </c>
      <c r="DM321">
        <f>$DI321*CM321</f>
        <v>9453.3880364472443</v>
      </c>
    </row>
    <row r="322" spans="1:117" ht="15.75" x14ac:dyDescent="0.25">
      <c r="A322" s="52" t="s">
        <v>331</v>
      </c>
      <c r="B322" t="s">
        <v>339</v>
      </c>
      <c r="C322" s="64" t="s">
        <v>541</v>
      </c>
      <c r="D322" s="65">
        <v>43368</v>
      </c>
      <c r="E322" s="42" t="str">
        <f>A322&amp;D322</f>
        <v>62C43368</v>
      </c>
      <c r="F322" s="3">
        <f>VLOOKUP($E322,Water!$C$2:$E$90, 2, FALSE)</f>
        <v>7.8</v>
      </c>
      <c r="G322" s="3">
        <f>VLOOKUP($E322,Water!$C$2:$E$90, 3, FALSE)</f>
        <v>0.31</v>
      </c>
      <c r="H322" s="1">
        <f>F322+273.15</f>
        <v>280.95</v>
      </c>
      <c r="I322" s="3">
        <f>VLOOKUP($E322,Water!$C$2:$F$90, 4, FALSE)</f>
        <v>9.09</v>
      </c>
      <c r="J322">
        <f>10^(I322*-1)</f>
        <v>8.1283051616409768E-10</v>
      </c>
      <c r="K322" s="25">
        <f>VLOOKUP($E322,Atm!$D$2:$G$100, 2, FALSE)</f>
        <v>474.3169107828931</v>
      </c>
      <c r="L322" s="25">
        <f>VLOOKUP($E322,Atm!$D$2:$G$100, 3, FALSE)</f>
        <v>2.2034104559689669</v>
      </c>
      <c r="M322" s="25">
        <f>VLOOKUP($E322,Atm!$D$2:$G$100, 4, FALSE)</f>
        <v>0.87785594144473589</v>
      </c>
      <c r="N322" s="21">
        <f>VLOOKUP($C322,Raw!$B$2:$F$353, 3, FALSE)</f>
        <v>179.1846481937815</v>
      </c>
      <c r="O322" s="21">
        <f>VLOOKUP($C322,Raw!$B$2:$F$353, 4, FALSE)</f>
        <v>83.827488390635509</v>
      </c>
      <c r="P322" s="21">
        <f>VLOOKUP($C322,Raw!$B$2:$F$353, 5, FALSE)</f>
        <v>0.26207812035851785</v>
      </c>
      <c r="Q322" s="14">
        <v>60</v>
      </c>
      <c r="R322" s="25">
        <v>1140</v>
      </c>
      <c r="S322">
        <f>EXP(24.4543-(100/H322*(67.4509))-(4.8489*LN(H322/100))-(0.000544*G322))</f>
        <v>1.0431085637033721E-2</v>
      </c>
      <c r="T322" s="8">
        <f>EXP(-58.0931+90.5069*(100/H322)+22.294*LN(H322/100)+G322*(0.027766-0.025888*(H322/100)+0.0050578*(H322/100)^2)*G322)</f>
        <v>5.7893872085610316E-2</v>
      </c>
      <c r="U322" s="9">
        <f>(EXP(-67.1962+99.1624*(100/H322)+27.9015*LN(H322/100)+G322*(-0.072909+0.041674*(H322/100)-0.0064603*(H322/100)^2)*G322))</f>
        <v>4.6003724485026959E-2</v>
      </c>
      <c r="V322" s="9">
        <f>(EXP(-64.8539+100.252*(100/H322)+25.2049*LN(H322/100)+(-0.062544+0.035337*(H322/100)-0.0054699*(H322/100)^2)*G322))</f>
        <v>4.3462686866844402E-2</v>
      </c>
      <c r="W322" s="9">
        <f>(EXP(-68.8862+101.4956*(100/H322)+28.7314*LN(H322/100)+G322*(-0.076146+0.04397*(H322/100)-0.0068672*(H322/100)^2)))</f>
        <v>4.5833924962778917E-2</v>
      </c>
      <c r="X322">
        <f>N322*(AZ322-S322)</f>
        <v>164.20678615261164</v>
      </c>
      <c r="Y322">
        <f>O322*(AZ322-S322)</f>
        <v>76.820434108759372</v>
      </c>
      <c r="Z322">
        <f>((Y322/10^6)*AZ322)/(0.082056*H322)</f>
        <v>3.0884681932300472E-6</v>
      </c>
      <c r="AA322">
        <f>(((L322/10^6)*AZ322)/(0.082056*H322))</f>
        <v>8.8585324840213557E-8</v>
      </c>
      <c r="AB322">
        <f>((Y322/10^6)*U322*1)/(0.082056*H322)</f>
        <v>1.5329584082909472E-7</v>
      </c>
      <c r="AC322">
        <f>(Z322*(Q322/1000))+(AB322*(R322/1000))</f>
        <v>3.6006535013897083E-7</v>
      </c>
      <c r="AD322" s="39">
        <f>((AC322-(AA322*(Q322/1000)))/(R322/1000))*1000000</f>
        <v>0.31118441284961229</v>
      </c>
      <c r="AE322" s="39">
        <f>(AD322/((U322*AZ322*1))*(0.0821*273.15))</f>
        <v>163.6678767207211</v>
      </c>
      <c r="AF322" s="39">
        <f>L322*U322*AZ322*1/(0.0821*273.15)</f>
        <v>4.1893803643423882E-3</v>
      </c>
      <c r="AG322" s="39">
        <f>AD322-AF322</f>
        <v>0.30699503248526988</v>
      </c>
      <c r="AH322" s="42">
        <f>P322*(AZ322-S322)</f>
        <v>0.24017127749944742</v>
      </c>
      <c r="AI322">
        <f>(((X322/10^6)*(Q322/1000))/(0.082056*H322))</f>
        <v>4.2736895671423705E-7</v>
      </c>
      <c r="AJ322">
        <f>(((K322/10^6)*AZ322)*(Q322/1000))/(0.082056*H322)</f>
        <v>1.1441586157064406E-6</v>
      </c>
      <c r="AK322">
        <f>(X322/10^6)*T322*(R322/1000)</f>
        <v>1.0837486007343649E-5</v>
      </c>
      <c r="AL322">
        <f>AI322+AK322</f>
        <v>1.1264854964057886E-5</v>
      </c>
      <c r="AM322" s="39">
        <f>((AL322-AJ322)/(R322/1000))*1000000</f>
        <v>8.8778038143433733</v>
      </c>
      <c r="AN322" s="39">
        <f>AM322/(T322*AZ322)</f>
        <v>165.45015993708168</v>
      </c>
      <c r="AO322" s="39">
        <f>(K322*AZ322)*T322</f>
        <v>25.45112365776664</v>
      </c>
      <c r="AP322" s="39">
        <f>AM322-AO322</f>
        <v>-16.573319843423267</v>
      </c>
      <c r="AQ322">
        <f>(((AH322/10^6)*(Q322/1000))/(0.082056*H322))</f>
        <v>6.2507616586728921E-10</v>
      </c>
      <c r="AR322">
        <f>(((M322/10^6)*AZ322)*(Q322/1000))/(0.082056*H322)</f>
        <v>2.1175851333135908E-9</v>
      </c>
      <c r="AS322">
        <f>(AH322/10^6)*V322*(R322/1000)</f>
        <v>1.1899877492340062E-8</v>
      </c>
      <c r="AT322">
        <f>AQ322+AS322</f>
        <v>1.2524953658207351E-8</v>
      </c>
      <c r="AU322" s="39">
        <f>((AT322-AR322)/(R322/1000))*1000000000</f>
        <v>9.1292706358717197</v>
      </c>
      <c r="AV322" s="39">
        <f>(AU322/1000)/(V322*AZ322)</f>
        <v>0.22662809903161091</v>
      </c>
      <c r="AW322" s="39">
        <f>(M322*AZ322)*V322*1000</f>
        <v>35.362713198415456</v>
      </c>
      <c r="AX322" s="39">
        <f>AU322-AW322</f>
        <v>-26.233442562543736</v>
      </c>
      <c r="AY322" s="26">
        <f>VLOOKUP($E322,Water!$C$2:$G$90, 5, FALSE)</f>
        <v>704.4</v>
      </c>
      <c r="AZ322">
        <f>AY322/760</f>
        <v>0.92684210526315791</v>
      </c>
      <c r="BA322" s="3">
        <f>Assumptions!$B$3</f>
        <v>406.07</v>
      </c>
      <c r="BB322" s="3">
        <f>BA322*AZ322*T322</f>
        <v>21.789098277459189</v>
      </c>
      <c r="BC322" s="3">
        <f>Assumptions!$B$4</f>
        <v>1.8474300000000001</v>
      </c>
      <c r="BD322" s="45">
        <f>BC322*AZ322*U322*1/(0.0821*273.15)</f>
        <v>3.512548896884269E-3</v>
      </c>
      <c r="BE322" s="3">
        <f>Assumptions!$B$2</f>
        <v>0.33054499999999998</v>
      </c>
      <c r="BF322" s="44">
        <f>BE322*AZ322*V322*1000</f>
        <v>13.315360165966478</v>
      </c>
      <c r="BG322">
        <f>1923.6+(-125.06*F322)+(4.3773*(F322^2))+(-0.085681*(F322^3))+(0.00070284*(F322^4))</f>
        <v>1176.3884082839038</v>
      </c>
      <c r="BH322">
        <f>1909.4+(-120.78*F322)+(4.1555*(F322^2))+(-0.080578*(F322^3))+(0.00065777*(F322^4))</f>
        <v>1184.3329082825121</v>
      </c>
      <c r="BI322">
        <f>2141.2+(-152.56*F322)+(5.8963*(F322^2))+(-0.12411*(F322^3))+(0.0010655*(F322^4))</f>
        <v>1255.0101974967997</v>
      </c>
      <c r="BJ322" s="25">
        <f>VLOOKUP(E322,Wind!$C$2:$E$109,3, FALSE)</f>
        <v>0.63888888888888895</v>
      </c>
      <c r="BK322" s="44">
        <v>1.66</v>
      </c>
      <c r="BL322">
        <f>BK322/(1-(((1.3*10^-3)^0.5)/0.41)*LN(10/1.5))</f>
        <v>1.9923982880693825</v>
      </c>
      <c r="BM322">
        <f>BK322*1.22</f>
        <v>2.0251999999999999</v>
      </c>
      <c r="BN322">
        <f>2.07+0.215*(BM322^1.7)*(24/100)</f>
        <v>2.241255750541113</v>
      </c>
      <c r="BO322">
        <f>BN322*((600/BG322)^0.67)</f>
        <v>1.4275251264911817</v>
      </c>
      <c r="BP322">
        <f>BN322*((600/BH322)^0.67)</f>
        <v>1.4211021964823858</v>
      </c>
      <c r="BQ322">
        <f>BN322*((600/BI322)^0.67)</f>
        <v>1.3669703478387853</v>
      </c>
      <c r="BR322" s="39">
        <f>BO322*(AM322-BB322)</f>
        <v>-18.431197261624298</v>
      </c>
      <c r="BS322" s="39">
        <f>BP322*(AD322-BD322)</f>
        <v>0.43723316165905152</v>
      </c>
      <c r="BT322" s="39">
        <f>BQ322*(AU322-BF322)</f>
        <v>-5.7222602610379294</v>
      </c>
      <c r="BU322">
        <f>(2.51+1.48*BM322)+(0.39*BM322*LOG10(0.0015))</f>
        <v>3.2768938069574309</v>
      </c>
      <c r="BV322">
        <f>BU322*((600/$BG322)^0.67)</f>
        <v>2.0871550447313698</v>
      </c>
      <c r="BW322">
        <f>BU322*((600/$BH322)^0.67)</f>
        <v>2.077764211238466</v>
      </c>
      <c r="BX322">
        <f>BU322*((600/$BI322)^0.67)</f>
        <v>1.9986191518062506</v>
      </c>
      <c r="BY322" s="39">
        <f>BV322*($AM322-$BB322)</f>
        <v>-26.947873372704379</v>
      </c>
      <c r="BZ322" s="39">
        <f>BW322*($AD322-$BD322)</f>
        <v>0.6392695877260085</v>
      </c>
      <c r="CA322" s="39">
        <f>BX322*($AU322-$BF322)</f>
        <v>-8.3663987060230127</v>
      </c>
      <c r="CB322" s="42">
        <f>AVERAGE(0.72,0.69,0.4,0.22)</f>
        <v>0.50750000000000006</v>
      </c>
      <c r="CC322">
        <f>CB322*((600/$BG322)^0.67)</f>
        <v>0.3232424508088218</v>
      </c>
      <c r="CD322">
        <f>CB322*((600/$BH322)^0.67)</f>
        <v>0.3217880710582392</v>
      </c>
      <c r="CE322">
        <f>CB322*((600/$BI322)^0.67)</f>
        <v>0.30953069562038715</v>
      </c>
      <c r="CF322" s="39">
        <f>CC322*($AM322-$BB322)</f>
        <v>-4.173478465371927</v>
      </c>
      <c r="CG322" s="39">
        <f>CD322*($AD322-$BD322)</f>
        <v>9.9005135620241339E-2</v>
      </c>
      <c r="CH322" s="39">
        <f>CE322*($AU322-$BF322)</f>
        <v>-1.2957232041794502</v>
      </c>
      <c r="CI322">
        <v>145.86263901889501</v>
      </c>
      <c r="CJ322">
        <f>((BG322/BH322)^0.67)*CI322</f>
        <v>145.20635248219537</v>
      </c>
      <c r="CK322">
        <f>((BH322/BH322)^0.67)*CI322</f>
        <v>145.86263901889501</v>
      </c>
      <c r="CL322">
        <f>((BI322/BH322)^0.67)*CI322</f>
        <v>151.63878062329078</v>
      </c>
      <c r="CM322" s="39">
        <f>CJ322*($AM322-$BB322)</f>
        <v>-1874.8019748126126</v>
      </c>
      <c r="CN322" s="39">
        <f>CK322*($AD322-$BD322)</f>
        <v>44.877830028007338</v>
      </c>
      <c r="CO322" s="39">
        <f>CL322*($AU322-$BF322)</f>
        <v>-634.7735119234934</v>
      </c>
      <c r="CP322" s="27">
        <f>VLOOKUP(A322,Water!$A$2:$E$109, 5, FALSE)/1000</f>
        <v>1.6000000000000001E-4</v>
      </c>
      <c r="CQ322">
        <f>0.64*CP322</f>
        <v>1.0240000000000001E-4</v>
      </c>
      <c r="CR322" s="19">
        <f>CQ322*1000*(2.5*10^-5)</f>
        <v>2.5600000000000001E-6</v>
      </c>
      <c r="CS322" s="18">
        <f>(-0.0000009*F322^3)+(0.0002*F322^2)-(0.0134*F322)+6.579</f>
        <v>6.4862209031999996</v>
      </c>
      <c r="CT322" s="18">
        <f>CS322-(SQRT(CP322))/(1+1.4*SQRT(CP322))</f>
        <v>6.4737918948222992</v>
      </c>
      <c r="CU322" s="18">
        <f>10^(-CT322)</f>
        <v>3.3589853150371943E-7</v>
      </c>
      <c r="CV322" s="18">
        <f>(0.000001*F322^3)+(0.00006*F322^2)-(0.014*F322)+10.625</f>
        <v>10.519924952</v>
      </c>
      <c r="CW322" s="18">
        <f>CV322-(2*SQRT(CR322))/(1+1.4*SQRT(CR322))</f>
        <v>10.516732103979566</v>
      </c>
      <c r="CX322" s="18">
        <f>10^(-CW322)</f>
        <v>3.0427613845517123E-11</v>
      </c>
      <c r="CY322">
        <f>EXP(1246.98+-61900/H322-183*LN(H322))</f>
        <v>5.9151385214036801E-3</v>
      </c>
      <c r="CZ322">
        <f>12.225*(F322^2)+15.258*F322+1125.7</f>
        <v>1988.4813999999999</v>
      </c>
      <c r="DA322" s="15">
        <f>10^(-4470.99/H322+6.0875-0.01706*H322)</f>
        <v>2.4025084106449813E-15</v>
      </c>
      <c r="DB322">
        <f>(10^-I322)</f>
        <v>8.1283051616409768E-10</v>
      </c>
      <c r="DC322">
        <f>DB322^2</f>
        <v>6.6069344800759346E-19</v>
      </c>
      <c r="DD322" s="20">
        <f>((14.6836*10^-9)*((H322/217.2056)-1)^1.997)*100*100</f>
        <v>1.2693221871404426E-5</v>
      </c>
      <c r="DE322">
        <f>CY322+CZ322*DA322/DB322</f>
        <v>1.1792554775970871E-2</v>
      </c>
      <c r="DF322">
        <f>1+DC322*(CU322*CX322+CU322*DB322)^-1</f>
        <v>1.0023325521261903</v>
      </c>
      <c r="DG322">
        <f>(DE322*DF322/DD322)^0.5</f>
        <v>30.51574188986206</v>
      </c>
      <c r="DH322">
        <f>DD322/(BO322/60/60)</f>
        <v>3.2010363873156117E-2</v>
      </c>
      <c r="DI322" s="16">
        <f>DF322/((DF322-1)+TANH(DG322*DH322)/(DG322*DH322))</f>
        <v>1.2986002572075184</v>
      </c>
      <c r="DJ322">
        <f>$DI322*BR322</f>
        <v>-23.934757504587822</v>
      </c>
      <c r="DK322">
        <f>$DI322*BY322</f>
        <v>-34.99451529298954</v>
      </c>
      <c r="DL322">
        <f>$DI322*CF322</f>
        <v>-5.4196802085820233</v>
      </c>
      <c r="DM322">
        <f>$DI322*CM322</f>
        <v>-2434.6183267048223</v>
      </c>
    </row>
    <row r="323" spans="1:117" ht="15.75" x14ac:dyDescent="0.25">
      <c r="A323" s="52" t="s">
        <v>331</v>
      </c>
      <c r="B323" t="s">
        <v>340</v>
      </c>
      <c r="C323" s="64" t="s">
        <v>542</v>
      </c>
      <c r="D323" s="65">
        <v>43368</v>
      </c>
      <c r="E323" s="42" t="str">
        <f>A323&amp;D323</f>
        <v>62C43368</v>
      </c>
      <c r="F323" s="3">
        <f>VLOOKUP($E323,Water!$C$2:$E$90, 2, FALSE)</f>
        <v>7.8</v>
      </c>
      <c r="G323" s="3">
        <f>VLOOKUP($E323,Water!$C$2:$E$90, 3, FALSE)</f>
        <v>0.31</v>
      </c>
      <c r="H323" s="1">
        <f>F323+273.15</f>
        <v>280.95</v>
      </c>
      <c r="I323" s="3">
        <f>VLOOKUP($E323,Water!$C$2:$F$90, 4, FALSE)</f>
        <v>9.09</v>
      </c>
      <c r="J323">
        <f>10^(I323*-1)</f>
        <v>8.1283051616409768E-10</v>
      </c>
      <c r="K323" s="25">
        <f>VLOOKUP($E323,Atm!$D$2:$G$100, 2, FALSE)</f>
        <v>474.3169107828931</v>
      </c>
      <c r="L323" s="25">
        <f>VLOOKUP($E323,Atm!$D$2:$G$100, 3, FALSE)</f>
        <v>2.2034104559689669</v>
      </c>
      <c r="M323" s="25">
        <f>VLOOKUP($E323,Atm!$D$2:$G$100, 4, FALSE)</f>
        <v>0.87785594144473589</v>
      </c>
      <c r="N323" s="21">
        <f>VLOOKUP($C323,Raw!$B$2:$F$353, 3, FALSE)</f>
        <v>193.526487956376</v>
      </c>
      <c r="O323" s="21">
        <f>VLOOKUP($C323,Raw!$B$2:$F$353, 4, FALSE)</f>
        <v>84.102089668846034</v>
      </c>
      <c r="P323" s="21">
        <f>VLOOKUP($C323,Raw!$B$2:$F$353, 5, FALSE)</f>
        <v>0.2633241290566069</v>
      </c>
      <c r="Q323" s="14">
        <v>60</v>
      </c>
      <c r="R323" s="25">
        <v>1140</v>
      </c>
      <c r="S323">
        <f>EXP(24.4543-(100/H323*(67.4509))-(4.8489*LN(H323/100))-(0.000544*G323))</f>
        <v>1.0431085637033721E-2</v>
      </c>
      <c r="T323" s="8">
        <f>EXP(-58.0931+90.5069*(100/H323)+22.294*LN(H323/100)+G323*(0.027766-0.025888*(H323/100)+0.0050578*(H323/100)^2)*G323)</f>
        <v>5.7893872085610316E-2</v>
      </c>
      <c r="U323" s="9">
        <f>(EXP(-67.1962+99.1624*(100/H323)+27.9015*LN(H323/100)+G323*(-0.072909+0.041674*(H323/100)-0.0064603*(H323/100)^2)*G323))</f>
        <v>4.6003724485026959E-2</v>
      </c>
      <c r="V323" s="9">
        <f>(EXP(-64.8539+100.252*(100/H323)+25.2049*LN(H323/100)+(-0.062544+0.035337*(H323/100)-0.0054699*(H323/100)^2)*G323))</f>
        <v>4.3462686866844402E-2</v>
      </c>
      <c r="W323" s="9">
        <f>(EXP(-68.8862+101.4956*(100/H323)+28.7314*LN(H323/100)+G323*(-0.076146+0.04397*(H323/100)-0.0068672*(H323/100)^2)))</f>
        <v>4.5833924962778917E-2</v>
      </c>
      <c r="X323">
        <f>N323*(AZ323-S323)</f>
        <v>177.34980615276535</v>
      </c>
      <c r="Y323">
        <f>O323*(AZ323-S323)</f>
        <v>77.072081746114918</v>
      </c>
      <c r="Z323">
        <f>((Y323/10^6)*AZ323)/(0.082056*H323)</f>
        <v>3.0985853675586087E-6</v>
      </c>
      <c r="AA323">
        <f>(((L323/10^6)*AZ323)/(0.082056*H323))</f>
        <v>8.8585324840213557E-8</v>
      </c>
      <c r="AB323">
        <f>((Y323/10^6)*U323*1)/(0.082056*H323)</f>
        <v>1.5379800586641354E-7</v>
      </c>
      <c r="AC323">
        <f>(Z323*(Q323/1000))+(AB323*(R323/1000))</f>
        <v>3.6124484874122793E-7</v>
      </c>
      <c r="AD323" s="39">
        <f>((AC323-(AA323*(Q323/1000)))/(R323/1000))*1000000</f>
        <v>0.31221906074632905</v>
      </c>
      <c r="AE323" s="39">
        <f>(AD323/((U323*AZ323*1))*(0.0821*273.15))</f>
        <v>164.21205122759469</v>
      </c>
      <c r="AF323" s="39">
        <f>L323*U323*AZ323*1/(0.0821*273.15)</f>
        <v>4.1893803643423882E-3</v>
      </c>
      <c r="AG323" s="39">
        <f>AD323-AF323</f>
        <v>0.30802968038198664</v>
      </c>
      <c r="AH323" s="42">
        <f>P323*(AZ323-S323)</f>
        <v>0.24131313360092624</v>
      </c>
      <c r="AI323">
        <f>(((X323/10^6)*(Q323/1000))/(0.082056*H323))</f>
        <v>4.6157533074508711E-7</v>
      </c>
      <c r="AJ323">
        <f>(((K323/10^6)*AZ323)*(Q323/1000))/(0.082056*H323)</f>
        <v>1.1441586157064406E-6</v>
      </c>
      <c r="AK323">
        <f>(X323/10^6)*T323*(R323/1000)</f>
        <v>1.1704912370670218E-5</v>
      </c>
      <c r="AL323">
        <f>AI323+AK323</f>
        <v>1.2166487701415306E-5</v>
      </c>
      <c r="AM323" s="39">
        <f>((AL323-AJ323)/(R323/1000))*1000000</f>
        <v>9.6687097243060247</v>
      </c>
      <c r="AN323" s="39">
        <f>AM323/(T323*AZ323)</f>
        <v>180.1897860918169</v>
      </c>
      <c r="AO323" s="39">
        <f>(K323*AZ323)*T323</f>
        <v>25.45112365776664</v>
      </c>
      <c r="AP323" s="39">
        <f>AM323-AO323</f>
        <v>-15.782413933460615</v>
      </c>
      <c r="AQ323">
        <f>(((AH323/10^6)*(Q323/1000))/(0.082056*H323))</f>
        <v>6.280479909802492E-10</v>
      </c>
      <c r="AR323">
        <f>(((M323/10^6)*AZ323)*(Q323/1000))/(0.082056*H323)</f>
        <v>2.1175851333135908E-9</v>
      </c>
      <c r="AS323">
        <f>(AH323/10^6)*V323*(R323/1000)</f>
        <v>1.1956453565311611E-8</v>
      </c>
      <c r="AT323">
        <f>AQ323+AS323</f>
        <v>1.2584501556291859E-8</v>
      </c>
      <c r="AU323" s="39">
        <f>((AT323-AR323)/(R323/1000))*1000000000</f>
        <v>9.1815056341914651</v>
      </c>
      <c r="AV323" s="39">
        <f>(AU323/1000)/(V323*AZ323)</f>
        <v>0.22792479828002712</v>
      </c>
      <c r="AW323" s="39">
        <f>(M323*AZ323)*V323*1000</f>
        <v>35.362713198415456</v>
      </c>
      <c r="AX323" s="39">
        <f>AU323-AW323</f>
        <v>-26.181207564223989</v>
      </c>
      <c r="AY323" s="26">
        <f>VLOOKUP($E323,Water!$C$2:$G$90, 5, FALSE)</f>
        <v>704.4</v>
      </c>
      <c r="AZ323">
        <f>AY323/760</f>
        <v>0.92684210526315791</v>
      </c>
      <c r="BA323" s="3">
        <f>Assumptions!$B$3</f>
        <v>406.07</v>
      </c>
      <c r="BB323" s="3">
        <f>BA323*AZ323*T323</f>
        <v>21.789098277459189</v>
      </c>
      <c r="BC323" s="3">
        <f>Assumptions!$B$4</f>
        <v>1.8474300000000001</v>
      </c>
      <c r="BD323" s="45">
        <f>BC323*AZ323*U323*1/(0.0821*273.15)</f>
        <v>3.512548896884269E-3</v>
      </c>
      <c r="BE323" s="3">
        <f>Assumptions!$B$2</f>
        <v>0.33054499999999998</v>
      </c>
      <c r="BF323" s="44">
        <f>BE323*AZ323*V323*1000</f>
        <v>13.315360165966478</v>
      </c>
      <c r="BG323">
        <f>1923.6+(-125.06*F323)+(4.3773*(F323^2))+(-0.085681*(F323^3))+(0.00070284*(F323^4))</f>
        <v>1176.3884082839038</v>
      </c>
      <c r="BH323">
        <f>1909.4+(-120.78*F323)+(4.1555*(F323^2))+(-0.080578*(F323^3))+(0.00065777*(F323^4))</f>
        <v>1184.3329082825121</v>
      </c>
      <c r="BI323">
        <f>2141.2+(-152.56*F323)+(5.8963*(F323^2))+(-0.12411*(F323^3))+(0.0010655*(F323^4))</f>
        <v>1255.0101974967997</v>
      </c>
      <c r="BJ323" s="25">
        <f>VLOOKUP(E323,Wind!$C$2:$E$109,3, FALSE)</f>
        <v>0.63888888888888895</v>
      </c>
      <c r="BK323" s="44">
        <v>1.66</v>
      </c>
      <c r="BL323">
        <f>BK323/(1-(((1.3*10^-3)^0.5)/0.41)*LN(10/1.5))</f>
        <v>1.9923982880693825</v>
      </c>
      <c r="BM323">
        <f>BK323*1.22</f>
        <v>2.0251999999999999</v>
      </c>
      <c r="BN323">
        <f>2.07+0.215*(BM323^1.7)*(24/100)</f>
        <v>2.241255750541113</v>
      </c>
      <c r="BO323">
        <f>BN323*((600/BG323)^0.67)</f>
        <v>1.4275251264911817</v>
      </c>
      <c r="BP323">
        <f>BN323*((600/BH323)^0.67)</f>
        <v>1.4211021964823858</v>
      </c>
      <c r="BQ323">
        <f>BN323*((600/BI323)^0.67)</f>
        <v>1.3669703478387853</v>
      </c>
      <c r="BR323" s="39">
        <f>BO323*(AM323-BB323)</f>
        <v>-17.302159202462242</v>
      </c>
      <c r="BS323" s="39">
        <f>BP323*(AD323-BD323)</f>
        <v>0.43870350205766157</v>
      </c>
      <c r="BT323" s="39">
        <f>BQ323*(AU323-BF323)</f>
        <v>-5.6508565672154285</v>
      </c>
      <c r="BU323">
        <f>(2.51+1.48*BM323)+(0.39*BM323*LOG10(0.0015))</f>
        <v>3.2768938069574309</v>
      </c>
      <c r="BV323">
        <f>BU323*((600/$BG323)^0.67)</f>
        <v>2.0871550447313698</v>
      </c>
      <c r="BW323">
        <f>BU323*((600/$BH323)^0.67)</f>
        <v>2.077764211238466</v>
      </c>
      <c r="BX323">
        <f>BU323*((600/$BI323)^0.67)</f>
        <v>1.9986191518062506</v>
      </c>
      <c r="BY323" s="39">
        <f>BV323*($AM323-$BB323)</f>
        <v>-25.297130112817975</v>
      </c>
      <c r="BZ323" s="39">
        <f>BW323*($AD323-$BD323)</f>
        <v>0.64141934209703977</v>
      </c>
      <c r="CA323" s="39">
        <f>BX323*($AU323-$BF323)</f>
        <v>-8.2620008379866015</v>
      </c>
      <c r="CB323" s="42">
        <f>AVERAGE(0.72,0.69,0.4,0.22)</f>
        <v>0.50750000000000006</v>
      </c>
      <c r="CC323">
        <f>CB323*((600/$BG323)^0.67)</f>
        <v>0.3232424508088218</v>
      </c>
      <c r="CD323">
        <f>CB323*((600/$BH323)^0.67)</f>
        <v>0.3217880710582392</v>
      </c>
      <c r="CE323">
        <f>CB323*((600/$BI323)^0.67)</f>
        <v>0.30953069562038715</v>
      </c>
      <c r="CF323" s="39">
        <f>CC323*($AM323-$BB323)</f>
        <v>-3.9178241006764187</v>
      </c>
      <c r="CG323" s="39">
        <f>CD323*($AD323-$BD323)</f>
        <v>9.9338072971150285E-2</v>
      </c>
      <c r="CH323" s="39">
        <f>CE323*($AU323-$BF323)</f>
        <v>-1.2795548688138096</v>
      </c>
      <c r="CI323">
        <v>146.86263901889501</v>
      </c>
      <c r="CJ323">
        <f>((BG323/BH323)^0.67)*CI323</f>
        <v>146.20185313581638</v>
      </c>
      <c r="CK323">
        <f>((BH323/BH323)^0.67)*CI323</f>
        <v>146.86263901889501</v>
      </c>
      <c r="CL323">
        <f>((BI323/BH323)^0.67)*CI323</f>
        <v>152.67838049371167</v>
      </c>
      <c r="CM323" s="39">
        <f>CJ323*($AM323-$BB323)</f>
        <v>-1772.0232671971289</v>
      </c>
      <c r="CN323" s="39">
        <f>CK323*($AD323-$BD323)</f>
        <v>45.337453012527241</v>
      </c>
      <c r="CO323" s="39">
        <f>CL323*($AU323-$BF323)</f>
        <v>-631.15021510799966</v>
      </c>
      <c r="CP323" s="27">
        <f>VLOOKUP(A323,Water!$A$2:$E$109, 5, FALSE)/1000</f>
        <v>1.6000000000000001E-4</v>
      </c>
      <c r="CQ323">
        <f>0.64*CP323</f>
        <v>1.0240000000000001E-4</v>
      </c>
      <c r="CR323" s="19">
        <f>CQ323*1000*(2.5*10^-5)</f>
        <v>2.5600000000000001E-6</v>
      </c>
      <c r="CS323" s="18">
        <f>(-0.0000009*F323^3)+(0.0002*F323^2)-(0.0134*F323)+6.579</f>
        <v>6.4862209031999996</v>
      </c>
      <c r="CT323" s="18">
        <f>CS323-(SQRT(CP323))/(1+1.4*SQRT(CP323))</f>
        <v>6.4737918948222992</v>
      </c>
      <c r="CU323" s="18">
        <f>10^(-CT323)</f>
        <v>3.3589853150371943E-7</v>
      </c>
      <c r="CV323" s="18">
        <f>(0.000001*F323^3)+(0.00006*F323^2)-(0.014*F323)+10.625</f>
        <v>10.519924952</v>
      </c>
      <c r="CW323" s="18">
        <f>CV323-(2*SQRT(CR323))/(1+1.4*SQRT(CR323))</f>
        <v>10.516732103979566</v>
      </c>
      <c r="CX323" s="18">
        <f>10^(-CW323)</f>
        <v>3.0427613845517123E-11</v>
      </c>
      <c r="CY323">
        <f>EXP(1246.98+-61900/H323-183*LN(H323))</f>
        <v>5.9151385214036801E-3</v>
      </c>
      <c r="CZ323">
        <f>12.225*(F323^2)+15.258*F323+1125.7</f>
        <v>1988.4813999999999</v>
      </c>
      <c r="DA323" s="15">
        <f>10^(-4470.99/H323+6.0875-0.01706*H323)</f>
        <v>2.4025084106449813E-15</v>
      </c>
      <c r="DB323">
        <f>(10^-I323)</f>
        <v>8.1283051616409768E-10</v>
      </c>
      <c r="DC323">
        <f>DB323^2</f>
        <v>6.6069344800759346E-19</v>
      </c>
      <c r="DD323" s="20">
        <f>((14.6836*10^-9)*((H323/217.2056)-1)^1.997)*100*100</f>
        <v>1.2693221871404426E-5</v>
      </c>
      <c r="DE323">
        <f>CY323+CZ323*DA323/DB323</f>
        <v>1.1792554775970871E-2</v>
      </c>
      <c r="DF323">
        <f>1+DC323*(CU323*CX323+CU323*DB323)^-1</f>
        <v>1.0023325521261903</v>
      </c>
      <c r="DG323">
        <f>(DE323*DF323/DD323)^0.5</f>
        <v>30.51574188986206</v>
      </c>
      <c r="DH323">
        <f>DD323/(BO323/60/60)</f>
        <v>3.2010363873156117E-2</v>
      </c>
      <c r="DI323" s="16">
        <f>DF323/((DF323-1)+TANH(DG323*DH323)/(DG323*DH323))</f>
        <v>1.2986002572075184</v>
      </c>
      <c r="DJ323">
        <f>$DI323*BR323</f>
        <v>-22.4685883905629</v>
      </c>
      <c r="DK323">
        <f>$DI323*BY323</f>
        <v>-32.850859671117483</v>
      </c>
      <c r="DL323">
        <f>$DI323*CF323</f>
        <v>-5.0876873848322113</v>
      </c>
      <c r="DM323">
        <f>$DI323*CM323</f>
        <v>-2301.1498705598988</v>
      </c>
    </row>
    <row r="324" spans="1:117" ht="15.75" x14ac:dyDescent="0.25">
      <c r="A324" s="52" t="s">
        <v>331</v>
      </c>
      <c r="B324" t="s">
        <v>341</v>
      </c>
      <c r="C324" s="64" t="s">
        <v>543</v>
      </c>
      <c r="D324" s="65">
        <v>43368</v>
      </c>
      <c r="E324" s="42" t="str">
        <f>A324&amp;D324</f>
        <v>62C43368</v>
      </c>
      <c r="F324" s="3">
        <f>VLOOKUP($E324,Water!$C$2:$E$90, 2, FALSE)</f>
        <v>7.8</v>
      </c>
      <c r="G324" s="3">
        <f>VLOOKUP($E324,Water!$C$2:$E$90, 3, FALSE)</f>
        <v>0.31</v>
      </c>
      <c r="H324" s="1">
        <f>F324+273.15</f>
        <v>280.95</v>
      </c>
      <c r="I324" s="3">
        <f>VLOOKUP($E324,Water!$C$2:$F$90, 4, FALSE)</f>
        <v>9.09</v>
      </c>
      <c r="J324">
        <f>10^(I324*-1)</f>
        <v>8.1283051616409768E-10</v>
      </c>
      <c r="K324" s="25">
        <f>VLOOKUP($E324,Atm!$D$2:$G$100, 2, FALSE)</f>
        <v>474.3169107828931</v>
      </c>
      <c r="L324" s="25">
        <f>VLOOKUP($E324,Atm!$D$2:$G$100, 3, FALSE)</f>
        <v>2.2034104559689669</v>
      </c>
      <c r="M324" s="25">
        <f>VLOOKUP($E324,Atm!$D$2:$G$100, 4, FALSE)</f>
        <v>0.87785594144473589</v>
      </c>
      <c r="N324" s="21">
        <f>VLOOKUP($C324,Raw!$B$2:$F$353, 3, FALSE)</f>
        <v>188.37662579181131</v>
      </c>
      <c r="O324" s="21">
        <f>VLOOKUP($C324,Raw!$B$2:$F$353, 4, FALSE)</f>
        <v>77.379408429946025</v>
      </c>
      <c r="P324" s="21">
        <f>VLOOKUP($C324,Raw!$B$2:$F$353, 5, FALSE)</f>
        <v>0.25966843115290572</v>
      </c>
      <c r="Q324" s="14">
        <v>60</v>
      </c>
      <c r="R324" s="25">
        <v>1140</v>
      </c>
      <c r="S324">
        <f>EXP(24.4543-(100/H324*(67.4509))-(4.8489*LN(H324/100))-(0.000544*G324))</f>
        <v>1.0431085637033721E-2</v>
      </c>
      <c r="T324" s="8">
        <f>EXP(-58.0931+90.5069*(100/H324)+22.294*LN(H324/100)+G324*(0.027766-0.025888*(H324/100)+0.0050578*(H324/100)^2)*G324)</f>
        <v>5.7893872085610316E-2</v>
      </c>
      <c r="U324" s="9">
        <f>(EXP(-67.1962+99.1624*(100/H324)+27.9015*LN(H324/100)+G324*(-0.072909+0.041674*(H324/100)-0.0064603*(H324/100)^2)*G324))</f>
        <v>4.6003724485026959E-2</v>
      </c>
      <c r="V324" s="9">
        <f>(EXP(-64.8539+100.252*(100/H324)+25.2049*LN(H324/100)+(-0.062544+0.035337*(H324/100)-0.0054699*(H324/100)^2)*G324))</f>
        <v>4.3462686866844402E-2</v>
      </c>
      <c r="W324" s="9">
        <f>(EXP(-68.8862+101.4956*(100/H324)+28.7314*LN(H324/100)+G324*(-0.076146+0.04397*(H324/100)-0.0068672*(H324/100)^2)))</f>
        <v>4.5833924962778917E-2</v>
      </c>
      <c r="X324">
        <f>N324*(AZ324-S324)</f>
        <v>172.63041571560262</v>
      </c>
      <c r="Y324">
        <f>O324*(AZ324-S324)</f>
        <v>70.911342577353139</v>
      </c>
      <c r="Z324">
        <f>((Y324/10^6)*AZ324)/(0.082056*H324)</f>
        <v>2.850900657230505E-6</v>
      </c>
      <c r="AA324">
        <f>(((L324/10^6)*AZ324)/(0.082056*H324))</f>
        <v>8.8585324840213557E-8</v>
      </c>
      <c r="AB324">
        <f>((Y324/10^6)*U324*1)/(0.082056*H324)</f>
        <v>1.4150419755927735E-7</v>
      </c>
      <c r="AC324">
        <f>(Z324*(Q324/1000))+(AB324*(R324/1000))</f>
        <v>3.3236882465140643E-7</v>
      </c>
      <c r="AD324" s="39">
        <f>((AC324-(AA324*(Q324/1000)))/(R324/1000))*1000000</f>
        <v>0.28688921505350318</v>
      </c>
      <c r="AE324" s="39">
        <f>(AD324/((U324*AZ324*1))*(0.0821*273.15))</f>
        <v>150.88978349495019</v>
      </c>
      <c r="AF324" s="39">
        <f>L324*U324*AZ324*1/(0.0821*273.15)</f>
        <v>4.1893803643423882E-3</v>
      </c>
      <c r="AG324" s="39">
        <f>AD324-AF324</f>
        <v>0.28269983468916077</v>
      </c>
      <c r="AH324" s="42">
        <f>P324*(AZ324-S324)</f>
        <v>0.23796301175755036</v>
      </c>
      <c r="AI324">
        <f>(((X324/10^6)*(Q324/1000))/(0.082056*H324))</f>
        <v>4.4929251945138767E-7</v>
      </c>
      <c r="AJ324">
        <f>(((K324/10^6)*AZ324)*(Q324/1000))/(0.082056*H324)</f>
        <v>1.1441586157064406E-6</v>
      </c>
      <c r="AK324">
        <f>(X324/10^6)*T324*(R324/1000)</f>
        <v>1.1393437254298306E-5</v>
      </c>
      <c r="AL324">
        <f>AI324+AK324</f>
        <v>1.1842729773749693E-5</v>
      </c>
      <c r="AM324" s="39">
        <f>((AL324-AJ324)/(R324/1000))*1000000</f>
        <v>9.3847115421432061</v>
      </c>
      <c r="AN324" s="39">
        <f>AM324/(T324*AZ324)</f>
        <v>174.89708694647607</v>
      </c>
      <c r="AO324" s="39">
        <f>(K324*AZ324)*T324</f>
        <v>25.45112365776664</v>
      </c>
      <c r="AP324" s="39">
        <f>AM324-AO324</f>
        <v>-16.066412115623436</v>
      </c>
      <c r="AQ324">
        <f>(((AH324/10^6)*(Q324/1000))/(0.082056*H324))</f>
        <v>6.1932887461109692E-10</v>
      </c>
      <c r="AR324">
        <f>(((M324/10^6)*AZ324)*(Q324/1000))/(0.082056*H324)</f>
        <v>2.1175851333135908E-9</v>
      </c>
      <c r="AS324">
        <f>(AH324/10^6)*V324*(R324/1000)</f>
        <v>1.1790463527136971E-8</v>
      </c>
      <c r="AT324">
        <f>AQ324+AS324</f>
        <v>1.2409792401748068E-8</v>
      </c>
      <c r="AU324" s="39">
        <f>((AT324-AR324)/(R324/1000))*1000000000</f>
        <v>9.0282519898548053</v>
      </c>
      <c r="AV324" s="39">
        <f>(AU324/1000)/(V324*AZ324)</f>
        <v>0.22412037802883938</v>
      </c>
      <c r="AW324" s="39">
        <f>(M324*AZ324)*V324*1000</f>
        <v>35.362713198415456</v>
      </c>
      <c r="AX324" s="39">
        <f>AU324-AW324</f>
        <v>-26.334461208560651</v>
      </c>
      <c r="AY324" s="26">
        <f>VLOOKUP($E324,Water!$C$2:$G$90, 5, FALSE)</f>
        <v>704.4</v>
      </c>
      <c r="AZ324">
        <f>AY324/760</f>
        <v>0.92684210526315791</v>
      </c>
      <c r="BA324" s="3">
        <f>Assumptions!$B$3</f>
        <v>406.07</v>
      </c>
      <c r="BB324" s="3">
        <f>BA324*AZ324*T324</f>
        <v>21.789098277459189</v>
      </c>
      <c r="BC324" s="3">
        <f>Assumptions!$B$4</f>
        <v>1.8474300000000001</v>
      </c>
      <c r="BD324" s="45">
        <f>BC324*AZ324*U324*1/(0.0821*273.15)</f>
        <v>3.512548896884269E-3</v>
      </c>
      <c r="BE324" s="3">
        <f>Assumptions!$B$2</f>
        <v>0.33054499999999998</v>
      </c>
      <c r="BF324" s="44">
        <f>BE324*AZ324*V324*1000</f>
        <v>13.315360165966478</v>
      </c>
      <c r="BG324">
        <f>1923.6+(-125.06*F324)+(4.3773*(F324^2))+(-0.085681*(F324^3))+(0.00070284*(F324^4))</f>
        <v>1176.3884082839038</v>
      </c>
      <c r="BH324">
        <f>1909.4+(-120.78*F324)+(4.1555*(F324^2))+(-0.080578*(F324^3))+(0.00065777*(F324^4))</f>
        <v>1184.3329082825121</v>
      </c>
      <c r="BI324">
        <f>2141.2+(-152.56*F324)+(5.8963*(F324^2))+(-0.12411*(F324^3))+(0.0010655*(F324^4))</f>
        <v>1255.0101974967997</v>
      </c>
      <c r="BJ324" s="25">
        <f>VLOOKUP(E324,Wind!$C$2:$E$109,3, FALSE)</f>
        <v>0.63888888888888895</v>
      </c>
      <c r="BK324" s="44">
        <v>1.66</v>
      </c>
      <c r="BL324">
        <f>BK324/(1-(((1.3*10^-3)^0.5)/0.41)*LN(10/1.5))</f>
        <v>1.9923982880693825</v>
      </c>
      <c r="BM324">
        <f>BK324*1.22</f>
        <v>2.0251999999999999</v>
      </c>
      <c r="BN324">
        <f>2.07+0.215*(BM324^1.7)*(24/100)</f>
        <v>2.241255750541113</v>
      </c>
      <c r="BO324">
        <f>BN324*((600/BG324)^0.67)</f>
        <v>1.4275251264911817</v>
      </c>
      <c r="BP324">
        <f>BN324*((600/BH324)^0.67)</f>
        <v>1.4211021964823858</v>
      </c>
      <c r="BQ324">
        <f>BN324*((600/BI324)^0.67)</f>
        <v>1.3669703478387853</v>
      </c>
      <c r="BR324" s="39">
        <f>BO324*(AM324-BB324)</f>
        <v>-17.707573743377484</v>
      </c>
      <c r="BS324" s="39">
        <f>BP324*(AD324-BD324)</f>
        <v>0.40270720270702687</v>
      </c>
      <c r="BT324" s="39">
        <f>BQ324*(AU324-BF324)</f>
        <v>-5.8603497547218737</v>
      </c>
      <c r="BU324">
        <f>(2.51+1.48*BM324)+(0.39*BM324*LOG10(0.0015))</f>
        <v>3.2768938069574309</v>
      </c>
      <c r="BV324">
        <f>BU324*((600/$BG324)^0.67)</f>
        <v>2.0871550447313698</v>
      </c>
      <c r="BW324">
        <f>BU324*((600/$BH324)^0.67)</f>
        <v>2.077764211238466</v>
      </c>
      <c r="BX324">
        <f>BU324*((600/$BI324)^0.67)</f>
        <v>1.9986191518062506</v>
      </c>
      <c r="BY324" s="39">
        <f>BV324*($AM324-$BB324)</f>
        <v>-25.889878351413639</v>
      </c>
      <c r="BZ324" s="39">
        <f>BW324*($AD324-$BD324)</f>
        <v>0.58878989524029335</v>
      </c>
      <c r="CA324" s="39">
        <f>BX324*($AU324-$BF324)</f>
        <v>-8.5682965066419534</v>
      </c>
      <c r="CB324" s="42">
        <f>AVERAGE(0.72,0.69,0.4,0.22)</f>
        <v>0.50750000000000006</v>
      </c>
      <c r="CC324">
        <f>CB324*((600/$BG324)^0.67)</f>
        <v>0.3232424508088218</v>
      </c>
      <c r="CD324">
        <f>CB324*((600/$BH324)^0.67)</f>
        <v>0.3217880710582392</v>
      </c>
      <c r="CE324">
        <f>CB324*((600/$BI324)^0.67)</f>
        <v>0.30953069562038715</v>
      </c>
      <c r="CF324" s="39">
        <f>CC324*($AM324-$BB324)</f>
        <v>-4.0096243691039781</v>
      </c>
      <c r="CG324" s="39">
        <f>CD324*($AD324-$BD324)</f>
        <v>9.1187230785453002E-2</v>
      </c>
      <c r="CH324" s="39">
        <f>CE324*($AU324-$BF324)</f>
        <v>-1.3269915759516953</v>
      </c>
      <c r="CI324">
        <v>147.86263901889501</v>
      </c>
      <c r="CJ324">
        <f>((BG324/BH324)^0.67)*CI324</f>
        <v>147.19735378943739</v>
      </c>
      <c r="CK324">
        <f>((BH324/BH324)^0.67)*CI324</f>
        <v>147.86263901889501</v>
      </c>
      <c r="CL324">
        <f>((BI324/BH324)^0.67)*CI324</f>
        <v>153.71798036413253</v>
      </c>
      <c r="CM324" s="39">
        <f>CJ324*($AM324-$BB324)</f>
        <v>-1825.8929028193108</v>
      </c>
      <c r="CN324" s="39">
        <f>CK324*($AD324-$BD324)</f>
        <v>41.900821694294059</v>
      </c>
      <c r="CO324" s="39">
        <f>CL324*($AU324-$BF324)</f>
        <v>-659.00561043444611</v>
      </c>
      <c r="CP324" s="27">
        <f>VLOOKUP(A324,Water!$A$2:$E$109, 5, FALSE)/1000</f>
        <v>1.6000000000000001E-4</v>
      </c>
      <c r="CQ324">
        <f>0.64*CP324</f>
        <v>1.0240000000000001E-4</v>
      </c>
      <c r="CR324" s="19">
        <f>CQ324*1000*(2.5*10^-5)</f>
        <v>2.5600000000000001E-6</v>
      </c>
      <c r="CS324" s="18">
        <f>(-0.0000009*F324^3)+(0.0002*F324^2)-(0.0134*F324)+6.579</f>
        <v>6.4862209031999996</v>
      </c>
      <c r="CT324" s="18">
        <f>CS324-(SQRT(CP324))/(1+1.4*SQRT(CP324))</f>
        <v>6.4737918948222992</v>
      </c>
      <c r="CU324" s="18">
        <f>10^(-CT324)</f>
        <v>3.3589853150371943E-7</v>
      </c>
      <c r="CV324" s="18">
        <f>(0.000001*F324^3)+(0.00006*F324^2)-(0.014*F324)+10.625</f>
        <v>10.519924952</v>
      </c>
      <c r="CW324" s="18">
        <f>CV324-(2*SQRT(CR324))/(1+1.4*SQRT(CR324))</f>
        <v>10.516732103979566</v>
      </c>
      <c r="CX324" s="18">
        <f>10^(-CW324)</f>
        <v>3.0427613845517123E-11</v>
      </c>
      <c r="CY324">
        <f>EXP(1246.98+-61900/H324-183*LN(H324))</f>
        <v>5.9151385214036801E-3</v>
      </c>
      <c r="CZ324">
        <f>12.225*(F324^2)+15.258*F324+1125.7</f>
        <v>1988.4813999999999</v>
      </c>
      <c r="DA324" s="15">
        <f>10^(-4470.99/H324+6.0875-0.01706*H324)</f>
        <v>2.4025084106449813E-15</v>
      </c>
      <c r="DB324">
        <f>(10^-I324)</f>
        <v>8.1283051616409768E-10</v>
      </c>
      <c r="DC324">
        <f>DB324^2</f>
        <v>6.6069344800759346E-19</v>
      </c>
      <c r="DD324" s="20">
        <f>((14.6836*10^-9)*((H324/217.2056)-1)^1.997)*100*100</f>
        <v>1.2693221871404426E-5</v>
      </c>
      <c r="DE324">
        <f>CY324+CZ324*DA324/DB324</f>
        <v>1.1792554775970871E-2</v>
      </c>
      <c r="DF324">
        <f>1+DC324*(CU324*CX324+CU324*DB324)^-1</f>
        <v>1.0023325521261903</v>
      </c>
      <c r="DG324">
        <f>(DE324*DF324/DD324)^0.5</f>
        <v>30.51574188986206</v>
      </c>
      <c r="DH324">
        <f>DD324/(BO324/60/60)</f>
        <v>3.2010363873156117E-2</v>
      </c>
      <c r="DI324" s="16">
        <f>DF324/((DF324-1)+TANH(DG324*DH324)/(DG324*DH324))</f>
        <v>1.2986002572075184</v>
      </c>
      <c r="DJ324">
        <f>$DI324*BR324</f>
        <v>-22.995059817671098</v>
      </c>
      <c r="DK324">
        <f>$DI324*BY324</f>
        <v>-33.620602686217111</v>
      </c>
      <c r="DL324">
        <f>$DI324*CF324</f>
        <v>-5.2068992370239595</v>
      </c>
      <c r="DM324">
        <f>$DI324*CM324</f>
        <v>-2371.1049932345395</v>
      </c>
    </row>
    <row r="325" spans="1:117" ht="15.75" x14ac:dyDescent="0.25">
      <c r="A325" s="52" t="s">
        <v>331</v>
      </c>
      <c r="B325" t="s">
        <v>342</v>
      </c>
      <c r="C325" s="64" t="s">
        <v>544</v>
      </c>
      <c r="D325" s="65">
        <v>43368</v>
      </c>
      <c r="E325" s="42" t="str">
        <f>A325&amp;D325</f>
        <v>62C43368</v>
      </c>
      <c r="F325" s="3">
        <f>VLOOKUP($E325,Water!$C$2:$E$90, 2, FALSE)</f>
        <v>7.8</v>
      </c>
      <c r="G325" s="3">
        <f>VLOOKUP($E325,Water!$C$2:$E$90, 3, FALSE)</f>
        <v>0.31</v>
      </c>
      <c r="H325" s="1">
        <f>F325+273.15</f>
        <v>280.95</v>
      </c>
      <c r="I325" s="3">
        <f>VLOOKUP($E325,Water!$C$2:$F$90, 4, FALSE)</f>
        <v>9.09</v>
      </c>
      <c r="J325">
        <f>10^(I325*-1)</f>
        <v>8.1283051616409768E-10</v>
      </c>
      <c r="K325" s="25">
        <f>VLOOKUP($E325,Atm!$D$2:$G$100, 2, FALSE)</f>
        <v>474.3169107828931</v>
      </c>
      <c r="L325" s="25">
        <f>VLOOKUP($E325,Atm!$D$2:$G$100, 3, FALSE)</f>
        <v>2.2034104559689669</v>
      </c>
      <c r="M325" s="25">
        <f>VLOOKUP($E325,Atm!$D$2:$G$100, 4, FALSE)</f>
        <v>0.87785594144473589</v>
      </c>
      <c r="N325" s="21">
        <f>VLOOKUP($C325,Raw!$B$2:$F$353, 3, FALSE)</f>
        <v>189.76261432244669</v>
      </c>
      <c r="O325" s="21">
        <f>VLOOKUP($C325,Raw!$B$2:$F$353, 4, FALSE)</f>
        <v>77.689596315203602</v>
      </c>
      <c r="P325" s="21">
        <f>VLOOKUP($C325,Raw!$B$2:$F$353, 5, FALSE)</f>
        <v>0.26590218309468427</v>
      </c>
      <c r="Q325" s="14">
        <v>60</v>
      </c>
      <c r="R325" s="25">
        <v>1140</v>
      </c>
      <c r="S325">
        <f>EXP(24.4543-(100/H325*(67.4509))-(4.8489*LN(H325/100))-(0.000544*G325))</f>
        <v>1.0431085637033721E-2</v>
      </c>
      <c r="T325" s="8">
        <f>EXP(-58.0931+90.5069*(100/H325)+22.294*LN(H325/100)+G325*(0.027766-0.025888*(H325/100)+0.0050578*(H325/100)^2)*G325)</f>
        <v>5.7893872085610316E-2</v>
      </c>
      <c r="U325" s="9">
        <f>(EXP(-67.1962+99.1624*(100/H325)+27.9015*LN(H325/100)+G325*(-0.072909+0.041674*(H325/100)-0.0064603*(H325/100)^2)*G325))</f>
        <v>4.6003724485026959E-2</v>
      </c>
      <c r="V325" s="9">
        <f>(EXP(-64.8539+100.252*(100/H325)+25.2049*LN(H325/100)+(-0.062544+0.035337*(H325/100)-0.0054699*(H325/100)^2)*G325))</f>
        <v>4.3462686866844402E-2</v>
      </c>
      <c r="W325" s="9">
        <f>(EXP(-68.8862+101.4956*(100/H325)+28.7314*LN(H325/100)+G325*(-0.076146+0.04397*(H325/100)-0.0068672*(H325/100)^2)))</f>
        <v>4.5833924962778917E-2</v>
      </c>
      <c r="X325">
        <f>N325*(AZ325-S325)</f>
        <v>173.90055087815233</v>
      </c>
      <c r="Y325">
        <f>O325*(AZ325-S325)</f>
        <v>71.195602173557717</v>
      </c>
      <c r="Z325">
        <f>((Y325/10^6)*AZ325)/(0.082056*H325)</f>
        <v>2.8623289540330897E-6</v>
      </c>
      <c r="AA325">
        <f>(((L325/10^6)*AZ325)/(0.082056*H325))</f>
        <v>8.8585324840213557E-8</v>
      </c>
      <c r="AB325">
        <f>((Y325/10^6)*U325*1)/(0.082056*H325)</f>
        <v>1.4207144004260188E-7</v>
      </c>
      <c r="AC325">
        <f>(Z325*(Q325/1000))+(AB325*(R325/1000))</f>
        <v>3.337011788905515E-7</v>
      </c>
      <c r="AD325" s="39">
        <f>((AC325-(AA325*(Q325/1000)))/(R325/1000))*1000000</f>
        <v>0.28805794684222696</v>
      </c>
      <c r="AE325" s="39">
        <f>(AD325/((U325*AZ325*1))*(0.0821*273.15))</f>
        <v>151.50447961216503</v>
      </c>
      <c r="AF325" s="39">
        <f>L325*U325*AZ325*1/(0.0821*273.15)</f>
        <v>4.1893803643423882E-3</v>
      </c>
      <c r="AG325" s="39">
        <f>AD325-AF325</f>
        <v>0.28386856647788455</v>
      </c>
      <c r="AH325" s="42">
        <f>P325*(AZ325-S325)</f>
        <v>0.24367569073061196</v>
      </c>
      <c r="AI325">
        <f>(((X325/10^6)*(Q325/1000))/(0.082056*H325))</f>
        <v>4.5259820706651736E-7</v>
      </c>
      <c r="AJ325">
        <f>(((K325/10^6)*AZ325)*(Q325/1000))/(0.082056*H325)</f>
        <v>1.1441586157064406E-6</v>
      </c>
      <c r="AK325">
        <f>(X325/10^6)*T325*(R325/1000)</f>
        <v>1.1477264922898887E-5</v>
      </c>
      <c r="AL325">
        <f>AI325+AK325</f>
        <v>1.1929863129965404E-5</v>
      </c>
      <c r="AM325" s="39">
        <f>((AL325-AJ325)/(R325/1000))*1000000</f>
        <v>9.4611443107534789</v>
      </c>
      <c r="AN325" s="39">
        <f>AM325/(T325*AZ325)</f>
        <v>176.32151736366691</v>
      </c>
      <c r="AO325" s="39">
        <f>(K325*AZ325)*T325</f>
        <v>25.45112365776664</v>
      </c>
      <c r="AP325" s="39">
        <f>AM325-AO325</f>
        <v>-15.989979347013161</v>
      </c>
      <c r="AQ325">
        <f>(((AH325/10^6)*(Q325/1000))/(0.082056*H325))</f>
        <v>6.3419684511319103E-10</v>
      </c>
      <c r="AR325">
        <f>(((M325/10^6)*AZ325)*(Q325/1000))/(0.082056*H325)</f>
        <v>2.1175851333135908E-9</v>
      </c>
      <c r="AS325">
        <f>(AH325/10^6)*V325*(R325/1000)</f>
        <v>1.2073512277346732E-8</v>
      </c>
      <c r="AT325">
        <f>AQ325+AS325</f>
        <v>1.2707709122459923E-8</v>
      </c>
      <c r="AU325" s="39">
        <f>((AT325-AR325)/(R325/1000))*1000000000</f>
        <v>9.2895824466195904</v>
      </c>
      <c r="AV325" s="39">
        <f>(AU325/1000)/(V325*AZ325)</f>
        <v>0.23060773359073425</v>
      </c>
      <c r="AW325" s="39">
        <f>(M325*AZ325)*V325*1000</f>
        <v>35.362713198415456</v>
      </c>
      <c r="AX325" s="39">
        <f>AU325-AW325</f>
        <v>-26.073130751795865</v>
      </c>
      <c r="AY325" s="26">
        <f>VLOOKUP($E325,Water!$C$2:$G$90, 5, FALSE)</f>
        <v>704.4</v>
      </c>
      <c r="AZ325">
        <f>AY325/760</f>
        <v>0.92684210526315791</v>
      </c>
      <c r="BA325" s="3">
        <f>Assumptions!$B$3</f>
        <v>406.07</v>
      </c>
      <c r="BB325" s="3">
        <f>BA325*AZ325*T325</f>
        <v>21.789098277459189</v>
      </c>
      <c r="BC325" s="3">
        <f>Assumptions!$B$4</f>
        <v>1.8474300000000001</v>
      </c>
      <c r="BD325" s="45">
        <f>BC325*AZ325*U325*1/(0.0821*273.15)</f>
        <v>3.512548896884269E-3</v>
      </c>
      <c r="BE325" s="3">
        <f>Assumptions!$B$2</f>
        <v>0.33054499999999998</v>
      </c>
      <c r="BF325" s="44">
        <f>BE325*AZ325*V325*1000</f>
        <v>13.315360165966478</v>
      </c>
      <c r="BG325">
        <f>1923.6+(-125.06*F325)+(4.3773*(F325^2))+(-0.085681*(F325^3))+(0.00070284*(F325^4))</f>
        <v>1176.3884082839038</v>
      </c>
      <c r="BH325">
        <f>1909.4+(-120.78*F325)+(4.1555*(F325^2))+(-0.080578*(F325^3))+(0.00065777*(F325^4))</f>
        <v>1184.3329082825121</v>
      </c>
      <c r="BI325">
        <f>2141.2+(-152.56*F325)+(5.8963*(F325^2))+(-0.12411*(F325^3))+(0.0010655*(F325^4))</f>
        <v>1255.0101974967997</v>
      </c>
      <c r="BJ325" s="25">
        <f>VLOOKUP(E325,Wind!$C$2:$E$109,3, FALSE)</f>
        <v>0.63888888888888895</v>
      </c>
      <c r="BK325" s="44">
        <v>1.66</v>
      </c>
      <c r="BL325">
        <f>BK325/(1-(((1.3*10^-3)^0.5)/0.41)*LN(10/1.5))</f>
        <v>1.9923982880693825</v>
      </c>
      <c r="BM325">
        <f>BK325*1.22</f>
        <v>2.0251999999999999</v>
      </c>
      <c r="BN325">
        <f>2.07+0.215*(BM325^1.7)*(24/100)</f>
        <v>2.241255750541113</v>
      </c>
      <c r="BO325">
        <f>BN325*((600/BG325)^0.67)</f>
        <v>1.4275251264911817</v>
      </c>
      <c r="BP325">
        <f>BN325*((600/BH325)^0.67)</f>
        <v>1.4211021964823858</v>
      </c>
      <c r="BQ325">
        <f>BN325*((600/BI325)^0.67)</f>
        <v>1.3669703478387853</v>
      </c>
      <c r="BR325" s="39">
        <f>BO325*(AM325-BB325)</f>
        <v>-17.598464045699036</v>
      </c>
      <c r="BS325" s="39">
        <f>BP325*(AD325-BD325)</f>
        <v>0.40436809001908103</v>
      </c>
      <c r="BT325" s="39">
        <f>BQ325*(AU325-BF325)</f>
        <v>-5.503118769337247</v>
      </c>
      <c r="BU325">
        <f>(2.51+1.48*BM325)+(0.39*BM325*LOG10(0.0015))</f>
        <v>3.2768938069574309</v>
      </c>
      <c r="BV325">
        <f>BU325*((600/$BG325)^0.67)</f>
        <v>2.0871550447313698</v>
      </c>
      <c r="BW325">
        <f>BU325*((600/$BH325)^0.67)</f>
        <v>2.077764211238466</v>
      </c>
      <c r="BX325">
        <f>BU325*((600/$BI325)^0.67)</f>
        <v>1.9986191518062506</v>
      </c>
      <c r="BY325" s="39">
        <f>BV325*($AM325-$BB325)</f>
        <v>-25.730351312825924</v>
      </c>
      <c r="BZ325" s="39">
        <f>BW325*($AD325-$BD325)</f>
        <v>0.59121824432344039</v>
      </c>
      <c r="CA325" s="39">
        <f>BX325*($AU325-$BF325)</f>
        <v>-8.045996450801578</v>
      </c>
      <c r="CB325" s="42">
        <f>AVERAGE(0.72,0.69,0.4,0.22)</f>
        <v>0.50750000000000006</v>
      </c>
      <c r="CC325">
        <f>CB325*((600/$BG325)^0.67)</f>
        <v>0.3232424508088218</v>
      </c>
      <c r="CD325">
        <f>CB325*((600/$BH325)^0.67)</f>
        <v>0.3217880710582392</v>
      </c>
      <c r="CE325">
        <f>CB325*((600/$BI325)^0.67)</f>
        <v>0.30953069562038715</v>
      </c>
      <c r="CF325" s="39">
        <f>CC325*($AM325-$BB325)</f>
        <v>-3.98491805365629</v>
      </c>
      <c r="CG325" s="39">
        <f>CD325*($AD325-$BD325)</f>
        <v>9.1563314733330875E-2</v>
      </c>
      <c r="CH325" s="39">
        <f>CE325*($AU325-$BF325)</f>
        <v>-1.2461017778824979</v>
      </c>
      <c r="CI325">
        <v>148.86263901889501</v>
      </c>
      <c r="CJ325">
        <f>((BG325/BH325)^0.67)*CI325</f>
        <v>148.19285444305839</v>
      </c>
      <c r="CK325">
        <f>((BH325/BH325)^0.67)*CI325</f>
        <v>148.86263901889501</v>
      </c>
      <c r="CL325">
        <f>((BI325/BH325)^0.67)*CI325</f>
        <v>154.75758023455342</v>
      </c>
      <c r="CM325" s="39">
        <f>CJ325*($AM325-$BB325)</f>
        <v>-1826.9146877687435</v>
      </c>
      <c r="CN325" s="39">
        <f>CK325*($AD325-$BD325)</f>
        <v>42.358178858825376</v>
      </c>
      <c r="CO325" s="39">
        <f>CL325*($AU325-$BF325)</f>
        <v>-623.01961840830336</v>
      </c>
      <c r="CP325" s="27">
        <f>VLOOKUP(A325,Water!$A$2:$E$109, 5, FALSE)/1000</f>
        <v>1.6000000000000001E-4</v>
      </c>
      <c r="CQ325">
        <f>0.64*CP325</f>
        <v>1.0240000000000001E-4</v>
      </c>
      <c r="CR325" s="19">
        <f>CQ325*1000*(2.5*10^-5)</f>
        <v>2.5600000000000001E-6</v>
      </c>
      <c r="CS325" s="18">
        <f>(-0.0000009*F325^3)+(0.0002*F325^2)-(0.0134*F325)+6.579</f>
        <v>6.4862209031999996</v>
      </c>
      <c r="CT325" s="18">
        <f>CS325-(SQRT(CP325))/(1+1.4*SQRT(CP325))</f>
        <v>6.4737918948222992</v>
      </c>
      <c r="CU325" s="18">
        <f>10^(-CT325)</f>
        <v>3.3589853150371943E-7</v>
      </c>
      <c r="CV325" s="18">
        <f>(0.000001*F325^3)+(0.00006*F325^2)-(0.014*F325)+10.625</f>
        <v>10.519924952</v>
      </c>
      <c r="CW325" s="18">
        <f>CV325-(2*SQRT(CR325))/(1+1.4*SQRT(CR325))</f>
        <v>10.516732103979566</v>
      </c>
      <c r="CX325" s="18">
        <f>10^(-CW325)</f>
        <v>3.0427613845517123E-11</v>
      </c>
      <c r="CY325">
        <f>EXP(1246.98+-61900/H325-183*LN(H325))</f>
        <v>5.9151385214036801E-3</v>
      </c>
      <c r="CZ325">
        <f>12.225*(F325^2)+15.258*F325+1125.7</f>
        <v>1988.4813999999999</v>
      </c>
      <c r="DA325" s="15">
        <f>10^(-4470.99/H325+6.0875-0.01706*H325)</f>
        <v>2.4025084106449813E-15</v>
      </c>
      <c r="DB325">
        <f>(10^-I325)</f>
        <v>8.1283051616409768E-10</v>
      </c>
      <c r="DC325">
        <f>DB325^2</f>
        <v>6.6069344800759346E-19</v>
      </c>
      <c r="DD325" s="20">
        <f>((14.6836*10^-9)*((H325/217.2056)-1)^1.997)*100*100</f>
        <v>1.2693221871404426E-5</v>
      </c>
      <c r="DE325">
        <f>CY325+CZ325*DA325/DB325</f>
        <v>1.1792554775970871E-2</v>
      </c>
      <c r="DF325">
        <f>1+DC325*(CU325*CX325+CU325*DB325)^-1</f>
        <v>1.0023325521261903</v>
      </c>
      <c r="DG325">
        <f>(DE325*DF325/DD325)^0.5</f>
        <v>30.51574188986206</v>
      </c>
      <c r="DH325">
        <f>DD325/(BO325/60/60)</f>
        <v>3.2010363873156117E-2</v>
      </c>
      <c r="DI325" s="16">
        <f>DF325/((DF325-1)+TANH(DG325*DH325)/(DG325*DH325))</f>
        <v>1.2986002572075184</v>
      </c>
      <c r="DJ325">
        <f>$DI325*BR325</f>
        <v>-22.853369936202032</v>
      </c>
      <c r="DK325">
        <f>$DI325*BY325</f>
        <v>-33.413440832875551</v>
      </c>
      <c r="DL325">
        <f>$DI325*CF325</f>
        <v>-5.1748156094289417</v>
      </c>
      <c r="DM325">
        <f>$DI325*CM325</f>
        <v>-2372.4318834326837</v>
      </c>
    </row>
    <row r="326" spans="1:117" ht="15.75" x14ac:dyDescent="0.25">
      <c r="A326" s="52" t="s">
        <v>330</v>
      </c>
      <c r="B326" t="s">
        <v>339</v>
      </c>
      <c r="C326" s="64" t="s">
        <v>545</v>
      </c>
      <c r="D326" s="65">
        <v>43368</v>
      </c>
      <c r="E326" s="42" t="str">
        <f>A326&amp;D326</f>
        <v>62B43368</v>
      </c>
      <c r="F326" s="3">
        <f>VLOOKUP($E326,Water!$C$2:$E$90, 2, FALSE)</f>
        <v>7.3</v>
      </c>
      <c r="G326" s="3">
        <f>VLOOKUP($E326,Water!$C$2:$E$90, 3, FALSE)</f>
        <v>0.96</v>
      </c>
      <c r="H326" s="1">
        <f>F326+273.15</f>
        <v>280.45</v>
      </c>
      <c r="I326" s="3">
        <f>VLOOKUP($E326,Water!$C$2:$F$90, 4, FALSE)</f>
        <v>8.74</v>
      </c>
      <c r="J326">
        <f>10^(I326*-1)</f>
        <v>1.8197008586099804E-9</v>
      </c>
      <c r="K326" s="25">
        <f>VLOOKUP($E326,Atm!$D$2:$G$100, 2, FALSE)</f>
        <v>431.21051383287568</v>
      </c>
      <c r="L326" s="25">
        <f>VLOOKUP($E326,Atm!$D$2:$G$100, 3, FALSE)</f>
        <v>2.2040402769884091</v>
      </c>
      <c r="M326" s="25">
        <f>VLOOKUP($E326,Atm!$D$2:$G$100, 4, FALSE)</f>
        <v>0.30119341676803724</v>
      </c>
      <c r="N326" s="21">
        <f>VLOOKUP($C326,Raw!$B$2:$F$353, 3, FALSE)</f>
        <v>503.6260614082002</v>
      </c>
      <c r="O326" s="21">
        <f>VLOOKUP($C326,Raw!$B$2:$F$353, 4, FALSE)</f>
        <v>177.18935449293849</v>
      </c>
      <c r="P326" s="21">
        <f>VLOOKUP($C326,Raw!$B$2:$F$353, 5, FALSE)</f>
        <v>0.27809953821556288</v>
      </c>
      <c r="Q326" s="14">
        <v>60</v>
      </c>
      <c r="R326" s="25">
        <v>1140</v>
      </c>
      <c r="S326">
        <f>EXP(24.4543-(100/H326*(67.4509))-(4.8489*LN(H326/100))-(0.000544*G326))</f>
        <v>1.0077155226632497E-2</v>
      </c>
      <c r="T326" s="8">
        <f>EXP(-58.0931+90.5069*(100/H326)+22.294*LN(H326/100)+G326*(0.027766-0.025888*(H326/100)+0.0050578*(H326/100)^2)*G326)</f>
        <v>5.8683509962659336E-2</v>
      </c>
      <c r="U326" s="9">
        <f>(EXP(-67.1962+99.1624*(100/H326)+27.9015*LN(H326/100)+G326*(-0.072909+0.041674*(H326/100)-0.0064603*(H326/100)^2)*G326))</f>
        <v>4.6353412437409411E-2</v>
      </c>
      <c r="V326" s="9">
        <f>(EXP(-64.8539+100.252*(100/H326)+25.2049*LN(H326/100)+(-0.062544+0.035337*(H326/100)-0.0054699*(H326/100)^2)*G326))</f>
        <v>4.4098056505733667E-2</v>
      </c>
      <c r="W326" s="9">
        <f>(EXP(-68.8862+101.4956*(100/H326)+28.7314*LN(H326/100)+G326*(-0.076146+0.04397*(H326/100)-0.0068672*(H326/100)^2)))</f>
        <v>4.6237734857095543E-2</v>
      </c>
      <c r="X326">
        <f>N326*(AZ326-S326)</f>
        <v>461.50792126289855</v>
      </c>
      <c r="Y326">
        <f>O326*(AZ326-S326)</f>
        <v>162.37104655247572</v>
      </c>
      <c r="Z326">
        <f>((Y326/10^6)*AZ326)/(0.082056*H326)</f>
        <v>6.5367752794157073E-6</v>
      </c>
      <c r="AA326">
        <f>(((L326/10^6)*AZ326)/(0.082056*H326))</f>
        <v>8.8730819338521476E-8</v>
      </c>
      <c r="AB326">
        <f>((Y326/10^6)*U326*1)/(0.082056*H326)</f>
        <v>3.2705780259684418E-7</v>
      </c>
      <c r="AC326">
        <f>(Z326*(Q326/1000))+(AB326*(R326/1000))</f>
        <v>7.6505241172534475E-7</v>
      </c>
      <c r="AD326" s="39">
        <f>((AC326-(AA326*(Q326/1000)))/(R326/1000))*1000000</f>
        <v>0.66642856365353831</v>
      </c>
      <c r="AE326" s="39">
        <f>(AD326/((U326*AZ326*1))*(0.0821*273.15))</f>
        <v>348.01302738417218</v>
      </c>
      <c r="AF326" s="39">
        <f>L326*U326*AZ326*1/(0.0821*273.15)</f>
        <v>4.220633368435609E-3</v>
      </c>
      <c r="AG326" s="39">
        <f>AD326-AF326</f>
        <v>0.66220793028510272</v>
      </c>
      <c r="AH326" s="42">
        <f>P326*(AZ326-S326)</f>
        <v>0.25484213312386517</v>
      </c>
      <c r="AI326">
        <f>(((X326/10^6)*(Q326/1000))/(0.082056*H326))</f>
        <v>1.2032742505735035E-6</v>
      </c>
      <c r="AJ326">
        <f>(((K326/10^6)*AZ326)*(Q326/1000))/(0.082056*H326)</f>
        <v>1.0415870145183499E-6</v>
      </c>
      <c r="AK326">
        <f>(X326/10^6)*T326*(R326/1000)</f>
        <v>3.0874511352616354E-5</v>
      </c>
      <c r="AL326">
        <f>AI326+AK326</f>
        <v>3.207778560318986E-5</v>
      </c>
      <c r="AM326" s="39">
        <f>((AL326-AJ326)/(R326/1000))*1000000</f>
        <v>27.224735604097816</v>
      </c>
      <c r="AN326" s="39">
        <f>AM326/(T326*AZ326)</f>
        <v>500.75677852402487</v>
      </c>
      <c r="AO326" s="39">
        <f>(K326*AZ326)*T326</f>
        <v>23.443701078614499</v>
      </c>
      <c r="AP326" s="39">
        <f>AM326-AO326</f>
        <v>3.7810345254833173</v>
      </c>
      <c r="AQ326">
        <f>(((AH326/10^6)*(Q326/1000))/(0.082056*H326))</f>
        <v>6.6444141610841657E-10</v>
      </c>
      <c r="AR326">
        <f>(((M326/10^6)*AZ326)*(Q326/1000))/(0.082056*H326)</f>
        <v>7.2753131405694166E-10</v>
      </c>
      <c r="AS326">
        <f>(AH326/10^6)*V326*(R326/1000)</f>
        <v>1.2811368776653212E-8</v>
      </c>
      <c r="AT326">
        <f>AQ326+AS326</f>
        <v>1.3475810192761629E-8</v>
      </c>
      <c r="AU326" s="39">
        <f>((AT326-AR326)/(R326/1000))*1000000000</f>
        <v>11.182700770793586</v>
      </c>
      <c r="AV326" s="39">
        <f>(AU326/1000)/(V326*AZ326)</f>
        <v>0.27371998180221246</v>
      </c>
      <c r="AW326" s="39">
        <f>(M326*AZ326)*V326*1000</f>
        <v>12.305114999911414</v>
      </c>
      <c r="AX326" s="39">
        <f>AU326-AW326</f>
        <v>-1.1224142291178278</v>
      </c>
      <c r="AY326" s="26">
        <f>VLOOKUP($E326,Water!$C$2:$G$90, 5, FALSE)</f>
        <v>704.1</v>
      </c>
      <c r="AZ326">
        <f>AY326/760</f>
        <v>0.92644736842105269</v>
      </c>
      <c r="BA326" s="3">
        <f>Assumptions!$B$3</f>
        <v>406.07</v>
      </c>
      <c r="BB326" s="3">
        <f>BA326*AZ326*T326</f>
        <v>22.07688215293047</v>
      </c>
      <c r="BC326" s="3">
        <f>Assumptions!$B$4</f>
        <v>1.8474300000000001</v>
      </c>
      <c r="BD326" s="45">
        <f>BC326*AZ326*U326*1/(0.0821*273.15)</f>
        <v>3.537741476532011E-3</v>
      </c>
      <c r="BE326" s="3">
        <f>Assumptions!$B$2</f>
        <v>0.33054499999999998</v>
      </c>
      <c r="BF326" s="44">
        <f>BE326*AZ326*V326*1000</f>
        <v>13.504260090711755</v>
      </c>
      <c r="BG326">
        <f>1923.6+(-125.06*F326)+(4.3773*(F326^2))+(-0.085681*(F326^3))+(0.00070284*(F326^4))</f>
        <v>1212.5928933934438</v>
      </c>
      <c r="BH326">
        <f>1909.4+(-120.78*F326)+(4.1555*(F326^2))+(-0.080578*(F326^3))+(0.00065777*(F326^4))</f>
        <v>1219.6743342722571</v>
      </c>
      <c r="BI326">
        <f>2141.2+(-152.56*F326)+(5.8963*(F326^2))+(-0.12411*(F326^3))+(0.0010655*(F326^4))</f>
        <v>1296.4707597085498</v>
      </c>
      <c r="BJ326" s="25">
        <f>VLOOKUP(E326,Wind!$C$2:$E$109,3, FALSE)</f>
        <v>3.6111111111111112</v>
      </c>
      <c r="BK326" s="44">
        <v>1.66</v>
      </c>
      <c r="BL326">
        <f>BK326/(1-(((1.3*10^-3)^0.5)/0.41)*LN(10/1.5))</f>
        <v>1.9923982880693825</v>
      </c>
      <c r="BM326">
        <f>BK326*1.22</f>
        <v>2.0251999999999999</v>
      </c>
      <c r="BN326">
        <f>2.07+0.215*(BM326^1.7)*(24/100)</f>
        <v>2.241255750541113</v>
      </c>
      <c r="BO326">
        <f>BN326*((600/BG326)^0.67)</f>
        <v>1.3988259877013927</v>
      </c>
      <c r="BP326">
        <f>BN326*((600/BH326)^0.67)</f>
        <v>1.3933792913008642</v>
      </c>
      <c r="BQ326">
        <f>BN326*((600/BI326)^0.67)</f>
        <v>1.337524444946349</v>
      </c>
      <c r="BR326" s="39">
        <f>BO326*(AM326-BB326)</f>
        <v>7.200951188371187</v>
      </c>
      <c r="BS326" s="39">
        <f>BP326*(AD326-BD326)</f>
        <v>0.92365834401484437</v>
      </c>
      <c r="BT326" s="39">
        <f>BQ326*(AU326-BF326)</f>
        <v>-3.1051423407835723</v>
      </c>
      <c r="BU326">
        <f>(2.51+1.48*BM326)+(0.39*BM326*LOG10(0.0015))</f>
        <v>3.2768938069574309</v>
      </c>
      <c r="BV326">
        <f>BU326*((600/$BG326)^0.67)</f>
        <v>2.0451946258266704</v>
      </c>
      <c r="BW326">
        <f>BU326*((600/$BH326)^0.67)</f>
        <v>2.0372311233575928</v>
      </c>
      <c r="BX326">
        <f>BU326*((600/$BI326)^0.67)</f>
        <v>1.9555669045090831</v>
      </c>
      <c r="BY326" s="39">
        <f>BV326*($AM326-$BB326)</f>
        <v>10.528362212870736</v>
      </c>
      <c r="BZ326" s="39">
        <f>BW326*($AD326-$BD326)</f>
        <v>1.350461814327101</v>
      </c>
      <c r="CA326" s="39">
        <f>BX326*($AU326-$BF326)</f>
        <v>-4.5399645728865856</v>
      </c>
      <c r="CB326" s="42">
        <f>AVERAGE(0.72,0.69,0.4,0.22)</f>
        <v>0.50750000000000006</v>
      </c>
      <c r="CC326">
        <f>CB326*((600/$BG326)^0.67)</f>
        <v>0.31674394525794863</v>
      </c>
      <c r="CD326">
        <f>CB326*((600/$BH326)^0.67)</f>
        <v>0.31551061951071929</v>
      </c>
      <c r="CE326">
        <f>CB326*((600/$BI326)^0.67)</f>
        <v>0.30286309612206863</v>
      </c>
      <c r="CF326" s="39">
        <f>CC326*($AM326-$BB326)</f>
        <v>1.630551411732492</v>
      </c>
      <c r="CG326" s="39">
        <f>CD326*($AD326-$BD326)</f>
        <v>0.20914909397303733</v>
      </c>
      <c r="CH326" s="39">
        <f>CE326*($AU326-$BF326)</f>
        <v>-0.70311464346146069</v>
      </c>
      <c r="CI326">
        <v>149.86263901889501</v>
      </c>
      <c r="CJ326">
        <f>((BG326/BH326)^0.67)*CI326</f>
        <v>149.27910947076359</v>
      </c>
      <c r="CK326">
        <f>((BH326/BH326)^0.67)*CI326</f>
        <v>149.86263901889501</v>
      </c>
      <c r="CL326">
        <f>((BI326/BH326)^0.67)*CI326</f>
        <v>156.12088327626881</v>
      </c>
      <c r="CM326" s="39">
        <f>CJ326*($AM326-$BB326)</f>
        <v>768.46697887625851</v>
      </c>
      <c r="CN326" s="39">
        <f>CK326*($AD326-$BD326)</f>
        <v>99.34256799285123</v>
      </c>
      <c r="CO326" s="39">
        <f>CL326*($AU326-$BF326)</f>
        <v>-362.44389160387846</v>
      </c>
      <c r="CP326" s="27">
        <f>VLOOKUP(A326,Water!$A$2:$E$109, 5, FALSE)/1000</f>
        <v>1.4299999999999998E-3</v>
      </c>
      <c r="CQ326">
        <f>0.64*CP326</f>
        <v>9.1519999999999991E-4</v>
      </c>
      <c r="CR326" s="19">
        <f>CQ326*1000*(2.5*10^-5)</f>
        <v>2.2879999999999998E-5</v>
      </c>
      <c r="CS326" s="18">
        <f>(-0.0000009*F326^3)+(0.0002*F326^2)-(0.0134*F326)+6.579</f>
        <v>6.4914878846999997</v>
      </c>
      <c r="CT326" s="18">
        <f>CS326-(SQRT(CP326))/(1+1.4*SQRT(CP326))</f>
        <v>6.4555738841368431</v>
      </c>
      <c r="CU326" s="18">
        <f>10^(-CT326)</f>
        <v>3.5028869053962061E-7</v>
      </c>
      <c r="CV326" s="18">
        <f>(0.000001*F326^3)+(0.00006*F326^2)-(0.014*F326)+10.625</f>
        <v>10.526386416999999</v>
      </c>
      <c r="CW326" s="18">
        <f>CV326-(2*SQRT(CR326))/(1+1.4*SQRT(CR326))</f>
        <v>10.516883446246695</v>
      </c>
      <c r="CX326" s="18">
        <f>10^(-CW326)</f>
        <v>3.0417012325168826E-11</v>
      </c>
      <c r="CY326">
        <f>EXP(1246.98+-61900/H326-183*LN(H326))</f>
        <v>5.5327309940685016E-3</v>
      </c>
      <c r="CZ326">
        <f>12.225*(F326^2)+15.258*F326+1125.7</f>
        <v>1888.5536500000001</v>
      </c>
      <c r="DA326" s="15">
        <f>10^(-4470.99/H326+6.0875-0.01706*H326)</f>
        <v>2.2952128375970642E-15</v>
      </c>
      <c r="DB326">
        <f>(10^-I326)</f>
        <v>1.8197008586099804E-9</v>
      </c>
      <c r="DC326">
        <f>DB326^2</f>
        <v>3.3113112148258999E-18</v>
      </c>
      <c r="DD326" s="20">
        <f>((14.6836*10^-9)*((H326/217.2056)-1)^1.997)*100*100</f>
        <v>1.2495171160610277E-5</v>
      </c>
      <c r="DE326">
        <f>CY326+CZ326*DA326/DB326</f>
        <v>7.9147887710164667E-3</v>
      </c>
      <c r="DF326">
        <f>1+DC326*(CU326*CX326+CU326*DB326)^-1</f>
        <v>1.005109453910362</v>
      </c>
      <c r="DG326">
        <f>(DE326*DF326/DD326)^0.5</f>
        <v>25.232206988616586</v>
      </c>
      <c r="DH326">
        <f>DD326/(BO326/60/60)</f>
        <v>3.215740669224644E-2</v>
      </c>
      <c r="DI326" s="16">
        <f>DF326/((DF326-1)+TANH(DG326*DH326)/(DG326*DH326))</f>
        <v>1.2090990887218158</v>
      </c>
      <c r="DJ326">
        <f>$DI326*BR326</f>
        <v>8.7066635197898794</v>
      </c>
      <c r="DK326">
        <f>$DI326*BY326</f>
        <v>12.729833157315207</v>
      </c>
      <c r="DL326">
        <f>$DI326*CF326</f>
        <v>1.9714982260398264</v>
      </c>
      <c r="DM326">
        <f>$DI326*CM326</f>
        <v>929.15272387209109</v>
      </c>
    </row>
    <row r="327" spans="1:117" ht="15.75" x14ac:dyDescent="0.25">
      <c r="A327" s="52" t="s">
        <v>330</v>
      </c>
      <c r="B327" t="s">
        <v>340</v>
      </c>
      <c r="C327" s="64" t="s">
        <v>546</v>
      </c>
      <c r="D327" s="65">
        <v>43368</v>
      </c>
      <c r="E327" s="42" t="str">
        <f>A327&amp;D327</f>
        <v>62B43368</v>
      </c>
      <c r="F327" s="3">
        <f>VLOOKUP($E327,Water!$C$2:$E$90, 2, FALSE)</f>
        <v>7.3</v>
      </c>
      <c r="G327" s="3">
        <f>VLOOKUP($E327,Water!$C$2:$E$90, 3, FALSE)</f>
        <v>0.96</v>
      </c>
      <c r="H327" s="1">
        <f>F327+273.15</f>
        <v>280.45</v>
      </c>
      <c r="I327" s="3">
        <f>VLOOKUP($E327,Water!$C$2:$F$90, 4, FALSE)</f>
        <v>8.74</v>
      </c>
      <c r="J327">
        <f>10^(I327*-1)</f>
        <v>1.8197008586099804E-9</v>
      </c>
      <c r="K327" s="25">
        <f>VLOOKUP($E327,Atm!$D$2:$G$100, 2, FALSE)</f>
        <v>431.21051383287568</v>
      </c>
      <c r="L327" s="25">
        <f>VLOOKUP($E327,Atm!$D$2:$G$100, 3, FALSE)</f>
        <v>2.2040402769884091</v>
      </c>
      <c r="M327" s="25">
        <f>VLOOKUP($E327,Atm!$D$2:$G$100, 4, FALSE)</f>
        <v>0.30119341676803724</v>
      </c>
      <c r="N327" s="21">
        <f>VLOOKUP($C327,Raw!$B$2:$F$353, 3, FALSE)</f>
        <v>546.95850249271598</v>
      </c>
      <c r="O327" s="21">
        <f>VLOOKUP($C327,Raw!$B$2:$F$353, 4, FALSE)</f>
        <v>176.36490855372989</v>
      </c>
      <c r="P327" s="21">
        <f>VLOOKUP($C327,Raw!$B$2:$F$353, 5, FALSE)</f>
        <v>0.2844627810956612</v>
      </c>
      <c r="Q327" s="14">
        <v>60</v>
      </c>
      <c r="R327" s="25">
        <v>1140</v>
      </c>
      <c r="S327">
        <f>EXP(24.4543-(100/H327*(67.4509))-(4.8489*LN(H327/100))-(0.000544*G327))</f>
        <v>1.0077155226632497E-2</v>
      </c>
      <c r="T327" s="8">
        <f>EXP(-58.0931+90.5069*(100/H327)+22.294*LN(H327/100)+G327*(0.027766-0.025888*(H327/100)+0.0050578*(H327/100)^2)*G327)</f>
        <v>5.8683509962659336E-2</v>
      </c>
      <c r="U327" s="9">
        <f>(EXP(-67.1962+99.1624*(100/H327)+27.9015*LN(H327/100)+G327*(-0.072909+0.041674*(H327/100)-0.0064603*(H327/100)^2)*G327))</f>
        <v>4.6353412437409411E-2</v>
      </c>
      <c r="V327" s="9">
        <f>(EXP(-64.8539+100.252*(100/H327)+25.2049*LN(H327/100)+(-0.062544+0.035337*(H327/100)-0.0054699*(H327/100)^2)*G327))</f>
        <v>4.4098056505733667E-2</v>
      </c>
      <c r="W327" s="9">
        <f>(EXP(-68.8862+101.4956*(100/H327)+28.7314*LN(H327/100)+G327*(-0.076146+0.04397*(H327/100)-0.0068672*(H327/100)^2)))</f>
        <v>4.6237734857095543E-2</v>
      </c>
      <c r="X327">
        <f>N327*(AZ327-S327)</f>
        <v>501.2164795377509</v>
      </c>
      <c r="Y327">
        <f>O327*(AZ327-S327)</f>
        <v>161.61554885139586</v>
      </c>
      <c r="Z327">
        <f>((Y327/10^6)*AZ327)/(0.082056*H327)</f>
        <v>6.506360258998394E-6</v>
      </c>
      <c r="AA327">
        <f>(((L327/10^6)*AZ327)/(0.082056*H327))</f>
        <v>8.8730819338521476E-8</v>
      </c>
      <c r="AB327">
        <f>((Y327/10^6)*U327*1)/(0.082056*H327)</f>
        <v>3.2553603240918769E-7</v>
      </c>
      <c r="AC327">
        <f>(Z327*(Q327/1000))+(AB327*(R327/1000))</f>
        <v>7.6149269248637754E-7</v>
      </c>
      <c r="AD327" s="39">
        <f>((AC327-(AA327*(Q327/1000)))/(R327/1000))*1000000</f>
        <v>0.663306002917602</v>
      </c>
      <c r="AE327" s="39">
        <f>(AD327/((U327*AZ327*1))*(0.0821*273.15))</f>
        <v>346.38240727847528</v>
      </c>
      <c r="AF327" s="39">
        <f>L327*U327*AZ327*1/(0.0821*273.15)</f>
        <v>4.220633368435609E-3</v>
      </c>
      <c r="AG327" s="39">
        <f>AD327-AF327</f>
        <v>0.65908536954916641</v>
      </c>
      <c r="AH327" s="42">
        <f>P327*(AZ327-S327)</f>
        <v>0.26067321935850873</v>
      </c>
      <c r="AI327">
        <f>(((X327/10^6)*(Q327/1000))/(0.082056*H327))</f>
        <v>1.3068050536175304E-6</v>
      </c>
      <c r="AJ327">
        <f>(((K327/10^6)*AZ327)*(Q327/1000))/(0.082056*H327)</f>
        <v>1.0415870145183499E-6</v>
      </c>
      <c r="AK327">
        <f>(X327/10^6)*T327*(R327/1000)</f>
        <v>3.3530982188259014E-5</v>
      </c>
      <c r="AL327">
        <f>AI327+AK327</f>
        <v>3.4837787241876545E-5</v>
      </c>
      <c r="AM327" s="39">
        <f>((AL327-AJ327)/(R327/1000))*1000000</f>
        <v>29.645789673121222</v>
      </c>
      <c r="AN327" s="39">
        <f>AM327/(T327*AZ327)</f>
        <v>545.28831241536443</v>
      </c>
      <c r="AO327" s="39">
        <f>(K327*AZ327)*T327</f>
        <v>23.443701078614499</v>
      </c>
      <c r="AP327" s="39">
        <f>AM327-AO327</f>
        <v>6.2020885945067228</v>
      </c>
      <c r="AQ327">
        <f>(((AH327/10^6)*(Q327/1000))/(0.082056*H327))</f>
        <v>6.7964461327092702E-10</v>
      </c>
      <c r="AR327">
        <f>(((M327/10^6)*AZ327)*(Q327/1000))/(0.082056*H327)</f>
        <v>7.2753131405694166E-10</v>
      </c>
      <c r="AS327">
        <f>(AH327/10^6)*V327*(R327/1000)</f>
        <v>1.310450788675545E-8</v>
      </c>
      <c r="AT327">
        <f>AQ327+AS327</f>
        <v>1.3784152500026377E-8</v>
      </c>
      <c r="AU327" s="39">
        <f>((AT327-AR327)/(R327/1000))*1000000000</f>
        <v>11.453176478920559</v>
      </c>
      <c r="AV327" s="39">
        <f>(AU327/1000)/(V327*AZ327)</f>
        <v>0.28034044026067495</v>
      </c>
      <c r="AW327" s="39">
        <f>(M327*AZ327)*V327*1000</f>
        <v>12.305114999911414</v>
      </c>
      <c r="AX327" s="39">
        <f>AU327-AW327</f>
        <v>-0.85193852099085454</v>
      </c>
      <c r="AY327" s="26">
        <f>VLOOKUP($E327,Water!$C$2:$G$90, 5, FALSE)</f>
        <v>704.1</v>
      </c>
      <c r="AZ327">
        <f>AY327/760</f>
        <v>0.92644736842105269</v>
      </c>
      <c r="BA327" s="3">
        <f>Assumptions!$B$3</f>
        <v>406.07</v>
      </c>
      <c r="BB327" s="3">
        <f>BA327*AZ327*T327</f>
        <v>22.07688215293047</v>
      </c>
      <c r="BC327" s="3">
        <f>Assumptions!$B$4</f>
        <v>1.8474300000000001</v>
      </c>
      <c r="BD327" s="45">
        <f>BC327*AZ327*U327*1/(0.0821*273.15)</f>
        <v>3.537741476532011E-3</v>
      </c>
      <c r="BE327" s="3">
        <f>Assumptions!$B$2</f>
        <v>0.33054499999999998</v>
      </c>
      <c r="BF327" s="44">
        <f>BE327*AZ327*V327*1000</f>
        <v>13.504260090711755</v>
      </c>
      <c r="BG327">
        <f>1923.6+(-125.06*F327)+(4.3773*(F327^2))+(-0.085681*(F327^3))+(0.00070284*(F327^4))</f>
        <v>1212.5928933934438</v>
      </c>
      <c r="BH327">
        <f>1909.4+(-120.78*F327)+(4.1555*(F327^2))+(-0.080578*(F327^3))+(0.00065777*(F327^4))</f>
        <v>1219.6743342722571</v>
      </c>
      <c r="BI327">
        <f>2141.2+(-152.56*F327)+(5.8963*(F327^2))+(-0.12411*(F327^3))+(0.0010655*(F327^4))</f>
        <v>1296.4707597085498</v>
      </c>
      <c r="BJ327" s="25">
        <f>VLOOKUP(E327,Wind!$C$2:$E$109,3, FALSE)</f>
        <v>3.6111111111111112</v>
      </c>
      <c r="BK327" s="44">
        <v>1.66</v>
      </c>
      <c r="BL327">
        <f>BK327/(1-(((1.3*10^-3)^0.5)/0.41)*LN(10/1.5))</f>
        <v>1.9923982880693825</v>
      </c>
      <c r="BM327">
        <f>BK327*1.22</f>
        <v>2.0251999999999999</v>
      </c>
      <c r="BN327">
        <f>2.07+0.215*(BM327^1.7)*(24/100)</f>
        <v>2.241255750541113</v>
      </c>
      <c r="BO327">
        <f>BN327*((600/BG327)^0.67)</f>
        <v>1.3988259877013927</v>
      </c>
      <c r="BP327">
        <f>BN327*((600/BH327)^0.67)</f>
        <v>1.3933792913008642</v>
      </c>
      <c r="BQ327">
        <f>BN327*((600/BI327)^0.67)</f>
        <v>1.337524444946349</v>
      </c>
      <c r="BR327" s="39">
        <f>BO327*(AM327-BB327)</f>
        <v>10.587584537751328</v>
      </c>
      <c r="BS327" s="39">
        <f>BP327*(AD327-BD327)</f>
        <v>0.91930743254956149</v>
      </c>
      <c r="BT327" s="39">
        <f>BQ327*(AU327-BF327)</f>
        <v>-2.7433744693995719</v>
      </c>
      <c r="BU327">
        <f>(2.51+1.48*BM327)+(0.39*BM327*LOG10(0.0015))</f>
        <v>3.2768938069574309</v>
      </c>
      <c r="BV327">
        <f>BU327*((600/$BG327)^0.67)</f>
        <v>2.0451946258266704</v>
      </c>
      <c r="BW327">
        <f>BU327*((600/$BH327)^0.67)</f>
        <v>2.0372311233575928</v>
      </c>
      <c r="BX327">
        <f>BU327*((600/$BI327)^0.67)</f>
        <v>1.9555669045090831</v>
      </c>
      <c r="BY327" s="39">
        <f>BV327*($AM327-$BB327)</f>
        <v>15.479888983673197</v>
      </c>
      <c r="BZ327" s="39">
        <f>BW327*($AD327-$BD327)</f>
        <v>1.3441004364112772</v>
      </c>
      <c r="CA327" s="39">
        <f>BX327*($AU327-$BF327)</f>
        <v>-4.0110312295998183</v>
      </c>
      <c r="CB327" s="42">
        <f>AVERAGE(0.72,0.69,0.4,0.22)</f>
        <v>0.50750000000000006</v>
      </c>
      <c r="CC327">
        <f>CB327*((600/$BG327)^0.67)</f>
        <v>0.31674394525794863</v>
      </c>
      <c r="CD327">
        <f>CB327*((600/$BH327)^0.67)</f>
        <v>0.31551061951071929</v>
      </c>
      <c r="CE327">
        <f>CB327*((600/$BI327)^0.67)</f>
        <v>0.30286309612206863</v>
      </c>
      <c r="CF327" s="39">
        <f>CC327*($AM327-$BB327)</f>
        <v>2.3974056292377752</v>
      </c>
      <c r="CG327" s="39">
        <f>CD327*($AD327-$BD327)</f>
        <v>0.20816389290078222</v>
      </c>
      <c r="CH327" s="39">
        <f>CE327*($AU327-$BF327)</f>
        <v>-0.62119753307231662</v>
      </c>
      <c r="CI327">
        <v>150.86263901889501</v>
      </c>
      <c r="CJ327">
        <f>((BG327/BH327)^0.67)*CI327</f>
        <v>150.27521570810231</v>
      </c>
      <c r="CK327">
        <f>((BH327/BH327)^0.67)*CI327</f>
        <v>150.86263901889501</v>
      </c>
      <c r="CL327">
        <f>((BI327/BH327)^0.67)*CI327</f>
        <v>157.16264314582898</v>
      </c>
      <c r="CM327" s="39">
        <f>CJ327*($AM327-$BB327)</f>
        <v>1137.419210271343</v>
      </c>
      <c r="CN327" s="39">
        <f>CK327*($AD327-$BD327)</f>
        <v>99.534381061908093</v>
      </c>
      <c r="CO327" s="39">
        <f>CL327*($AU327-$BF327)</f>
        <v>-322.35372174219771</v>
      </c>
      <c r="CP327" s="27">
        <f>VLOOKUP(A327,Water!$A$2:$E$109, 5, FALSE)/1000</f>
        <v>1.4299999999999998E-3</v>
      </c>
      <c r="CQ327">
        <f>0.64*CP327</f>
        <v>9.1519999999999991E-4</v>
      </c>
      <c r="CR327" s="19">
        <f>CQ327*1000*(2.5*10^-5)</f>
        <v>2.2879999999999998E-5</v>
      </c>
      <c r="CS327" s="18">
        <f>(-0.0000009*F327^3)+(0.0002*F327^2)-(0.0134*F327)+6.579</f>
        <v>6.4914878846999997</v>
      </c>
      <c r="CT327" s="18">
        <f>CS327-(SQRT(CP327))/(1+1.4*SQRT(CP327))</f>
        <v>6.4555738841368431</v>
      </c>
      <c r="CU327" s="18">
        <f>10^(-CT327)</f>
        <v>3.5028869053962061E-7</v>
      </c>
      <c r="CV327" s="18">
        <f>(0.000001*F327^3)+(0.00006*F327^2)-(0.014*F327)+10.625</f>
        <v>10.526386416999999</v>
      </c>
      <c r="CW327" s="18">
        <f>CV327-(2*SQRT(CR327))/(1+1.4*SQRT(CR327))</f>
        <v>10.516883446246695</v>
      </c>
      <c r="CX327" s="18">
        <f>10^(-CW327)</f>
        <v>3.0417012325168826E-11</v>
      </c>
      <c r="CY327">
        <f>EXP(1246.98+-61900/H327-183*LN(H327))</f>
        <v>5.5327309940685016E-3</v>
      </c>
      <c r="CZ327">
        <f>12.225*(F327^2)+15.258*F327+1125.7</f>
        <v>1888.5536500000001</v>
      </c>
      <c r="DA327" s="15">
        <f>10^(-4470.99/H327+6.0875-0.01706*H327)</f>
        <v>2.2952128375970642E-15</v>
      </c>
      <c r="DB327">
        <f>(10^-I327)</f>
        <v>1.8197008586099804E-9</v>
      </c>
      <c r="DC327">
        <f>DB327^2</f>
        <v>3.3113112148258999E-18</v>
      </c>
      <c r="DD327" s="20">
        <f>((14.6836*10^-9)*((H327/217.2056)-1)^1.997)*100*100</f>
        <v>1.2495171160610277E-5</v>
      </c>
      <c r="DE327">
        <f>CY327+CZ327*DA327/DB327</f>
        <v>7.9147887710164667E-3</v>
      </c>
      <c r="DF327">
        <f>1+DC327*(CU327*CX327+CU327*DB327)^-1</f>
        <v>1.005109453910362</v>
      </c>
      <c r="DG327">
        <f>(DE327*DF327/DD327)^0.5</f>
        <v>25.232206988616586</v>
      </c>
      <c r="DH327">
        <f>DD327/(BO327/60/60)</f>
        <v>3.215740669224644E-2</v>
      </c>
      <c r="DI327" s="16">
        <f>DF327/((DF327-1)+TANH(DG327*DH327)/(DG327*DH327))</f>
        <v>1.2090990887218158</v>
      </c>
      <c r="DJ327">
        <f>$DI327*BR327</f>
        <v>12.801438816360317</v>
      </c>
      <c r="DK327">
        <f>$DI327*BY327</f>
        <v>18.716719663674137</v>
      </c>
      <c r="DL327">
        <f>$DI327*CF327</f>
        <v>2.8987009616079455</v>
      </c>
      <c r="DM327">
        <f>$DI327*CM327</f>
        <v>1375.2525306337682</v>
      </c>
    </row>
    <row r="328" spans="1:117" ht="15.75" x14ac:dyDescent="0.25">
      <c r="A328" s="52" t="s">
        <v>330</v>
      </c>
      <c r="B328" t="s">
        <v>341</v>
      </c>
      <c r="C328" s="64" t="s">
        <v>547</v>
      </c>
      <c r="D328" s="65">
        <v>43368</v>
      </c>
      <c r="E328" s="42" t="str">
        <f>A328&amp;D328</f>
        <v>62B43368</v>
      </c>
      <c r="F328" s="3">
        <f>VLOOKUP($E328,Water!$C$2:$E$90, 2, FALSE)</f>
        <v>7.3</v>
      </c>
      <c r="G328" s="3">
        <f>VLOOKUP($E328,Water!$C$2:$E$90, 3, FALSE)</f>
        <v>0.96</v>
      </c>
      <c r="H328" s="1">
        <f>F328+273.15</f>
        <v>280.45</v>
      </c>
      <c r="I328" s="3">
        <f>VLOOKUP($E328,Water!$C$2:$F$90, 4, FALSE)</f>
        <v>8.74</v>
      </c>
      <c r="J328">
        <f>10^(I328*-1)</f>
        <v>1.8197008586099804E-9</v>
      </c>
      <c r="K328" s="25">
        <f>VLOOKUP($E328,Atm!$D$2:$G$100, 2, FALSE)</f>
        <v>431.21051383287568</v>
      </c>
      <c r="L328" s="25">
        <f>VLOOKUP($E328,Atm!$D$2:$G$100, 3, FALSE)</f>
        <v>2.2040402769884091</v>
      </c>
      <c r="M328" s="25">
        <f>VLOOKUP($E328,Atm!$D$2:$G$100, 4, FALSE)</f>
        <v>0.30119341676803724</v>
      </c>
      <c r="N328" s="21">
        <f>VLOOKUP($C328,Raw!$B$2:$F$353, 3, FALSE)</f>
        <v>496.79973135818852</v>
      </c>
      <c r="O328" s="21">
        <f>VLOOKUP($C328,Raw!$B$2:$F$353, 4, FALSE)</f>
        <v>178.53371973623109</v>
      </c>
      <c r="P328" s="21">
        <f>VLOOKUP($C328,Raw!$B$2:$F$353, 5, FALSE)</f>
        <v>0.2743522804462642</v>
      </c>
      <c r="Q328" s="14">
        <v>60</v>
      </c>
      <c r="R328" s="25">
        <v>1140</v>
      </c>
      <c r="S328">
        <f>EXP(24.4543-(100/H328*(67.4509))-(4.8489*LN(H328/100))-(0.000544*G328))</f>
        <v>1.0077155226632497E-2</v>
      </c>
      <c r="T328" s="8">
        <f>EXP(-58.0931+90.5069*(100/H328)+22.294*LN(H328/100)+G328*(0.027766-0.025888*(H328/100)+0.0050578*(H328/100)^2)*G328)</f>
        <v>5.8683509962659336E-2</v>
      </c>
      <c r="U328" s="9">
        <f>(EXP(-67.1962+99.1624*(100/H328)+27.9015*LN(H328/100)+G328*(-0.072909+0.041674*(H328/100)-0.0064603*(H328/100)^2)*G328))</f>
        <v>4.6353412437409411E-2</v>
      </c>
      <c r="V328" s="9">
        <f>(EXP(-64.8539+100.252*(100/H328)+25.2049*LN(H328/100)+(-0.062544+0.035337*(H328/100)-0.0054699*(H328/100)^2)*G328))</f>
        <v>4.4098056505733667E-2</v>
      </c>
      <c r="W328" s="9">
        <f>(EXP(-68.8862+101.4956*(100/H328)+28.7314*LN(H328/100)+G328*(-0.076146+0.04397*(H328/100)-0.0068672*(H328/100)^2)))</f>
        <v>4.6237734857095543E-2</v>
      </c>
      <c r="X328">
        <f>N328*(AZ328-S328)</f>
        <v>455.25247573963389</v>
      </c>
      <c r="Y328">
        <f>O328*(AZ328-S328)</f>
        <v>163.60298281708293</v>
      </c>
      <c r="Z328">
        <f>((Y328/10^6)*AZ328)/(0.082056*H328)</f>
        <v>6.5863708858448225E-6</v>
      </c>
      <c r="AA328">
        <f>(((L328/10^6)*AZ328)/(0.082056*H328))</f>
        <v>8.8730819338521476E-8</v>
      </c>
      <c r="AB328">
        <f>((Y328/10^6)*U328*1)/(0.082056*H328)</f>
        <v>3.2953924480096021E-7</v>
      </c>
      <c r="AC328">
        <f>(Z328*(Q328/1000))+(AB328*(R328/1000))</f>
        <v>7.7085699222378394E-7</v>
      </c>
      <c r="AD328" s="39">
        <f>((AC328-(AA328*(Q328/1000)))/(R328/1000))*1000000</f>
        <v>0.67152030093287085</v>
      </c>
      <c r="AE328" s="39">
        <f>(AD328/((U328*AZ328*1))*(0.0821*273.15))</f>
        <v>350.67196339302336</v>
      </c>
      <c r="AF328" s="39">
        <f>L328*U328*AZ328*1/(0.0821*273.15)</f>
        <v>4.220633368435609E-3</v>
      </c>
      <c r="AG328" s="39">
        <f>AD328-AF328</f>
        <v>0.66729966756443526</v>
      </c>
      <c r="AH328" s="42">
        <f>P328*(AZ328-S328)</f>
        <v>0.25140825772291847</v>
      </c>
      <c r="AI328">
        <f>(((X328/10^6)*(Q328/1000))/(0.082056*H328))</f>
        <v>1.1869646355545192E-6</v>
      </c>
      <c r="AJ328">
        <f>(((K328/10^6)*AZ328)*(Q328/1000))/(0.082056*H328)</f>
        <v>1.0415870145183499E-6</v>
      </c>
      <c r="AK328">
        <f>(X328/10^6)*T328*(R328/1000)</f>
        <v>3.0456027042975028E-5</v>
      </c>
      <c r="AL328">
        <f>AI328+AK328</f>
        <v>3.164299167852955E-5</v>
      </c>
      <c r="AM328" s="39">
        <f>((AL328-AJ328)/(R328/1000))*1000000</f>
        <v>26.843337424571228</v>
      </c>
      <c r="AN328" s="39">
        <f>AM328/(T328*AZ328)</f>
        <v>493.74155066315575</v>
      </c>
      <c r="AO328" s="39">
        <f>(K328*AZ328)*T328</f>
        <v>23.443701078614499</v>
      </c>
      <c r="AP328" s="39">
        <f>AM328-AO328</f>
        <v>3.3996363459567291</v>
      </c>
      <c r="AQ328">
        <f>(((AH328/10^6)*(Q328/1000))/(0.082056*H328))</f>
        <v>6.5548838700692217E-10</v>
      </c>
      <c r="AR328">
        <f>(((M328/10^6)*AZ328)*(Q328/1000))/(0.082056*H328)</f>
        <v>7.2753131405694166E-10</v>
      </c>
      <c r="AS328">
        <f>(AH328/10^6)*V328*(R328/1000)</f>
        <v>1.2638741732783573E-8</v>
      </c>
      <c r="AT328">
        <f>AQ328+AS328</f>
        <v>1.3294230119790495E-8</v>
      </c>
      <c r="AU328" s="39">
        <f>((AT328-AR328)/(R328/1000))*1000000000</f>
        <v>11.023420005029434</v>
      </c>
      <c r="AV328" s="39">
        <f>(AU328/1000)/(V328*AZ328)</f>
        <v>0.2698212520409482</v>
      </c>
      <c r="AW328" s="39">
        <f>(M328*AZ328)*V328*1000</f>
        <v>12.305114999911414</v>
      </c>
      <c r="AX328" s="39">
        <f>AU328-AW328</f>
        <v>-1.2816949948819794</v>
      </c>
      <c r="AY328" s="26">
        <f>VLOOKUP($E328,Water!$C$2:$G$90, 5, FALSE)</f>
        <v>704.1</v>
      </c>
      <c r="AZ328">
        <f>AY328/760</f>
        <v>0.92644736842105269</v>
      </c>
      <c r="BA328" s="3">
        <f>Assumptions!$B$3</f>
        <v>406.07</v>
      </c>
      <c r="BB328" s="3">
        <f>BA328*AZ328*T328</f>
        <v>22.07688215293047</v>
      </c>
      <c r="BC328" s="3">
        <f>Assumptions!$B$4</f>
        <v>1.8474300000000001</v>
      </c>
      <c r="BD328" s="45">
        <f>BC328*AZ328*U328*1/(0.0821*273.15)</f>
        <v>3.537741476532011E-3</v>
      </c>
      <c r="BE328" s="3">
        <f>Assumptions!$B$2</f>
        <v>0.33054499999999998</v>
      </c>
      <c r="BF328" s="44">
        <f>BE328*AZ328*V328*1000</f>
        <v>13.504260090711755</v>
      </c>
      <c r="BG328">
        <f>1923.6+(-125.06*F328)+(4.3773*(F328^2))+(-0.085681*(F328^3))+(0.00070284*(F328^4))</f>
        <v>1212.5928933934438</v>
      </c>
      <c r="BH328">
        <f>1909.4+(-120.78*F328)+(4.1555*(F328^2))+(-0.080578*(F328^3))+(0.00065777*(F328^4))</f>
        <v>1219.6743342722571</v>
      </c>
      <c r="BI328">
        <f>2141.2+(-152.56*F328)+(5.8963*(F328^2))+(-0.12411*(F328^3))+(0.0010655*(F328^4))</f>
        <v>1296.4707597085498</v>
      </c>
      <c r="BJ328" s="25">
        <f>VLOOKUP(E328,Wind!$C$2:$E$109,3, FALSE)</f>
        <v>3.6111111111111112</v>
      </c>
      <c r="BK328" s="44">
        <v>1.66</v>
      </c>
      <c r="BL328">
        <f>BK328/(1-(((1.3*10^-3)^0.5)/0.41)*LN(10/1.5))</f>
        <v>1.9923982880693825</v>
      </c>
      <c r="BM328">
        <f>BK328*1.22</f>
        <v>2.0251999999999999</v>
      </c>
      <c r="BN328">
        <f>2.07+0.215*(BM328^1.7)*(24/100)</f>
        <v>2.241255750541113</v>
      </c>
      <c r="BO328">
        <f>BN328*((600/BG328)^0.67)</f>
        <v>1.3988259877013927</v>
      </c>
      <c r="BP328">
        <f>BN328*((600/BH328)^0.67)</f>
        <v>1.3933792913008642</v>
      </c>
      <c r="BQ328">
        <f>BN328*((600/BI328)^0.67)</f>
        <v>1.337524444946349</v>
      </c>
      <c r="BR328" s="39">
        <f>BO328*(AM328-BB328)</f>
        <v>6.6674415031873941</v>
      </c>
      <c r="BS328" s="39">
        <f>BP328*(AD328-BD328)</f>
        <v>0.93075306529661084</v>
      </c>
      <c r="BT328" s="39">
        <f>BQ328*(AU328-BF328)</f>
        <v>-3.3181842586028987</v>
      </c>
      <c r="BU328">
        <f>(2.51+1.48*BM328)+(0.39*BM328*LOG10(0.0015))</f>
        <v>3.2768938069574309</v>
      </c>
      <c r="BV328">
        <f>BU328*((600/$BG328)^0.67)</f>
        <v>2.0451946258266704</v>
      </c>
      <c r="BW328">
        <f>BU328*((600/$BH328)^0.67)</f>
        <v>2.0372311233575928</v>
      </c>
      <c r="BX328">
        <f>BU328*((600/$BI328)^0.67)</f>
        <v>1.9555669045090831</v>
      </c>
      <c r="BY328" s="39">
        <f>BV328*($AM328-$BB328)</f>
        <v>9.7483287058028818</v>
      </c>
      <c r="BZ328" s="39">
        <f>BW328*($AD328-$BD328)</f>
        <v>1.3608348599845173</v>
      </c>
      <c r="CA328" s="39">
        <f>BX328*($AU328-$BF328)</f>
        <v>-4.8514487669398241</v>
      </c>
      <c r="CB328" s="42">
        <f>AVERAGE(0.72,0.69,0.4,0.22)</f>
        <v>0.50750000000000006</v>
      </c>
      <c r="CC328">
        <f>CB328*((600/$BG328)^0.67)</f>
        <v>0.31674394525794863</v>
      </c>
      <c r="CD328">
        <f>CB328*((600/$BH328)^0.67)</f>
        <v>0.31551061951071929</v>
      </c>
      <c r="CE328">
        <f>CB328*((600/$BI328)^0.67)</f>
        <v>0.30286309612206863</v>
      </c>
      <c r="CF328" s="39">
        <f>CC328*($AM328-$BB328)</f>
        <v>1.5097458476350412</v>
      </c>
      <c r="CG328" s="39">
        <f>CD328*($AD328-$BD328)</f>
        <v>0.21075559115642536</v>
      </c>
      <c r="CH328" s="39">
        <f>CE328*($AU328-$BF328)</f>
        <v>-0.75135490933348559</v>
      </c>
      <c r="CI328">
        <v>151.86263901889501</v>
      </c>
      <c r="CJ328">
        <f>((BG328/BH328)^0.67)*CI328</f>
        <v>151.27132194544103</v>
      </c>
      <c r="CK328">
        <f>((BH328/BH328)^0.67)*CI328</f>
        <v>151.86263901889501</v>
      </c>
      <c r="CL328">
        <f>((BI328/BH328)^0.67)*CI328</f>
        <v>158.20440301538918</v>
      </c>
      <c r="CM328" s="39">
        <f>CJ328*($AM328-$BB328)</f>
        <v>721.02798993491376</v>
      </c>
      <c r="CN328" s="39">
        <f>CK328*($AD328-$BD328)</f>
        <v>101.44159429763556</v>
      </c>
      <c r="CO328" s="39">
        <f>CL328*($AU328-$BF328)</f>
        <v>-392.47982473201847</v>
      </c>
      <c r="CP328" s="27">
        <f>VLOOKUP(A328,Water!$A$2:$E$109, 5, FALSE)/1000</f>
        <v>1.4299999999999998E-3</v>
      </c>
      <c r="CQ328">
        <f>0.64*CP328</f>
        <v>9.1519999999999991E-4</v>
      </c>
      <c r="CR328" s="19">
        <f>CQ328*1000*(2.5*10^-5)</f>
        <v>2.2879999999999998E-5</v>
      </c>
      <c r="CS328" s="18">
        <f>(-0.0000009*F328^3)+(0.0002*F328^2)-(0.0134*F328)+6.579</f>
        <v>6.4914878846999997</v>
      </c>
      <c r="CT328" s="18">
        <f>CS328-(SQRT(CP328))/(1+1.4*SQRT(CP328))</f>
        <v>6.4555738841368431</v>
      </c>
      <c r="CU328" s="18">
        <f>10^(-CT328)</f>
        <v>3.5028869053962061E-7</v>
      </c>
      <c r="CV328" s="18">
        <f>(0.000001*F328^3)+(0.00006*F328^2)-(0.014*F328)+10.625</f>
        <v>10.526386416999999</v>
      </c>
      <c r="CW328" s="18">
        <f>CV328-(2*SQRT(CR328))/(1+1.4*SQRT(CR328))</f>
        <v>10.516883446246695</v>
      </c>
      <c r="CX328" s="18">
        <f>10^(-CW328)</f>
        <v>3.0417012325168826E-11</v>
      </c>
      <c r="CY328">
        <f>EXP(1246.98+-61900/H328-183*LN(H328))</f>
        <v>5.5327309940685016E-3</v>
      </c>
      <c r="CZ328">
        <f>12.225*(F328^2)+15.258*F328+1125.7</f>
        <v>1888.5536500000001</v>
      </c>
      <c r="DA328" s="15">
        <f>10^(-4470.99/H328+6.0875-0.01706*H328)</f>
        <v>2.2952128375970642E-15</v>
      </c>
      <c r="DB328">
        <f>(10^-I328)</f>
        <v>1.8197008586099804E-9</v>
      </c>
      <c r="DC328">
        <f>DB328^2</f>
        <v>3.3113112148258999E-18</v>
      </c>
      <c r="DD328" s="20">
        <f>((14.6836*10^-9)*((H328/217.2056)-1)^1.997)*100*100</f>
        <v>1.2495171160610277E-5</v>
      </c>
      <c r="DE328">
        <f>CY328+CZ328*DA328/DB328</f>
        <v>7.9147887710164667E-3</v>
      </c>
      <c r="DF328">
        <f>1+DC328*(CU328*CX328+CU328*DB328)^-1</f>
        <v>1.005109453910362</v>
      </c>
      <c r="DG328">
        <f>(DE328*DF328/DD328)^0.5</f>
        <v>25.232206988616586</v>
      </c>
      <c r="DH328">
        <f>DD328/(BO328/60/60)</f>
        <v>3.215740669224644E-2</v>
      </c>
      <c r="DI328" s="16">
        <f>DF328/((DF328-1)+TANH(DG328*DH328)/(DG328*DH328))</f>
        <v>1.2090990887218158</v>
      </c>
      <c r="DJ328">
        <f>$DI328*BR328</f>
        <v>8.0615974456098929</v>
      </c>
      <c r="DK328">
        <f>$DI328*BY328</f>
        <v>11.786695354746982</v>
      </c>
      <c r="DL328">
        <f>$DI328*CF328</f>
        <v>1.8254323285770737</v>
      </c>
      <c r="DM328">
        <f>$DI328*CM328</f>
        <v>871.79428557322683</v>
      </c>
    </row>
    <row r="329" spans="1:117" ht="15.75" x14ac:dyDescent="0.25">
      <c r="A329" s="52" t="s">
        <v>330</v>
      </c>
      <c r="B329" t="s">
        <v>342</v>
      </c>
      <c r="C329" s="64" t="s">
        <v>548</v>
      </c>
      <c r="D329" s="65">
        <v>43368</v>
      </c>
      <c r="E329" s="42" t="str">
        <f>A329&amp;D329</f>
        <v>62B43368</v>
      </c>
      <c r="F329" s="3">
        <f>VLOOKUP($E329,Water!$C$2:$E$90, 2, FALSE)</f>
        <v>7.3</v>
      </c>
      <c r="G329" s="3">
        <f>VLOOKUP($E329,Water!$C$2:$E$90, 3, FALSE)</f>
        <v>0.96</v>
      </c>
      <c r="H329" s="1">
        <f>F329+273.15</f>
        <v>280.45</v>
      </c>
      <c r="I329" s="3">
        <f>VLOOKUP($E329,Water!$C$2:$F$90, 4, FALSE)</f>
        <v>8.74</v>
      </c>
      <c r="J329">
        <f>10^(I329*-1)</f>
        <v>1.8197008586099804E-9</v>
      </c>
      <c r="K329" s="25">
        <f>VLOOKUP($E329,Atm!$D$2:$G$100, 2, FALSE)</f>
        <v>431.21051383287568</v>
      </c>
      <c r="L329" s="25">
        <f>VLOOKUP($E329,Atm!$D$2:$G$100, 3, FALSE)</f>
        <v>2.2040402769884091</v>
      </c>
      <c r="M329" s="25">
        <f>VLOOKUP($E329,Atm!$D$2:$G$100, 4, FALSE)</f>
        <v>0.30119341676803724</v>
      </c>
      <c r="N329" s="21">
        <f>VLOOKUP($C329,Raw!$B$2:$F$353, 3, FALSE)</f>
        <v>558.80031623972764</v>
      </c>
      <c r="O329" s="21">
        <f>VLOOKUP($C329,Raw!$B$2:$F$353, 4, FALSE)</f>
        <v>108.85740054111621</v>
      </c>
      <c r="P329" s="21">
        <f>VLOOKUP($C329,Raw!$B$2:$F$353, 5, FALSE)</f>
        <v>0.28625327123230532</v>
      </c>
      <c r="Q329" s="14">
        <v>60</v>
      </c>
      <c r="R329" s="25">
        <v>1140</v>
      </c>
      <c r="S329">
        <f>EXP(24.4543-(100/H329*(67.4509))-(4.8489*LN(H329/100))-(0.000544*G329))</f>
        <v>1.0077155226632497E-2</v>
      </c>
      <c r="T329" s="8">
        <f>EXP(-58.0931+90.5069*(100/H329)+22.294*LN(H329/100)+G329*(0.027766-0.025888*(H329/100)+0.0050578*(H329/100)^2)*G329)</f>
        <v>5.8683509962659336E-2</v>
      </c>
      <c r="U329" s="9">
        <f>(EXP(-67.1962+99.1624*(100/H329)+27.9015*LN(H329/100)+G329*(-0.072909+0.041674*(H329/100)-0.0064603*(H329/100)^2)*G329))</f>
        <v>4.6353412437409411E-2</v>
      </c>
      <c r="V329" s="9">
        <f>(EXP(-64.8539+100.252*(100/H329)+25.2049*LN(H329/100)+(-0.062544+0.035337*(H329/100)-0.0054699*(H329/100)^2)*G329))</f>
        <v>4.4098056505733667E-2</v>
      </c>
      <c r="W329" s="9">
        <f>(EXP(-68.8862+101.4956*(100/H329)+28.7314*LN(H329/100)+G329*(-0.076146+0.04397*(H329/100)-0.0068672*(H329/100)^2)))</f>
        <v>4.6237734857095543E-2</v>
      </c>
      <c r="X329">
        <f>N329*(AZ329-S329)</f>
        <v>512.06796492570857</v>
      </c>
      <c r="Y329">
        <f>O329*(AZ329-S329)</f>
        <v>99.75367934165304</v>
      </c>
      <c r="Z329">
        <f>((Y329/10^6)*AZ329)/(0.082056*H329)</f>
        <v>4.0159092337964412E-6</v>
      </c>
      <c r="AA329">
        <f>(((L329/10^6)*AZ329)/(0.082056*H329))</f>
        <v>8.8730819338521476E-8</v>
      </c>
      <c r="AB329">
        <f>((Y329/10^6)*U329*1)/(0.082056*H329)</f>
        <v>2.0093002945501934E-7</v>
      </c>
      <c r="AC329">
        <f>(Z329*(Q329/1000))+(AB329*(R329/1000))</f>
        <v>4.7001478760650853E-7</v>
      </c>
      <c r="AD329" s="39">
        <f>((AC329-(AA329*(Q329/1000)))/(R329/1000))*1000000</f>
        <v>0.40762363021596254</v>
      </c>
      <c r="AE329" s="39">
        <f>(AD329/((U329*AZ329*1))*(0.0821*273.15))</f>
        <v>212.86352554740211</v>
      </c>
      <c r="AF329" s="39">
        <f>L329*U329*AZ329*1/(0.0821*273.15)</f>
        <v>4.220633368435609E-3</v>
      </c>
      <c r="AG329" s="39">
        <f>AD329-AF329</f>
        <v>0.40340299684752695</v>
      </c>
      <c r="AH329" s="42">
        <f>P329*(AZ329-S329)</f>
        <v>0.26231397118674782</v>
      </c>
      <c r="AI329">
        <f>(((X329/10^6)*(Q329/1000))/(0.082056*H329))</f>
        <v>1.3350977704837398E-6</v>
      </c>
      <c r="AJ329">
        <f>(((K329/10^6)*AZ329)*(Q329/1000))/(0.082056*H329)</f>
        <v>1.0415870145183499E-6</v>
      </c>
      <c r="AK329">
        <f>(X329/10^6)*T329*(R329/1000)</f>
        <v>3.4256937894255219E-5</v>
      </c>
      <c r="AL329">
        <f>AI329+AK329</f>
        <v>3.5592035664738958E-5</v>
      </c>
      <c r="AM329" s="39">
        <f>((AL329-AJ329)/(R329/1000))*1000000</f>
        <v>30.307411096684742</v>
      </c>
      <c r="AN329" s="39">
        <f>AM329/(T329*AZ329)</f>
        <v>557.45781214840429</v>
      </c>
      <c r="AO329" s="39">
        <f>(K329*AZ329)*T329</f>
        <v>23.443701078614499</v>
      </c>
      <c r="AP329" s="39">
        <f>AM329-AO329</f>
        <v>6.8637100180702433</v>
      </c>
      <c r="AQ329">
        <f>(((AH329/10^6)*(Q329/1000))/(0.082056*H329))</f>
        <v>6.8392249093139914E-10</v>
      </c>
      <c r="AR329">
        <f>(((M329/10^6)*AZ329)*(Q329/1000))/(0.082056*H329)</f>
        <v>7.2753131405694166E-10</v>
      </c>
      <c r="AS329">
        <f>(AH329/10^6)*V329*(R329/1000)</f>
        <v>1.318699140894572E-8</v>
      </c>
      <c r="AT329">
        <f>AQ329+AS329</f>
        <v>1.3870913899877119E-8</v>
      </c>
      <c r="AU329" s="39">
        <f>((AT329-AR329)/(R329/1000))*1000000000</f>
        <v>11.5292829700177</v>
      </c>
      <c r="AV329" s="39">
        <f>(AU329/1000)/(V329*AZ329)</f>
        <v>0.28220330575132169</v>
      </c>
      <c r="AW329" s="39">
        <f>(M329*AZ329)*V329*1000</f>
        <v>12.305114999911414</v>
      </c>
      <c r="AX329" s="39">
        <f>AU329-AW329</f>
        <v>-0.77583202989371358</v>
      </c>
      <c r="AY329" s="26">
        <f>VLOOKUP($E329,Water!$C$2:$G$90, 5, FALSE)</f>
        <v>704.1</v>
      </c>
      <c r="AZ329">
        <f>AY329/760</f>
        <v>0.92644736842105269</v>
      </c>
      <c r="BA329" s="3">
        <f>Assumptions!$B$3</f>
        <v>406.07</v>
      </c>
      <c r="BB329" s="3">
        <f>BA329*AZ329*T329</f>
        <v>22.07688215293047</v>
      </c>
      <c r="BC329" s="3">
        <f>Assumptions!$B$4</f>
        <v>1.8474300000000001</v>
      </c>
      <c r="BD329" s="45">
        <f>BC329*AZ329*U329*1/(0.0821*273.15)</f>
        <v>3.537741476532011E-3</v>
      </c>
      <c r="BE329" s="3">
        <f>Assumptions!$B$2</f>
        <v>0.33054499999999998</v>
      </c>
      <c r="BF329" s="44">
        <f>BE329*AZ329*V329*1000</f>
        <v>13.504260090711755</v>
      </c>
      <c r="BG329">
        <f>1923.6+(-125.06*F329)+(4.3773*(F329^2))+(-0.085681*(F329^3))+(0.00070284*(F329^4))</f>
        <v>1212.5928933934438</v>
      </c>
      <c r="BH329">
        <f>1909.4+(-120.78*F329)+(4.1555*(F329^2))+(-0.080578*(F329^3))+(0.00065777*(F329^4))</f>
        <v>1219.6743342722571</v>
      </c>
      <c r="BI329">
        <f>2141.2+(-152.56*F329)+(5.8963*(F329^2))+(-0.12411*(F329^3))+(0.0010655*(F329^4))</f>
        <v>1296.4707597085498</v>
      </c>
      <c r="BJ329" s="25">
        <f>VLOOKUP(E329,Wind!$C$2:$E$109,3, FALSE)</f>
        <v>3.6111111111111112</v>
      </c>
      <c r="BK329" s="44">
        <v>1.66</v>
      </c>
      <c r="BL329">
        <f>BK329/(1-(((1.3*10^-3)^0.5)/0.41)*LN(10/1.5))</f>
        <v>1.9923982880693825</v>
      </c>
      <c r="BM329">
        <f>BK329*1.22</f>
        <v>2.0251999999999999</v>
      </c>
      <c r="BN329">
        <f>2.07+0.215*(BM329^1.7)*(24/100)</f>
        <v>2.241255750541113</v>
      </c>
      <c r="BO329">
        <f>BN329*((600/BG329)^0.67)</f>
        <v>1.3988259877013927</v>
      </c>
      <c r="BP329">
        <f>BN329*((600/BH329)^0.67)</f>
        <v>1.3933792913008642</v>
      </c>
      <c r="BQ329">
        <f>BN329*((600/BI329)^0.67)</f>
        <v>1.337524444946349</v>
      </c>
      <c r="BR329" s="39">
        <f>BO329*(AM329-BB329)</f>
        <v>11.51307777905197</v>
      </c>
      <c r="BS329" s="39">
        <f>BP329*(AD329-BD329)</f>
        <v>0.56304490927642759</v>
      </c>
      <c r="BT329" s="39">
        <f>BQ329*(AU329-BF329)</f>
        <v>-2.6415801771380543</v>
      </c>
      <c r="BU329">
        <f>(2.51+1.48*BM329)+(0.39*BM329*LOG10(0.0015))</f>
        <v>3.2768938069574309</v>
      </c>
      <c r="BV329">
        <f>BU329*((600/$BG329)^0.67)</f>
        <v>2.0451946258266704</v>
      </c>
      <c r="BW329">
        <f>BU329*((600/$BH329)^0.67)</f>
        <v>2.0372311233575928</v>
      </c>
      <c r="BX329">
        <f>BU329*((600/$BI329)^0.67)</f>
        <v>1.9555669045090831</v>
      </c>
      <c r="BY329" s="39">
        <f>BV329*($AM329-$BB329)</f>
        <v>16.833033563477102</v>
      </c>
      <c r="BZ329" s="39">
        <f>BW329*($AD329-$BD329)</f>
        <v>0.8232163490495813</v>
      </c>
      <c r="CA329" s="39">
        <f>BX329*($AU329-$BF329)</f>
        <v>-3.8621998943919342</v>
      </c>
      <c r="CB329" s="42">
        <f>AVERAGE(0.72,0.69,0.4,0.22)</f>
        <v>0.50750000000000006</v>
      </c>
      <c r="CC329">
        <f>CB329*((600/$BG329)^0.67)</f>
        <v>0.31674394525794863</v>
      </c>
      <c r="CD329">
        <f>CB329*((600/$BH329)^0.67)</f>
        <v>0.31551061951071929</v>
      </c>
      <c r="CE329">
        <f>CB329*((600/$BI329)^0.67)</f>
        <v>0.30286309612206863</v>
      </c>
      <c r="CF329" s="39">
        <f>CC329*($AM329-$BB329)</f>
        <v>2.6069702092044653</v>
      </c>
      <c r="CG329" s="39">
        <f>CD329*($AD329-$BD329)</f>
        <v>0.12749338909171731</v>
      </c>
      <c r="CH329" s="39">
        <f>CE329*($AU329-$BF329)</f>
        <v>-0.59814768554364983</v>
      </c>
      <c r="CI329">
        <v>152.86263901889501</v>
      </c>
      <c r="CJ329">
        <f>((BG329/BH329)^0.67)*CI329</f>
        <v>152.26742818277975</v>
      </c>
      <c r="CK329">
        <f>((BH329/BH329)^0.67)*CI329</f>
        <v>152.86263901889501</v>
      </c>
      <c r="CL329">
        <f>((BI329/BH329)^0.67)*CI329</f>
        <v>159.24616288494934</v>
      </c>
      <c r="CM329" s="39">
        <f>CJ329*($AM329-$BB329)</f>
        <v>1253.2414748493939</v>
      </c>
      <c r="CN329" s="39">
        <f>CK329*($AD329-$BD329)</f>
        <v>61.769635343004943</v>
      </c>
      <c r="CO329" s="39">
        <f>CL329*($AU329-$BF329)</f>
        <v>-314.50752825609368</v>
      </c>
      <c r="CP329" s="27">
        <f>VLOOKUP(A329,Water!$A$2:$E$109, 5, FALSE)/1000</f>
        <v>1.4299999999999998E-3</v>
      </c>
      <c r="CQ329">
        <f>0.64*CP329</f>
        <v>9.1519999999999991E-4</v>
      </c>
      <c r="CR329" s="19">
        <f>CQ329*1000*(2.5*10^-5)</f>
        <v>2.2879999999999998E-5</v>
      </c>
      <c r="CS329" s="18">
        <f>(-0.0000009*F329^3)+(0.0002*F329^2)-(0.0134*F329)+6.579</f>
        <v>6.4914878846999997</v>
      </c>
      <c r="CT329" s="18">
        <f>CS329-(SQRT(CP329))/(1+1.4*SQRT(CP329))</f>
        <v>6.4555738841368431</v>
      </c>
      <c r="CU329" s="18">
        <f>10^(-CT329)</f>
        <v>3.5028869053962061E-7</v>
      </c>
      <c r="CV329" s="18">
        <f>(0.000001*F329^3)+(0.00006*F329^2)-(0.014*F329)+10.625</f>
        <v>10.526386416999999</v>
      </c>
      <c r="CW329" s="18">
        <f>CV329-(2*SQRT(CR329))/(1+1.4*SQRT(CR329))</f>
        <v>10.516883446246695</v>
      </c>
      <c r="CX329" s="18">
        <f>10^(-CW329)</f>
        <v>3.0417012325168826E-11</v>
      </c>
      <c r="CY329">
        <f>EXP(1246.98+-61900/H329-183*LN(H329))</f>
        <v>5.5327309940685016E-3</v>
      </c>
      <c r="CZ329">
        <f>12.225*(F329^2)+15.258*F329+1125.7</f>
        <v>1888.5536500000001</v>
      </c>
      <c r="DA329" s="15">
        <f>10^(-4470.99/H329+6.0875-0.01706*H329)</f>
        <v>2.2952128375970642E-15</v>
      </c>
      <c r="DB329">
        <f>(10^-I329)</f>
        <v>1.8197008586099804E-9</v>
      </c>
      <c r="DC329">
        <f>DB329^2</f>
        <v>3.3113112148258999E-18</v>
      </c>
      <c r="DD329" s="20">
        <f>((14.6836*10^-9)*((H329/217.2056)-1)^1.997)*100*100</f>
        <v>1.2495171160610277E-5</v>
      </c>
      <c r="DE329">
        <f>CY329+CZ329*DA329/DB329</f>
        <v>7.9147887710164667E-3</v>
      </c>
      <c r="DF329">
        <f>1+DC329*(CU329*CX329+CU329*DB329)^-1</f>
        <v>1.005109453910362</v>
      </c>
      <c r="DG329">
        <f>(DE329*DF329/DD329)^0.5</f>
        <v>25.232206988616586</v>
      </c>
      <c r="DH329">
        <f>DD329/(BO329/60/60)</f>
        <v>3.215740669224644E-2</v>
      </c>
      <c r="DI329" s="16">
        <f>DF329/((DF329-1)+TANH(DG329*DH329)/(DG329*DH329))</f>
        <v>1.2090990887218158</v>
      </c>
      <c r="DJ329">
        <f>$DI329*BR329</f>
        <v>13.920451851035125</v>
      </c>
      <c r="DK329">
        <f>$DI329*BY329</f>
        <v>20.352805542023905</v>
      </c>
      <c r="DL329">
        <f>$DI329*CF329</f>
        <v>3.1520853042740407</v>
      </c>
      <c r="DM329">
        <f>$DI329*CM329</f>
        <v>1515.2931251887865</v>
      </c>
    </row>
    <row r="330" spans="1:117" ht="15.75" x14ac:dyDescent="0.25">
      <c r="A330" s="52" t="s">
        <v>338</v>
      </c>
      <c r="B330" t="s">
        <v>339</v>
      </c>
      <c r="C330" s="64" t="s">
        <v>549</v>
      </c>
      <c r="D330" s="65">
        <v>43367</v>
      </c>
      <c r="E330" s="42" t="str">
        <f>A330&amp;D330</f>
        <v>4A43367</v>
      </c>
      <c r="F330" s="3">
        <f>VLOOKUP($E330,Water!$C$2:$E$90, 2, FALSE)</f>
        <v>6.4</v>
      </c>
      <c r="G330" s="3">
        <f>VLOOKUP($E330,Water!$C$2:$E$90, 3, FALSE)</f>
        <v>0.14000000000000001</v>
      </c>
      <c r="H330" s="1">
        <f>F330+273.15</f>
        <v>279.54999999999995</v>
      </c>
      <c r="I330" s="3">
        <f>VLOOKUP($E330,Water!$C$2:$F$90, 4, FALSE)</f>
        <v>8.2899999999999991</v>
      </c>
      <c r="J330">
        <f>10^(I330*-1)</f>
        <v>5.1286138399136542E-9</v>
      </c>
      <c r="K330" s="25">
        <f>VLOOKUP($E330,Atm!$D$2:$G$100, 2, FALSE)</f>
        <v>434.10839005077912</v>
      </c>
      <c r="L330" s="25">
        <f>VLOOKUP($E330,Atm!$D$2:$G$100, 3, FALSE)</f>
        <v>2.1112094215544879</v>
      </c>
      <c r="M330" s="25">
        <f>VLOOKUP($E330,Atm!$D$2:$G$100, 4, FALSE)</f>
        <v>0.30614998281987815</v>
      </c>
      <c r="N330" s="21">
        <f>VLOOKUP($C330,Raw!$B$2:$F$353, 3, FALSE)</f>
        <v>550.82130636348711</v>
      </c>
      <c r="O330" s="21">
        <f>VLOOKUP($C330,Raw!$B$2:$F$353, 4, FALSE)</f>
        <v>214.51121759118061</v>
      </c>
      <c r="P330" s="21">
        <f>VLOOKUP($C330,Raw!$B$2:$F$353, 5, FALSE)</f>
        <v>0.27231970861971411</v>
      </c>
      <c r="Q330" s="14">
        <v>60</v>
      </c>
      <c r="R330" s="25">
        <v>1140</v>
      </c>
      <c r="S330">
        <f>EXP(24.4543-(100/H330*(67.4509))-(4.8489*LN(H330/100))-(0.000544*G330))</f>
        <v>9.4770374916839512E-3</v>
      </c>
      <c r="T330" s="8">
        <f>EXP(-58.0931+90.5069*(100/H330)+22.294*LN(H330/100)+G330*(0.027766-0.025888*(H330/100)+0.0050578*(H330/100)^2)*G330)</f>
        <v>6.0883254151641739E-2</v>
      </c>
      <c r="U330" s="9">
        <f>(EXP(-67.1962+99.1624*(100/H330)+27.9015*LN(H330/100)+G330*(-0.072909+0.041674*(H330/100)-0.0064603*(H330/100)^2)*G330))</f>
        <v>4.7780623970157123E-2</v>
      </c>
      <c r="V330" s="9">
        <f>(EXP(-64.8539+100.252*(100/H330)+25.2049*LN(H330/100)+(-0.062544+0.035337*(H330/100)-0.0054699*(H330/100)^2)*G330))</f>
        <v>4.5868536940889014E-2</v>
      </c>
      <c r="W330" s="9">
        <f>(EXP(-68.8862+101.4956*(100/H330)+28.7314*LN(H330/100)+G330*(-0.076146+0.04397*(H330/100)-0.0068672*(H330/100)^2)))</f>
        <v>4.7634801219896487E-2</v>
      </c>
      <c r="X330">
        <f>N330*(AZ330-S330)</f>
        <v>509.2904318644795</v>
      </c>
      <c r="Y330">
        <f>O330*(AZ330-S330)</f>
        <v>198.33748147478991</v>
      </c>
      <c r="Z330">
        <f>((Y330/10^6)*AZ330)/(0.082056*H330)</f>
        <v>8.0764133683348623E-6</v>
      </c>
      <c r="AA330">
        <f>(((L330/10^6)*AZ330)/(0.082056*H330))</f>
        <v>8.5969630494498737E-8</v>
      </c>
      <c r="AB330">
        <f>((Y330/10^6)*U330*1)/(0.082056*H330)</f>
        <v>4.1313003709926498E-7</v>
      </c>
      <c r="AC330">
        <f>(Z330*(Q330/1000))+(AB330*(R330/1000))</f>
        <v>9.5555304439325382E-7</v>
      </c>
      <c r="AD330" s="39">
        <f>((AC330-(AA330*(Q330/1000)))/(R330/1000))*1000000</f>
        <v>0.83367970751191578</v>
      </c>
      <c r="AE330" s="39">
        <f>(AD330/((U330*AZ330*1))*(0.0821*273.15))</f>
        <v>418.89790818571964</v>
      </c>
      <c r="AF330" s="39">
        <f>L330*U330*AZ330*1/(0.0821*273.15)</f>
        <v>4.2016740085453301E-3</v>
      </c>
      <c r="AG330" s="39">
        <f>AD330-AF330</f>
        <v>0.82947803350337046</v>
      </c>
      <c r="AH330" s="42">
        <f>P330*(AZ330-S330)</f>
        <v>0.25178732268686421</v>
      </c>
      <c r="AI330">
        <f>(((X330/10^6)*(Q330/1000))/(0.082056*H330))</f>
        <v>1.3321309800071962E-6</v>
      </c>
      <c r="AJ330">
        <f>(((K330/10^6)*AZ330)*(Q330/1000))/(0.082056*H330)</f>
        <v>1.0606282116649986E-6</v>
      </c>
      <c r="AK330">
        <f>(X330/10^6)*T330*(R330/1000)</f>
        <v>3.5348275032233114E-5</v>
      </c>
      <c r="AL330">
        <f>AI330+AK330</f>
        <v>3.6680406012240309E-5</v>
      </c>
      <c r="AM330" s="39">
        <f>((AL330-AJ330)/(R330/1000))*1000000</f>
        <v>31.245419123311677</v>
      </c>
      <c r="AN330" s="39">
        <f>AM330/(T330*AZ330)</f>
        <v>549.4205682260349</v>
      </c>
      <c r="AO330" s="39">
        <f>(K330*AZ330)*T330</f>
        <v>24.687642539262182</v>
      </c>
      <c r="AP330" s="39">
        <f>AM330-AO330</f>
        <v>6.5577765840494955</v>
      </c>
      <c r="AQ330">
        <f>(((AH330/10^6)*(Q330/1000))/(0.082056*H330))</f>
        <v>6.5859021088676771E-10</v>
      </c>
      <c r="AR330">
        <f>(((M330/10^6)*AZ330)*(Q330/1000))/(0.082056*H330)</f>
        <v>7.4799592963760697E-10</v>
      </c>
      <c r="AS330">
        <f>(AH330/10^6)*V330*(R330/1000)</f>
        <v>1.316599236757737E-8</v>
      </c>
      <c r="AT330">
        <f>AQ330+AS330</f>
        <v>1.3824582578464138E-8</v>
      </c>
      <c r="AU330" s="39">
        <f>((AT330-AR330)/(R330/1000))*1000000000</f>
        <v>11.470690042830292</v>
      </c>
      <c r="AV330" s="39">
        <f>(AU330/1000)/(V330*AZ330)</f>
        <v>0.26772632272536212</v>
      </c>
      <c r="AW330" s="39">
        <f>(M330*AZ330)*V330*1000</f>
        <v>13.116945408266973</v>
      </c>
      <c r="AX330" s="39">
        <f>AU330-AW330</f>
        <v>-1.6462553654366818</v>
      </c>
      <c r="AY330" s="26">
        <f>VLOOKUP($E330,Water!$C$2:$G$90, 5, FALSE)</f>
        <v>709.9</v>
      </c>
      <c r="AZ330">
        <f>AY330/760</f>
        <v>0.93407894736842101</v>
      </c>
      <c r="BA330" s="3">
        <f>Assumptions!$B$3</f>
        <v>406.07</v>
      </c>
      <c r="BB330" s="3">
        <f>BA330*AZ330*T330</f>
        <v>23.093105859450326</v>
      </c>
      <c r="BC330" s="3">
        <f>Assumptions!$B$4</f>
        <v>1.8474300000000001</v>
      </c>
      <c r="BD330" s="45">
        <f>BC330*AZ330*U330*1/(0.0821*273.15)</f>
        <v>3.6767070733757451E-3</v>
      </c>
      <c r="BE330" s="3">
        <f>Assumptions!$B$2</f>
        <v>0.33054499999999998</v>
      </c>
      <c r="BF330" s="44">
        <f>BE330*AZ330*V330*1000</f>
        <v>14.162145886927973</v>
      </c>
      <c r="BG330">
        <f>1923.6+(-125.06*F330)+(4.3773*(F330^2))+(-0.085681*(F330^3))+(0.00070284*(F330^4))</f>
        <v>1281.2286177853439</v>
      </c>
      <c r="BH330">
        <f>1909.4+(-120.78*F330)+(4.1555*(F330^2))+(-0.080578*(F330^3))+(0.00065777*(F330^4))</f>
        <v>1286.5977957048319</v>
      </c>
      <c r="BI330">
        <f>2141.2+(-152.56*F330)+(5.8963*(F330^2))+(-0.12411*(F330^3))+(0.0010655*(F330^4))</f>
        <v>1375.5813685247997</v>
      </c>
      <c r="BJ330" s="25">
        <f>VLOOKUP(E330,Wind!$C$2:$E$109,3, FALSE)</f>
        <v>3.6944444444444442</v>
      </c>
      <c r="BK330" s="44">
        <v>1.66</v>
      </c>
      <c r="BL330">
        <f>BK330/(1-(((1.3*10^-3)^0.5)/0.41)*LN(10/1.5))</f>
        <v>1.9923982880693825</v>
      </c>
      <c r="BM330">
        <f>BK330*1.22</f>
        <v>2.0251999999999999</v>
      </c>
      <c r="BN330">
        <f>2.07+0.215*(BM330^1.7)*(24/100)</f>
        <v>2.241255750541113</v>
      </c>
      <c r="BO330">
        <f>BN330*((600/BG330)^0.67)</f>
        <v>1.3481645778025992</v>
      </c>
      <c r="BP330">
        <f>BN330*((600/BH330)^0.67)</f>
        <v>1.3443924864549108</v>
      </c>
      <c r="BQ330">
        <f>BN330*((600/BI330)^0.67)</f>
        <v>1.2854847939829288</v>
      </c>
      <c r="BR330" s="39">
        <f>BO330*(AM330-BB330)</f>
        <v>10.990659969488169</v>
      </c>
      <c r="BS330" s="39">
        <f>BP330*(AD330-BD330)</f>
        <v>1.1158497975246053</v>
      </c>
      <c r="BT330" s="39">
        <f>BQ330*(AU330-BF330)</f>
        <v>-3.4598255612640583</v>
      </c>
      <c r="BU330">
        <f>(2.51+1.48*BM330)+(0.39*BM330*LOG10(0.0015))</f>
        <v>3.2768938069574309</v>
      </c>
      <c r="BV330">
        <f>BU330*((600/$BG330)^0.67)</f>
        <v>1.9711236233054243</v>
      </c>
      <c r="BW330">
        <f>BU330*((600/$BH330)^0.67)</f>
        <v>1.9656085263453682</v>
      </c>
      <c r="BX330">
        <f>BU330*((600/$BI330)^0.67)</f>
        <v>1.8794808041534736</v>
      </c>
      <c r="BY330" s="39">
        <f>BV330*($AM330-$BB330)</f>
        <v>16.069217258983258</v>
      </c>
      <c r="BZ330" s="39">
        <f>BW330*($AD330-$BD330)</f>
        <v>1.6314609745542326</v>
      </c>
      <c r="CA330" s="39">
        <f>BX330*($AU330-$BF330)</f>
        <v>-5.0585395942082769</v>
      </c>
      <c r="CB330" s="42">
        <f>AVERAGE(0.72,0.69,0.4,0.22)</f>
        <v>0.50750000000000006</v>
      </c>
      <c r="CC330">
        <f>CB330*((600/$BG330)^0.67)</f>
        <v>0.30527240055920984</v>
      </c>
      <c r="CD330">
        <f>CB330*((600/$BH330)^0.67)</f>
        <v>0.30441826494416918</v>
      </c>
      <c r="CE330">
        <f>CB330*((600/$BI330)^0.67)</f>
        <v>0.29107946863664691</v>
      </c>
      <c r="CF330" s="39">
        <f>CC330*($AM330-$BB330)</f>
        <v>2.4886762401696418</v>
      </c>
      <c r="CG330" s="39">
        <f>CD330*($AD330-$BD330)</f>
        <v>0.25266807329195484</v>
      </c>
      <c r="CH330" s="39">
        <f>CE330*($AU330-$BF330)</f>
        <v>-0.78342753695895129</v>
      </c>
      <c r="CI330">
        <v>153.86263901889501</v>
      </c>
      <c r="CJ330">
        <f>((BG330/BH330)^0.67)*CI330</f>
        <v>153.43213970231926</v>
      </c>
      <c r="CK330">
        <f>((BH330/BH330)^0.67)*CI330</f>
        <v>153.86263901889501</v>
      </c>
      <c r="CL330">
        <f>((BI330/BH330)^0.67)*CI330</f>
        <v>160.91343655821854</v>
      </c>
      <c r="CM330" s="39">
        <f>CJ330*($AM330-$BB330)</f>
        <v>1250.8268675978452</v>
      </c>
      <c r="CN330" s="39">
        <f>CK330*($AD330-$BD330)</f>
        <v>127.70645204107484</v>
      </c>
      <c r="CO330" s="39">
        <f>CL330*($AU330-$BF330)</f>
        <v>-433.09140921845886</v>
      </c>
      <c r="CP330" s="27">
        <f>VLOOKUP(A330,Water!$A$2:$E$109, 5, FALSE)/1000</f>
        <v>8.9999999999999992E-5</v>
      </c>
      <c r="CQ330">
        <f>0.64*CP330</f>
        <v>5.7599999999999997E-5</v>
      </c>
      <c r="CR330" s="19">
        <f>CQ330*1000*(2.5*10^-5)</f>
        <v>1.44E-6</v>
      </c>
      <c r="CS330" s="18">
        <f>(-0.0000009*F330^3)+(0.0002*F330^2)-(0.0134*F330)+6.579</f>
        <v>6.5011960703999998</v>
      </c>
      <c r="CT330" s="18">
        <f>CS330-(SQRT(CP330))/(1+1.4*SQRT(CP330))</f>
        <v>6.4918335858772247</v>
      </c>
      <c r="CU330" s="18">
        <f>10^(-CT330)</f>
        <v>3.2223032855533801E-7</v>
      </c>
      <c r="CV330" s="18">
        <f>(0.000001*F330^3)+(0.00006*F330^2)-(0.014*F330)+10.625</f>
        <v>10.538119743999999</v>
      </c>
      <c r="CW330" s="18">
        <f>CV330-(2*SQRT(CR330))/(1+1.4*SQRT(CR330))</f>
        <v>10.535723769237601</v>
      </c>
      <c r="CX330" s="18">
        <f>10^(-CW330)</f>
        <v>2.9125690535523702E-11</v>
      </c>
      <c r="CY330">
        <f>EXP(1246.98+-61900/H330-183*LN(H330))</f>
        <v>4.8954576567226118E-3</v>
      </c>
      <c r="CZ330">
        <f>12.225*(F330^2)+15.258*F330+1125.7</f>
        <v>1724.0872000000002</v>
      </c>
      <c r="DA330" s="15">
        <f>10^(-4470.99/H330+6.0875-0.01706*H330)</f>
        <v>2.1127674213153213E-15</v>
      </c>
      <c r="DB330">
        <f>(10^-I330)</f>
        <v>5.1286138399136542E-9</v>
      </c>
      <c r="DC330">
        <f>DB330^2</f>
        <v>2.6302679918953877E-17</v>
      </c>
      <c r="DD330" s="20">
        <f>((14.6836*10^-9)*((H330/217.2056)-1)^1.997)*100*100</f>
        <v>1.2142598333730381E-5</v>
      </c>
      <c r="DE330">
        <f>CY330+CZ330*DA330/DB330</f>
        <v>5.6057071278990339E-3</v>
      </c>
      <c r="DF330">
        <f>1+DC330*(CU330*CX330+CU330*DB330)^-1</f>
        <v>1.0158261099898671</v>
      </c>
      <c r="DG330">
        <f>(DE330*DF330/DD330)^0.5</f>
        <v>21.655542765772633</v>
      </c>
      <c r="DH330">
        <f>DD330/(BO330/60/60)</f>
        <v>3.2424345455418099E-2</v>
      </c>
      <c r="DI330" s="16">
        <f>DF330/((DF330-1)+TANH(DG330*DH330)/(DG330*DH330))</f>
        <v>1.1563181655897867</v>
      </c>
      <c r="DJ330">
        <f>$DI330*BR330</f>
        <v>12.70869977453966</v>
      </c>
      <c r="DK330">
        <f>$DI330*BY330</f>
        <v>18.581127823371261</v>
      </c>
      <c r="DL330">
        <f>$DI330*CF330</f>
        <v>2.877701544779848</v>
      </c>
      <c r="DM330">
        <f>$DI330*CM330</f>
        <v>1446.3538290111594</v>
      </c>
    </row>
    <row r="331" spans="1:117" ht="15.75" x14ac:dyDescent="0.25">
      <c r="A331" s="52" t="s">
        <v>338</v>
      </c>
      <c r="B331" t="s">
        <v>340</v>
      </c>
      <c r="C331" s="66" t="s">
        <v>550</v>
      </c>
      <c r="D331" s="67">
        <v>43367</v>
      </c>
      <c r="E331" s="42" t="str">
        <f>A331&amp;D331</f>
        <v>4A43367</v>
      </c>
      <c r="F331" s="3">
        <f>VLOOKUP($E331,Water!$C$2:$E$90, 2, FALSE)</f>
        <v>6.4</v>
      </c>
      <c r="G331" s="3">
        <f>VLOOKUP($E331,Water!$C$2:$E$90, 3, FALSE)</f>
        <v>0.14000000000000001</v>
      </c>
      <c r="H331" s="1">
        <f>F331+273.15</f>
        <v>279.54999999999995</v>
      </c>
      <c r="I331" s="3">
        <f>VLOOKUP($E331,Water!$C$2:$F$90, 4, FALSE)</f>
        <v>8.2899999999999991</v>
      </c>
      <c r="J331">
        <f>10^(I331*-1)</f>
        <v>5.1286138399136542E-9</v>
      </c>
      <c r="K331" s="25">
        <f>VLOOKUP($E331,Atm!$D$2:$G$100, 2, FALSE)</f>
        <v>434.10839005077912</v>
      </c>
      <c r="L331" s="25">
        <f>VLOOKUP($E331,Atm!$D$2:$G$100, 3, FALSE)</f>
        <v>2.1112094215544879</v>
      </c>
      <c r="M331" s="25">
        <f>VLOOKUP($E331,Atm!$D$2:$G$100, 4, FALSE)</f>
        <v>0.30614998281987815</v>
      </c>
      <c r="N331" s="21">
        <f>VLOOKUP($C331,Raw!$B$2:$F$353, 3, FALSE)</f>
        <v>544.3214598983393</v>
      </c>
      <c r="O331" s="21">
        <f>VLOOKUP($C331,Raw!$B$2:$F$353, 4, FALSE)</f>
        <v>214.21004624725421</v>
      </c>
      <c r="P331" s="21">
        <f>VLOOKUP($C331,Raw!$B$2:$F$353, 5, FALSE)</f>
        <v>0.2731491034201658</v>
      </c>
      <c r="Q331" s="14">
        <v>60</v>
      </c>
      <c r="R331" s="25">
        <v>1140</v>
      </c>
      <c r="S331">
        <f>EXP(24.4543-(100/H331*(67.4509))-(4.8489*LN(H331/100))-(0.000544*G331))</f>
        <v>9.4770374916839512E-3</v>
      </c>
      <c r="T331" s="8">
        <f>EXP(-58.0931+90.5069*(100/H331)+22.294*LN(H331/100)+G331*(0.027766-0.025888*(H331/100)+0.0050578*(H331/100)^2)*G331)</f>
        <v>6.0883254151641739E-2</v>
      </c>
      <c r="U331" s="9">
        <f>(EXP(-67.1962+99.1624*(100/H331)+27.9015*LN(H331/100)+G331*(-0.072909+0.041674*(H331/100)-0.0064603*(H331/100)^2)*G331))</f>
        <v>4.7780623970157123E-2</v>
      </c>
      <c r="V331" s="9">
        <f>(EXP(-64.8539+100.252*(100/H331)+25.2049*LN(H331/100)+(-0.062544+0.035337*(H331/100)-0.0054699*(H331/100)^2)*G331))</f>
        <v>4.5868536940889014E-2</v>
      </c>
      <c r="W331" s="9">
        <f>(EXP(-68.8862+101.4956*(100/H331)+28.7314*LN(H331/100)+G331*(-0.076146+0.04397*(H331/100)-0.0068672*(H331/100)^2)))</f>
        <v>4.7634801219896487E-2</v>
      </c>
      <c r="X331">
        <f>N331*(AZ331-S331)</f>
        <v>503.28066140889825</v>
      </c>
      <c r="Y331">
        <f>O331*(AZ331-S331)</f>
        <v>198.05901787499542</v>
      </c>
      <c r="Z331">
        <f>((Y331/10^6)*AZ331)/(0.082056*H331)</f>
        <v>8.0650741745362318E-6</v>
      </c>
      <c r="AA331">
        <f>(((L331/10^6)*AZ331)/(0.082056*H331))</f>
        <v>8.5969630494498737E-8</v>
      </c>
      <c r="AB331">
        <f>((Y331/10^6)*U331*1)/(0.082056*H331)</f>
        <v>4.1255000716010029E-7</v>
      </c>
      <c r="AC331">
        <f>(Z331*(Q331/1000))+(AB331*(R331/1000))</f>
        <v>9.542114586346881E-7</v>
      </c>
      <c r="AD331" s="39">
        <f>((AC331-(AA331*(Q331/1000)))/(R331/1000))*1000000</f>
        <v>0.83250287789913879</v>
      </c>
      <c r="AE331" s="39">
        <f>(AD331/((U331*AZ331*1))*(0.0821*273.15))</f>
        <v>418.30658821158403</v>
      </c>
      <c r="AF331" s="39">
        <f>L331*U331*AZ331*1/(0.0821*273.15)</f>
        <v>4.2016740085453301E-3</v>
      </c>
      <c r="AG331" s="39">
        <f>AD331-AF331</f>
        <v>0.82830120389059347</v>
      </c>
      <c r="AH331" s="42">
        <f>P331*(AZ331-S331)</f>
        <v>0.25255418270340368</v>
      </c>
      <c r="AI331">
        <f>(((X331/10^6)*(Q331/1000))/(0.082056*H331))</f>
        <v>1.3164114594630873E-6</v>
      </c>
      <c r="AJ331">
        <f>(((K331/10^6)*AZ331)*(Q331/1000))/(0.082056*H331)</f>
        <v>1.0606282116649986E-6</v>
      </c>
      <c r="AK331">
        <f>(X331/10^6)*T331*(R331/1000)</f>
        <v>3.4931155436707303E-5</v>
      </c>
      <c r="AL331">
        <f>AI331+AK331</f>
        <v>3.6247566896170388E-5</v>
      </c>
      <c r="AM331" s="39">
        <f>((AL331-AJ331)/(R331/1000))*1000000</f>
        <v>30.865735688162623</v>
      </c>
      <c r="AN331" s="39">
        <f>AM331/(T331*AZ331)</f>
        <v>542.74420111243228</v>
      </c>
      <c r="AO331" s="39">
        <f>(K331*AZ331)*T331</f>
        <v>24.687642539262182</v>
      </c>
      <c r="AP331" s="39">
        <f>AM331-AO331</f>
        <v>6.1780931489004409</v>
      </c>
      <c r="AQ331">
        <f>(((AH331/10^6)*(Q331/1000))/(0.082056*H331))</f>
        <v>6.6059605651324285E-10</v>
      </c>
      <c r="AR331">
        <f>(((M331/10^6)*AZ331)*(Q331/1000))/(0.082056*H331)</f>
        <v>7.4799592963760697E-10</v>
      </c>
      <c r="AS331">
        <f>(AH331/10^6)*V331*(R331/1000)</f>
        <v>1.3206091579154098E-8</v>
      </c>
      <c r="AT331">
        <f>AQ331+AS331</f>
        <v>1.386668763566734E-8</v>
      </c>
      <c r="AU331" s="39">
        <f>((AT331-AR331)/(R331/1000))*1000000000</f>
        <v>11.507624303534856</v>
      </c>
      <c r="AV331" s="39">
        <f>(AU331/1000)/(V331*AZ331)</f>
        <v>0.26858836971330197</v>
      </c>
      <c r="AW331" s="39">
        <f>(M331*AZ331)*V331*1000</f>
        <v>13.116945408266973</v>
      </c>
      <c r="AX331" s="39">
        <f>AU331-AW331</f>
        <v>-1.6093211047321176</v>
      </c>
      <c r="AY331" s="26">
        <f>VLOOKUP($E331,Water!$C$2:$G$90, 5, FALSE)</f>
        <v>709.9</v>
      </c>
      <c r="AZ331">
        <f>AY331/760</f>
        <v>0.93407894736842101</v>
      </c>
      <c r="BA331" s="3">
        <f>Assumptions!$B$3</f>
        <v>406.07</v>
      </c>
      <c r="BB331" s="3">
        <f>BA331*AZ331*T331</f>
        <v>23.093105859450326</v>
      </c>
      <c r="BC331" s="3">
        <f>Assumptions!$B$4</f>
        <v>1.8474300000000001</v>
      </c>
      <c r="BD331" s="45">
        <f>BC331*AZ331*U331*1/(0.0821*273.15)</f>
        <v>3.6767070733757451E-3</v>
      </c>
      <c r="BE331" s="3">
        <f>Assumptions!$B$2</f>
        <v>0.33054499999999998</v>
      </c>
      <c r="BF331" s="44">
        <f>BE331*AZ331*V331*1000</f>
        <v>14.162145886927973</v>
      </c>
      <c r="BG331">
        <f>1923.6+(-125.06*F331)+(4.3773*(F331^2))+(-0.085681*(F331^3))+(0.00070284*(F331^4))</f>
        <v>1281.2286177853439</v>
      </c>
      <c r="BH331">
        <f>1909.4+(-120.78*F331)+(4.1555*(F331^2))+(-0.080578*(F331^3))+(0.00065777*(F331^4))</f>
        <v>1286.5977957048319</v>
      </c>
      <c r="BI331">
        <f>2141.2+(-152.56*F331)+(5.8963*(F331^2))+(-0.12411*(F331^3))+(0.0010655*(F331^4))</f>
        <v>1375.5813685247997</v>
      </c>
      <c r="BJ331" s="25">
        <f>VLOOKUP(E331,Wind!$C$2:$E$109,3, FALSE)</f>
        <v>3.6944444444444442</v>
      </c>
      <c r="BK331" s="44">
        <v>1.66</v>
      </c>
      <c r="BL331">
        <f>BK331/(1-(((1.3*10^-3)^0.5)/0.41)*LN(10/1.5))</f>
        <v>1.9923982880693825</v>
      </c>
      <c r="BM331">
        <f>BK331*1.22</f>
        <v>2.0251999999999999</v>
      </c>
      <c r="BN331">
        <f>2.07+0.215*(BM331^1.7)*(24/100)</f>
        <v>2.241255750541113</v>
      </c>
      <c r="BO331">
        <f>BN331*((600/BG331)^0.67)</f>
        <v>1.3481645778025992</v>
      </c>
      <c r="BP331">
        <f>BN331*((600/BH331)^0.67)</f>
        <v>1.3443924864549108</v>
      </c>
      <c r="BQ331">
        <f>BN331*((600/BI331)^0.67)</f>
        <v>1.2854847939829288</v>
      </c>
      <c r="BR331" s="39">
        <f>BO331*(AM331-BB331)</f>
        <v>10.478784211441804</v>
      </c>
      <c r="BS331" s="39">
        <f>BP331*(AD331-BD331)</f>
        <v>1.1142676766353503</v>
      </c>
      <c r="BT331" s="39">
        <f>BQ331*(AU331-BF331)</f>
        <v>-3.41234713075134</v>
      </c>
      <c r="BU331">
        <f>(2.51+1.48*BM331)+(0.39*BM331*LOG10(0.0015))</f>
        <v>3.2768938069574309</v>
      </c>
      <c r="BV331">
        <f>BU331*((600/$BG331)^0.67)</f>
        <v>1.9711236233054243</v>
      </c>
      <c r="BW331">
        <f>BU331*((600/$BH331)^0.67)</f>
        <v>1.9656085263453682</v>
      </c>
      <c r="BX331">
        <f>BU331*((600/$BI331)^0.67)</f>
        <v>1.8794808041534736</v>
      </c>
      <c r="BY331" s="39">
        <f>BV331*($AM331-$BB331)</f>
        <v>15.320814270583202</v>
      </c>
      <c r="BZ331" s="39">
        <f>BW331*($AD331-$BD331)</f>
        <v>1.6291477882333025</v>
      </c>
      <c r="CA331" s="39">
        <f>BX331*($AU331-$BF331)</f>
        <v>-4.9891223601984489</v>
      </c>
      <c r="CB331" s="42">
        <f>AVERAGE(0.72,0.69,0.4,0.22)</f>
        <v>0.50750000000000006</v>
      </c>
      <c r="CC331">
        <f>CB331*((600/$BG331)^0.67)</f>
        <v>0.30527240055920984</v>
      </c>
      <c r="CD331">
        <f>CB331*((600/$BH331)^0.67)</f>
        <v>0.30441826494416918</v>
      </c>
      <c r="CE331">
        <f>CB331*((600/$BI331)^0.67)</f>
        <v>0.29107946863664691</v>
      </c>
      <c r="CF331" s="39">
        <f>CC331*($AM331-$BB331)</f>
        <v>2.372769366469123</v>
      </c>
      <c r="CG331" s="39">
        <f>CD331*($AD331-$BD331)</f>
        <v>0.25230982486309839</v>
      </c>
      <c r="CH331" s="39">
        <f>CE331*($AU331-$BF331)</f>
        <v>-0.77267673197857933</v>
      </c>
      <c r="CI331">
        <v>154.86263901889501</v>
      </c>
      <c r="CJ331">
        <f>((BG331/BH331)^0.67)*CI331</f>
        <v>154.42934175657155</v>
      </c>
      <c r="CK331">
        <f>((BH331/BH331)^0.67)*CI331</f>
        <v>154.86263901889501</v>
      </c>
      <c r="CL331">
        <f>((BI331/BH331)^0.67)*CI331</f>
        <v>161.95926183188004</v>
      </c>
      <c r="CM331" s="39">
        <f>CJ331*($AM331-$BB331)</f>
        <v>1200.3221081655336</v>
      </c>
      <c r="CN331" s="39">
        <f>CK331*($AD331-$BD331)</f>
        <v>128.35420810200316</v>
      </c>
      <c r="CO331" s="39">
        <f>CL331*($AU331-$BF331)</f>
        <v>-429.92435616314276</v>
      </c>
      <c r="CP331" s="27">
        <f>VLOOKUP(A331,Water!$A$2:$E$109, 5, FALSE)/1000</f>
        <v>8.9999999999999992E-5</v>
      </c>
      <c r="CQ331">
        <f>0.64*CP331</f>
        <v>5.7599999999999997E-5</v>
      </c>
      <c r="CR331" s="19">
        <f>CQ331*1000*(2.5*10^-5)</f>
        <v>1.44E-6</v>
      </c>
      <c r="CS331" s="18">
        <f>(-0.0000009*F331^3)+(0.0002*F331^2)-(0.0134*F331)+6.579</f>
        <v>6.5011960703999998</v>
      </c>
      <c r="CT331" s="18">
        <f>CS331-(SQRT(CP331))/(1+1.4*SQRT(CP331))</f>
        <v>6.4918335858772247</v>
      </c>
      <c r="CU331" s="18">
        <f>10^(-CT331)</f>
        <v>3.2223032855533801E-7</v>
      </c>
      <c r="CV331" s="18">
        <f>(0.000001*F331^3)+(0.00006*F331^2)-(0.014*F331)+10.625</f>
        <v>10.538119743999999</v>
      </c>
      <c r="CW331" s="18">
        <f>CV331-(2*SQRT(CR331))/(1+1.4*SQRT(CR331))</f>
        <v>10.535723769237601</v>
      </c>
      <c r="CX331" s="18">
        <f>10^(-CW331)</f>
        <v>2.9125690535523702E-11</v>
      </c>
      <c r="CY331">
        <f>EXP(1246.98+-61900/H331-183*LN(H331))</f>
        <v>4.8954576567226118E-3</v>
      </c>
      <c r="CZ331">
        <f>12.225*(F331^2)+15.258*F331+1125.7</f>
        <v>1724.0872000000002</v>
      </c>
      <c r="DA331" s="15">
        <f>10^(-4470.99/H331+6.0875-0.01706*H331)</f>
        <v>2.1127674213153213E-15</v>
      </c>
      <c r="DB331">
        <f>(10^-I331)</f>
        <v>5.1286138399136542E-9</v>
      </c>
      <c r="DC331">
        <f>DB331^2</f>
        <v>2.6302679918953877E-17</v>
      </c>
      <c r="DD331" s="20">
        <f>((14.6836*10^-9)*((H331/217.2056)-1)^1.997)*100*100</f>
        <v>1.2142598333730381E-5</v>
      </c>
      <c r="DE331">
        <f>CY331+CZ331*DA331/DB331</f>
        <v>5.6057071278990339E-3</v>
      </c>
      <c r="DF331">
        <f>1+DC331*(CU331*CX331+CU331*DB331)^-1</f>
        <v>1.0158261099898671</v>
      </c>
      <c r="DG331">
        <f>(DE331*DF331/DD331)^0.5</f>
        <v>21.655542765772633</v>
      </c>
      <c r="DH331">
        <f>DD331/(BO331/60/60)</f>
        <v>3.2424345455418099E-2</v>
      </c>
      <c r="DI331" s="16">
        <f>DF331/((DF331-1)+TANH(DG331*DH331)/(DG331*DH331))</f>
        <v>1.1563181655897867</v>
      </c>
      <c r="DJ331">
        <f>$DI331*BR331</f>
        <v>12.116808536985607</v>
      </c>
      <c r="DK331">
        <f>$DI331*BY331</f>
        <v>17.715735852702593</v>
      </c>
      <c r="DL331">
        <f>$DI331*CF331</f>
        <v>2.7436763212032167</v>
      </c>
      <c r="DM331">
        <f>$DI331*CM331</f>
        <v>1387.9542582308354</v>
      </c>
    </row>
    <row r="332" spans="1:117" ht="15.75" x14ac:dyDescent="0.25">
      <c r="A332" s="52" t="s">
        <v>338</v>
      </c>
      <c r="B332" t="s">
        <v>341</v>
      </c>
      <c r="C332" s="64" t="s">
        <v>551</v>
      </c>
      <c r="D332" s="65">
        <v>43367</v>
      </c>
      <c r="E332" s="42" t="str">
        <f>A332&amp;D332</f>
        <v>4A43367</v>
      </c>
      <c r="F332" s="3">
        <f>VLOOKUP($E332,Water!$C$2:$E$90, 2, FALSE)</f>
        <v>6.4</v>
      </c>
      <c r="G332" s="3">
        <f>VLOOKUP($E332,Water!$C$2:$E$90, 3, FALSE)</f>
        <v>0.14000000000000001</v>
      </c>
      <c r="H332" s="1">
        <f>F332+273.15</f>
        <v>279.54999999999995</v>
      </c>
      <c r="I332" s="3">
        <f>VLOOKUP($E332,Water!$C$2:$F$90, 4, FALSE)</f>
        <v>8.2899999999999991</v>
      </c>
      <c r="J332">
        <f>10^(I332*-1)</f>
        <v>5.1286138399136542E-9</v>
      </c>
      <c r="K332" s="25">
        <f>VLOOKUP($E332,Atm!$D$2:$G$100, 2, FALSE)</f>
        <v>434.10839005077912</v>
      </c>
      <c r="L332" s="25">
        <f>VLOOKUP($E332,Atm!$D$2:$G$100, 3, FALSE)</f>
        <v>2.1112094215544879</v>
      </c>
      <c r="M332" s="25">
        <f>VLOOKUP($E332,Atm!$D$2:$G$100, 4, FALSE)</f>
        <v>0.30614998281987815</v>
      </c>
      <c r="N332" s="21">
        <f>VLOOKUP($C332,Raw!$B$2:$F$353, 3, FALSE)</f>
        <v>558.08502479765798</v>
      </c>
      <c r="O332" s="21">
        <f>VLOOKUP($C332,Raw!$B$2:$F$353, 4, FALSE)</f>
        <v>131.42759165399531</v>
      </c>
      <c r="P332" s="21">
        <f>VLOOKUP($C332,Raw!$B$2:$F$353, 5, FALSE)</f>
        <v>0.27459264400361705</v>
      </c>
      <c r="Q332" s="14">
        <v>60</v>
      </c>
      <c r="R332" s="25">
        <v>1140</v>
      </c>
      <c r="S332">
        <f>EXP(24.4543-(100/H332*(67.4509))-(4.8489*LN(H332/100))-(0.000544*G332))</f>
        <v>9.4770374916839512E-3</v>
      </c>
      <c r="T332" s="8">
        <f>EXP(-58.0931+90.5069*(100/H332)+22.294*LN(H332/100)+G332*(0.027766-0.025888*(H332/100)+0.0050578*(H332/100)^2)*G332)</f>
        <v>6.0883254151641739E-2</v>
      </c>
      <c r="U332" s="9">
        <f>(EXP(-67.1962+99.1624*(100/H332)+27.9015*LN(H332/100)+G332*(-0.072909+0.041674*(H332/100)-0.0064603*(H332/100)^2)*G332))</f>
        <v>4.7780623970157123E-2</v>
      </c>
      <c r="V332" s="9">
        <f>(EXP(-64.8539+100.252*(100/H332)+25.2049*LN(H332/100)+(-0.062544+0.035337*(H332/100)-0.0054699*(H332/100)^2)*G332))</f>
        <v>4.5868536940889014E-2</v>
      </c>
      <c r="W332" s="9">
        <f>(EXP(-68.8862+101.4956*(100/H332)+28.7314*LN(H332/100)+G332*(-0.076146+0.04397*(H332/100)-0.0068672*(H332/100)^2)))</f>
        <v>4.7634801219896487E-2</v>
      </c>
      <c r="X332">
        <f>N332*(AZ332-S332)</f>
        <v>516.00647980152075</v>
      </c>
      <c r="Y332">
        <f>O332*(AZ332-S332)</f>
        <v>121.51820225378397</v>
      </c>
      <c r="Z332">
        <f>((Y332/10^6)*AZ332)/(0.082056*H332)</f>
        <v>4.9482892788634467E-6</v>
      </c>
      <c r="AA332">
        <f>(((L332/10^6)*AZ332)/(0.082056*H332))</f>
        <v>8.5969630494498737E-8</v>
      </c>
      <c r="AB332">
        <f>((Y332/10^6)*U332*1)/(0.082056*H332)</f>
        <v>2.5311816522043958E-7</v>
      </c>
      <c r="AC332">
        <f>(Z332*(Q332/1000))+(AB332*(R332/1000))</f>
        <v>5.8545206508310793E-7</v>
      </c>
      <c r="AD332" s="39">
        <f>((AC332-(AA332*(Q332/1000)))/(R332/1000))*1000000</f>
        <v>0.50902972566091054</v>
      </c>
      <c r="AE332" s="39">
        <f>(AD332/((U332*AZ332*1))*(0.0821*273.15))</f>
        <v>255.77147357956827</v>
      </c>
      <c r="AF332" s="39">
        <f>L332*U332*AZ332*1/(0.0821*273.15)</f>
        <v>4.2016740085453301E-3</v>
      </c>
      <c r="AG332" s="39">
        <f>AD332-AF332</f>
        <v>0.50482805165236522</v>
      </c>
      <c r="AH332" s="42">
        <f>P332*(AZ332-S332)</f>
        <v>0.25388888308384727</v>
      </c>
      <c r="AI332">
        <f>(((X332/10^6)*(Q332/1000))/(0.082056*H332))</f>
        <v>1.34969788282018E-6</v>
      </c>
      <c r="AJ332">
        <f>(((K332/10^6)*AZ332)*(Q332/1000))/(0.082056*H332)</f>
        <v>1.0606282116649986E-6</v>
      </c>
      <c r="AK332">
        <f>(X332/10^6)*T332*(R332/1000)</f>
        <v>3.5814415165160971E-5</v>
      </c>
      <c r="AL332">
        <f>AI332+AK332</f>
        <v>3.7164113047981151E-5</v>
      </c>
      <c r="AM332" s="39">
        <f>((AL332-AJ332)/(R332/1000))*1000000</f>
        <v>31.669723540628208</v>
      </c>
      <c r="AN332" s="39">
        <f>AM332/(T332*AZ332)</f>
        <v>556.88155228718119</v>
      </c>
      <c r="AO332" s="39">
        <f>(K332*AZ332)*T332</f>
        <v>24.687642539262182</v>
      </c>
      <c r="AP332" s="39">
        <f>AM332-AO332</f>
        <v>6.9820810013660264</v>
      </c>
      <c r="AQ332">
        <f>(((AH332/10^6)*(Q332/1000))/(0.082056*H332))</f>
        <v>6.6408717987738545E-10</v>
      </c>
      <c r="AR332">
        <f>(((M332/10^6)*AZ332)*(Q332/1000))/(0.082056*H332)</f>
        <v>7.4799592963760697E-10</v>
      </c>
      <c r="AS332">
        <f>(AH332/10^6)*V332*(R332/1000)</f>
        <v>1.3275883238378251E-8</v>
      </c>
      <c r="AT332">
        <f>AQ332+AS332</f>
        <v>1.3939970418255636E-8</v>
      </c>
      <c r="AU332" s="39">
        <f>((AT332-AR332)/(R332/1000))*1000000000</f>
        <v>11.571907446156166</v>
      </c>
      <c r="AV332" s="39">
        <f>(AU332/1000)/(V332*AZ332)</f>
        <v>0.2700887405997065</v>
      </c>
      <c r="AW332" s="39">
        <f>(M332*AZ332)*V332*1000</f>
        <v>13.116945408266973</v>
      </c>
      <c r="AX332" s="39">
        <f>AU332-AW332</f>
        <v>-1.5450379621108077</v>
      </c>
      <c r="AY332" s="26">
        <f>VLOOKUP($E332,Water!$C$2:$G$90, 5, FALSE)</f>
        <v>709.9</v>
      </c>
      <c r="AZ332">
        <f>AY332/760</f>
        <v>0.93407894736842101</v>
      </c>
      <c r="BA332" s="3">
        <f>Assumptions!$B$3</f>
        <v>406.07</v>
      </c>
      <c r="BB332" s="3">
        <f>BA332*AZ332*T332</f>
        <v>23.093105859450326</v>
      </c>
      <c r="BC332" s="3">
        <f>Assumptions!$B$4</f>
        <v>1.8474300000000001</v>
      </c>
      <c r="BD332" s="45">
        <f>BC332*AZ332*U332*1/(0.0821*273.15)</f>
        <v>3.6767070733757451E-3</v>
      </c>
      <c r="BE332" s="3">
        <f>Assumptions!$B$2</f>
        <v>0.33054499999999998</v>
      </c>
      <c r="BF332" s="44">
        <f>BE332*AZ332*V332*1000</f>
        <v>14.162145886927973</v>
      </c>
      <c r="BG332">
        <f>1923.6+(-125.06*F332)+(4.3773*(F332^2))+(-0.085681*(F332^3))+(0.00070284*(F332^4))</f>
        <v>1281.2286177853439</v>
      </c>
      <c r="BH332">
        <f>1909.4+(-120.78*F332)+(4.1555*(F332^2))+(-0.080578*(F332^3))+(0.00065777*(F332^4))</f>
        <v>1286.5977957048319</v>
      </c>
      <c r="BI332">
        <f>2141.2+(-152.56*F332)+(5.8963*(F332^2))+(-0.12411*(F332^3))+(0.0010655*(F332^4))</f>
        <v>1375.5813685247997</v>
      </c>
      <c r="BJ332" s="25">
        <f>VLOOKUP(E332,Wind!$C$2:$E$109,3, FALSE)</f>
        <v>3.6944444444444442</v>
      </c>
      <c r="BK332" s="44">
        <v>1.66</v>
      </c>
      <c r="BL332">
        <f>BK332/(1-(((1.3*10^-3)^0.5)/0.41)*LN(10/1.5))</f>
        <v>1.9923982880693825</v>
      </c>
      <c r="BM332">
        <f>BK332*1.22</f>
        <v>2.0251999999999999</v>
      </c>
      <c r="BN332">
        <f>2.07+0.215*(BM332^1.7)*(24/100)</f>
        <v>2.241255750541113</v>
      </c>
      <c r="BO332">
        <f>BN332*((600/BG332)^0.67)</f>
        <v>1.3481645778025992</v>
      </c>
      <c r="BP332">
        <f>BN332*((600/BH332)^0.67)</f>
        <v>1.3443924864549108</v>
      </c>
      <c r="BQ332">
        <f>BN332*((600/BI332)^0.67)</f>
        <v>1.2854847939829288</v>
      </c>
      <c r="BR332" s="39">
        <f>BO332*(AM332-BB332)</f>
        <v>11.562692155119487</v>
      </c>
      <c r="BS332" s="39">
        <f>BP332*(AD332-BD332)</f>
        <v>0.67939280119639067</v>
      </c>
      <c r="BT332" s="39">
        <f>BQ332*(AU332-BF332)</f>
        <v>-3.32971212840221</v>
      </c>
      <c r="BU332">
        <f>(2.51+1.48*BM332)+(0.39*BM332*LOG10(0.0015))</f>
        <v>3.2768938069574309</v>
      </c>
      <c r="BV332">
        <f>BU332*((600/$BG332)^0.67)</f>
        <v>1.9711236233054243</v>
      </c>
      <c r="BW332">
        <f>BU332*((600/$BH332)^0.67)</f>
        <v>1.9656085263453682</v>
      </c>
      <c r="BX332">
        <f>BU332*((600/$BI332)^0.67)</f>
        <v>1.8794808041534736</v>
      </c>
      <c r="BY332" s="39">
        <f>BV332*($AM332-$BB332)</f>
        <v>16.905573719428716</v>
      </c>
      <c r="BZ332" s="39">
        <f>BW332*($AD332-$BD332)</f>
        <v>0.99332620215002776</v>
      </c>
      <c r="CA332" s="39">
        <f>BX332*($AU332-$BF332)</f>
        <v>-4.8683034276110373</v>
      </c>
      <c r="CB332" s="42">
        <f>AVERAGE(0.72,0.69,0.4,0.22)</f>
        <v>0.50750000000000006</v>
      </c>
      <c r="CC332">
        <f>CB332*((600/$BG332)^0.67)</f>
        <v>0.30527240055920984</v>
      </c>
      <c r="CD332">
        <f>CB332*((600/$BH332)^0.67)</f>
        <v>0.30441826494416918</v>
      </c>
      <c r="CE332">
        <f>CB332*((600/$BI332)^0.67)</f>
        <v>0.29107946863664691</v>
      </c>
      <c r="CF332" s="39">
        <f>CC332*($AM332-$BB332)</f>
        <v>2.6182046682117361</v>
      </c>
      <c r="CG332" s="39">
        <f>CD332*($AD332-$BD332)</f>
        <v>0.15383868910271581</v>
      </c>
      <c r="CH332" s="39">
        <f>CE332*($AU332-$BF332)</f>
        <v>-0.75396522898207463</v>
      </c>
      <c r="CI332">
        <v>155.86263901889501</v>
      </c>
      <c r="CJ332">
        <f>((BG332/BH332)^0.67)*CI332</f>
        <v>155.42654381082383</v>
      </c>
      <c r="CK332">
        <f>((BH332/BH332)^0.67)*CI332</f>
        <v>155.86263901889501</v>
      </c>
      <c r="CL332">
        <f>((BI332/BH332)^0.67)*CI332</f>
        <v>163.00508710554155</v>
      </c>
      <c r="CM332" s="39">
        <f>CJ332*($AM332-$BB332)</f>
        <v>1333.0340437722805</v>
      </c>
      <c r="CN332" s="39">
        <f>CK332*($AD332-$BD332)</f>
        <v>78.765655113217875</v>
      </c>
      <c r="CO332" s="39">
        <f>CL332*($AU332-$BF332)</f>
        <v>-422.22204266213066</v>
      </c>
      <c r="CP332" s="27">
        <f>VLOOKUP(A332,Water!$A$2:$E$109, 5, FALSE)/1000</f>
        <v>8.9999999999999992E-5</v>
      </c>
      <c r="CQ332">
        <f>0.64*CP332</f>
        <v>5.7599999999999997E-5</v>
      </c>
      <c r="CR332" s="19">
        <f>CQ332*1000*(2.5*10^-5)</f>
        <v>1.44E-6</v>
      </c>
      <c r="CS332" s="18">
        <f>(-0.0000009*F332^3)+(0.0002*F332^2)-(0.0134*F332)+6.579</f>
        <v>6.5011960703999998</v>
      </c>
      <c r="CT332" s="18">
        <f>CS332-(SQRT(CP332))/(1+1.4*SQRT(CP332))</f>
        <v>6.4918335858772247</v>
      </c>
      <c r="CU332" s="18">
        <f>10^(-CT332)</f>
        <v>3.2223032855533801E-7</v>
      </c>
      <c r="CV332" s="18">
        <f>(0.000001*F332^3)+(0.00006*F332^2)-(0.014*F332)+10.625</f>
        <v>10.538119743999999</v>
      </c>
      <c r="CW332" s="18">
        <f>CV332-(2*SQRT(CR332))/(1+1.4*SQRT(CR332))</f>
        <v>10.535723769237601</v>
      </c>
      <c r="CX332" s="18">
        <f>10^(-CW332)</f>
        <v>2.9125690535523702E-11</v>
      </c>
      <c r="CY332">
        <f>EXP(1246.98+-61900/H332-183*LN(H332))</f>
        <v>4.8954576567226118E-3</v>
      </c>
      <c r="CZ332">
        <f>12.225*(F332^2)+15.258*F332+1125.7</f>
        <v>1724.0872000000002</v>
      </c>
      <c r="DA332" s="15">
        <f>10^(-4470.99/H332+6.0875-0.01706*H332)</f>
        <v>2.1127674213153213E-15</v>
      </c>
      <c r="DB332">
        <f>(10^-I332)</f>
        <v>5.1286138399136542E-9</v>
      </c>
      <c r="DC332">
        <f>DB332^2</f>
        <v>2.6302679918953877E-17</v>
      </c>
      <c r="DD332" s="20">
        <f>((14.6836*10^-9)*((H332/217.2056)-1)^1.997)*100*100</f>
        <v>1.2142598333730381E-5</v>
      </c>
      <c r="DE332">
        <f>CY332+CZ332*DA332/DB332</f>
        <v>5.6057071278990339E-3</v>
      </c>
      <c r="DF332">
        <f>1+DC332*(CU332*CX332+CU332*DB332)^-1</f>
        <v>1.0158261099898671</v>
      </c>
      <c r="DG332">
        <f>(DE332*DF332/DD332)^0.5</f>
        <v>21.655542765772633</v>
      </c>
      <c r="DH332">
        <f>DD332/(BO332/60/60)</f>
        <v>3.2424345455418099E-2</v>
      </c>
      <c r="DI332" s="16">
        <f>DF332/((DF332-1)+TANH(DG332*DH332)/(DG332*DH332))</f>
        <v>1.1563181655897867</v>
      </c>
      <c r="DJ332">
        <f>$DI332*BR332</f>
        <v>13.370150982087184</v>
      </c>
      <c r="DK332">
        <f>$DI332*BY332</f>
        <v>19.548221991492721</v>
      </c>
      <c r="DL332">
        <f>$DI332*CF332</f>
        <v>3.0274776190852108</v>
      </c>
      <c r="DM332">
        <f>$DI332*CM332</f>
        <v>1541.4114801634989</v>
      </c>
    </row>
    <row r="333" spans="1:117" ht="15.75" x14ac:dyDescent="0.25">
      <c r="A333" s="52" t="s">
        <v>338</v>
      </c>
      <c r="B333" t="s">
        <v>342</v>
      </c>
      <c r="C333" s="64" t="s">
        <v>552</v>
      </c>
      <c r="D333" s="65">
        <v>43367</v>
      </c>
      <c r="E333" s="42" t="str">
        <f>A333&amp;D333</f>
        <v>4A43367</v>
      </c>
      <c r="F333" s="3">
        <f>VLOOKUP($E333,Water!$C$2:$E$90, 2, FALSE)</f>
        <v>6.4</v>
      </c>
      <c r="G333" s="3">
        <f>VLOOKUP($E333,Water!$C$2:$E$90, 3, FALSE)</f>
        <v>0.14000000000000001</v>
      </c>
      <c r="H333" s="1">
        <f>F333+273.15</f>
        <v>279.54999999999995</v>
      </c>
      <c r="I333" s="3">
        <f>VLOOKUP($E333,Water!$C$2:$F$90, 4, FALSE)</f>
        <v>8.2899999999999991</v>
      </c>
      <c r="J333">
        <f>10^(I333*-1)</f>
        <v>5.1286138399136542E-9</v>
      </c>
      <c r="K333" s="25">
        <f>VLOOKUP($E333,Atm!$D$2:$G$100, 2, FALSE)</f>
        <v>434.10839005077912</v>
      </c>
      <c r="L333" s="25">
        <f>VLOOKUP($E333,Atm!$D$2:$G$100, 3, FALSE)</f>
        <v>2.1112094215544879</v>
      </c>
      <c r="M333" s="25">
        <f>VLOOKUP($E333,Atm!$D$2:$G$100, 4, FALSE)</f>
        <v>0.30614998281987815</v>
      </c>
      <c r="N333" s="21">
        <f>VLOOKUP($C333,Raw!$B$2:$F$353, 3, FALSE)</f>
        <v>589.33516016026783</v>
      </c>
      <c r="O333" s="21">
        <f>VLOOKUP($C333,Raw!$B$2:$F$353, 4, FALSE)</f>
        <v>212.28425930943479</v>
      </c>
      <c r="P333" s="21">
        <f>VLOOKUP($C333,Raw!$B$2:$F$353, 5, FALSE)</f>
        <v>0.2682723611004359</v>
      </c>
      <c r="Q333" s="14">
        <v>60</v>
      </c>
      <c r="R333" s="25">
        <v>1140</v>
      </c>
      <c r="S333">
        <f>EXP(24.4543-(100/H333*(67.4509))-(4.8489*LN(H333/100))-(0.000544*G333))</f>
        <v>9.4770374916839512E-3</v>
      </c>
      <c r="T333" s="8">
        <f>EXP(-58.0931+90.5069*(100/H333)+22.294*LN(H333/100)+G333*(0.027766-0.025888*(H333/100)+0.0050578*(H333/100)^2)*G333)</f>
        <v>6.0883254151641739E-2</v>
      </c>
      <c r="U333" s="9">
        <f>(EXP(-67.1962+99.1624*(100/H333)+27.9015*LN(H333/100)+G333*(-0.072909+0.041674*(H333/100)-0.0064603*(H333/100)^2)*G333))</f>
        <v>4.7780623970157123E-2</v>
      </c>
      <c r="V333" s="9">
        <f>(EXP(-64.8539+100.252*(100/H333)+25.2049*LN(H333/100)+(-0.062544+0.035337*(H333/100)-0.0054699*(H333/100)^2)*G333))</f>
        <v>4.5868536940889014E-2</v>
      </c>
      <c r="W333" s="9">
        <f>(EXP(-68.8862+101.4956*(100/H333)+28.7314*LN(H333/100)+G333*(-0.076146+0.04397*(H333/100)-0.0068672*(H333/100)^2)))</f>
        <v>4.7634801219896487E-2</v>
      </c>
      <c r="X333">
        <f>N333*(AZ333-S333)</f>
        <v>544.90041464169633</v>
      </c>
      <c r="Y333">
        <f>O333*(AZ333-S333)</f>
        <v>196.27843159427189</v>
      </c>
      <c r="Z333">
        <f>((Y333/10^6)*AZ333)/(0.082056*H333)</f>
        <v>7.9925677035748311E-6</v>
      </c>
      <c r="AA333">
        <f>(((L333/10^6)*AZ333)/(0.082056*H333))</f>
        <v>8.5969630494498737E-8</v>
      </c>
      <c r="AB333">
        <f>((Y333/10^6)*U333*1)/(0.082056*H333)</f>
        <v>4.0884110821299305E-7</v>
      </c>
      <c r="AC333">
        <f>(Z333*(Q333/1000))+(AB333*(R333/1000))</f>
        <v>9.4563292557730187E-7</v>
      </c>
      <c r="AD333" s="39">
        <f>((AC333-(AA333*(Q333/1000)))/(R333/1000))*1000000</f>
        <v>0.82497784890143155</v>
      </c>
      <c r="AE333" s="39">
        <f>(AD333/((U333*AZ333*1))*(0.0821*273.15))</f>
        <v>414.52549713095294</v>
      </c>
      <c r="AF333" s="39">
        <f>L333*U333*AZ333*1/(0.0821*273.15)</f>
        <v>4.2016740085453301E-3</v>
      </c>
      <c r="AG333" s="39">
        <f>AD333-AF333</f>
        <v>0.82077617489288623</v>
      </c>
      <c r="AH333" s="42">
        <f>P333*(AZ333-S333)</f>
        <v>0.24804513744060469</v>
      </c>
      <c r="AI333">
        <f>(((X333/10^6)*(Q333/1000))/(0.082056*H333))</f>
        <v>1.4252746133587767E-6</v>
      </c>
      <c r="AJ333">
        <f>(((K333/10^6)*AZ333)*(Q333/1000))/(0.082056*H333)</f>
        <v>1.0606282116649986E-6</v>
      </c>
      <c r="AK333">
        <f>(X333/10^6)*T333*(R333/1000)</f>
        <v>3.7819853892440512E-5</v>
      </c>
      <c r="AL333">
        <f>AI333+AK333</f>
        <v>3.9245128505799285E-5</v>
      </c>
      <c r="AM333" s="39">
        <f>((AL333-AJ333)/(R333/1000))*1000000</f>
        <v>33.495175696609024</v>
      </c>
      <c r="AN333" s="39">
        <f>AM333/(T333*AZ333)</f>
        <v>588.9803683360318</v>
      </c>
      <c r="AO333" s="39">
        <f>(K333*AZ333)*T333</f>
        <v>24.687642539262182</v>
      </c>
      <c r="AP333" s="39">
        <f>AM333-AO333</f>
        <v>8.8075331573468425</v>
      </c>
      <c r="AQ333">
        <f>(((AH333/10^6)*(Q333/1000))/(0.082056*H333))</f>
        <v>6.4880192391420837E-10</v>
      </c>
      <c r="AR333">
        <f>(((M333/10^6)*AZ333)*(Q333/1000))/(0.082056*H333)</f>
        <v>7.4799592963760697E-10</v>
      </c>
      <c r="AS333">
        <f>(AH333/10^6)*V333*(R333/1000)</f>
        <v>1.2970313006660584E-8</v>
      </c>
      <c r="AT333">
        <f>AQ333+AS333</f>
        <v>1.3619114930574792E-8</v>
      </c>
      <c r="AU333" s="39">
        <f>((AT333-AR333)/(R333/1000))*1000000000</f>
        <v>11.290455263979988</v>
      </c>
      <c r="AV333" s="39">
        <f>(AU333/1000)/(V333*AZ333)</f>
        <v>0.26351963643285164</v>
      </c>
      <c r="AW333" s="39">
        <f>(M333*AZ333)*V333*1000</f>
        <v>13.116945408266973</v>
      </c>
      <c r="AX333" s="39">
        <f>AU333-AW333</f>
        <v>-1.8264901442869856</v>
      </c>
      <c r="AY333" s="26">
        <f>VLOOKUP($E333,Water!$C$2:$G$90, 5, FALSE)</f>
        <v>709.9</v>
      </c>
      <c r="AZ333">
        <f>AY333/760</f>
        <v>0.93407894736842101</v>
      </c>
      <c r="BA333" s="3">
        <f>Assumptions!$B$3</f>
        <v>406.07</v>
      </c>
      <c r="BB333" s="3">
        <f>BA333*AZ333*T333</f>
        <v>23.093105859450326</v>
      </c>
      <c r="BC333" s="3">
        <f>Assumptions!$B$4</f>
        <v>1.8474300000000001</v>
      </c>
      <c r="BD333" s="45">
        <f>BC333*AZ333*U333*1/(0.0821*273.15)</f>
        <v>3.6767070733757451E-3</v>
      </c>
      <c r="BE333" s="3">
        <f>Assumptions!$B$2</f>
        <v>0.33054499999999998</v>
      </c>
      <c r="BF333" s="44">
        <f>BE333*AZ333*V333*1000</f>
        <v>14.162145886927973</v>
      </c>
      <c r="BG333">
        <f>1923.6+(-125.06*F333)+(4.3773*(F333^2))+(-0.085681*(F333^3))+(0.00070284*(F333^4))</f>
        <v>1281.2286177853439</v>
      </c>
      <c r="BH333">
        <f>1909.4+(-120.78*F333)+(4.1555*(F333^2))+(-0.080578*(F333^3))+(0.00065777*(F333^4))</f>
        <v>1286.5977957048319</v>
      </c>
      <c r="BI333">
        <f>2141.2+(-152.56*F333)+(5.8963*(F333^2))+(-0.12411*(F333^3))+(0.0010655*(F333^4))</f>
        <v>1375.5813685247997</v>
      </c>
      <c r="BJ333" s="25">
        <f>VLOOKUP(E333,Wind!$C$2:$E$109,3, FALSE)</f>
        <v>3.6944444444444442</v>
      </c>
      <c r="BK333" s="44">
        <v>1.66</v>
      </c>
      <c r="BL333">
        <f>BK333/(1-(((1.3*10^-3)^0.5)/0.41)*LN(10/1.5))</f>
        <v>1.9923982880693825</v>
      </c>
      <c r="BM333">
        <f>BK333*1.22</f>
        <v>2.0251999999999999</v>
      </c>
      <c r="BN333">
        <f>2.07+0.215*(BM333^1.7)*(24/100)</f>
        <v>2.241255750541113</v>
      </c>
      <c r="BO333">
        <f>BN333*((600/BG333)^0.67)</f>
        <v>1.3481645778025992</v>
      </c>
      <c r="BP333">
        <f>BN333*((600/BH333)^0.67)</f>
        <v>1.3443924864549108</v>
      </c>
      <c r="BQ333">
        <f>BN333*((600/BI333)^0.67)</f>
        <v>1.2854847939829288</v>
      </c>
      <c r="BR333" s="39">
        <f>BO333*(AM333-BB333)</f>
        <v>14.023702090286209</v>
      </c>
      <c r="BS333" s="39">
        <f>BP333*(AD333-BD333)</f>
        <v>1.1041510841904774</v>
      </c>
      <c r="BT333" s="39">
        <f>BQ333*(AU333-BF333)</f>
        <v>-3.6915146288230001</v>
      </c>
      <c r="BU333">
        <f>(2.51+1.48*BM333)+(0.39*BM333*LOG10(0.0015))</f>
        <v>3.2768938069574309</v>
      </c>
      <c r="BV333">
        <f>BU333*((600/$BG333)^0.67)</f>
        <v>1.9711236233054243</v>
      </c>
      <c r="BW333">
        <f>BU333*((600/$BH333)^0.67)</f>
        <v>1.9656085263453682</v>
      </c>
      <c r="BX333">
        <f>BU333*((600/$BI333)^0.67)</f>
        <v>1.8794808041534736</v>
      </c>
      <c r="BY333" s="39">
        <f>BV333*($AM333-$BB333)</f>
        <v>20.503765587296321</v>
      </c>
      <c r="BZ333" s="39">
        <f>BW333*($AD333-$BD333)</f>
        <v>1.6143565270744129</v>
      </c>
      <c r="CA333" s="39">
        <f>BX333*($AU333-$BF333)</f>
        <v>-5.3972874012982697</v>
      </c>
      <c r="CB333" s="42">
        <f>AVERAGE(0.72,0.69,0.4,0.22)</f>
        <v>0.50750000000000006</v>
      </c>
      <c r="CC333">
        <f>CB333*((600/$BG333)^0.67)</f>
        <v>0.30527240055920984</v>
      </c>
      <c r="CD333">
        <f>CB333*((600/$BH333)^0.67)</f>
        <v>0.30441826494416918</v>
      </c>
      <c r="CE333">
        <f>CB333*((600/$BI333)^0.67)</f>
        <v>0.29107946863664691</v>
      </c>
      <c r="CF333" s="39">
        <f>CC333*($AM333-$BB333)</f>
        <v>3.1754648299739849</v>
      </c>
      <c r="CG333" s="39">
        <f>CD333*($AD333-$BD333)</f>
        <v>0.25001906859196177</v>
      </c>
      <c r="CH333" s="39">
        <f>CE333*($AU333-$BF333)</f>
        <v>-0.83589018061654119</v>
      </c>
      <c r="CI333">
        <v>156.86263901889501</v>
      </c>
      <c r="CJ333">
        <f>((BG333/BH333)^0.67)*CI333</f>
        <v>156.42374586507609</v>
      </c>
      <c r="CK333">
        <f>((BH333/BH333)^0.67)*CI333</f>
        <v>156.86263901889501</v>
      </c>
      <c r="CL333">
        <f>((BI333/BH333)^0.67)*CI333</f>
        <v>164.05091237920308</v>
      </c>
      <c r="CM333" s="39">
        <f>CJ333*($AM333-$BB333)</f>
        <v>1627.1307286784856</v>
      </c>
      <c r="CN333" s="39">
        <f>CK333*($AD333-$BD333)</f>
        <v>128.83146453638062</v>
      </c>
      <c r="CO333" s="39">
        <f>CL333*($AU333-$BF333)</f>
        <v>-471.10346676541911</v>
      </c>
      <c r="CP333" s="27">
        <f>VLOOKUP(A333,Water!$A$2:$E$109, 5, FALSE)/1000</f>
        <v>8.9999999999999992E-5</v>
      </c>
      <c r="CQ333">
        <f>0.64*CP333</f>
        <v>5.7599999999999997E-5</v>
      </c>
      <c r="CR333" s="19">
        <f>CQ333*1000*(2.5*10^-5)</f>
        <v>1.44E-6</v>
      </c>
      <c r="CS333" s="18">
        <f>(-0.0000009*F333^3)+(0.0002*F333^2)-(0.0134*F333)+6.579</f>
        <v>6.5011960703999998</v>
      </c>
      <c r="CT333" s="18">
        <f>CS333-(SQRT(CP333))/(1+1.4*SQRT(CP333))</f>
        <v>6.4918335858772247</v>
      </c>
      <c r="CU333" s="18">
        <f>10^(-CT333)</f>
        <v>3.2223032855533801E-7</v>
      </c>
      <c r="CV333" s="18">
        <f>(0.000001*F333^3)+(0.00006*F333^2)-(0.014*F333)+10.625</f>
        <v>10.538119743999999</v>
      </c>
      <c r="CW333" s="18">
        <f>CV333-(2*SQRT(CR333))/(1+1.4*SQRT(CR333))</f>
        <v>10.535723769237601</v>
      </c>
      <c r="CX333" s="18">
        <f>10^(-CW333)</f>
        <v>2.9125690535523702E-11</v>
      </c>
      <c r="CY333">
        <f>EXP(1246.98+-61900/H333-183*LN(H333))</f>
        <v>4.8954576567226118E-3</v>
      </c>
      <c r="CZ333">
        <f>12.225*(F333^2)+15.258*F333+1125.7</f>
        <v>1724.0872000000002</v>
      </c>
      <c r="DA333" s="15">
        <f>10^(-4470.99/H333+6.0875-0.01706*H333)</f>
        <v>2.1127674213153213E-15</v>
      </c>
      <c r="DB333">
        <f>(10^-I333)</f>
        <v>5.1286138399136542E-9</v>
      </c>
      <c r="DC333">
        <f>DB333^2</f>
        <v>2.6302679918953877E-17</v>
      </c>
      <c r="DD333" s="20">
        <f>((14.6836*10^-9)*((H333/217.2056)-1)^1.997)*100*100</f>
        <v>1.2142598333730381E-5</v>
      </c>
      <c r="DE333">
        <f>CY333+CZ333*DA333/DB333</f>
        <v>5.6057071278990339E-3</v>
      </c>
      <c r="DF333">
        <f>1+DC333*(CU333*CX333+CU333*DB333)^-1</f>
        <v>1.0158261099898671</v>
      </c>
      <c r="DG333">
        <f>(DE333*DF333/DD333)^0.5</f>
        <v>21.655542765772633</v>
      </c>
      <c r="DH333">
        <f>DD333/(BO333/60/60)</f>
        <v>3.2424345455418099E-2</v>
      </c>
      <c r="DI333" s="16">
        <f>DF333/((DF333-1)+TANH(DG333*DH333)/(DG333*DH333))</f>
        <v>1.1563181655897867</v>
      </c>
      <c r="DJ333">
        <f>$DI333*BR333</f>
        <v>16.215861475817405</v>
      </c>
      <c r="DK333">
        <f>$DI333*BY333</f>
        <v>23.708876611585477</v>
      </c>
      <c r="DL333">
        <f>$DI333*CF333</f>
        <v>3.6718476670904021</v>
      </c>
      <c r="DM333">
        <f>$DI333*CM333</f>
        <v>1881.4808193602796</v>
      </c>
    </row>
    <row r="334" spans="1:117" ht="15.75" x14ac:dyDescent="0.25">
      <c r="A334" s="52" t="s">
        <v>323</v>
      </c>
      <c r="B334" t="s">
        <v>339</v>
      </c>
      <c r="C334" s="64" t="s">
        <v>553</v>
      </c>
      <c r="D334" s="65">
        <v>43367</v>
      </c>
      <c r="E334" s="42" t="str">
        <f>A334&amp;D334</f>
        <v>66A43367</v>
      </c>
      <c r="F334" s="3">
        <f>VLOOKUP($E334,Water!$C$2:$E$90, 2, FALSE)</f>
        <v>6.5</v>
      </c>
      <c r="G334" s="3">
        <f>VLOOKUP($E334,Water!$C$2:$E$90, 3, FALSE)</f>
        <v>1.02</v>
      </c>
      <c r="H334" s="1">
        <f>F334+273.15</f>
        <v>279.64999999999998</v>
      </c>
      <c r="I334" s="3">
        <f>VLOOKUP($E334,Water!$C$2:$F$90, 4, FALSE)</f>
        <v>7.93</v>
      </c>
      <c r="J334">
        <f>10^(I334*-1)</f>
        <v>1.1748975549395268E-8</v>
      </c>
      <c r="K334" s="25">
        <f>VLOOKUP($E334,Atm!$D$2:$G$100, 2, FALSE)</f>
        <v>443.45780199051711</v>
      </c>
      <c r="L334" s="25">
        <f>VLOOKUP($E334,Atm!$D$2:$G$100, 3, FALSE)</f>
        <v>1.977217313640816</v>
      </c>
      <c r="M334" s="25">
        <f>VLOOKUP($E334,Atm!$D$2:$G$100, 4, FALSE)</f>
        <v>0.30940721709958346</v>
      </c>
      <c r="N334" s="21">
        <f>VLOOKUP($C334,Raw!$B$2:$F$353, 3, FALSE)</f>
        <v>2384.5720907446362</v>
      </c>
      <c r="O334" s="21">
        <f>VLOOKUP($C334,Raw!$B$2:$F$353, 4, FALSE)</f>
        <v>70.965056017310602</v>
      </c>
      <c r="P334" s="21">
        <f>VLOOKUP($C334,Raw!$B$2:$F$353, 5, FALSE)</f>
        <v>0.21575816644220353</v>
      </c>
      <c r="Q334" s="14">
        <v>60</v>
      </c>
      <c r="R334" s="25">
        <v>1140</v>
      </c>
      <c r="S334">
        <f>EXP(24.4543-(100/H334*(67.4509))-(4.8489*LN(H334/100))-(0.000544*G334))</f>
        <v>9.5380292301378792E-3</v>
      </c>
      <c r="T334" s="8">
        <f>EXP(-58.0931+90.5069*(100/H334)+22.294*LN(H334/100)+G334*(0.027766-0.025888*(H334/100)+0.0050578*(H334/100)^2)*G334)</f>
        <v>6.0350736831238629E-2</v>
      </c>
      <c r="U334" s="9">
        <f>(EXP(-67.1962+99.1624*(100/H334)+27.9015*LN(H334/100)+G334*(-0.072909+0.041674*(H334/100)-0.0064603*(H334/100)^2)*G334))</f>
        <v>4.7317572040843227E-2</v>
      </c>
      <c r="V334" s="9">
        <f>(EXP(-64.8539+100.252*(100/H334)+25.2049*LN(H334/100)+(-0.062544+0.035337*(H334/100)-0.0054699*(H334/100)^2)*G334))</f>
        <v>4.5433513178419822E-2</v>
      </c>
      <c r="W334" s="9">
        <f>(EXP(-68.8862+101.4956*(100/H334)+28.7314*LN(H334/100)+G334*(-0.076146+0.04397*(H334/100)-0.0068672*(H334/100)^2)))</f>
        <v>4.7218969509820206E-2</v>
      </c>
      <c r="X334">
        <f>N334*(AZ334-S334)</f>
        <v>2197.4180019746127</v>
      </c>
      <c r="Y334">
        <f>O334*(AZ334-S334)</f>
        <v>65.395335376452962</v>
      </c>
      <c r="Z334">
        <f>((Y334/10^6)*AZ334)/(0.082056*H334)</f>
        <v>2.6533579190398726E-6</v>
      </c>
      <c r="AA334">
        <f>(((L334/10^6)*AZ334)/(0.082056*H334))</f>
        <v>8.0223844508344501E-8</v>
      </c>
      <c r="AB334">
        <f>((Y334/10^6)*U334*1)/(0.082056*H334)</f>
        <v>1.3484785953656923E-7</v>
      </c>
      <c r="AC334">
        <f>(Z334*(Q334/1000))+(AB334*(R334/1000))</f>
        <v>3.1292803501408124E-7</v>
      </c>
      <c r="AD334" s="39">
        <f>((AC334-(AA334*(Q334/1000)))/(R334/1000))*1000000</f>
        <v>0.27027596872243914</v>
      </c>
      <c r="AE334" s="39">
        <f>(AD334/((U334*AZ334*1))*(0.0821*273.15))</f>
        <v>137.57993838740461</v>
      </c>
      <c r="AF334" s="39">
        <f>L334*U334*AZ334*1/(0.0821*273.15)</f>
        <v>3.8842459960570378E-3</v>
      </c>
      <c r="AG334" s="39">
        <f>AD334-AF334</f>
        <v>0.26639172272638212</v>
      </c>
      <c r="AH334" s="42">
        <f>P334*(AZ334-S334)</f>
        <v>0.19882430095249543</v>
      </c>
      <c r="AI334">
        <f>(((X334/10^6)*(Q334/1000))/(0.082056*H334))</f>
        <v>5.7456446440059557E-6</v>
      </c>
      <c r="AJ334">
        <f>(((K334/10^6)*AZ334)*(Q334/1000))/(0.082056*H334)</f>
        <v>1.0795744961606856E-6</v>
      </c>
      <c r="AK334">
        <f>(X334/10^6)*T334*(R334/1000)</f>
        <v>1.5118200692175151E-4</v>
      </c>
      <c r="AL334">
        <f>AI334+AK334</f>
        <v>1.5692765156575747E-4</v>
      </c>
      <c r="AM334" s="39">
        <f>((AL334-AJ334)/(R334/1000))*1000000</f>
        <v>136.70883953473404</v>
      </c>
      <c r="AN334" s="39">
        <f>AM334/(T334*AZ334)</f>
        <v>2432.9869976319478</v>
      </c>
      <c r="AO334" s="39">
        <f>(K334*AZ334)*T334</f>
        <v>24.917766330750656</v>
      </c>
      <c r="AP334" s="39">
        <f>AM334-AO334</f>
        <v>111.79107320398339</v>
      </c>
      <c r="AQ334">
        <f>(((AH334/10^6)*(Q334/1000))/(0.082056*H334))</f>
        <v>5.1987094801234442E-10</v>
      </c>
      <c r="AR334">
        <f>(((M334/10^6)*AZ334)*(Q334/1000))/(0.082056*H334)</f>
        <v>7.5323545782582836E-10</v>
      </c>
      <c r="AS334">
        <f>(AH334/10^6)*V334*(R334/1000)</f>
        <v>1.0297946607167452E-8</v>
      </c>
      <c r="AT334">
        <f>AQ334+AS334</f>
        <v>1.0817817555179797E-8</v>
      </c>
      <c r="AU334" s="39">
        <f>((AT334-AR334)/(R334/1000))*1000000000</f>
        <v>8.828580787152605</v>
      </c>
      <c r="AV334" s="39">
        <f>(AU334/1000)/(V334*AZ334)</f>
        <v>0.20870859921596702</v>
      </c>
      <c r="AW334" s="39">
        <f>(M334*AZ334)*V334*1000</f>
        <v>13.088232217327617</v>
      </c>
      <c r="AX334" s="39">
        <f>AU334-AW334</f>
        <v>-4.2596514301750119</v>
      </c>
      <c r="AY334" s="26">
        <f>VLOOKUP($E334,Water!$C$2:$G$90, 5, FALSE)</f>
        <v>707.6</v>
      </c>
      <c r="AZ334">
        <f>AY334/760</f>
        <v>0.93105263157894735</v>
      </c>
      <c r="BA334" s="3">
        <f>Assumptions!$B$3</f>
        <v>406.07</v>
      </c>
      <c r="BB334" s="3">
        <f>BA334*AZ334*T334</f>
        <v>22.816956491712123</v>
      </c>
      <c r="BC334" s="3">
        <f>Assumptions!$B$4</f>
        <v>1.8474300000000001</v>
      </c>
      <c r="BD334" s="45">
        <f>BC334*AZ334*U334*1/(0.0821*273.15)</f>
        <v>3.6292786488310268E-3</v>
      </c>
      <c r="BE334" s="3">
        <f>Assumptions!$B$2</f>
        <v>0.33054499999999998</v>
      </c>
      <c r="BF334" s="44">
        <f>BE334*AZ334*V334*1000</f>
        <v>13.982381402836326</v>
      </c>
      <c r="BG334">
        <f>1923.6+(-125.06*F334)+(4.3773*(F334^2))+(-0.085681*(F334^3))+(0.00070284*(F334^4))</f>
        <v>1273.3753937024999</v>
      </c>
      <c r="BH334">
        <f>1909.4+(-120.78*F334)+(4.1555*(F334^2))+(-0.080578*(F334^3))+(0.00065777*(F334^4))</f>
        <v>1278.9453023106248</v>
      </c>
      <c r="BI334">
        <f>2141.2+(-152.56*F334)+(5.8963*(F334^2))+(-0.12411*(F334^3))+(0.0010655*(F334^4))</f>
        <v>1366.4969503437499</v>
      </c>
      <c r="BJ334" s="25">
        <f>VLOOKUP(E334,Wind!$C$2:$E$109,3, FALSE)</f>
        <v>1.1666666666666667</v>
      </c>
      <c r="BK334" s="44">
        <v>1.66</v>
      </c>
      <c r="BL334">
        <f>BK334/(1-(((1.3*10^-3)^0.5)/0.41)*LN(10/1.5))</f>
        <v>1.9923982880693825</v>
      </c>
      <c r="BM334">
        <f>BK334*1.22</f>
        <v>2.0251999999999999</v>
      </c>
      <c r="BN334">
        <f>2.07+0.215*(BM334^1.7)*(24/100)</f>
        <v>2.241255750541113</v>
      </c>
      <c r="BO334">
        <f>BN334*((600/BG334)^0.67)</f>
        <v>1.3537296178620655</v>
      </c>
      <c r="BP334">
        <f>BN334*((600/BH334)^0.67)</f>
        <v>1.3497767217356704</v>
      </c>
      <c r="BQ334">
        <f>BN334*((600/BI334)^0.67)</f>
        <v>1.2912042530028842</v>
      </c>
      <c r="BR334" s="39">
        <f>BO334*(AM334-BB334)</f>
        <v>154.17881530942111</v>
      </c>
      <c r="BS334" s="39">
        <f>BP334*(AD334-BD334)</f>
        <v>0.35991349518922211</v>
      </c>
      <c r="BT334" s="39">
        <f>BQ334*(AU334-BF334)</f>
        <v>-6.6546092740997045</v>
      </c>
      <c r="BU334">
        <f>(2.51+1.48*BM334)+(0.39*BM334*LOG10(0.0015))</f>
        <v>3.2768938069574309</v>
      </c>
      <c r="BV334">
        <f>BU334*((600/$BG334)^0.67)</f>
        <v>1.9792601535973966</v>
      </c>
      <c r="BW334">
        <f>BU334*((600/$BH334)^0.67)</f>
        <v>1.9734807056994927</v>
      </c>
      <c r="BX334">
        <f>BU334*((600/$BI334)^0.67)</f>
        <v>1.8878431072226856</v>
      </c>
      <c r="BY334" s="39">
        <f>BV334*($AM334-$BB334)</f>
        <v>225.4216659252283</v>
      </c>
      <c r="BZ334" s="39">
        <f>BW334*($AD334-$BD334)</f>
        <v>0.52622209809889808</v>
      </c>
      <c r="CA334" s="39">
        <f>BX334*($AU334-$BF334)</f>
        <v>-9.7295669683185455</v>
      </c>
      <c r="CB334" s="42">
        <f>AVERAGE(0.72,0.69,0.4,0.22)</f>
        <v>0.50750000000000006</v>
      </c>
      <c r="CC334">
        <f>CB334*((600/$BG334)^0.67)</f>
        <v>0.30653252351907168</v>
      </c>
      <c r="CD334">
        <f>CB334*((600/$BH334)^0.67)</f>
        <v>0.30563744727279268</v>
      </c>
      <c r="CE334">
        <f>CB334*((600/$BI334)^0.67)</f>
        <v>0.29237455754023439</v>
      </c>
      <c r="CF334" s="39">
        <f>CC334*($AM334-$BB334)</f>
        <v>34.911566317516474</v>
      </c>
      <c r="CG334" s="39">
        <f>CD334*($AD334-$BD334)</f>
        <v>8.1497213677837105E-2</v>
      </c>
      <c r="CH334" s="39">
        <f>CE334*($AU334-$BF334)</f>
        <v>-1.5068401746611155</v>
      </c>
      <c r="CI334">
        <v>157.86263901889501</v>
      </c>
      <c r="CJ334">
        <f>((BG334/BH334)^0.67)*CI334</f>
        <v>157.40167945500085</v>
      </c>
      <c r="CK334">
        <f>((BH334/BH334)^0.67)*CI334</f>
        <v>157.86263901889501</v>
      </c>
      <c r="CL334">
        <f>((BI334/BH334)^0.67)*CI334</f>
        <v>165.0237093658254</v>
      </c>
      <c r="CM334" s="39">
        <f>CJ334*($AM334-$BB334)</f>
        <v>17926.773667264184</v>
      </c>
      <c r="CN334" s="39">
        <f>CK334*($AD334-$BD334)</f>
        <v>42.093550180673176</v>
      </c>
      <c r="CO334" s="39">
        <f>CL334*($AU334-$BF334)</f>
        <v>-850.49929493200239</v>
      </c>
      <c r="CP334" s="27">
        <f>VLOOKUP(A334,Water!$A$2:$E$109, 5, FALSE)/1000</f>
        <v>1.3000000000000002E-4</v>
      </c>
      <c r="CQ334">
        <f>0.64*CP334</f>
        <v>8.3200000000000017E-5</v>
      </c>
      <c r="CR334" s="19">
        <f>CQ334*1000*(2.5*10^-5)</f>
        <v>2.0800000000000004E-6</v>
      </c>
      <c r="CS334" s="18">
        <f>(-0.0000009*F334^3)+(0.0002*F334^2)-(0.0134*F334)+6.579</f>
        <v>6.5001028375000001</v>
      </c>
      <c r="CT334" s="18">
        <f>CS334-(SQRT(CP334))/(1+1.4*SQRT(CP334))</f>
        <v>6.4888802237270191</v>
      </c>
      <c r="CU334" s="18">
        <f>10^(-CT334)</f>
        <v>3.2442908095003247E-7</v>
      </c>
      <c r="CV334" s="18">
        <f>(0.000001*F334^3)+(0.00006*F334^2)-(0.014*F334)+10.625</f>
        <v>10.536809625</v>
      </c>
      <c r="CW334" s="18">
        <f>CV334-(2*SQRT(CR334))/(1+1.4*SQRT(CR334))</f>
        <v>10.533930996244035</v>
      </c>
      <c r="CX334" s="18">
        <f>10^(-CW334)</f>
        <v>2.9246170246124168E-11</v>
      </c>
      <c r="CY334">
        <f>EXP(1246.98+-61900/H334-183*LN(H334))</f>
        <v>4.9631333915302351E-3</v>
      </c>
      <c r="CZ334">
        <f>12.225*(F334^2)+15.258*F334+1125.7</f>
        <v>1741.3832500000001</v>
      </c>
      <c r="DA334" s="15">
        <f>10^(-4470.99/H334+6.0875-0.01706*H334)</f>
        <v>2.1323810465869301E-15</v>
      </c>
      <c r="DB334">
        <f>(10^-I334)</f>
        <v>1.1748975549395268E-8</v>
      </c>
      <c r="DC334">
        <f>DB334^2</f>
        <v>1.3803842646028784E-16</v>
      </c>
      <c r="DD334" s="20">
        <f>((14.6836*10^-9)*((H334/217.2056)-1)^1.997)*100*100</f>
        <v>1.2181524296496105E-5</v>
      </c>
      <c r="DE334">
        <f>CY334+CZ334*DA334/DB334</f>
        <v>5.2791858525752392E-3</v>
      </c>
      <c r="DF334">
        <f>1+DC334*(CU334*CX334+CU334*DB334)^-1</f>
        <v>1.0361243880023656</v>
      </c>
      <c r="DG334">
        <f>(DE334*DF334/DD334)^0.5</f>
        <v>21.190373222597508</v>
      </c>
      <c r="DH334">
        <f>DD334/(BO334/60/60)</f>
        <v>3.2394568966174687E-2</v>
      </c>
      <c r="DI334" s="16">
        <f>DF334/((DF334-1)+TANH(DG334*DH334)/(DG334*DH334))</f>
        <v>1.1462611520993771</v>
      </c>
      <c r="DJ334">
        <f>$DI334*BR334</f>
        <v>176.72918646589412</v>
      </c>
      <c r="DK334">
        <f>$DI334*BY334</f>
        <v>258.39209849161307</v>
      </c>
      <c r="DL334">
        <f>$DI334*CF334</f>
        <v>40.017772228710243</v>
      </c>
      <c r="DM334">
        <f>$DI334*CM334</f>
        <v>20548.764237263018</v>
      </c>
    </row>
    <row r="335" spans="1:117" ht="15.75" x14ac:dyDescent="0.25">
      <c r="A335" s="52" t="s">
        <v>323</v>
      </c>
      <c r="B335" t="s">
        <v>340</v>
      </c>
      <c r="C335" s="66" t="s">
        <v>554</v>
      </c>
      <c r="D335" s="67">
        <v>43367</v>
      </c>
      <c r="E335" s="42" t="str">
        <f>A335&amp;D335</f>
        <v>66A43367</v>
      </c>
      <c r="F335" s="3">
        <f>VLOOKUP($E335,Water!$C$2:$E$90, 2, FALSE)</f>
        <v>6.5</v>
      </c>
      <c r="G335" s="3">
        <f>VLOOKUP($E335,Water!$C$2:$E$90, 3, FALSE)</f>
        <v>1.02</v>
      </c>
      <c r="H335" s="1">
        <f>F335+273.15</f>
        <v>279.64999999999998</v>
      </c>
      <c r="I335" s="3">
        <f>VLOOKUP($E335,Water!$C$2:$F$90, 4, FALSE)</f>
        <v>7.93</v>
      </c>
      <c r="J335">
        <f>10^(I335*-1)</f>
        <v>1.1748975549395268E-8</v>
      </c>
      <c r="K335" s="25">
        <f>VLOOKUP($E335,Atm!$D$2:$G$100, 2, FALSE)</f>
        <v>443.45780199051711</v>
      </c>
      <c r="L335" s="25">
        <f>VLOOKUP($E335,Atm!$D$2:$G$100, 3, FALSE)</f>
        <v>1.977217313640816</v>
      </c>
      <c r="M335" s="25">
        <f>VLOOKUP($E335,Atm!$D$2:$G$100, 4, FALSE)</f>
        <v>0.30940721709958346</v>
      </c>
      <c r="N335" s="21">
        <f>VLOOKUP($C335,Raw!$B$2:$F$353, 3, FALSE)</f>
        <v>2380.4892362181181</v>
      </c>
      <c r="O335" s="21">
        <f>VLOOKUP($C335,Raw!$B$2:$F$353, 4, FALSE)</f>
        <v>70.567483504612994</v>
      </c>
      <c r="P335" s="21">
        <f>VLOOKUP($C335,Raw!$B$2:$F$353, 5, FALSE)</f>
        <v>0.22248879213501485</v>
      </c>
      <c r="Q335" s="14">
        <v>60</v>
      </c>
      <c r="R335" s="25">
        <v>1140</v>
      </c>
      <c r="S335">
        <f>EXP(24.4543-(100/H335*(67.4509))-(4.8489*LN(H335/100))-(0.000544*G335))</f>
        <v>9.5380292301378792E-3</v>
      </c>
      <c r="T335" s="8">
        <f>EXP(-58.0931+90.5069*(100/H335)+22.294*LN(H335/100)+G335*(0.027766-0.025888*(H335/100)+0.0050578*(H335/100)^2)*G335)</f>
        <v>6.0350736831238629E-2</v>
      </c>
      <c r="U335" s="9">
        <f>(EXP(-67.1962+99.1624*(100/H335)+27.9015*LN(H335/100)+G335*(-0.072909+0.041674*(H335/100)-0.0064603*(H335/100)^2)*G335))</f>
        <v>4.7317572040843227E-2</v>
      </c>
      <c r="V335" s="9">
        <f>(EXP(-64.8539+100.252*(100/H335)+25.2049*LN(H335/100)+(-0.062544+0.035337*(H335/100)-0.0054699*(H335/100)^2)*G335))</f>
        <v>4.5433513178419822E-2</v>
      </c>
      <c r="W335" s="9">
        <f>(EXP(-68.8862+101.4956*(100/H335)+28.7314*LN(H335/100)+G335*(-0.076146+0.04397*(H335/100)-0.0068672*(H335/100)^2)))</f>
        <v>4.7218969509820206E-2</v>
      </c>
      <c r="X335">
        <f>N335*(AZ335-S335)</f>
        <v>2193.6555919091602</v>
      </c>
      <c r="Y335">
        <f>O335*(AZ335-S335)</f>
        <v>65.028966500509611</v>
      </c>
      <c r="Z335">
        <f>((Y335/10^6)*AZ335)/(0.082056*H335)</f>
        <v>2.6384928257931146E-6</v>
      </c>
      <c r="AA335">
        <f>(((L335/10^6)*AZ335)/(0.082056*H335))</f>
        <v>8.0223844508344501E-8</v>
      </c>
      <c r="AB335">
        <f>((Y335/10^6)*U335*1)/(0.082056*H335)</f>
        <v>1.3409239191128097E-7</v>
      </c>
      <c r="AC335">
        <f>(Z335*(Q335/1000))+(AB335*(R335/1000))</f>
        <v>3.1117489632644716E-7</v>
      </c>
      <c r="AD335" s="39">
        <f>((AC335-(AA335*(Q335/1000)))/(R335/1000))*1000000</f>
        <v>0.26873812776837414</v>
      </c>
      <c r="AE335" s="39">
        <f>(AD335/((U335*AZ335*1))*(0.0821*273.15))</f>
        <v>136.79712345676174</v>
      </c>
      <c r="AF335" s="39">
        <f>L335*U335*AZ335*1/(0.0821*273.15)</f>
        <v>3.8842459960570378E-3</v>
      </c>
      <c r="AG335" s="39">
        <f>AD335-AF335</f>
        <v>0.26485388177231711</v>
      </c>
      <c r="AH335" s="42">
        <f>P335*(AZ335-S335)</f>
        <v>0.20502667081136514</v>
      </c>
      <c r="AI335">
        <f>(((X335/10^6)*(Q335/1000))/(0.082056*H335))</f>
        <v>5.7358069748771436E-6</v>
      </c>
      <c r="AJ335">
        <f>(((K335/10^6)*AZ335)*(Q335/1000))/(0.082056*H335)</f>
        <v>1.0795744961606856E-6</v>
      </c>
      <c r="AK335">
        <f>(X335/10^6)*T335*(R335/1000)</f>
        <v>1.5092315371128059E-4</v>
      </c>
      <c r="AL335">
        <f>AI335+AK335</f>
        <v>1.5665896068615774E-4</v>
      </c>
      <c r="AM335" s="39">
        <f>((AL335-AJ335)/(R335/1000))*1000000</f>
        <v>136.47314578069918</v>
      </c>
      <c r="AN335" s="39">
        <f>AM335/(T335*AZ335)</f>
        <v>2428.7923907510649</v>
      </c>
      <c r="AO335" s="39">
        <f>(K335*AZ335)*T335</f>
        <v>24.917766330750656</v>
      </c>
      <c r="AP335" s="39">
        <f>AM335-AO335</f>
        <v>111.55537944994853</v>
      </c>
      <c r="AQ335">
        <f>(((AH335/10^6)*(Q335/1000))/(0.082056*H335))</f>
        <v>5.3608844196558197E-10</v>
      </c>
      <c r="AR335">
        <f>(((M335/10^6)*AZ335)*(Q335/1000))/(0.082056*H335)</f>
        <v>7.5323545782582836E-10</v>
      </c>
      <c r="AS335">
        <f>(AH335/10^6)*V335*(R335/1000)</f>
        <v>1.0619193423268698E-8</v>
      </c>
      <c r="AT335">
        <f>AQ335+AS335</f>
        <v>1.1155281865234279E-8</v>
      </c>
      <c r="AU335" s="39">
        <f>((AT335-AR335)/(R335/1000))*1000000000</f>
        <v>9.1246021117617993</v>
      </c>
      <c r="AV335" s="39">
        <f>(AU335/1000)/(V335*AZ335)</f>
        <v>0.21570657516326147</v>
      </c>
      <c r="AW335" s="39">
        <f>(M335*AZ335)*V335*1000</f>
        <v>13.088232217327617</v>
      </c>
      <c r="AX335" s="39">
        <f>AU335-AW335</f>
        <v>-3.9636301055658176</v>
      </c>
      <c r="AY335" s="26">
        <f>VLOOKUP($E335,Water!$C$2:$G$90, 5, FALSE)</f>
        <v>707.6</v>
      </c>
      <c r="AZ335">
        <f>AY335/760</f>
        <v>0.93105263157894735</v>
      </c>
      <c r="BA335" s="3">
        <f>Assumptions!$B$3</f>
        <v>406.07</v>
      </c>
      <c r="BB335" s="3">
        <f>BA335*AZ335*T335</f>
        <v>22.816956491712123</v>
      </c>
      <c r="BC335" s="3">
        <f>Assumptions!$B$4</f>
        <v>1.8474300000000001</v>
      </c>
      <c r="BD335" s="45">
        <f>BC335*AZ335*U335*1/(0.0821*273.15)</f>
        <v>3.6292786488310268E-3</v>
      </c>
      <c r="BE335" s="3">
        <f>Assumptions!$B$2</f>
        <v>0.33054499999999998</v>
      </c>
      <c r="BF335" s="44">
        <f>BE335*AZ335*V335*1000</f>
        <v>13.982381402836326</v>
      </c>
      <c r="BG335">
        <f>1923.6+(-125.06*F335)+(4.3773*(F335^2))+(-0.085681*(F335^3))+(0.00070284*(F335^4))</f>
        <v>1273.3753937024999</v>
      </c>
      <c r="BH335">
        <f>1909.4+(-120.78*F335)+(4.1555*(F335^2))+(-0.080578*(F335^3))+(0.00065777*(F335^4))</f>
        <v>1278.9453023106248</v>
      </c>
      <c r="BI335">
        <f>2141.2+(-152.56*F335)+(5.8963*(F335^2))+(-0.12411*(F335^3))+(0.0010655*(F335^4))</f>
        <v>1366.4969503437499</v>
      </c>
      <c r="BJ335" s="25">
        <f>VLOOKUP(E335,Wind!$C$2:$E$109,3, FALSE)</f>
        <v>1.1666666666666667</v>
      </c>
      <c r="BK335" s="44">
        <v>1.66</v>
      </c>
      <c r="BL335">
        <f>BK335/(1-(((1.3*10^-3)^0.5)/0.41)*LN(10/1.5))</f>
        <v>1.9923982880693825</v>
      </c>
      <c r="BM335">
        <f>BK335*1.22</f>
        <v>2.0251999999999999</v>
      </c>
      <c r="BN335">
        <f>2.07+0.215*(BM335^1.7)*(24/100)</f>
        <v>2.241255750541113</v>
      </c>
      <c r="BO335">
        <f>BN335*((600/BG335)^0.67)</f>
        <v>1.3537296178620655</v>
      </c>
      <c r="BP335">
        <f>BN335*((600/BH335)^0.67)</f>
        <v>1.3497767217356704</v>
      </c>
      <c r="BQ335">
        <f>BN335*((600/BI335)^0.67)</f>
        <v>1.2912042530028842</v>
      </c>
      <c r="BR335" s="39">
        <f>BO335*(AM335-BB335)</f>
        <v>153.85974969383903</v>
      </c>
      <c r="BS335" s="39">
        <f>BP335*(AD335-BD335)</f>
        <v>0.3578377532676934</v>
      </c>
      <c r="BT335" s="39">
        <f>BQ335*(AU335-BF335)</f>
        <v>-6.2723852807847651</v>
      </c>
      <c r="BU335">
        <f>(2.51+1.48*BM335)+(0.39*BM335*LOG10(0.0015))</f>
        <v>3.2768938069574309</v>
      </c>
      <c r="BV335">
        <f>BU335*((600/$BG335)^0.67)</f>
        <v>1.9792601535973966</v>
      </c>
      <c r="BW335">
        <f>BU335*((600/$BH335)^0.67)</f>
        <v>1.9734807056994927</v>
      </c>
      <c r="BX335">
        <f>BU335*((600/$BI335)^0.67)</f>
        <v>1.8878431072226856</v>
      </c>
      <c r="BY335" s="39">
        <f>BV335*($AM335-$BB335)</f>
        <v>224.95516666941532</v>
      </c>
      <c r="BZ335" s="39">
        <f>BW335*($AD335-$BD335)</f>
        <v>0.52318719864761631</v>
      </c>
      <c r="CA335" s="39">
        <f>BX335*($AU335-$BF335)</f>
        <v>-9.1707251510641505</v>
      </c>
      <c r="CB335" s="42">
        <f>AVERAGE(0.72,0.69,0.4,0.22)</f>
        <v>0.50750000000000006</v>
      </c>
      <c r="CC335">
        <f>CB335*((600/$BG335)^0.67)</f>
        <v>0.30653252351907168</v>
      </c>
      <c r="CD335">
        <f>CB335*((600/$BH335)^0.67)</f>
        <v>0.30563744727279268</v>
      </c>
      <c r="CE335">
        <f>CB335*((600/$BI335)^0.67)</f>
        <v>0.29237455754023439</v>
      </c>
      <c r="CF335" s="39">
        <f>CC335*($AM335-$BB335)</f>
        <v>34.839318516314492</v>
      </c>
      <c r="CG335" s="39">
        <f>CD335*($AD335-$BD335)</f>
        <v>8.1027191894325112E-2</v>
      </c>
      <c r="CH335" s="39">
        <f>CE335*($AU335-$BF335)</f>
        <v>-1.4202910708560283</v>
      </c>
      <c r="CI335">
        <v>158.86263901889501</v>
      </c>
      <c r="CJ335">
        <f>((BG335/BH335)^0.67)*CI335</f>
        <v>158.39875945083293</v>
      </c>
      <c r="CK335">
        <f>((BH335/BH335)^0.67)*CI335</f>
        <v>158.86263901889501</v>
      </c>
      <c r="CL335">
        <f>((BI335/BH335)^0.67)*CI335</f>
        <v>166.0690720329608</v>
      </c>
      <c r="CM335" s="39">
        <f>CJ335*($AM335-$BB335)</f>
        <v>18002.999387284595</v>
      </c>
      <c r="CN335" s="39">
        <f>CK335*($AD335-$BD335)</f>
        <v>42.115891398392684</v>
      </c>
      <c r="CO335" s="39">
        <f>CL335*($AU335-$BF335)</f>
        <v>-806.72689900968089</v>
      </c>
      <c r="CP335" s="27">
        <f>VLOOKUP(A335,Water!$A$2:$E$109, 5, FALSE)/1000</f>
        <v>1.3000000000000002E-4</v>
      </c>
      <c r="CQ335">
        <f>0.64*CP335</f>
        <v>8.3200000000000017E-5</v>
      </c>
      <c r="CR335" s="19">
        <f>CQ335*1000*(2.5*10^-5)</f>
        <v>2.0800000000000004E-6</v>
      </c>
      <c r="CS335" s="18">
        <f>(-0.0000009*F335^3)+(0.0002*F335^2)-(0.0134*F335)+6.579</f>
        <v>6.5001028375000001</v>
      </c>
      <c r="CT335" s="18">
        <f>CS335-(SQRT(CP335))/(1+1.4*SQRT(CP335))</f>
        <v>6.4888802237270191</v>
      </c>
      <c r="CU335" s="18">
        <f>10^(-CT335)</f>
        <v>3.2442908095003247E-7</v>
      </c>
      <c r="CV335" s="18">
        <f>(0.000001*F335^3)+(0.00006*F335^2)-(0.014*F335)+10.625</f>
        <v>10.536809625</v>
      </c>
      <c r="CW335" s="18">
        <f>CV335-(2*SQRT(CR335))/(1+1.4*SQRT(CR335))</f>
        <v>10.533930996244035</v>
      </c>
      <c r="CX335" s="18">
        <f>10^(-CW335)</f>
        <v>2.9246170246124168E-11</v>
      </c>
      <c r="CY335">
        <f>EXP(1246.98+-61900/H335-183*LN(H335))</f>
        <v>4.9631333915302351E-3</v>
      </c>
      <c r="CZ335">
        <f>12.225*(F335^2)+15.258*F335+1125.7</f>
        <v>1741.3832500000001</v>
      </c>
      <c r="DA335" s="15">
        <f>10^(-4470.99/H335+6.0875-0.01706*H335)</f>
        <v>2.1323810465869301E-15</v>
      </c>
      <c r="DB335">
        <f>(10^-I335)</f>
        <v>1.1748975549395268E-8</v>
      </c>
      <c r="DC335">
        <f>DB335^2</f>
        <v>1.3803842646028784E-16</v>
      </c>
      <c r="DD335" s="20">
        <f>((14.6836*10^-9)*((H335/217.2056)-1)^1.997)*100*100</f>
        <v>1.2181524296496105E-5</v>
      </c>
      <c r="DE335">
        <f>CY335+CZ335*DA335/DB335</f>
        <v>5.2791858525752392E-3</v>
      </c>
      <c r="DF335">
        <f>1+DC335*(CU335*CX335+CU335*DB335)^-1</f>
        <v>1.0361243880023656</v>
      </c>
      <c r="DG335">
        <f>(DE335*DF335/DD335)^0.5</f>
        <v>21.190373222597508</v>
      </c>
      <c r="DH335">
        <f>DD335/(BO335/60/60)</f>
        <v>3.2394568966174687E-2</v>
      </c>
      <c r="DI335" s="16">
        <f>DF335/((DF335-1)+TANH(DG335*DH335)/(DG335*DH335))</f>
        <v>1.1462611520993771</v>
      </c>
      <c r="DJ335">
        <f>$DI335*BR335</f>
        <v>176.36345394578171</v>
      </c>
      <c r="DK335">
        <f>$DI335*BY335</f>
        <v>257.85736851719139</v>
      </c>
      <c r="DL335">
        <f>$DI335*CF335</f>
        <v>39.934957380867807</v>
      </c>
      <c r="DM335">
        <f>$DI335*CM335</f>
        <v>20636.138818913219</v>
      </c>
    </row>
    <row r="336" spans="1:117" ht="15.75" x14ac:dyDescent="0.25">
      <c r="A336" s="52" t="s">
        <v>323</v>
      </c>
      <c r="B336" t="s">
        <v>341</v>
      </c>
      <c r="C336" s="64" t="s">
        <v>555</v>
      </c>
      <c r="D336" s="65">
        <v>43367</v>
      </c>
      <c r="E336" s="42" t="str">
        <f>A336&amp;D336</f>
        <v>66A43367</v>
      </c>
      <c r="F336" s="3">
        <f>VLOOKUP($E336,Water!$C$2:$E$90, 2, FALSE)</f>
        <v>6.5</v>
      </c>
      <c r="G336" s="3">
        <f>VLOOKUP($E336,Water!$C$2:$E$90, 3, FALSE)</f>
        <v>1.02</v>
      </c>
      <c r="H336" s="1">
        <f>F336+273.15</f>
        <v>279.64999999999998</v>
      </c>
      <c r="I336" s="3">
        <f>VLOOKUP($E336,Water!$C$2:$F$90, 4, FALSE)</f>
        <v>7.93</v>
      </c>
      <c r="J336">
        <f>10^(I336*-1)</f>
        <v>1.1748975549395268E-8</v>
      </c>
      <c r="K336" s="25">
        <f>VLOOKUP($E336,Atm!$D$2:$G$100, 2, FALSE)</f>
        <v>443.45780199051711</v>
      </c>
      <c r="L336" s="25">
        <f>VLOOKUP($E336,Atm!$D$2:$G$100, 3, FALSE)</f>
        <v>1.977217313640816</v>
      </c>
      <c r="M336" s="25">
        <f>VLOOKUP($E336,Atm!$D$2:$G$100, 4, FALSE)</f>
        <v>0.30940721709958346</v>
      </c>
      <c r="N336" s="21">
        <f>VLOOKUP($C336,Raw!$B$2:$F$353, 3, FALSE)</f>
        <v>2332.3524417772001</v>
      </c>
      <c r="O336" s="21">
        <f>VLOOKUP($C336,Raw!$B$2:$F$353, 4, FALSE)</f>
        <v>74.973901952943436</v>
      </c>
      <c r="P336" s="21">
        <f>VLOOKUP($C336,Raw!$B$2:$F$353, 5, FALSE)</f>
        <v>0.21970802086945054</v>
      </c>
      <c r="Q336" s="14">
        <v>60</v>
      </c>
      <c r="R336" s="25">
        <v>1140</v>
      </c>
      <c r="S336">
        <f>EXP(24.4543-(100/H336*(67.4509))-(4.8489*LN(H336/100))-(0.000544*G336))</f>
        <v>9.5380292301378792E-3</v>
      </c>
      <c r="T336" s="8">
        <f>EXP(-58.0931+90.5069*(100/H336)+22.294*LN(H336/100)+G336*(0.027766-0.025888*(H336/100)+0.0050578*(H336/100)^2)*G336)</f>
        <v>6.0350736831238629E-2</v>
      </c>
      <c r="U336" s="9">
        <f>(EXP(-67.1962+99.1624*(100/H336)+27.9015*LN(H336/100)+G336*(-0.072909+0.041674*(H336/100)-0.0064603*(H336/100)^2)*G336))</f>
        <v>4.7317572040843227E-2</v>
      </c>
      <c r="V336" s="9">
        <f>(EXP(-64.8539+100.252*(100/H336)+25.2049*LN(H336/100)+(-0.062544+0.035337*(H336/100)-0.0054699*(H336/100)^2)*G336))</f>
        <v>4.5433513178419822E-2</v>
      </c>
      <c r="W336" s="9">
        <f>(EXP(-68.8862+101.4956*(100/H336)+28.7314*LN(H336/100)+G336*(-0.076146+0.04397*(H336/100)-0.0068672*(H336/100)^2)))</f>
        <v>4.7218969509820206E-2</v>
      </c>
      <c r="X336">
        <f>N336*(AZ336-S336)</f>
        <v>2149.2968329215914</v>
      </c>
      <c r="Y336">
        <f>O336*(AZ336-S336)</f>
        <v>69.089545444705294</v>
      </c>
      <c r="Z336">
        <f>((Y336/10^6)*AZ336)/(0.082056*H336)</f>
        <v>2.8032472266299004E-6</v>
      </c>
      <c r="AA336">
        <f>(((L336/10^6)*AZ336)/(0.082056*H336))</f>
        <v>8.0223844508344501E-8</v>
      </c>
      <c r="AB336">
        <f>((Y336/10^6)*U336*1)/(0.082056*H336)</f>
        <v>1.4246547197810805E-7</v>
      </c>
      <c r="AC336">
        <f>(Z336*(Q336/1000))+(AB336*(R336/1000))</f>
        <v>3.306054716528372E-7</v>
      </c>
      <c r="AD336" s="39">
        <f>((AC336-(AA336*(Q336/1000)))/(R336/1000))*1000000</f>
        <v>0.28578249208976891</v>
      </c>
      <c r="AE336" s="39">
        <f>(AD336/((U336*AZ336*1))*(0.0821*273.15))</f>
        <v>145.47330212064489</v>
      </c>
      <c r="AF336" s="39">
        <f>L336*U336*AZ336*1/(0.0821*273.15)</f>
        <v>3.8842459960570378E-3</v>
      </c>
      <c r="AG336" s="39">
        <f>AD336-AF336</f>
        <v>0.28189824609371189</v>
      </c>
      <c r="AH336" s="42">
        <f>P336*(AZ336-S336)</f>
        <v>0.20246414948435565</v>
      </c>
      <c r="AI336">
        <f>(((X336/10^6)*(Q336/1000))/(0.082056*H336))</f>
        <v>5.6198210014471227E-6</v>
      </c>
      <c r="AJ336">
        <f>(((K336/10^6)*AZ336)*(Q336/1000))/(0.082056*H336)</f>
        <v>1.0795744961606856E-6</v>
      </c>
      <c r="AK336">
        <f>(X336/10^6)*T336*(R336/1000)</f>
        <v>1.4787127819088677E-4</v>
      </c>
      <c r="AL336">
        <f>AI336+AK336</f>
        <v>1.5349109919233388E-4</v>
      </c>
      <c r="AM336" s="39">
        <f>((AL336-AJ336)/(R336/1000))*1000000</f>
        <v>133.69431990892389</v>
      </c>
      <c r="AN336" s="39">
        <f>AM336/(T336*AZ336)</f>
        <v>2379.3380377061412</v>
      </c>
      <c r="AO336" s="39">
        <f>(K336*AZ336)*T336</f>
        <v>24.917766330750656</v>
      </c>
      <c r="AP336" s="39">
        <f>AM336-AO336</f>
        <v>108.77655357817324</v>
      </c>
      <c r="AQ336">
        <f>(((AH336/10^6)*(Q336/1000))/(0.082056*H336))</f>
        <v>5.2938815238733486E-10</v>
      </c>
      <c r="AR336">
        <f>(((M336/10^6)*AZ336)*(Q336/1000))/(0.082056*H336)</f>
        <v>7.5323545782582836E-10</v>
      </c>
      <c r="AS336">
        <f>(AH336/10^6)*V336*(R336/1000)</f>
        <v>1.0486469668280737E-8</v>
      </c>
      <c r="AT336">
        <f>AQ336+AS336</f>
        <v>1.1015857820668072E-8</v>
      </c>
      <c r="AU336" s="39">
        <f>((AT336-AR336)/(R336/1000))*1000000000</f>
        <v>9.0023003182826695</v>
      </c>
      <c r="AV336" s="39">
        <f>(AU336/1000)/(V336*AZ336)</f>
        <v>0.21281534761332793</v>
      </c>
      <c r="AW336" s="39">
        <f>(M336*AZ336)*V336*1000</f>
        <v>13.088232217327617</v>
      </c>
      <c r="AX336" s="39">
        <f>AU336-AW336</f>
        <v>-4.0859318990449474</v>
      </c>
      <c r="AY336" s="26">
        <f>VLOOKUP($E336,Water!$C$2:$G$90, 5, FALSE)</f>
        <v>707.6</v>
      </c>
      <c r="AZ336">
        <f>AY336/760</f>
        <v>0.93105263157894735</v>
      </c>
      <c r="BA336" s="3">
        <f>Assumptions!$B$3</f>
        <v>406.07</v>
      </c>
      <c r="BB336" s="3">
        <f>BA336*AZ336*T336</f>
        <v>22.816956491712123</v>
      </c>
      <c r="BC336" s="3">
        <f>Assumptions!$B$4</f>
        <v>1.8474300000000001</v>
      </c>
      <c r="BD336" s="45">
        <f>BC336*AZ336*U336*1/(0.0821*273.15)</f>
        <v>3.6292786488310268E-3</v>
      </c>
      <c r="BE336" s="3">
        <f>Assumptions!$B$2</f>
        <v>0.33054499999999998</v>
      </c>
      <c r="BF336" s="44">
        <f>BE336*AZ336*V336*1000</f>
        <v>13.982381402836326</v>
      </c>
      <c r="BG336">
        <f>1923.6+(-125.06*F336)+(4.3773*(F336^2))+(-0.085681*(F336^3))+(0.00070284*(F336^4))</f>
        <v>1273.3753937024999</v>
      </c>
      <c r="BH336">
        <f>1909.4+(-120.78*F336)+(4.1555*(F336^2))+(-0.080578*(F336^3))+(0.00065777*(F336^4))</f>
        <v>1278.9453023106248</v>
      </c>
      <c r="BI336">
        <f>2141.2+(-152.56*F336)+(5.8963*(F336^2))+(-0.12411*(F336^3))+(0.0010655*(F336^4))</f>
        <v>1366.4969503437499</v>
      </c>
      <c r="BJ336" s="25">
        <f>VLOOKUP(E336,Wind!$C$2:$E$109,3, FALSE)</f>
        <v>1.1666666666666667</v>
      </c>
      <c r="BK336" s="44">
        <v>1.66</v>
      </c>
      <c r="BL336">
        <f>BK336/(1-(((1.3*10^-3)^0.5)/0.41)*LN(10/1.5))</f>
        <v>1.9923982880693825</v>
      </c>
      <c r="BM336">
        <f>BK336*1.22</f>
        <v>2.0251999999999999</v>
      </c>
      <c r="BN336">
        <f>2.07+0.215*(BM336^1.7)*(24/100)</f>
        <v>2.241255750541113</v>
      </c>
      <c r="BO336">
        <f>BN336*((600/BG336)^0.67)</f>
        <v>1.3537296178620655</v>
      </c>
      <c r="BP336">
        <f>BN336*((600/BH336)^0.67)</f>
        <v>1.3497767217356704</v>
      </c>
      <c r="BQ336">
        <f>BN336*((600/BI336)^0.67)</f>
        <v>1.2912042530028842</v>
      </c>
      <c r="BR336" s="39">
        <f>BO336*(AM336-BB336)</f>
        <v>150.09797080833545</v>
      </c>
      <c r="BS336" s="39">
        <f>BP336*(AD336-BD336)</f>
        <v>0.38084383946549405</v>
      </c>
      <c r="BT336" s="39">
        <f>BQ336*(AU336-BF336)</f>
        <v>-6.4303018766748981</v>
      </c>
      <c r="BU336">
        <f>(2.51+1.48*BM336)+(0.39*BM336*LOG10(0.0015))</f>
        <v>3.2768938069574309</v>
      </c>
      <c r="BV336">
        <f>BU336*((600/$BG336)^0.67)</f>
        <v>1.9792601535973966</v>
      </c>
      <c r="BW336">
        <f>BU336*((600/$BH336)^0.67)</f>
        <v>1.9734807056994927</v>
      </c>
      <c r="BX336">
        <f>BU336*((600/$BI336)^0.67)</f>
        <v>1.8878431072226856</v>
      </c>
      <c r="BY336" s="39">
        <f>BV336*($AM336-$BB336)</f>
        <v>219.45514734762492</v>
      </c>
      <c r="BZ336" s="39">
        <f>BW336*($AD336-$BD336)</f>
        <v>0.55682392277680171</v>
      </c>
      <c r="CA336" s="39">
        <f>BX336*($AU336-$BF336)</f>
        <v>-9.4016117488846973</v>
      </c>
      <c r="CB336" s="42">
        <f>AVERAGE(0.72,0.69,0.4,0.22)</f>
        <v>0.50750000000000006</v>
      </c>
      <c r="CC336">
        <f>CB336*((600/$BG336)^0.67)</f>
        <v>0.30653252351907168</v>
      </c>
      <c r="CD336">
        <f>CB336*((600/$BH336)^0.67)</f>
        <v>0.30563744727279268</v>
      </c>
      <c r="CE336">
        <f>CB336*((600/$BI336)^0.67)</f>
        <v>0.29237455754023439</v>
      </c>
      <c r="CF336" s="39">
        <f>CC336*($AM336-$BB336)</f>
        <v>33.987518009419126</v>
      </c>
      <c r="CG336" s="39">
        <f>CD336*($AD336-$BD336)</f>
        <v>8.6236587895903674E-2</v>
      </c>
      <c r="CH336" s="39">
        <f>CE336*($AU336-$BF336)</f>
        <v>-1.456049003610866</v>
      </c>
      <c r="CI336">
        <v>159.86263901889501</v>
      </c>
      <c r="CJ336">
        <f>((BG336/BH336)^0.67)*CI336</f>
        <v>159.39583944666501</v>
      </c>
      <c r="CK336">
        <f>((BH336/BH336)^0.67)*CI336</f>
        <v>159.86263901889501</v>
      </c>
      <c r="CL336">
        <f>((BI336/BH336)^0.67)*CI336</f>
        <v>167.11443470009621</v>
      </c>
      <c r="CM336" s="39">
        <f>CJ336*($AM336-$BB336)</f>
        <v>17673.390417519415</v>
      </c>
      <c r="CN336" s="39">
        <f>CK336*($AD336-$BD336)</f>
        <v>45.105757308329892</v>
      </c>
      <c r="CO336" s="39">
        <f>CL336*($AU336-$BF336)</f>
        <v>-832.24343520582636</v>
      </c>
      <c r="CP336" s="27">
        <f>VLOOKUP(A336,Water!$A$2:$E$109, 5, FALSE)/1000</f>
        <v>1.3000000000000002E-4</v>
      </c>
      <c r="CQ336">
        <f>0.64*CP336</f>
        <v>8.3200000000000017E-5</v>
      </c>
      <c r="CR336" s="19">
        <f>CQ336*1000*(2.5*10^-5)</f>
        <v>2.0800000000000004E-6</v>
      </c>
      <c r="CS336" s="18">
        <f>(-0.0000009*F336^3)+(0.0002*F336^2)-(0.0134*F336)+6.579</f>
        <v>6.5001028375000001</v>
      </c>
      <c r="CT336" s="18">
        <f>CS336-(SQRT(CP336))/(1+1.4*SQRT(CP336))</f>
        <v>6.4888802237270191</v>
      </c>
      <c r="CU336" s="18">
        <f>10^(-CT336)</f>
        <v>3.2442908095003247E-7</v>
      </c>
      <c r="CV336" s="18">
        <f>(0.000001*F336^3)+(0.00006*F336^2)-(0.014*F336)+10.625</f>
        <v>10.536809625</v>
      </c>
      <c r="CW336" s="18">
        <f>CV336-(2*SQRT(CR336))/(1+1.4*SQRT(CR336))</f>
        <v>10.533930996244035</v>
      </c>
      <c r="CX336" s="18">
        <f>10^(-CW336)</f>
        <v>2.9246170246124168E-11</v>
      </c>
      <c r="CY336">
        <f>EXP(1246.98+-61900/H336-183*LN(H336))</f>
        <v>4.9631333915302351E-3</v>
      </c>
      <c r="CZ336">
        <f>12.225*(F336^2)+15.258*F336+1125.7</f>
        <v>1741.3832500000001</v>
      </c>
      <c r="DA336" s="15">
        <f>10^(-4470.99/H336+6.0875-0.01706*H336)</f>
        <v>2.1323810465869301E-15</v>
      </c>
      <c r="DB336">
        <f>(10^-I336)</f>
        <v>1.1748975549395268E-8</v>
      </c>
      <c r="DC336">
        <f>DB336^2</f>
        <v>1.3803842646028784E-16</v>
      </c>
      <c r="DD336" s="20">
        <f>((14.6836*10^-9)*((H336/217.2056)-1)^1.997)*100*100</f>
        <v>1.2181524296496105E-5</v>
      </c>
      <c r="DE336">
        <f>CY336+CZ336*DA336/DB336</f>
        <v>5.2791858525752392E-3</v>
      </c>
      <c r="DF336">
        <f>1+DC336*(CU336*CX336+CU336*DB336)^-1</f>
        <v>1.0361243880023656</v>
      </c>
      <c r="DG336">
        <f>(DE336*DF336/DD336)^0.5</f>
        <v>21.190373222597508</v>
      </c>
      <c r="DH336">
        <f>DD336/(BO336/60/60)</f>
        <v>3.2394568966174687E-2</v>
      </c>
      <c r="DI336" s="16">
        <f>DF336/((DF336-1)+TANH(DG336*DH336)/(DG336*DH336))</f>
        <v>1.1462611520993771</v>
      </c>
      <c r="DJ336">
        <f>$DI336*BR336</f>
        <v>172.05147294654125</v>
      </c>
      <c r="DK336">
        <f>$DI336*BY336</f>
        <v>251.5529100328271</v>
      </c>
      <c r="DL336">
        <f>$DI336*CF336</f>
        <v>38.958571550475092</v>
      </c>
      <c r="DM336">
        <f>$DI336*CM336</f>
        <v>20258.320861487897</v>
      </c>
    </row>
    <row r="337" spans="1:117" ht="15.75" x14ac:dyDescent="0.25">
      <c r="A337" s="52" t="s">
        <v>323</v>
      </c>
      <c r="B337" t="s">
        <v>342</v>
      </c>
      <c r="C337" s="64" t="s">
        <v>556</v>
      </c>
      <c r="D337" s="65">
        <v>43367</v>
      </c>
      <c r="E337" s="42" t="str">
        <f>A337&amp;D337</f>
        <v>66A43367</v>
      </c>
      <c r="F337" s="3">
        <f>VLOOKUP($E337,Water!$C$2:$E$90, 2, FALSE)</f>
        <v>6.5</v>
      </c>
      <c r="G337" s="3">
        <f>VLOOKUP($E337,Water!$C$2:$E$90, 3, FALSE)</f>
        <v>1.02</v>
      </c>
      <c r="H337" s="1">
        <f>F337+273.15</f>
        <v>279.64999999999998</v>
      </c>
      <c r="I337" s="3">
        <f>VLOOKUP($E337,Water!$C$2:$F$90, 4, FALSE)</f>
        <v>7.93</v>
      </c>
      <c r="J337">
        <f>10^(I337*-1)</f>
        <v>1.1748975549395268E-8</v>
      </c>
      <c r="K337" s="25">
        <f>VLOOKUP($E337,Atm!$D$2:$G$100, 2, FALSE)</f>
        <v>443.45780199051711</v>
      </c>
      <c r="L337" s="25">
        <f>VLOOKUP($E337,Atm!$D$2:$G$100, 3, FALSE)</f>
        <v>1.977217313640816</v>
      </c>
      <c r="M337" s="25">
        <f>VLOOKUP($E337,Atm!$D$2:$G$100, 4, FALSE)</f>
        <v>0.30940721709958346</v>
      </c>
      <c r="N337" s="21">
        <f>VLOOKUP($C337,Raw!$B$2:$F$353, 3, FALSE)</f>
        <v>2365.2994581924431</v>
      </c>
      <c r="O337" s="21">
        <f>VLOOKUP($C337,Raw!$B$2:$F$353, 4, FALSE)</f>
        <v>75.757416936839249</v>
      </c>
      <c r="P337" s="21">
        <f>VLOOKUP($C337,Raw!$B$2:$F$353, 5, FALSE)</f>
        <v>0.22073967156284735</v>
      </c>
      <c r="Q337" s="14">
        <v>60</v>
      </c>
      <c r="R337" s="25">
        <v>1140</v>
      </c>
      <c r="S337">
        <f>EXP(24.4543-(100/H337*(67.4509))-(4.8489*LN(H337/100))-(0.000544*G337))</f>
        <v>9.5380292301378792E-3</v>
      </c>
      <c r="T337" s="8">
        <f>EXP(-58.0931+90.5069*(100/H337)+22.294*LN(H337/100)+G337*(0.027766-0.025888*(H337/100)+0.0050578*(H337/100)^2)*G337)</f>
        <v>6.0350736831238629E-2</v>
      </c>
      <c r="U337" s="9">
        <f>(EXP(-67.1962+99.1624*(100/H337)+27.9015*LN(H337/100)+G337*(-0.072909+0.041674*(H337/100)-0.0064603*(H337/100)^2)*G337))</f>
        <v>4.7317572040843227E-2</v>
      </c>
      <c r="V337" s="9">
        <f>(EXP(-64.8539+100.252*(100/H337)+25.2049*LN(H337/100)+(-0.062544+0.035337*(H337/100)-0.0054699*(H337/100)^2)*G337))</f>
        <v>4.5433513178419822E-2</v>
      </c>
      <c r="W337" s="9">
        <f>(EXP(-68.8862+101.4956*(100/H337)+28.7314*LN(H337/100)+G337*(-0.076146+0.04397*(H337/100)-0.0068672*(H337/100)^2)))</f>
        <v>4.7218969509820206E-2</v>
      </c>
      <c r="X337">
        <f>N337*(AZ337-S337)</f>
        <v>2179.6579896520639</v>
      </c>
      <c r="Y337">
        <f>O337*(AZ337-S337)</f>
        <v>69.811565943524386</v>
      </c>
      <c r="Z337">
        <f>((Y337/10^6)*AZ337)/(0.082056*H337)</f>
        <v>2.8325425700549691E-6</v>
      </c>
      <c r="AA337">
        <f>(((L337/10^6)*AZ337)/(0.082056*H337))</f>
        <v>8.0223844508344501E-8</v>
      </c>
      <c r="AB337">
        <f>((Y337/10^6)*U337*1)/(0.082056*H337)</f>
        <v>1.4395430781397926E-7</v>
      </c>
      <c r="AC337">
        <f>(Z337*(Q337/1000))+(AB337*(R337/1000))</f>
        <v>3.3406046511123444E-7</v>
      </c>
      <c r="AD337" s="39">
        <f>((AC337-(AA337*(Q337/1000)))/(R337/1000))*1000000</f>
        <v>0.28881318810590689</v>
      </c>
      <c r="AE337" s="39">
        <f>(AD337/((U337*AZ337*1))*(0.0821*273.15))</f>
        <v>147.01603258662803</v>
      </c>
      <c r="AF337" s="39">
        <f>L337*U337*AZ337*1/(0.0821*273.15)</f>
        <v>3.8842459960570378E-3</v>
      </c>
      <c r="AG337" s="39">
        <f>AD337-AF337</f>
        <v>0.28492894210984987</v>
      </c>
      <c r="AH337" s="42">
        <f>P337*(AZ337-S337)</f>
        <v>0.20341483066284408</v>
      </c>
      <c r="AI337">
        <f>(((X337/10^6)*(Q337/1000))/(0.082056*H337))</f>
        <v>5.6992070888449279E-6</v>
      </c>
      <c r="AJ337">
        <f>(((K337/10^6)*AZ337)*(Q337/1000))/(0.082056*H337)</f>
        <v>1.0795744961606856E-6</v>
      </c>
      <c r="AK337">
        <f>(X337/10^6)*T337*(R337/1000)</f>
        <v>1.4996012091578211E-4</v>
      </c>
      <c r="AL337">
        <f>AI337+AK337</f>
        <v>1.5565932800462703E-4</v>
      </c>
      <c r="AM337" s="39">
        <f>((AL337-AJ337)/(R337/1000))*1000000</f>
        <v>135.59627500742664</v>
      </c>
      <c r="AN337" s="39">
        <f>AM337/(T337*AZ337)</f>
        <v>2413.1868512904398</v>
      </c>
      <c r="AO337" s="39">
        <f>(K337*AZ337)*T337</f>
        <v>24.917766330750656</v>
      </c>
      <c r="AP337" s="39">
        <f>AM337-AO337</f>
        <v>110.67850867667599</v>
      </c>
      <c r="AQ337">
        <f>(((AH337/10^6)*(Q337/1000))/(0.082056*H337))</f>
        <v>5.3187392260330244E-10</v>
      </c>
      <c r="AR337">
        <f>(((M337/10^6)*AZ337)*(Q337/1000))/(0.082056*H337)</f>
        <v>7.5323545782582836E-10</v>
      </c>
      <c r="AS337">
        <f>(AH337/10^6)*V337*(R337/1000)</f>
        <v>1.0535709444151252E-8</v>
      </c>
      <c r="AT337">
        <f>AQ337+AS337</f>
        <v>1.1067583366754555E-8</v>
      </c>
      <c r="AU337" s="39">
        <f>((AT337-AR337)/(R337/1000))*1000000000</f>
        <v>9.047673604323446</v>
      </c>
      <c r="AV337" s="39">
        <f>(AU337/1000)/(V337*AZ337)</f>
        <v>0.21388797697468312</v>
      </c>
      <c r="AW337" s="39">
        <f>(M337*AZ337)*V337*1000</f>
        <v>13.088232217327617</v>
      </c>
      <c r="AX337" s="39">
        <f>AU337-AW337</f>
        <v>-4.0405586130041709</v>
      </c>
      <c r="AY337" s="26">
        <f>VLOOKUP($E337,Water!$C$2:$G$90, 5, FALSE)</f>
        <v>707.6</v>
      </c>
      <c r="AZ337">
        <f>AY337/760</f>
        <v>0.93105263157894735</v>
      </c>
      <c r="BA337" s="3">
        <f>Assumptions!$B$3</f>
        <v>406.07</v>
      </c>
      <c r="BB337" s="3">
        <f>BA337*AZ337*T337</f>
        <v>22.816956491712123</v>
      </c>
      <c r="BC337" s="3">
        <f>Assumptions!$B$4</f>
        <v>1.8474300000000001</v>
      </c>
      <c r="BD337" s="45">
        <f>BC337*AZ337*U337*1/(0.0821*273.15)</f>
        <v>3.6292786488310268E-3</v>
      </c>
      <c r="BE337" s="3">
        <f>Assumptions!$B$2</f>
        <v>0.33054499999999998</v>
      </c>
      <c r="BF337" s="44">
        <f>BE337*AZ337*V337*1000</f>
        <v>13.982381402836326</v>
      </c>
      <c r="BG337">
        <f>1923.6+(-125.06*F337)+(4.3773*(F337^2))+(-0.085681*(F337^3))+(0.00070284*(F337^4))</f>
        <v>1273.3753937024999</v>
      </c>
      <c r="BH337">
        <f>1909.4+(-120.78*F337)+(4.1555*(F337^2))+(-0.080578*(F337^3))+(0.00065777*(F337^4))</f>
        <v>1278.9453023106248</v>
      </c>
      <c r="BI337">
        <f>2141.2+(-152.56*F337)+(5.8963*(F337^2))+(-0.12411*(F337^3))+(0.0010655*(F337^4))</f>
        <v>1366.4969503437499</v>
      </c>
      <c r="BJ337" s="25">
        <f>VLOOKUP(E337,Wind!$C$2:$E$109,3, FALSE)</f>
        <v>1.1666666666666667</v>
      </c>
      <c r="BK337" s="44">
        <v>1.66</v>
      </c>
      <c r="BL337">
        <f>BK337/(1-(((1.3*10^-3)^0.5)/0.41)*LN(10/1.5))</f>
        <v>1.9923982880693825</v>
      </c>
      <c r="BM337">
        <f>BK337*1.22</f>
        <v>2.0251999999999999</v>
      </c>
      <c r="BN337">
        <f>2.07+0.215*(BM337^1.7)*(24/100)</f>
        <v>2.241255750541113</v>
      </c>
      <c r="BO337">
        <f>BN337*((600/BG337)^0.67)</f>
        <v>1.3537296178620655</v>
      </c>
      <c r="BP337">
        <f>BN337*((600/BH337)^0.67)</f>
        <v>1.3497767217356704</v>
      </c>
      <c r="BQ337">
        <f>BN337*((600/BI337)^0.67)</f>
        <v>1.2912042530028842</v>
      </c>
      <c r="BR337" s="39">
        <f>BO337*(AM337-BB337)</f>
        <v>152.67270375702239</v>
      </c>
      <c r="BS337" s="39">
        <f>BP337*(AD337-BD337)</f>
        <v>0.38493460239873417</v>
      </c>
      <c r="BT337" s="39">
        <f>BQ337*(AU337-BF337)</f>
        <v>-6.3717156967663309</v>
      </c>
      <c r="BU337">
        <f>(2.51+1.48*BM337)+(0.39*BM337*LOG10(0.0015))</f>
        <v>3.2768938069574309</v>
      </c>
      <c r="BV337">
        <f>BU337*((600/$BG337)^0.67)</f>
        <v>1.9792601535973966</v>
      </c>
      <c r="BW337">
        <f>BU337*((600/$BH337)^0.67)</f>
        <v>1.9734807056994927</v>
      </c>
      <c r="BX337">
        <f>BU337*((600/$BI337)^0.67)</f>
        <v>1.8878431072226856</v>
      </c>
      <c r="BY337" s="39">
        <f>BV337*($AM337-$BB337)</f>
        <v>223.21961128802283</v>
      </c>
      <c r="BZ337" s="39">
        <f>BW337*($AD337-$BD337)</f>
        <v>0.56280494288949034</v>
      </c>
      <c r="CA337" s="39">
        <f>BX337*($AU337-$BF337)</f>
        <v>-9.3159541035805731</v>
      </c>
      <c r="CB337" s="42">
        <f>AVERAGE(0.72,0.69,0.4,0.22)</f>
        <v>0.50750000000000006</v>
      </c>
      <c r="CC337">
        <f>CB337*((600/$BG337)^0.67)</f>
        <v>0.30653252351907168</v>
      </c>
      <c r="CD337">
        <f>CB337*((600/$BH337)^0.67)</f>
        <v>0.30563744727279268</v>
      </c>
      <c r="CE337">
        <f>CB337*((600/$BI337)^0.67)</f>
        <v>0.29237455754023439</v>
      </c>
      <c r="CF337" s="39">
        <f>CC337*($AM337-$BB337)</f>
        <v>34.570529105383137</v>
      </c>
      <c r="CG337" s="39">
        <f>CD337*($AD337-$BD337)</f>
        <v>8.716288208973591E-2</v>
      </c>
      <c r="CH337" s="39">
        <f>CE337*($AU337-$BF337)</f>
        <v>-1.4427830091805476</v>
      </c>
      <c r="CI337">
        <v>160.86263901889501</v>
      </c>
      <c r="CJ337">
        <f>((BG337/BH337)^0.67)*CI337</f>
        <v>160.39291944249709</v>
      </c>
      <c r="CK337">
        <f>((BH337/BH337)^0.67)*CI337</f>
        <v>160.86263901889501</v>
      </c>
      <c r="CL337">
        <f>((BI337/BH337)^0.67)*CI337</f>
        <v>168.15979736723162</v>
      </c>
      <c r="CM337" s="39">
        <f>CJ337*($AM337-$BB337)</f>
        <v>18089.004149470718</v>
      </c>
      <c r="CN337" s="39">
        <f>CK337*($AD337-$BD337)</f>
        <v>45.87543628099084</v>
      </c>
      <c r="CO337" s="39">
        <f>CL337*($AU337-$BF337)</f>
        <v>-829.81946346442362</v>
      </c>
      <c r="CP337" s="27">
        <f>VLOOKUP(A337,Water!$A$2:$E$109, 5, FALSE)/1000</f>
        <v>1.3000000000000002E-4</v>
      </c>
      <c r="CQ337">
        <f>0.64*CP337</f>
        <v>8.3200000000000017E-5</v>
      </c>
      <c r="CR337" s="19">
        <f>CQ337*1000*(2.5*10^-5)</f>
        <v>2.0800000000000004E-6</v>
      </c>
      <c r="CS337" s="18">
        <f>(-0.0000009*F337^3)+(0.0002*F337^2)-(0.0134*F337)+6.579</f>
        <v>6.5001028375000001</v>
      </c>
      <c r="CT337" s="18">
        <f>CS337-(SQRT(CP337))/(1+1.4*SQRT(CP337))</f>
        <v>6.4888802237270191</v>
      </c>
      <c r="CU337" s="18">
        <f>10^(-CT337)</f>
        <v>3.2442908095003247E-7</v>
      </c>
      <c r="CV337" s="18">
        <f>(0.000001*F337^3)+(0.00006*F337^2)-(0.014*F337)+10.625</f>
        <v>10.536809625</v>
      </c>
      <c r="CW337" s="18">
        <f>CV337-(2*SQRT(CR337))/(1+1.4*SQRT(CR337))</f>
        <v>10.533930996244035</v>
      </c>
      <c r="CX337" s="18">
        <f>10^(-CW337)</f>
        <v>2.9246170246124168E-11</v>
      </c>
      <c r="CY337">
        <f>EXP(1246.98+-61900/H337-183*LN(H337))</f>
        <v>4.9631333915302351E-3</v>
      </c>
      <c r="CZ337">
        <f>12.225*(F337^2)+15.258*F337+1125.7</f>
        <v>1741.3832500000001</v>
      </c>
      <c r="DA337" s="15">
        <f>10^(-4470.99/H337+6.0875-0.01706*H337)</f>
        <v>2.1323810465869301E-15</v>
      </c>
      <c r="DB337">
        <f>(10^-I337)</f>
        <v>1.1748975549395268E-8</v>
      </c>
      <c r="DC337">
        <f>DB337^2</f>
        <v>1.3803842646028784E-16</v>
      </c>
      <c r="DD337" s="20">
        <f>((14.6836*10^-9)*((H337/217.2056)-1)^1.997)*100*100</f>
        <v>1.2181524296496105E-5</v>
      </c>
      <c r="DE337">
        <f>CY337+CZ337*DA337/DB337</f>
        <v>5.2791858525752392E-3</v>
      </c>
      <c r="DF337">
        <f>1+DC337*(CU337*CX337+CU337*DB337)^-1</f>
        <v>1.0361243880023656</v>
      </c>
      <c r="DG337">
        <f>(DE337*DF337/DD337)^0.5</f>
        <v>21.190373222597508</v>
      </c>
      <c r="DH337">
        <f>DD337/(BO337/60/60)</f>
        <v>3.2394568966174687E-2</v>
      </c>
      <c r="DI337" s="16">
        <f>DF337/((DF337-1)+TANH(DG337*DH337)/(DG337*DH337))</f>
        <v>1.1462611520993771</v>
      </c>
      <c r="DJ337">
        <f>$DI337*BR337</f>
        <v>175.00278930265137</v>
      </c>
      <c r="DK337">
        <f>$DI337*BY337</f>
        <v>255.86796880618417</v>
      </c>
      <c r="DL337">
        <f>$DI337*CF337</f>
        <v>39.626854521021521</v>
      </c>
      <c r="DM337">
        <f>$DI337*CM337</f>
        <v>20734.722736702719</v>
      </c>
    </row>
    <row r="338" spans="1:117" ht="15.75" x14ac:dyDescent="0.25">
      <c r="A338" s="52" t="s">
        <v>327</v>
      </c>
      <c r="B338" t="s">
        <v>339</v>
      </c>
      <c r="C338" s="64" t="s">
        <v>557</v>
      </c>
      <c r="D338" s="65">
        <v>43367</v>
      </c>
      <c r="E338" s="42" t="str">
        <f>A338&amp;D338</f>
        <v>66C43367</v>
      </c>
      <c r="F338" s="3">
        <f>VLOOKUP($E338,Water!$C$2:$E$90, 2, FALSE)</f>
        <v>6.4</v>
      </c>
      <c r="G338" s="3">
        <f>VLOOKUP($E338,Water!$C$2:$E$90, 3, FALSE)</f>
        <v>0.23</v>
      </c>
      <c r="H338" s="1">
        <f>F338+273.15</f>
        <v>279.54999999999995</v>
      </c>
      <c r="I338" s="3">
        <f>VLOOKUP($E338,Water!$C$2:$F$90, 4, FALSE)</f>
        <v>8.23</v>
      </c>
      <c r="J338">
        <f>10^(I338*-1)</f>
        <v>5.8884365535558713E-9</v>
      </c>
      <c r="K338" s="25">
        <f>VLOOKUP($E338,Atm!$D$2:$G$100, 2, FALSE)</f>
        <v>435.14357849666351</v>
      </c>
      <c r="L338" s="25">
        <f>VLOOKUP($E338,Atm!$D$2:$G$100, 3, FALSE)</f>
        <v>2.072074785495055</v>
      </c>
      <c r="M338" s="25">
        <f>VLOOKUP($E338,Atm!$D$2:$G$100, 4, FALSE)</f>
        <v>0.30746868509662872</v>
      </c>
      <c r="N338" s="21">
        <f>VLOOKUP($C338,Raw!$B$2:$F$353, 3, FALSE)</f>
        <v>687.66030824457619</v>
      </c>
      <c r="O338" s="21">
        <f>VLOOKUP($C338,Raw!$B$2:$F$353, 4, FALSE)</f>
        <v>172.51805528092359</v>
      </c>
      <c r="P338" s="21">
        <f>VLOOKUP($C338,Raw!$B$2:$F$353, 5, FALSE)</f>
        <v>0.27238877003688022</v>
      </c>
      <c r="Q338" s="14">
        <v>60</v>
      </c>
      <c r="R338" s="25">
        <v>1140</v>
      </c>
      <c r="S338">
        <f>EXP(24.4543-(100/H338*(67.4509))-(4.8489*LN(H338/100))-(0.000544*G338))</f>
        <v>9.4765735072867893E-3</v>
      </c>
      <c r="T338" s="8">
        <f>EXP(-58.0931+90.5069*(100/H338)+22.294*LN(H338/100)+G338*(0.027766-0.025888*(H338/100)+0.0050578*(H338/100)^2)*G338)</f>
        <v>6.0872959606905641E-2</v>
      </c>
      <c r="U338" s="9">
        <f>(EXP(-67.1962+99.1624*(100/H338)+27.9015*LN(H338/100)+G338*(-0.072909+0.041674*(H338/100)-0.0064603*(H338/100)^2)*G338))</f>
        <v>4.7769653968850162E-2</v>
      </c>
      <c r="V338" s="9">
        <f>(EXP(-64.8539+100.252*(100/H338)+25.2049*LN(H338/100)+(-0.062544+0.035337*(H338/100)-0.0054699*(H338/100)^2)*G338))</f>
        <v>4.5841688169769843E-2</v>
      </c>
      <c r="W338" s="9">
        <f>(EXP(-68.8862+101.4956*(100/H338)+28.7314*LN(H338/100)+G338*(-0.076146+0.04397*(H338/100)-0.0068672*(H338/100)^2)))</f>
        <v>4.7605255761038572E-2</v>
      </c>
      <c r="X338">
        <f>N338*(AZ338-S338)</f>
        <v>633.45983130586194</v>
      </c>
      <c r="Y338">
        <f>O338*(AZ338-S338)</f>
        <v>158.92041009963464</v>
      </c>
      <c r="Z338">
        <f>((Y338/10^6)*AZ338)/(0.082056*H338)</f>
        <v>6.4476269781671646E-6</v>
      </c>
      <c r="AA338">
        <f>(((L338/10^6)*AZ338)/(0.082056*H338))</f>
        <v>8.4067019958996274E-8</v>
      </c>
      <c r="AB338">
        <f>((Y338/10^6)*U338*1)/(0.082056*H338)</f>
        <v>3.3094965551692928E-7</v>
      </c>
      <c r="AC338">
        <f>(Z338*(Q338/1000))+(AB338*(R338/1000))</f>
        <v>7.6414022597932926E-7</v>
      </c>
      <c r="AD338" s="39">
        <f>((AC338-(AA338*(Q338/1000)))/(R338/1000))*1000000</f>
        <v>0.66587386384367497</v>
      </c>
      <c r="AE338" s="39">
        <f>(AD338/((U338*AZ338*1))*(0.0821*273.15))</f>
        <v>335.88775338624481</v>
      </c>
      <c r="AF338" s="39">
        <f>L338*U338*AZ338*1/(0.0821*273.15)</f>
        <v>4.1077426303305908E-3</v>
      </c>
      <c r="AG338" s="39">
        <f>AD338-AF338</f>
        <v>0.66176612121334433</v>
      </c>
      <c r="AH338" s="42">
        <f>P338*(AZ338-S338)</f>
        <v>0.25091944707066682</v>
      </c>
      <c r="AI338">
        <f>(((X338/10^6)*(Q338/1000))/(0.082056*H338))</f>
        <v>1.6569160013145841E-6</v>
      </c>
      <c r="AJ338">
        <f>(((K338/10^6)*AZ338)*(Q338/1000))/(0.082056*H338)</f>
        <v>1.0592636179326369E-6</v>
      </c>
      <c r="AK338">
        <f>(X338/10^6)*T338*(R338/1000)</f>
        <v>4.3959055184994057E-5</v>
      </c>
      <c r="AL338">
        <f>AI338+AK338</f>
        <v>4.5615971186308643E-5</v>
      </c>
      <c r="AM338" s="39">
        <f>((AL338-AJ338)/(R338/1000))*1000000</f>
        <v>39.08483120032983</v>
      </c>
      <c r="AN338" s="39">
        <f>AM338/(T338*AZ338)</f>
        <v>689.9120929888511</v>
      </c>
      <c r="AO338" s="39">
        <f>(K338*AZ338)*T338</f>
        <v>24.651710683558644</v>
      </c>
      <c r="AP338" s="39">
        <f>AM338-AO338</f>
        <v>14.433120516771186</v>
      </c>
      <c r="AQ338">
        <f>(((AH338/10^6)*(Q338/1000))/(0.082056*H338))</f>
        <v>6.5632014272370234E-10</v>
      </c>
      <c r="AR338">
        <f>(((M338/10^6)*AZ338)*(Q338/1000))/(0.082056*H338)</f>
        <v>7.4846650133650707E-10</v>
      </c>
      <c r="AS338">
        <f>(AH338/10^6)*V338*(R338/1000)</f>
        <v>1.3112930995112816E-8</v>
      </c>
      <c r="AT338">
        <f>AQ338+AS338</f>
        <v>1.3769251137836518E-8</v>
      </c>
      <c r="AU338" s="39">
        <f>((AT338-AR338)/(R338/1000))*1000000000</f>
        <v>11.421740909210536</v>
      </c>
      <c r="AV338" s="39">
        <f>(AU338/1000)/(V338*AZ338)</f>
        <v>0.2677205052737367</v>
      </c>
      <c r="AW338" s="39">
        <f>(M338*AZ338)*V338*1000</f>
        <v>13.117514683003421</v>
      </c>
      <c r="AX338" s="39">
        <f>AU338-AW338</f>
        <v>-1.6957737737928849</v>
      </c>
      <c r="AY338" s="26">
        <f>VLOOKUP($E338,Water!$C$2:$G$90, 5, FALSE)</f>
        <v>707.3</v>
      </c>
      <c r="AZ338">
        <f>AY338/760</f>
        <v>0.93065789473684202</v>
      </c>
      <c r="BA338" s="3">
        <f>Assumptions!$B$3</f>
        <v>406.07</v>
      </c>
      <c r="BB338" s="3">
        <f>BA338*AZ338*T338</f>
        <v>23.004637209300824</v>
      </c>
      <c r="BC338" s="3">
        <f>Assumptions!$B$4</f>
        <v>1.8474300000000001</v>
      </c>
      <c r="BD338" s="45">
        <f>BC338*AZ338*U338*1/(0.0821*273.15)</f>
        <v>3.6624001318265914E-3</v>
      </c>
      <c r="BE338" s="3">
        <f>Assumptions!$B$2</f>
        <v>0.33054499999999998</v>
      </c>
      <c r="BF338" s="44">
        <f>BE338*AZ338*V338*1000</f>
        <v>14.102017867382839</v>
      </c>
      <c r="BG338">
        <f>1923.6+(-125.06*F338)+(4.3773*(F338^2))+(-0.085681*(F338^3))+(0.00070284*(F338^4))</f>
        <v>1281.2286177853439</v>
      </c>
      <c r="BH338">
        <f>1909.4+(-120.78*F338)+(4.1555*(F338^2))+(-0.080578*(F338^3))+(0.00065777*(F338^4))</f>
        <v>1286.5977957048319</v>
      </c>
      <c r="BI338">
        <f>2141.2+(-152.56*F338)+(5.8963*(F338^2))+(-0.12411*(F338^3))+(0.0010655*(F338^4))</f>
        <v>1375.5813685247997</v>
      </c>
      <c r="BJ338" s="25">
        <f>VLOOKUP(E338,Wind!$C$2:$E$109,3, FALSE)</f>
        <v>1.6666666666666667</v>
      </c>
      <c r="BK338" s="44">
        <v>1.66</v>
      </c>
      <c r="BL338">
        <f>BK338/(1-(((1.3*10^-3)^0.5)/0.41)*LN(10/1.5))</f>
        <v>1.9923982880693825</v>
      </c>
      <c r="BM338">
        <f>BK338*1.22</f>
        <v>2.0251999999999999</v>
      </c>
      <c r="BN338">
        <f>2.07+0.215*(BM338^1.7)*(24/100)</f>
        <v>2.241255750541113</v>
      </c>
      <c r="BO338">
        <f>BN338*((600/BG338)^0.67)</f>
        <v>1.3481645778025992</v>
      </c>
      <c r="BP338">
        <f>BN338*((600/BH338)^0.67)</f>
        <v>1.3443924864549108</v>
      </c>
      <c r="BQ338">
        <f>BN338*((600/BI338)^0.67)</f>
        <v>1.2854847939829288</v>
      </c>
      <c r="BR338" s="39">
        <f>BO338*(AM338-BB338)</f>
        <v>21.678747942899513</v>
      </c>
      <c r="BS338" s="39">
        <f>BP338*(AD338-BD338)</f>
        <v>0.89027211625851776</v>
      </c>
      <c r="BT338" s="39">
        <f>BQ338*(AU338-BF338)</f>
        <v>-3.4454552733933146</v>
      </c>
      <c r="BU338">
        <f>(2.51+1.48*BM338)+(0.39*BM338*LOG10(0.0015))</f>
        <v>3.2768938069574309</v>
      </c>
      <c r="BV338">
        <f>BU338*((600/$BG338)^0.67)</f>
        <v>1.9711236233054243</v>
      </c>
      <c r="BW338">
        <f>BU338*((600/$BH338)^0.67)</f>
        <v>1.9656085263453682</v>
      </c>
      <c r="BX338">
        <f>BU338*((600/$BI338)^0.67)</f>
        <v>1.8794808041534736</v>
      </c>
      <c r="BY338" s="39">
        <f>BV338*($AM338-$BB338)</f>
        <v>31.696050243051207</v>
      </c>
      <c r="BZ338" s="39">
        <f>BW338*($AD338-$BD338)</f>
        <v>1.3016484993156556</v>
      </c>
      <c r="CA338" s="39">
        <f>BX338*($AU338-$BF338)</f>
        <v>-5.0375290926997067</v>
      </c>
      <c r="CB338" s="42">
        <f>AVERAGE(0.72,0.69,0.4,0.22)</f>
        <v>0.50750000000000006</v>
      </c>
      <c r="CC338">
        <f>CB338*((600/$BG338)^0.67)</f>
        <v>0.30527240055920984</v>
      </c>
      <c r="CD338">
        <f>CB338*((600/$BH338)^0.67)</f>
        <v>0.30441826494416918</v>
      </c>
      <c r="CE338">
        <f>CB338*((600/$BI338)^0.67)</f>
        <v>0.29107946863664691</v>
      </c>
      <c r="CF338" s="39">
        <f>CC338*($AM338-$BB338)</f>
        <v>4.9088394210992057</v>
      </c>
      <c r="CG338" s="39">
        <f>CD338*($AD338-$BD338)</f>
        <v>0.20158926480929953</v>
      </c>
      <c r="CH338" s="39">
        <f>CE338*($AU338-$BF338)</f>
        <v>-0.78017359278384235</v>
      </c>
      <c r="CI338">
        <v>161.86263901889501</v>
      </c>
      <c r="CJ338">
        <f>((BG338/BH338)^0.67)*CI338</f>
        <v>161.40975613633751</v>
      </c>
      <c r="CK338">
        <f>((BH338/BH338)^0.67)*CI338</f>
        <v>161.86263901889501</v>
      </c>
      <c r="CL338">
        <f>((BI338/BH338)^0.67)*CI338</f>
        <v>169.28003874751064</v>
      </c>
      <c r="CM338" s="39">
        <f>CJ338*($AM338-$BB338)</f>
        <v>2595.5001907169917</v>
      </c>
      <c r="CN338" s="39">
        <f>CK338*($AD338-$BD338)</f>
        <v>107.187295104965</v>
      </c>
      <c r="CO338" s="39">
        <f>CL338*($AU338-$BF338)</f>
        <v>-453.71738733346746</v>
      </c>
      <c r="CP338" s="27">
        <f>VLOOKUP(A338,Water!$A$2:$E$109, 5, FALSE)/1000</f>
        <v>1.1999999999999999E-4</v>
      </c>
      <c r="CQ338">
        <f>0.64*CP338</f>
        <v>7.6799999999999997E-5</v>
      </c>
      <c r="CR338" s="19">
        <f>CQ338*1000*(2.5*10^-5)</f>
        <v>1.9199999999999998E-6</v>
      </c>
      <c r="CS338" s="18">
        <f>(-0.0000009*F338^3)+(0.0002*F338^2)-(0.0134*F338)+6.579</f>
        <v>6.5011960703999998</v>
      </c>
      <c r="CT338" s="18">
        <f>CS338-(SQRT(CP338))/(1+1.4*SQRT(CP338))</f>
        <v>6.4904070816797494</v>
      </c>
      <c r="CU338" s="18">
        <f>10^(-CT338)</f>
        <v>3.2329048169548692E-7</v>
      </c>
      <c r="CV338" s="18">
        <f>(0.000001*F338^3)+(0.00006*F338^2)-(0.014*F338)+10.625</f>
        <v>10.538119743999999</v>
      </c>
      <c r="CW338" s="18">
        <f>CV338-(2*SQRT(CR338))/(1+1.4*SQRT(CR338))</f>
        <v>10.535353828299195</v>
      </c>
      <c r="CX338" s="18">
        <f>10^(-CW338)</f>
        <v>2.9150510965283593E-11</v>
      </c>
      <c r="CY338">
        <f>EXP(1246.98+-61900/H338-183*LN(H338))</f>
        <v>4.8954576567226118E-3</v>
      </c>
      <c r="CZ338">
        <f>12.225*(F338^2)+15.258*F338+1125.7</f>
        <v>1724.0872000000002</v>
      </c>
      <c r="DA338" s="15">
        <f>10^(-4470.99/H338+6.0875-0.01706*H338)</f>
        <v>2.1127674213153213E-15</v>
      </c>
      <c r="DB338">
        <f>(10^-I338)</f>
        <v>5.8884365535558713E-9</v>
      </c>
      <c r="DC338">
        <f>DB338^2</f>
        <v>3.4673685045252951E-17</v>
      </c>
      <c r="DD338" s="20">
        <f>((14.6836*10^-9)*((H338/217.2056)-1)^1.997)*100*100</f>
        <v>1.2142598333730381E-5</v>
      </c>
      <c r="DE338">
        <f>CY338+CZ338*DA338/DB338</f>
        <v>5.5140590859028386E-3</v>
      </c>
      <c r="DF338">
        <f>1+DC338*(CU338*CX338+CU338*DB338)^-1</f>
        <v>1.0181243493765364</v>
      </c>
      <c r="DG338">
        <f>(DE338*DF338/DD338)^0.5</f>
        <v>21.502071675247713</v>
      </c>
      <c r="DH338">
        <f>DD338/(BO338/60/60)</f>
        <v>3.2424345455418099E-2</v>
      </c>
      <c r="DI338" s="16">
        <f>DF338/((DF338-1)+TANH(DG338*DH338)/(DG338*DH338))</f>
        <v>1.153781495751053</v>
      </c>
      <c r="DJ338">
        <f>$DI338*BR338</f>
        <v>25.012538227568665</v>
      </c>
      <c r="DK338">
        <f>$DI338*BY338</f>
        <v>36.57031625882815</v>
      </c>
      <c r="DL338">
        <f>$DI338*CF338</f>
        <v>5.6637280896775746</v>
      </c>
      <c r="DM338">
        <f>$DI338*CM338</f>
        <v>2994.6400922675944</v>
      </c>
    </row>
    <row r="339" spans="1:117" ht="15.75" x14ac:dyDescent="0.25">
      <c r="A339" s="52" t="s">
        <v>327</v>
      </c>
      <c r="B339" t="s">
        <v>340</v>
      </c>
      <c r="C339" s="64" t="s">
        <v>558</v>
      </c>
      <c r="D339" s="65">
        <v>43367</v>
      </c>
      <c r="E339" s="42" t="str">
        <f>A339&amp;D339</f>
        <v>66C43367</v>
      </c>
      <c r="F339" s="3">
        <f>VLOOKUP($E339,Water!$C$2:$E$90, 2, FALSE)</f>
        <v>6.4</v>
      </c>
      <c r="G339" s="3">
        <f>VLOOKUP($E339,Water!$C$2:$E$90, 3, FALSE)</f>
        <v>0.23</v>
      </c>
      <c r="H339" s="1">
        <f>F339+273.15</f>
        <v>279.54999999999995</v>
      </c>
      <c r="I339" s="3">
        <f>VLOOKUP($E339,Water!$C$2:$F$90, 4, FALSE)</f>
        <v>8.23</v>
      </c>
      <c r="J339">
        <f>10^(I339*-1)</f>
        <v>5.8884365535558713E-9</v>
      </c>
      <c r="K339" s="25">
        <f>VLOOKUP($E339,Atm!$D$2:$G$100, 2, FALSE)</f>
        <v>435.14357849666351</v>
      </c>
      <c r="L339" s="25">
        <f>VLOOKUP($E339,Atm!$D$2:$G$100, 3, FALSE)</f>
        <v>2.072074785495055</v>
      </c>
      <c r="M339" s="25">
        <f>VLOOKUP($E339,Atm!$D$2:$G$100, 4, FALSE)</f>
        <v>0.30746868509662872</v>
      </c>
      <c r="N339" s="21">
        <f>VLOOKUP($C339,Raw!$B$2:$F$353, 3, FALSE)</f>
        <v>697.20304146359388</v>
      </c>
      <c r="O339" s="21">
        <f>VLOOKUP($C339,Raw!$B$2:$F$353, 4, FALSE)</f>
        <v>172.19057153727991</v>
      </c>
      <c r="P339" s="21">
        <f>VLOOKUP($C339,Raw!$B$2:$F$353, 5, FALSE)</f>
        <v>0.27610276687412305</v>
      </c>
      <c r="Q339" s="14">
        <v>60</v>
      </c>
      <c r="R339" s="25">
        <v>1140</v>
      </c>
      <c r="S339">
        <f>EXP(24.4543-(100/H339*(67.4509))-(4.8489*LN(H339/100))-(0.000544*G339))</f>
        <v>9.4765735072867893E-3</v>
      </c>
      <c r="T339" s="8">
        <f>EXP(-58.0931+90.5069*(100/H339)+22.294*LN(H339/100)+G339*(0.027766-0.025888*(H339/100)+0.0050578*(H339/100)^2)*G339)</f>
        <v>6.0872959606905641E-2</v>
      </c>
      <c r="U339" s="9">
        <f>(EXP(-67.1962+99.1624*(100/H339)+27.9015*LN(H339/100)+G339*(-0.072909+0.041674*(H339/100)-0.0064603*(H339/100)^2)*G339))</f>
        <v>4.7769653968850162E-2</v>
      </c>
      <c r="V339" s="9">
        <f>(EXP(-64.8539+100.252*(100/H339)+25.2049*LN(H339/100)+(-0.062544+0.035337*(H339/100)-0.0054699*(H339/100)^2)*G339))</f>
        <v>4.5841688169769843E-2</v>
      </c>
      <c r="W339" s="9">
        <f>(EXP(-68.8862+101.4956*(100/H339)+28.7314*LN(H339/100)+G339*(-0.076146+0.04397*(H339/100)-0.0068672*(H339/100)^2)))</f>
        <v>4.7605255761038572E-2</v>
      </c>
      <c r="X339">
        <f>N339*(AZ339-S339)</f>
        <v>642.25041890069781</v>
      </c>
      <c r="Y339">
        <f>O339*(AZ339-S339)</f>
        <v>158.61873819198374</v>
      </c>
      <c r="Z339">
        <f>((Y339/10^6)*AZ339)/(0.082056*H339)</f>
        <v>6.4353877199805942E-6</v>
      </c>
      <c r="AA339">
        <f>(((L339/10^6)*AZ339)/(0.082056*H339))</f>
        <v>8.4067019958996274E-8</v>
      </c>
      <c r="AB339">
        <f>((Y339/10^6)*U339*1)/(0.082056*H339)</f>
        <v>3.3032142775276982E-7</v>
      </c>
      <c r="AC339">
        <f>(Z339*(Q339/1000))+(AB339*(R339/1000))</f>
        <v>7.6268969083699327E-7</v>
      </c>
      <c r="AD339" s="39">
        <f>((AC339-(AA339*(Q339/1000)))/(R339/1000))*1000000</f>
        <v>0.66460146459601188</v>
      </c>
      <c r="AE339" s="39">
        <f>(AD339/((U339*AZ339*1))*(0.0821*273.15))</f>
        <v>335.24591512240175</v>
      </c>
      <c r="AF339" s="39">
        <f>L339*U339*AZ339*1/(0.0821*273.15)</f>
        <v>4.1077426303305908E-3</v>
      </c>
      <c r="AG339" s="39">
        <f>AD339-AF339</f>
        <v>0.66049372196568124</v>
      </c>
      <c r="AH339" s="42">
        <f>P339*(AZ339-S339)</f>
        <v>0.25434071158424054</v>
      </c>
      <c r="AI339">
        <f>(((X339/10^6)*(Q339/1000))/(0.082056*H339))</f>
        <v>1.6799091960319428E-6</v>
      </c>
      <c r="AJ339">
        <f>(((K339/10^6)*AZ339)*(Q339/1000))/(0.082056*H339)</f>
        <v>1.0592636179326369E-6</v>
      </c>
      <c r="AK339">
        <f>(X339/10^6)*T339*(R339/1000)</f>
        <v>4.4569079540276858E-5</v>
      </c>
      <c r="AL339">
        <f>AI339+AK339</f>
        <v>4.6248988736308798E-5</v>
      </c>
      <c r="AM339" s="39">
        <f>((AL339-AJ339)/(R339/1000))*1000000</f>
        <v>39.64010975296155</v>
      </c>
      <c r="AN339" s="39">
        <f>AM339/(T339*AZ339)</f>
        <v>699.71368037385014</v>
      </c>
      <c r="AO339" s="39">
        <f>(K339*AZ339)*T339</f>
        <v>24.651710683558644</v>
      </c>
      <c r="AP339" s="39">
        <f>AM339-AO339</f>
        <v>14.988399069402906</v>
      </c>
      <c r="AQ339">
        <f>(((AH339/10^6)*(Q339/1000))/(0.082056*H339))</f>
        <v>6.6526900994008767E-10</v>
      </c>
      <c r="AR339">
        <f>(((M339/10^6)*AZ339)*(Q339/1000))/(0.082056*H339)</f>
        <v>7.4846650133650707E-10</v>
      </c>
      <c r="AS339">
        <f>(AH339/10^6)*V339*(R339/1000)</f>
        <v>1.3291724651827217E-8</v>
      </c>
      <c r="AT339">
        <f>AQ339+AS339</f>
        <v>1.3956993661767305E-8</v>
      </c>
      <c r="AU339" s="39">
        <f>((AT339-AR339)/(R339/1000))*1000000000</f>
        <v>11.586427333711228</v>
      </c>
      <c r="AV339" s="39">
        <f>(AU339/1000)/(V339*AZ339)</f>
        <v>0.27158068150514608</v>
      </c>
      <c r="AW339" s="39">
        <f>(M339*AZ339)*V339*1000</f>
        <v>13.117514683003421</v>
      </c>
      <c r="AX339" s="39">
        <f>AU339-AW339</f>
        <v>-1.5310873492921928</v>
      </c>
      <c r="AY339" s="26">
        <f>VLOOKUP($E339,Water!$C$2:$G$90, 5, FALSE)</f>
        <v>707.3</v>
      </c>
      <c r="AZ339">
        <f>AY339/760</f>
        <v>0.93065789473684202</v>
      </c>
      <c r="BA339" s="3">
        <f>Assumptions!$B$3</f>
        <v>406.07</v>
      </c>
      <c r="BB339" s="3">
        <f>BA339*AZ339*T339</f>
        <v>23.004637209300824</v>
      </c>
      <c r="BC339" s="3">
        <f>Assumptions!$B$4</f>
        <v>1.8474300000000001</v>
      </c>
      <c r="BD339" s="45">
        <f>BC339*AZ339*U339*1/(0.0821*273.15)</f>
        <v>3.6624001318265914E-3</v>
      </c>
      <c r="BE339" s="3">
        <f>Assumptions!$B$2</f>
        <v>0.33054499999999998</v>
      </c>
      <c r="BF339" s="44">
        <f>BE339*AZ339*V339*1000</f>
        <v>14.102017867382839</v>
      </c>
      <c r="BG339">
        <f>1923.6+(-125.06*F339)+(4.3773*(F339^2))+(-0.085681*(F339^3))+(0.00070284*(F339^4))</f>
        <v>1281.2286177853439</v>
      </c>
      <c r="BH339">
        <f>1909.4+(-120.78*F339)+(4.1555*(F339^2))+(-0.080578*(F339^3))+(0.00065777*(F339^4))</f>
        <v>1286.5977957048319</v>
      </c>
      <c r="BI339">
        <f>2141.2+(-152.56*F339)+(5.8963*(F339^2))+(-0.12411*(F339^3))+(0.0010655*(F339^4))</f>
        <v>1375.5813685247997</v>
      </c>
      <c r="BJ339" s="25">
        <f>VLOOKUP(E339,Wind!$C$2:$E$109,3, FALSE)</f>
        <v>1.6666666666666667</v>
      </c>
      <c r="BK339" s="44">
        <v>1.66</v>
      </c>
      <c r="BL339">
        <f>BK339/(1-(((1.3*10^-3)^0.5)/0.41)*LN(10/1.5))</f>
        <v>1.9923982880693825</v>
      </c>
      <c r="BM339">
        <f>BK339*1.22</f>
        <v>2.0251999999999999</v>
      </c>
      <c r="BN339">
        <f>2.07+0.215*(BM339^1.7)*(24/100)</f>
        <v>2.241255750541113</v>
      </c>
      <c r="BO339">
        <f>BN339*((600/BG339)^0.67)</f>
        <v>1.3481645778025992</v>
      </c>
      <c r="BP339">
        <f>BN339*((600/BH339)^0.67)</f>
        <v>1.3443924864549108</v>
      </c>
      <c r="BQ339">
        <f>BN339*((600/BI339)^0.67)</f>
        <v>1.2854847939829288</v>
      </c>
      <c r="BR339" s="39">
        <f>BO339*(AM339-BB339)</f>
        <v>22.427354818371093</v>
      </c>
      <c r="BS339" s="39">
        <f>BP339*(AD339-BD339)</f>
        <v>0.88856151227018865</v>
      </c>
      <c r="BT339" s="39">
        <f>BQ339*(AU339-BF339)</f>
        <v>-3.2337533789222572</v>
      </c>
      <c r="BU339">
        <f>(2.51+1.48*BM339)+(0.39*BM339*LOG10(0.0015))</f>
        <v>3.2768938069574309</v>
      </c>
      <c r="BV339">
        <f>BU339*((600/$BG339)^0.67)</f>
        <v>1.9711236233054243</v>
      </c>
      <c r="BW339">
        <f>BU339*((600/$BH339)^0.67)</f>
        <v>1.9656085263453682</v>
      </c>
      <c r="BX339">
        <f>BU339*((600/$BI339)^0.67)</f>
        <v>1.8794808041534736</v>
      </c>
      <c r="BY339" s="39">
        <f>BV339*($AM339-$BB339)</f>
        <v>32.79057291565843</v>
      </c>
      <c r="BZ339" s="39">
        <f>BW339*($AD339-$BD339)</f>
        <v>1.2991474605055335</v>
      </c>
      <c r="CA339" s="39">
        <f>BX339*($AU339-$BF339)</f>
        <v>-4.7280041191459858</v>
      </c>
      <c r="CB339" s="42">
        <f>AVERAGE(0.72,0.69,0.4,0.22)</f>
        <v>0.50750000000000006</v>
      </c>
      <c r="CC339">
        <f>CB339*((600/$BG339)^0.67)</f>
        <v>0.30527240055920984</v>
      </c>
      <c r="CD339">
        <f>CB339*((600/$BH339)^0.67)</f>
        <v>0.30441826494416918</v>
      </c>
      <c r="CE339">
        <f>CB339*((600/$BI339)^0.67)</f>
        <v>0.29107946863664691</v>
      </c>
      <c r="CF339" s="39">
        <f>CC339*($AM339-$BB339)</f>
        <v>5.0783506378401349</v>
      </c>
      <c r="CG339" s="39">
        <f>CD339*($AD339-$BD339)</f>
        <v>0.20120192323800967</v>
      </c>
      <c r="CH339" s="39">
        <f>CE339*($AU339-$BF339)</f>
        <v>-0.73223675584851167</v>
      </c>
      <c r="CI339">
        <v>162.86263901889501</v>
      </c>
      <c r="CJ339">
        <f>((BG339/BH339)^0.67)*CI339</f>
        <v>162.40695819058979</v>
      </c>
      <c r="CK339">
        <f>((BH339/BH339)^0.67)*CI339</f>
        <v>162.86263901889501</v>
      </c>
      <c r="CL339">
        <f>((BI339/BH339)^0.67)*CI339</f>
        <v>170.32586402117215</v>
      </c>
      <c r="CM339" s="39">
        <f>CJ339*($AM339-$BB339)</f>
        <v>2701.716493879012</v>
      </c>
      <c r="CN339" s="39">
        <f>CK339*($AD339-$BD339)</f>
        <v>107.64228026931679</v>
      </c>
      <c r="CO339" s="39">
        <f>CL339*($AU339-$BF339)</f>
        <v>-428.47013117109879</v>
      </c>
      <c r="CP339" s="27">
        <f>VLOOKUP(A339,Water!$A$2:$E$109, 5, FALSE)/1000</f>
        <v>1.1999999999999999E-4</v>
      </c>
      <c r="CQ339">
        <f>0.64*CP339</f>
        <v>7.6799999999999997E-5</v>
      </c>
      <c r="CR339" s="19">
        <f>CQ339*1000*(2.5*10^-5)</f>
        <v>1.9199999999999998E-6</v>
      </c>
      <c r="CS339" s="18">
        <f>(-0.0000009*F339^3)+(0.0002*F339^2)-(0.0134*F339)+6.579</f>
        <v>6.5011960703999998</v>
      </c>
      <c r="CT339" s="18">
        <f>CS339-(SQRT(CP339))/(1+1.4*SQRT(CP339))</f>
        <v>6.4904070816797494</v>
      </c>
      <c r="CU339" s="18">
        <f>10^(-CT339)</f>
        <v>3.2329048169548692E-7</v>
      </c>
      <c r="CV339" s="18">
        <f>(0.000001*F339^3)+(0.00006*F339^2)-(0.014*F339)+10.625</f>
        <v>10.538119743999999</v>
      </c>
      <c r="CW339" s="18">
        <f>CV339-(2*SQRT(CR339))/(1+1.4*SQRT(CR339))</f>
        <v>10.535353828299195</v>
      </c>
      <c r="CX339" s="18">
        <f>10^(-CW339)</f>
        <v>2.9150510965283593E-11</v>
      </c>
      <c r="CY339">
        <f>EXP(1246.98+-61900/H339-183*LN(H339))</f>
        <v>4.8954576567226118E-3</v>
      </c>
      <c r="CZ339">
        <f>12.225*(F339^2)+15.258*F339+1125.7</f>
        <v>1724.0872000000002</v>
      </c>
      <c r="DA339" s="15">
        <f>10^(-4470.99/H339+6.0875-0.01706*H339)</f>
        <v>2.1127674213153213E-15</v>
      </c>
      <c r="DB339">
        <f>(10^-I339)</f>
        <v>5.8884365535558713E-9</v>
      </c>
      <c r="DC339">
        <f>DB339^2</f>
        <v>3.4673685045252951E-17</v>
      </c>
      <c r="DD339" s="20">
        <f>((14.6836*10^-9)*((H339/217.2056)-1)^1.997)*100*100</f>
        <v>1.2142598333730381E-5</v>
      </c>
      <c r="DE339">
        <f>CY339+CZ339*DA339/DB339</f>
        <v>5.5140590859028386E-3</v>
      </c>
      <c r="DF339">
        <f>1+DC339*(CU339*CX339+CU339*DB339)^-1</f>
        <v>1.0181243493765364</v>
      </c>
      <c r="DG339">
        <f>(DE339*DF339/DD339)^0.5</f>
        <v>21.502071675247713</v>
      </c>
      <c r="DH339">
        <f>DD339/(BO339/60/60)</f>
        <v>3.2424345455418099E-2</v>
      </c>
      <c r="DI339" s="16">
        <f>DF339/((DF339-1)+TANH(DG339*DH339)/(DG339*DH339))</f>
        <v>1.153781495751053</v>
      </c>
      <c r="DJ339">
        <f>$DI339*BR339</f>
        <v>25.876266988079784</v>
      </c>
      <c r="DK339">
        <f>$DI339*BY339</f>
        <v>37.833156265162351</v>
      </c>
      <c r="DL339">
        <f>$DI339*CF339</f>
        <v>5.8593069948755048</v>
      </c>
      <c r="DM339">
        <f>$DI339*CM339</f>
        <v>3117.1904974030172</v>
      </c>
    </row>
    <row r="340" spans="1:117" ht="15.75" x14ac:dyDescent="0.25">
      <c r="A340" s="52" t="s">
        <v>327</v>
      </c>
      <c r="B340" t="s">
        <v>341</v>
      </c>
      <c r="C340" s="64" t="s">
        <v>559</v>
      </c>
      <c r="D340" s="65">
        <v>43367</v>
      </c>
      <c r="E340" s="42" t="str">
        <f>A340&amp;D340</f>
        <v>66C43367</v>
      </c>
      <c r="F340" s="3">
        <f>VLOOKUP($E340,Water!$C$2:$E$90, 2, FALSE)</f>
        <v>6.4</v>
      </c>
      <c r="G340" s="3">
        <f>VLOOKUP($E340,Water!$C$2:$E$90, 3, FALSE)</f>
        <v>0.23</v>
      </c>
      <c r="H340" s="1">
        <f>F340+273.15</f>
        <v>279.54999999999995</v>
      </c>
      <c r="I340" s="3">
        <f>VLOOKUP($E340,Water!$C$2:$F$90, 4, FALSE)</f>
        <v>8.23</v>
      </c>
      <c r="J340">
        <f>10^(I340*-1)</f>
        <v>5.8884365535558713E-9</v>
      </c>
      <c r="K340" s="25">
        <f>VLOOKUP($E340,Atm!$D$2:$G$100, 2, FALSE)</f>
        <v>435.14357849666351</v>
      </c>
      <c r="L340" s="25">
        <f>VLOOKUP($E340,Atm!$D$2:$G$100, 3, FALSE)</f>
        <v>2.072074785495055</v>
      </c>
      <c r="M340" s="25">
        <f>VLOOKUP($E340,Atm!$D$2:$G$100, 4, FALSE)</f>
        <v>0.30746868509662872</v>
      </c>
      <c r="N340" s="21">
        <f>VLOOKUP($C340,Raw!$B$2:$F$353, 3, FALSE)</f>
        <v>710.95071329206075</v>
      </c>
      <c r="O340" s="21">
        <f>VLOOKUP($C340,Raw!$B$2:$F$353, 4, FALSE)</f>
        <v>189.32858330634139</v>
      </c>
      <c r="P340" s="21">
        <f>VLOOKUP($C340,Raw!$B$2:$F$353, 5, FALSE)</f>
        <v>0.27129170749834591</v>
      </c>
      <c r="Q340" s="14">
        <v>60</v>
      </c>
      <c r="R340" s="25">
        <v>1140</v>
      </c>
      <c r="S340">
        <f>EXP(24.4543-(100/H340*(67.4509))-(4.8489*LN(H340/100))-(0.000544*G340))</f>
        <v>9.4765735072867893E-3</v>
      </c>
      <c r="T340" s="8">
        <f>EXP(-58.0931+90.5069*(100/H340)+22.294*LN(H340/100)+G340*(0.027766-0.025888*(H340/100)+0.0050578*(H340/100)^2)*G340)</f>
        <v>6.0872959606905641E-2</v>
      </c>
      <c r="U340" s="9">
        <f>(EXP(-67.1962+99.1624*(100/H340)+27.9015*LN(H340/100)+G340*(-0.072909+0.041674*(H340/100)-0.0064603*(H340/100)^2)*G340))</f>
        <v>4.7769653968850162E-2</v>
      </c>
      <c r="V340" s="9">
        <f>(EXP(-64.8539+100.252*(100/H340)+25.2049*LN(H340/100)+(-0.062544+0.035337*(H340/100)-0.0054699*(H340/100)^2)*G340))</f>
        <v>4.5841688169769843E-2</v>
      </c>
      <c r="W340" s="9">
        <f>(EXP(-68.8862+101.4956*(100/H340)+28.7314*LN(H340/100)+G340*(-0.076146+0.04397*(H340/100)-0.0068672*(H340/100)^2)))</f>
        <v>4.7605255761038572E-2</v>
      </c>
      <c r="X340">
        <f>N340*(AZ340-S340)</f>
        <v>654.91451739947524</v>
      </c>
      <c r="Y340">
        <f>O340*(AZ340-S340)</f>
        <v>174.40595451665547</v>
      </c>
      <c r="Z340">
        <f>((Y340/10^6)*AZ340)/(0.082056*H340)</f>
        <v>7.0758975312836086E-6</v>
      </c>
      <c r="AA340">
        <f>(((L340/10^6)*AZ340)/(0.082056*H340))</f>
        <v>8.4067019958996274E-8</v>
      </c>
      <c r="AB340">
        <f>((Y340/10^6)*U340*1)/(0.082056*H340)</f>
        <v>3.631980972815339E-7</v>
      </c>
      <c r="AC340">
        <f>(Z340*(Q340/1000))+(AB340*(R340/1000))</f>
        <v>8.3859968277796505E-7</v>
      </c>
      <c r="AD340" s="39">
        <f>((AC340-(AA340*(Q340/1000)))/(R340/1000))*1000000</f>
        <v>0.73118917682493445</v>
      </c>
      <c r="AE340" s="39">
        <f>(AD340/((U340*AZ340*1))*(0.0821*273.15))</f>
        <v>368.83485482728463</v>
      </c>
      <c r="AF340" s="39">
        <f>L340*U340*AZ340*1/(0.0821*273.15)</f>
        <v>4.1077426303305908E-3</v>
      </c>
      <c r="AG340" s="39">
        <f>AD340-AF340</f>
        <v>0.72708143419460391</v>
      </c>
      <c r="AH340" s="42">
        <f>P340*(AZ340-S340)</f>
        <v>0.24990885355194831</v>
      </c>
      <c r="AI340">
        <f>(((X340/10^6)*(Q340/1000))/(0.082056*H340))</f>
        <v>1.7130341810867829E-6</v>
      </c>
      <c r="AJ340">
        <f>(((K340/10^6)*AZ340)*(Q340/1000))/(0.082056*H340)</f>
        <v>1.0592636179326369E-6</v>
      </c>
      <c r="AK340">
        <f>(X340/10^6)*T340*(R340/1000)</f>
        <v>4.5447906858543162E-5</v>
      </c>
      <c r="AL340">
        <f>AI340+AK340</f>
        <v>4.7160941039629944E-5</v>
      </c>
      <c r="AM340" s="39">
        <f>((AL340-AJ340)/(R340/1000))*1000000</f>
        <v>40.440067913769568</v>
      </c>
      <c r="AN340" s="39">
        <f>AM340/(T340*AZ340)</f>
        <v>713.83426864498267</v>
      </c>
      <c r="AO340" s="39">
        <f>(K340*AZ340)*T340</f>
        <v>24.651710683558644</v>
      </c>
      <c r="AP340" s="39">
        <f>AM340-AO340</f>
        <v>15.788357230210924</v>
      </c>
      <c r="AQ340">
        <f>(((AH340/10^6)*(Q340/1000))/(0.082056*H340))</f>
        <v>6.5367677294832487E-10</v>
      </c>
      <c r="AR340">
        <f>(((M340/10^6)*AZ340)*(Q340/1000))/(0.082056*H340)</f>
        <v>7.4846650133650707E-10</v>
      </c>
      <c r="AS340">
        <f>(AH340/10^6)*V340*(R340/1000)</f>
        <v>1.3060117858348123E-8</v>
      </c>
      <c r="AT340">
        <f>AQ340+AS340</f>
        <v>1.3713794631296448E-8</v>
      </c>
      <c r="AU340" s="39">
        <f>((AT340-AR340)/(R340/1000))*1000000000</f>
        <v>11.373094850842055</v>
      </c>
      <c r="AV340" s="39">
        <f>(AU340/1000)/(V340*AZ340)</f>
        <v>0.26658026339384228</v>
      </c>
      <c r="AW340" s="39">
        <f>(M340*AZ340)*V340*1000</f>
        <v>13.117514683003421</v>
      </c>
      <c r="AX340" s="39">
        <f>AU340-AW340</f>
        <v>-1.7444198321613662</v>
      </c>
      <c r="AY340" s="26">
        <f>VLOOKUP($E340,Water!$C$2:$G$90, 5, FALSE)</f>
        <v>707.3</v>
      </c>
      <c r="AZ340">
        <f>AY340/760</f>
        <v>0.93065789473684202</v>
      </c>
      <c r="BA340" s="3">
        <f>Assumptions!$B$3</f>
        <v>406.07</v>
      </c>
      <c r="BB340" s="3">
        <f>BA340*AZ340*T340</f>
        <v>23.004637209300824</v>
      </c>
      <c r="BC340" s="3">
        <f>Assumptions!$B$4</f>
        <v>1.8474300000000001</v>
      </c>
      <c r="BD340" s="45">
        <f>BC340*AZ340*U340*1/(0.0821*273.15)</f>
        <v>3.6624001318265914E-3</v>
      </c>
      <c r="BE340" s="3">
        <f>Assumptions!$B$2</f>
        <v>0.33054499999999998</v>
      </c>
      <c r="BF340" s="44">
        <f>BE340*AZ340*V340*1000</f>
        <v>14.102017867382839</v>
      </c>
      <c r="BG340">
        <f>1923.6+(-125.06*F340)+(4.3773*(F340^2))+(-0.085681*(F340^3))+(0.00070284*(F340^4))</f>
        <v>1281.2286177853439</v>
      </c>
      <c r="BH340">
        <f>1909.4+(-120.78*F340)+(4.1555*(F340^2))+(-0.080578*(F340^3))+(0.00065777*(F340^4))</f>
        <v>1286.5977957048319</v>
      </c>
      <c r="BI340">
        <f>2141.2+(-152.56*F340)+(5.8963*(F340^2))+(-0.12411*(F340^3))+(0.0010655*(F340^4))</f>
        <v>1375.5813685247997</v>
      </c>
      <c r="BJ340" s="25">
        <f>VLOOKUP(E340,Wind!$C$2:$E$109,3, FALSE)</f>
        <v>1.6666666666666667</v>
      </c>
      <c r="BK340" s="44">
        <v>1.66</v>
      </c>
      <c r="BL340">
        <f>BK340/(1-(((1.3*10^-3)^0.5)/0.41)*LN(10/1.5))</f>
        <v>1.9923982880693825</v>
      </c>
      <c r="BM340">
        <f>BK340*1.22</f>
        <v>2.0251999999999999</v>
      </c>
      <c r="BN340">
        <f>2.07+0.215*(BM340^1.7)*(24/100)</f>
        <v>2.241255750541113</v>
      </c>
      <c r="BO340">
        <f>BN340*((600/BG340)^0.67)</f>
        <v>1.3481645778025992</v>
      </c>
      <c r="BP340">
        <f>BN340*((600/BH340)^0.67)</f>
        <v>1.3443924864549108</v>
      </c>
      <c r="BQ340">
        <f>BN340*((600/BI340)^0.67)</f>
        <v>1.2854847939829288</v>
      </c>
      <c r="BR340" s="39">
        <f>BO340*(AM340-BB340)</f>
        <v>23.505830074496579</v>
      </c>
      <c r="BS340" s="39">
        <f>BP340*(AD340-BD340)</f>
        <v>0.97808153228097394</v>
      </c>
      <c r="BT340" s="39">
        <f>BQ340*(AU340-BF340)</f>
        <v>-3.5079890417132034</v>
      </c>
      <c r="BU340">
        <f>(2.51+1.48*BM340)+(0.39*BM340*LOG10(0.0015))</f>
        <v>3.2768938069574309</v>
      </c>
      <c r="BV340">
        <f>BU340*((600/$BG340)^0.67)</f>
        <v>1.9711236233054243</v>
      </c>
      <c r="BW340">
        <f>BU340*((600/$BH340)^0.67)</f>
        <v>1.9656085263453682</v>
      </c>
      <c r="BX340">
        <f>BU340*((600/$BI340)^0.67)</f>
        <v>1.8794808041534736</v>
      </c>
      <c r="BY340" s="39">
        <f>BV340*($AM340-$BB340)</f>
        <v>34.36738934408308</v>
      </c>
      <c r="BZ340" s="39">
        <f>BW340*($AD340-$BD340)</f>
        <v>1.4300328354125356</v>
      </c>
      <c r="CA340" s="39">
        <f>BX340*($AU340-$BF340)</f>
        <v>-5.128958425600997</v>
      </c>
      <c r="CB340" s="42">
        <f>AVERAGE(0.72,0.69,0.4,0.22)</f>
        <v>0.50750000000000006</v>
      </c>
      <c r="CC340">
        <f>CB340*((600/$BG340)^0.67)</f>
        <v>0.30527240055920984</v>
      </c>
      <c r="CD340">
        <f>CB340*((600/$BH340)^0.67)</f>
        <v>0.30441826494416918</v>
      </c>
      <c r="CE340">
        <f>CB340*((600/$BI340)^0.67)</f>
        <v>0.29107946863664691</v>
      </c>
      <c r="CF340" s="39">
        <f>CC340*($AM340-$BB340)</f>
        <v>5.3225557859369284</v>
      </c>
      <c r="CG340" s="39">
        <f>CD340*($AD340-$BD340)</f>
        <v>0.2214724390613399</v>
      </c>
      <c r="CH340" s="39">
        <f>CE340*($AU340-$BF340)</f>
        <v>-0.79433346160500717</v>
      </c>
      <c r="CI340">
        <v>163.86263901889501</v>
      </c>
      <c r="CJ340">
        <f>((BG340/BH340)^0.67)*CI340</f>
        <v>163.40416024484207</v>
      </c>
      <c r="CK340">
        <f>((BH340/BH340)^0.67)*CI340</f>
        <v>163.86263901889501</v>
      </c>
      <c r="CL340">
        <f>((BI340/BH340)^0.67)*CI340</f>
        <v>171.37168929483366</v>
      </c>
      <c r="CM340" s="39">
        <f>CJ340*($AM340-$BB340)</f>
        <v>2849.0219127708501</v>
      </c>
      <c r="CN340" s="39">
        <f>CK340*($AD340-$BD340)</f>
        <v>119.21445758584296</v>
      </c>
      <c r="CO340" s="39">
        <f>CL340*($AU340-$BF340)</f>
        <v>-467.66014730014757</v>
      </c>
      <c r="CP340" s="27">
        <f>VLOOKUP(A340,Water!$A$2:$E$109, 5, FALSE)/1000</f>
        <v>1.1999999999999999E-4</v>
      </c>
      <c r="CQ340">
        <f>0.64*CP340</f>
        <v>7.6799999999999997E-5</v>
      </c>
      <c r="CR340" s="19">
        <f>CQ340*1000*(2.5*10^-5)</f>
        <v>1.9199999999999998E-6</v>
      </c>
      <c r="CS340" s="18">
        <f>(-0.0000009*F340^3)+(0.0002*F340^2)-(0.0134*F340)+6.579</f>
        <v>6.5011960703999998</v>
      </c>
      <c r="CT340" s="18">
        <f>CS340-(SQRT(CP340))/(1+1.4*SQRT(CP340))</f>
        <v>6.4904070816797494</v>
      </c>
      <c r="CU340" s="18">
        <f>10^(-CT340)</f>
        <v>3.2329048169548692E-7</v>
      </c>
      <c r="CV340" s="18">
        <f>(0.000001*F340^3)+(0.00006*F340^2)-(0.014*F340)+10.625</f>
        <v>10.538119743999999</v>
      </c>
      <c r="CW340" s="18">
        <f>CV340-(2*SQRT(CR340))/(1+1.4*SQRT(CR340))</f>
        <v>10.535353828299195</v>
      </c>
      <c r="CX340" s="18">
        <f>10^(-CW340)</f>
        <v>2.9150510965283593E-11</v>
      </c>
      <c r="CY340">
        <f>EXP(1246.98+-61900/H340-183*LN(H340))</f>
        <v>4.8954576567226118E-3</v>
      </c>
      <c r="CZ340">
        <f>12.225*(F340^2)+15.258*F340+1125.7</f>
        <v>1724.0872000000002</v>
      </c>
      <c r="DA340" s="15">
        <f>10^(-4470.99/H340+6.0875-0.01706*H340)</f>
        <v>2.1127674213153213E-15</v>
      </c>
      <c r="DB340">
        <f>(10^-I340)</f>
        <v>5.8884365535558713E-9</v>
      </c>
      <c r="DC340">
        <f>DB340^2</f>
        <v>3.4673685045252951E-17</v>
      </c>
      <c r="DD340" s="20">
        <f>((14.6836*10^-9)*((H340/217.2056)-1)^1.997)*100*100</f>
        <v>1.2142598333730381E-5</v>
      </c>
      <c r="DE340">
        <f>CY340+CZ340*DA340/DB340</f>
        <v>5.5140590859028386E-3</v>
      </c>
      <c r="DF340">
        <f>1+DC340*(CU340*CX340+CU340*DB340)^-1</f>
        <v>1.0181243493765364</v>
      </c>
      <c r="DG340">
        <f>(DE340*DF340/DD340)^0.5</f>
        <v>21.502071675247713</v>
      </c>
      <c r="DH340">
        <f>DD340/(BO340/60/60)</f>
        <v>3.2424345455418099E-2</v>
      </c>
      <c r="DI340" s="16">
        <f>DF340/((DF340-1)+TANH(DG340*DH340)/(DG340*DH340))</f>
        <v>1.153781495751053</v>
      </c>
      <c r="DJ340">
        <f>$DI340*BR340</f>
        <v>27.12059178222275</v>
      </c>
      <c r="DK340">
        <f>$DI340*BY340</f>
        <v>39.652457882474977</v>
      </c>
      <c r="DL340">
        <f>$DI340*CF340</f>
        <v>6.141066375916731</v>
      </c>
      <c r="DM340">
        <f>$DI340*CM340</f>
        <v>3287.1487639442776</v>
      </c>
    </row>
    <row r="341" spans="1:117" ht="15.75" x14ac:dyDescent="0.25">
      <c r="A341" s="52" t="s">
        <v>327</v>
      </c>
      <c r="B341" t="s">
        <v>342</v>
      </c>
      <c r="C341" s="64" t="s">
        <v>560</v>
      </c>
      <c r="D341" s="65">
        <v>43367</v>
      </c>
      <c r="E341" s="42" t="str">
        <f>A341&amp;D341</f>
        <v>66C43367</v>
      </c>
      <c r="F341" s="3">
        <f>VLOOKUP($E341,Water!$C$2:$E$90, 2, FALSE)</f>
        <v>6.4</v>
      </c>
      <c r="G341" s="3">
        <f>VLOOKUP($E341,Water!$C$2:$E$90, 3, FALSE)</f>
        <v>0.23</v>
      </c>
      <c r="H341" s="1">
        <f>F341+273.15</f>
        <v>279.54999999999995</v>
      </c>
      <c r="I341" s="3">
        <f>VLOOKUP($E341,Water!$C$2:$F$90, 4, FALSE)</f>
        <v>8.23</v>
      </c>
      <c r="J341">
        <f>10^(I341*-1)</f>
        <v>5.8884365535558713E-9</v>
      </c>
      <c r="K341" s="25">
        <f>VLOOKUP($E341,Atm!$D$2:$G$100, 2, FALSE)</f>
        <v>435.14357849666351</v>
      </c>
      <c r="L341" s="25">
        <f>VLOOKUP($E341,Atm!$D$2:$G$100, 3, FALSE)</f>
        <v>2.072074785495055</v>
      </c>
      <c r="M341" s="25">
        <f>VLOOKUP($E341,Atm!$D$2:$G$100, 4, FALSE)</f>
        <v>0.30746868509662872</v>
      </c>
      <c r="N341" s="21">
        <f>VLOOKUP($C341,Raw!$B$2:$F$353, 3, FALSE)</f>
        <v>725.35477495320026</v>
      </c>
      <c r="O341" s="21">
        <f>VLOOKUP($C341,Raw!$B$2:$F$353, 4, FALSE)</f>
        <v>187.82178772404009</v>
      </c>
      <c r="P341" s="21">
        <f>VLOOKUP($C341,Raw!$B$2:$F$353, 5, FALSE)</f>
        <v>0.27653447009149518</v>
      </c>
      <c r="Q341" s="14">
        <v>60</v>
      </c>
      <c r="R341" s="25">
        <v>1140</v>
      </c>
      <c r="S341">
        <f>EXP(24.4543-(100/H341*(67.4509))-(4.8489*LN(H341/100))-(0.000544*G341))</f>
        <v>9.4765735072867893E-3</v>
      </c>
      <c r="T341" s="8">
        <f>EXP(-58.0931+90.5069*(100/H341)+22.294*LN(H341/100)+G341*(0.027766-0.025888*(H341/100)+0.0050578*(H341/100)^2)*G341)</f>
        <v>6.0872959606905641E-2</v>
      </c>
      <c r="U341" s="9">
        <f>(EXP(-67.1962+99.1624*(100/H341)+27.9015*LN(H341/100)+G341*(-0.072909+0.041674*(H341/100)-0.0064603*(H341/100)^2)*G341))</f>
        <v>4.7769653968850162E-2</v>
      </c>
      <c r="V341" s="9">
        <f>(EXP(-64.8539+100.252*(100/H341)+25.2049*LN(H341/100)+(-0.062544+0.035337*(H341/100)-0.0054699*(H341/100)^2)*G341))</f>
        <v>4.5841688169769843E-2</v>
      </c>
      <c r="W341" s="9">
        <f>(EXP(-68.8862+101.4956*(100/H341)+28.7314*LN(H341/100)+G341*(-0.076146+0.04397*(H341/100)-0.0068672*(H341/100)^2)))</f>
        <v>4.7605255761038572E-2</v>
      </c>
      <c r="X341">
        <f>N341*(AZ341-S341)</f>
        <v>668.18326995155564</v>
      </c>
      <c r="Y341">
        <f>O341*(AZ341-S341)</f>
        <v>173.01792257132831</v>
      </c>
      <c r="Z341">
        <f>((Y341/10^6)*AZ341)/(0.082056*H341)</f>
        <v>7.0195831018680386E-6</v>
      </c>
      <c r="AA341">
        <f>(((L341/10^6)*AZ341)/(0.082056*H341))</f>
        <v>8.4067019958996274E-8</v>
      </c>
      <c r="AB341">
        <f>((Y341/10^6)*U341*1)/(0.082056*H341)</f>
        <v>3.6030753908410338E-7</v>
      </c>
      <c r="AC341">
        <f>(Z341*(Q341/1000))+(AB341*(R341/1000))</f>
        <v>8.3192558066796009E-7</v>
      </c>
      <c r="AD341" s="39">
        <f>((AC341-(AA341*(Q341/1000)))/(R341/1000))*1000000</f>
        <v>0.72533470128984245</v>
      </c>
      <c r="AE341" s="39">
        <f>(AD341/((U341*AZ341*1))*(0.0821*273.15))</f>
        <v>365.88167293877245</v>
      </c>
      <c r="AF341" s="39">
        <f>L341*U341*AZ341*1/(0.0821*273.15)</f>
        <v>4.1077426303305908E-3</v>
      </c>
      <c r="AG341" s="39">
        <f>AD341-AF341</f>
        <v>0.72122695865951192</v>
      </c>
      <c r="AH341" s="42">
        <f>P341*(AZ341-S341)</f>
        <v>0.25473838852439845</v>
      </c>
      <c r="AI341">
        <f>(((X341/10^6)*(Q341/1000))/(0.082056*H341))</f>
        <v>1.7477407360007761E-6</v>
      </c>
      <c r="AJ341">
        <f>(((K341/10^6)*AZ341)*(Q341/1000))/(0.082056*H341)</f>
        <v>1.0592636179326369E-6</v>
      </c>
      <c r="AK341">
        <f>(X341/10^6)*T341*(R341/1000)</f>
        <v>4.6368694250019134E-5</v>
      </c>
      <c r="AL341">
        <f>AI341+AK341</f>
        <v>4.8116434986019912E-5</v>
      </c>
      <c r="AM341" s="39">
        <f>((AL341-AJ341)/(R341/1000))*1000000</f>
        <v>41.278220498322177</v>
      </c>
      <c r="AN341" s="39">
        <f>AM341/(T341*AZ341)</f>
        <v>728.62905184076692</v>
      </c>
      <c r="AO341" s="39">
        <f>(K341*AZ341)*T341</f>
        <v>24.651710683558644</v>
      </c>
      <c r="AP341" s="39">
        <f>AM341-AO341</f>
        <v>16.626509814763534</v>
      </c>
      <c r="AQ341">
        <f>(((AH341/10^6)*(Q341/1000))/(0.082056*H341))</f>
        <v>6.6630919789351033E-10</v>
      </c>
      <c r="AR341">
        <f>(((M341/10^6)*AZ341)*(Q341/1000))/(0.082056*H341)</f>
        <v>7.4846650133650707E-10</v>
      </c>
      <c r="AS341">
        <f>(AH341/10^6)*V341*(R341/1000)</f>
        <v>1.331250705962987E-8</v>
      </c>
      <c r="AT341">
        <f>AQ341+AS341</f>
        <v>1.3978816257523381E-8</v>
      </c>
      <c r="AU341" s="39">
        <f>((AT341-AR341)/(R341/1000))*1000000000</f>
        <v>11.605569961567435</v>
      </c>
      <c r="AV341" s="39">
        <f>(AU341/1000)/(V341*AZ341)</f>
        <v>0.27202937615184375</v>
      </c>
      <c r="AW341" s="39">
        <f>(M341*AZ341)*V341*1000</f>
        <v>13.117514683003421</v>
      </c>
      <c r="AX341" s="39">
        <f>AU341-AW341</f>
        <v>-1.5119447214359862</v>
      </c>
      <c r="AY341" s="26">
        <f>VLOOKUP($E341,Water!$C$2:$G$90, 5, FALSE)</f>
        <v>707.3</v>
      </c>
      <c r="AZ341">
        <f>AY341/760</f>
        <v>0.93065789473684202</v>
      </c>
      <c r="BA341" s="3">
        <f>Assumptions!$B$3</f>
        <v>406.07</v>
      </c>
      <c r="BB341" s="3">
        <f>BA341*AZ341*T341</f>
        <v>23.004637209300824</v>
      </c>
      <c r="BC341" s="3">
        <f>Assumptions!$B$4</f>
        <v>1.8474300000000001</v>
      </c>
      <c r="BD341" s="45">
        <f>BC341*AZ341*U341*1/(0.0821*273.15)</f>
        <v>3.6624001318265914E-3</v>
      </c>
      <c r="BE341" s="3">
        <f>Assumptions!$B$2</f>
        <v>0.33054499999999998</v>
      </c>
      <c r="BF341" s="44">
        <f>BE341*AZ341*V341*1000</f>
        <v>14.102017867382839</v>
      </c>
      <c r="BG341">
        <f>1923.6+(-125.06*F341)+(4.3773*(F341^2))+(-0.085681*(F341^3))+(0.00070284*(F341^4))</f>
        <v>1281.2286177853439</v>
      </c>
      <c r="BH341">
        <f>1909.4+(-120.78*F341)+(4.1555*(F341^2))+(-0.080578*(F341^3))+(0.00065777*(F341^4))</f>
        <v>1286.5977957048319</v>
      </c>
      <c r="BI341">
        <f>2141.2+(-152.56*F341)+(5.8963*(F341^2))+(-0.12411*(F341^3))+(0.0010655*(F341^4))</f>
        <v>1375.5813685247997</v>
      </c>
      <c r="BJ341" s="25">
        <f>VLOOKUP(E341,Wind!$C$2:$E$109,3, FALSE)</f>
        <v>1.6666666666666667</v>
      </c>
      <c r="BK341" s="44">
        <v>1.66</v>
      </c>
      <c r="BL341">
        <f>BK341/(1-(((1.3*10^-3)^0.5)/0.41)*LN(10/1.5))</f>
        <v>1.9923982880693825</v>
      </c>
      <c r="BM341">
        <f>BK341*1.22</f>
        <v>2.0251999999999999</v>
      </c>
      <c r="BN341">
        <f>2.07+0.215*(BM341^1.7)*(24/100)</f>
        <v>2.241255750541113</v>
      </c>
      <c r="BO341">
        <f>BN341*((600/BG341)^0.67)</f>
        <v>1.3481645778025992</v>
      </c>
      <c r="BP341">
        <f>BN341*((600/BH341)^0.67)</f>
        <v>1.3443924864549108</v>
      </c>
      <c r="BQ341">
        <f>BN341*((600/BI341)^0.67)</f>
        <v>1.2854847939829288</v>
      </c>
      <c r="BR341" s="39">
        <f>BO341*(AM341-BB341)</f>
        <v>24.635797699784106</v>
      </c>
      <c r="BS341" s="39">
        <f>BP341*(AD341-BD341)</f>
        <v>0.97021081935946218</v>
      </c>
      <c r="BT341" s="39">
        <f>BQ341*(AU341-BF341)</f>
        <v>-3.2091458218962297</v>
      </c>
      <c r="BU341">
        <f>(2.51+1.48*BM341)+(0.39*BM341*LOG10(0.0015))</f>
        <v>3.2768938069574309</v>
      </c>
      <c r="BV341">
        <f>BU341*((600/$BG341)^0.67)</f>
        <v>1.9711236233054243</v>
      </c>
      <c r="BW341">
        <f>BU341*((600/$BH341)^0.67)</f>
        <v>1.9656085263453682</v>
      </c>
      <c r="BX341">
        <f>BU341*((600/$BI341)^0.67)</f>
        <v>1.8794808041534736</v>
      </c>
      <c r="BY341" s="39">
        <f>BV341*($AM341-$BB341)</f>
        <v>36.019491703429225</v>
      </c>
      <c r="BZ341" s="39">
        <f>BW341*($AD341-$BD341)</f>
        <v>1.4185252283834782</v>
      </c>
      <c r="CA341" s="39">
        <f>BX341*($AU341-$BF341)</f>
        <v>-4.6920259175491923</v>
      </c>
      <c r="CB341" s="42">
        <f>AVERAGE(0.72,0.69,0.4,0.22)</f>
        <v>0.50750000000000006</v>
      </c>
      <c r="CC341">
        <f>CB341*((600/$BG341)^0.67)</f>
        <v>0.30527240055920984</v>
      </c>
      <c r="CD341">
        <f>CB341*((600/$BH341)^0.67)</f>
        <v>0.30441826494416918</v>
      </c>
      <c r="CE341">
        <f>CB341*((600/$BI341)^0.67)</f>
        <v>0.29107946863664691</v>
      </c>
      <c r="CF341" s="39">
        <f>CC341*($AM341-$BB341)</f>
        <v>5.5784206374582102</v>
      </c>
      <c r="CG341" s="39">
        <f>CD341*($AD341-$BD341)</f>
        <v>0.21969022977678912</v>
      </c>
      <c r="CH341" s="39">
        <f>CE341*($AU341-$BF341)</f>
        <v>-0.72666472990381792</v>
      </c>
      <c r="CI341">
        <v>164.86263901889501</v>
      </c>
      <c r="CJ341">
        <f>((BG341/BH341)^0.67)*CI341</f>
        <v>164.40136229909436</v>
      </c>
      <c r="CK341">
        <f>((BH341/BH341)^0.67)*CI341</f>
        <v>164.86263901889501</v>
      </c>
      <c r="CL341">
        <f>((BI341/BH341)^0.67)*CI341</f>
        <v>172.41751456849519</v>
      </c>
      <c r="CM341" s="39">
        <f>CJ341*($AM341-$BB341)</f>
        <v>3004.2019868010757</v>
      </c>
      <c r="CN341" s="39">
        <f>CK341*($AD341-$BD341)</f>
        <v>118.97680007574925</v>
      </c>
      <c r="CO341" s="39">
        <f>CL341*($AU341-$BF341)</f>
        <v>-430.43134317041688</v>
      </c>
      <c r="CP341" s="27">
        <f>VLOOKUP(A341,Water!$A$2:$E$109, 5, FALSE)/1000</f>
        <v>1.1999999999999999E-4</v>
      </c>
      <c r="CQ341">
        <f>0.64*CP341</f>
        <v>7.6799999999999997E-5</v>
      </c>
      <c r="CR341" s="19">
        <f>CQ341*1000*(2.5*10^-5)</f>
        <v>1.9199999999999998E-6</v>
      </c>
      <c r="CS341" s="18">
        <f>(-0.0000009*F341^3)+(0.0002*F341^2)-(0.0134*F341)+6.579</f>
        <v>6.5011960703999998</v>
      </c>
      <c r="CT341" s="18">
        <f>CS341-(SQRT(CP341))/(1+1.4*SQRT(CP341))</f>
        <v>6.4904070816797494</v>
      </c>
      <c r="CU341" s="18">
        <f>10^(-CT341)</f>
        <v>3.2329048169548692E-7</v>
      </c>
      <c r="CV341" s="18">
        <f>(0.000001*F341^3)+(0.00006*F341^2)-(0.014*F341)+10.625</f>
        <v>10.538119743999999</v>
      </c>
      <c r="CW341" s="18">
        <f>CV341-(2*SQRT(CR341))/(1+1.4*SQRT(CR341))</f>
        <v>10.535353828299195</v>
      </c>
      <c r="CX341" s="18">
        <f>10^(-CW341)</f>
        <v>2.9150510965283593E-11</v>
      </c>
      <c r="CY341">
        <f>EXP(1246.98+-61900/H341-183*LN(H341))</f>
        <v>4.8954576567226118E-3</v>
      </c>
      <c r="CZ341">
        <f>12.225*(F341^2)+15.258*F341+1125.7</f>
        <v>1724.0872000000002</v>
      </c>
      <c r="DA341" s="15">
        <f>10^(-4470.99/H341+6.0875-0.01706*H341)</f>
        <v>2.1127674213153213E-15</v>
      </c>
      <c r="DB341">
        <f>(10^-I341)</f>
        <v>5.8884365535558713E-9</v>
      </c>
      <c r="DC341">
        <f>DB341^2</f>
        <v>3.4673685045252951E-17</v>
      </c>
      <c r="DD341" s="20">
        <f>((14.6836*10^-9)*((H341/217.2056)-1)^1.997)*100*100</f>
        <v>1.2142598333730381E-5</v>
      </c>
      <c r="DE341">
        <f>CY341+CZ341*DA341/DB341</f>
        <v>5.5140590859028386E-3</v>
      </c>
      <c r="DF341">
        <f>1+DC341*(CU341*CX341+CU341*DB341)^-1</f>
        <v>1.0181243493765364</v>
      </c>
      <c r="DG341">
        <f>(DE341*DF341/DD341)^0.5</f>
        <v>21.502071675247713</v>
      </c>
      <c r="DH341">
        <f>DD341/(BO341/60/60)</f>
        <v>3.2424345455418099E-2</v>
      </c>
      <c r="DI341" s="16">
        <f>DF341/((DF341-1)+TANH(DG341*DH341)/(DG341*DH341))</f>
        <v>1.153781495751053</v>
      </c>
      <c r="DJ341">
        <f>$DI341*BR341</f>
        <v>28.424327519077259</v>
      </c>
      <c r="DK341">
        <f>$DI341*BY341</f>
        <v>41.558623013775218</v>
      </c>
      <c r="DL341">
        <f>$DI341*CF341</f>
        <v>6.4362785070150768</v>
      </c>
      <c r="DM341">
        <f>$DI341*CM341</f>
        <v>3466.1926618696302</v>
      </c>
    </row>
    <row r="342" spans="1:117" ht="15.75" x14ac:dyDescent="0.25">
      <c r="A342" s="52" t="s">
        <v>326</v>
      </c>
      <c r="B342" t="s">
        <v>339</v>
      </c>
      <c r="C342" s="64" t="s">
        <v>561</v>
      </c>
      <c r="D342" s="65">
        <v>43367</v>
      </c>
      <c r="E342" s="42" t="str">
        <f>A342&amp;D342</f>
        <v>66B43367</v>
      </c>
      <c r="F342" s="3">
        <f>VLOOKUP($E342,Water!$C$2:$E$90, 2, FALSE)</f>
        <v>6</v>
      </c>
      <c r="G342" s="3">
        <f>VLOOKUP($E342,Water!$C$2:$E$90, 3, FALSE)</f>
        <v>1.27</v>
      </c>
      <c r="H342" s="1">
        <f>F342+273.15</f>
        <v>279.14999999999998</v>
      </c>
      <c r="I342" s="3">
        <f>VLOOKUP($E342,Water!$C$2:$F$90, 4, FALSE)</f>
        <v>7.96</v>
      </c>
      <c r="J342">
        <f>10^(I342*-1)</f>
        <v>1.0964781961431828E-8</v>
      </c>
      <c r="K342" s="25">
        <f>VLOOKUP($E342,Atm!$D$2:$G$100, 2, FALSE)</f>
        <v>441.7141509339242</v>
      </c>
      <c r="L342" s="25">
        <f>VLOOKUP($E342,Atm!$D$2:$G$100, 3, FALSE)</f>
        <v>2.0511175889122049</v>
      </c>
      <c r="M342" s="25">
        <f>VLOOKUP($E342,Atm!$D$2:$G$100, 4, FALSE)</f>
        <v>0.31042883380263003</v>
      </c>
      <c r="N342" s="21">
        <f>VLOOKUP($C342,Raw!$B$2:$F$353, 3, FALSE)</f>
        <v>1039.334332641529</v>
      </c>
      <c r="O342" s="21">
        <f>VLOOKUP($C342,Raw!$B$2:$F$353, 4, FALSE)</f>
        <v>138.14216339372811</v>
      </c>
      <c r="P342" s="21">
        <f>VLOOKUP($C342,Raw!$B$2:$F$353, 5, FALSE)</f>
        <v>0.29804571532455809</v>
      </c>
      <c r="Q342" s="14">
        <v>60</v>
      </c>
      <c r="R342" s="25">
        <v>1140</v>
      </c>
      <c r="S342">
        <f>EXP(24.4543-(100/H342*(67.4509))-(4.8489*LN(H342/100))-(0.000544*G342))</f>
        <v>9.2130972644365525E-3</v>
      </c>
      <c r="T342" s="8">
        <f>EXP(-58.0931+90.5069*(100/H342)+22.294*LN(H342/100)+G342*(0.027766-0.025888*(H342/100)+0.0050578*(H342/100)^2)*G342)</f>
        <v>6.1271903899995421E-2</v>
      </c>
      <c r="U342" s="9">
        <f>(EXP(-67.1962+99.1624*(100/H342)+27.9015*LN(H342/100)+G342*(-0.072909+0.041674*(H342/100)-0.0064603*(H342/100)^2)*G342))</f>
        <v>4.7773662705198901E-2</v>
      </c>
      <c r="V342" s="9">
        <f>(EXP(-64.8539+100.252*(100/H342)+25.2049*LN(H342/100)+(-0.062544+0.035337*(H342/100)-0.0054699*(H342/100)^2)*G342))</f>
        <v>4.6233295869330573E-2</v>
      </c>
      <c r="W342" s="9">
        <f>(EXP(-68.8862+101.4956*(100/H342)+28.7314*LN(H342/100)+G342*(-0.076146+0.04397*(H342/100)-0.0068672*(H342/100)^2)))</f>
        <v>4.7781070538747368E-2</v>
      </c>
      <c r="X342">
        <f>N342*(AZ342-S342)</f>
        <v>957.14219557718025</v>
      </c>
      <c r="Y342">
        <f>O342*(AZ342-S342)</f>
        <v>127.21767136894759</v>
      </c>
      <c r="Z342">
        <f>((Y342/10^6)*AZ342)/(0.082056*H342)</f>
        <v>5.1658745635871456E-6</v>
      </c>
      <c r="AA342">
        <f>(((L342/10^6)*AZ342)/(0.082056*H342))</f>
        <v>8.3288870684942238E-8</v>
      </c>
      <c r="AB342">
        <f>((Y342/10^6)*U342*1)/(0.082056*H342)</f>
        <v>2.6533100753064926E-7</v>
      </c>
      <c r="AC342">
        <f>(Z342*(Q342/1000))+(AB342*(R342/1000))</f>
        <v>6.1242982240016889E-7</v>
      </c>
      <c r="AD342" s="39">
        <f>((AC342-(AA342*(Q342/1000)))/(R342/1000))*1000000</f>
        <v>0.53283551768339688</v>
      </c>
      <c r="AE342" s="39">
        <f>(AD342/((U342*AZ342*1))*(0.0821*273.15))</f>
        <v>268.90854315692508</v>
      </c>
      <c r="AF342" s="39">
        <f>L342*U342*AZ342*1/(0.0821*273.15)</f>
        <v>4.0642379356455567E-3</v>
      </c>
      <c r="AG342" s="39">
        <f>AD342-AF342</f>
        <v>0.52877127974775129</v>
      </c>
      <c r="AH342" s="42">
        <f>P342*(AZ342-S342)</f>
        <v>0.27447580762879537</v>
      </c>
      <c r="AI342">
        <f>(((X342/10^6)*(Q342/1000))/(0.082056*H342))</f>
        <v>2.5071466523070163E-6</v>
      </c>
      <c r="AJ342">
        <f>(((K342/10^6)*AZ342)*(Q342/1000))/(0.082056*H342)</f>
        <v>1.0761900632822104E-6</v>
      </c>
      <c r="AK342">
        <f>(X342/10^6)*T342*(R342/1000)</f>
        <v>6.6856354073680584E-5</v>
      </c>
      <c r="AL342">
        <f>AI342+AK342</f>
        <v>6.9363500725987603E-5</v>
      </c>
      <c r="AM342" s="39">
        <f>((AL342-AJ342)/(R342/1000))*1000000</f>
        <v>59.90114970412754</v>
      </c>
      <c r="AN342" s="39">
        <f>AM342/(T342*AZ342)</f>
        <v>1051.0645614247298</v>
      </c>
      <c r="AO342" s="39">
        <f>(K342*AZ342)*T342</f>
        <v>25.173701457176769</v>
      </c>
      <c r="AP342" s="39">
        <f>AM342-AO342</f>
        <v>34.727448246950772</v>
      </c>
      <c r="AQ342">
        <f>(((AH342/10^6)*(Q342/1000))/(0.082056*H342))</f>
        <v>7.1896433509634053E-10</v>
      </c>
      <c r="AR342">
        <f>(((M342/10^6)*AZ342)*(Q342/1000))/(0.082056*H342)</f>
        <v>7.5632719845701766E-10</v>
      </c>
      <c r="AS342">
        <f>(AH342/10^6)*V342*(R342/1000)</f>
        <v>1.4466510194306134E-8</v>
      </c>
      <c r="AT342">
        <f>AQ342+AS342</f>
        <v>1.5185474529402476E-8</v>
      </c>
      <c r="AU342" s="39">
        <f>((AT342-AR342)/(R342/1000))*1000000000</f>
        <v>12.657146781531106</v>
      </c>
      <c r="AV342" s="39">
        <f>(AU342/1000)/(V342*AZ342)</f>
        <v>0.29433138409692866</v>
      </c>
      <c r="AW342" s="39">
        <f>(M342*AZ342)*V342*1000</f>
        <v>13.349386191740514</v>
      </c>
      <c r="AX342" s="39">
        <f>AU342-AW342</f>
        <v>-0.69223941020940849</v>
      </c>
      <c r="AY342" s="26">
        <f>VLOOKUP($E342,Water!$C$2:$G$90, 5, FALSE)</f>
        <v>706.9</v>
      </c>
      <c r="AZ342">
        <f>AY342/760</f>
        <v>0.93013157894736842</v>
      </c>
      <c r="BA342" s="3">
        <f>Assumptions!$B$3</f>
        <v>406.07</v>
      </c>
      <c r="BB342" s="3">
        <f>BA342*AZ342*T342</f>
        <v>23.142308049453721</v>
      </c>
      <c r="BC342" s="3">
        <f>Assumptions!$B$4</f>
        <v>1.8474300000000001</v>
      </c>
      <c r="BD342" s="45">
        <f>BC342*AZ342*U342*1/(0.0821*273.15)</f>
        <v>3.660636099089616E-3</v>
      </c>
      <c r="BE342" s="3">
        <f>Assumptions!$B$2</f>
        <v>0.33054499999999998</v>
      </c>
      <c r="BF342" s="44">
        <f>BE342*AZ342*V342*1000</f>
        <v>14.214442662096175</v>
      </c>
      <c r="BG342">
        <f>1923.6+(-125.06*F342)+(4.3773*(F342^2))+(-0.085681*(F342^3))+(0.00070284*(F342^4))</f>
        <v>1313.2265846399996</v>
      </c>
      <c r="BH342">
        <f>1909.4+(-120.78*F342)+(4.1555*(F342^2))+(-0.080578*(F342^3))+(0.00065777*(F342^4))</f>
        <v>1317.7656219200001</v>
      </c>
      <c r="BI342">
        <f>2141.2+(-152.56*F342)+(5.8963*(F342^2))+(-0.12411*(F342^3))+(0.0010655*(F342^4))</f>
        <v>1412.6799279999996</v>
      </c>
      <c r="BJ342" s="25">
        <f>VLOOKUP(E342,Wind!$C$2:$E$109,3, FALSE)</f>
        <v>2.75</v>
      </c>
      <c r="BK342" s="44">
        <v>1.66</v>
      </c>
      <c r="BL342">
        <f>BK342/(1-(((1.3*10^-3)^0.5)/0.41)*LN(10/1.5))</f>
        <v>1.9923982880693825</v>
      </c>
      <c r="BM342">
        <f>BK342*1.22</f>
        <v>2.0251999999999999</v>
      </c>
      <c r="BN342">
        <f>2.07+0.215*(BM342^1.7)*(24/100)</f>
        <v>2.241255750541113</v>
      </c>
      <c r="BO342">
        <f>BN342*((600/BG342)^0.67)</f>
        <v>1.3260661174857507</v>
      </c>
      <c r="BP342">
        <f>BN342*((600/BH342)^0.67)</f>
        <v>1.3230040645633194</v>
      </c>
      <c r="BQ342">
        <f>BN342*((600/BI342)^0.67)</f>
        <v>1.2627675866558403</v>
      </c>
      <c r="BR342" s="39">
        <f>BO342*(AM342-BB342)</f>
        <v>48.744654436286794</v>
      </c>
      <c r="BS342" s="39">
        <f>BP342*(AD342-BD342)</f>
        <v>0.7001005192008517</v>
      </c>
      <c r="BT342" s="39">
        <f>BQ342*(AU342-BF342)</f>
        <v>-1.9665027608102348</v>
      </c>
      <c r="BU342">
        <f>(2.51+1.48*BM342)+(0.39*BM342*LOG10(0.0015))</f>
        <v>3.2768938069574309</v>
      </c>
      <c r="BV342">
        <f>BU342*((600/$BG342)^0.67)</f>
        <v>1.9388139202569916</v>
      </c>
      <c r="BW342">
        <f>BU342*((600/$BH342)^0.67)</f>
        <v>1.9343369558339585</v>
      </c>
      <c r="BX342">
        <f>BU342*((600/$BI342)^0.67)</f>
        <v>1.8462664438630287</v>
      </c>
      <c r="BY342" s="39">
        <f>BV342*($AM342-$BB342)</f>
        <v>71.268553892604146</v>
      </c>
      <c r="BZ342" s="39">
        <f>BW342*($AD342-$BD342)</f>
        <v>1.0236025295475843</v>
      </c>
      <c r="CA342" s="39">
        <f>BX342*($AU342-$BF342)</f>
        <v>-2.8751831274534152</v>
      </c>
      <c r="CB342" s="42">
        <f>AVERAGE(0.72,0.69,0.4,0.22)</f>
        <v>0.50750000000000006</v>
      </c>
      <c r="CC342">
        <f>CB342*((600/$BG342)^0.67)</f>
        <v>0.30026852333185955</v>
      </c>
      <c r="CD342">
        <f>CB342*((600/$BH342)^0.67)</f>
        <v>0.29957516566495396</v>
      </c>
      <c r="CE342">
        <f>CB342*((600/$BI342)^0.67)</f>
        <v>0.28593548508380429</v>
      </c>
      <c r="CF342" s="39">
        <f>CC342*($AM342-$BB342)</f>
        <v>11.037523103038556</v>
      </c>
      <c r="CG342" s="39">
        <f>CD342*($AD342-$BD342)</f>
        <v>0.15852765281635123</v>
      </c>
      <c r="CH342" s="39">
        <f>CE342*($AU342-$BF342)</f>
        <v>-0.44528615302838331</v>
      </c>
      <c r="CI342">
        <v>165.86263901889501</v>
      </c>
      <c r="CJ342">
        <f>((BG342/BH342)^0.67)*CI342</f>
        <v>165.47964139016975</v>
      </c>
      <c r="CK342">
        <f>((BH342/BH342)^0.67)*CI342</f>
        <v>165.86263901889501</v>
      </c>
      <c r="CL342">
        <f>((BI342/BH342)^0.67)*CI342</f>
        <v>173.77461054597291</v>
      </c>
      <c r="CM342" s="39">
        <f>CJ342*($AM342-$BB342)</f>
        <v>6082.8399349334568</v>
      </c>
      <c r="CN342" s="39">
        <f>CK342*($AD342-$BD342)</f>
        <v>87.770342362084463</v>
      </c>
      <c r="CO342" s="39">
        <f>CL342*($AU342-$BF342)</f>
        <v>-270.61848515004289</v>
      </c>
      <c r="CP342" s="27">
        <f>VLOOKUP(A342,Water!$A$2:$E$109, 5, FALSE)/1000</f>
        <v>6.6E-4</v>
      </c>
      <c r="CQ342">
        <f>0.64*CP342</f>
        <v>4.2240000000000002E-4</v>
      </c>
      <c r="CR342" s="19">
        <f>CQ342*1000*(2.5*10^-5)</f>
        <v>1.0560000000000001E-5</v>
      </c>
      <c r="CS342" s="18">
        <f>(-0.0000009*F342^3)+(0.0002*F342^2)-(0.0134*F342)+6.579</f>
        <v>6.5056056</v>
      </c>
      <c r="CT342" s="18">
        <f>CS342-(SQRT(CP342))/(1+1.4*SQRT(CP342))</f>
        <v>6.4808070554454336</v>
      </c>
      <c r="CU342" s="18">
        <f>10^(-CT342)</f>
        <v>3.3051634733595832E-7</v>
      </c>
      <c r="CV342" s="18">
        <f>(0.000001*F342^3)+(0.00006*F342^2)-(0.014*F342)+10.625</f>
        <v>10.543376</v>
      </c>
      <c r="CW342" s="18">
        <f>CV342-(2*SQRT(CR342))/(1+1.4*SQRT(CR342))</f>
        <v>10.536906203367028</v>
      </c>
      <c r="CX342" s="18">
        <f>10^(-CW342)</f>
        <v>2.904649917703897E-11</v>
      </c>
      <c r="CY342">
        <f>EXP(1246.98+-61900/H342-183*LN(H342))</f>
        <v>4.6323151776546676E-3</v>
      </c>
      <c r="CZ342">
        <f>12.225*(F342^2)+15.258*F342+1125.7</f>
        <v>1657.348</v>
      </c>
      <c r="DA342" s="15">
        <f>10^(-4470.99/H342+6.0875-0.01706*H342)</f>
        <v>2.0359083674545998E-15</v>
      </c>
      <c r="DB342">
        <f>(10^-I342)</f>
        <v>1.0964781961431828E-8</v>
      </c>
      <c r="DC342">
        <f>DB342^2</f>
        <v>1.2022644346174082E-16</v>
      </c>
      <c r="DD342" s="20">
        <f>((14.6836*10^-9)*((H342/217.2056)-1)^1.997)*100*100</f>
        <v>1.1987516485047649E-5</v>
      </c>
      <c r="DE342">
        <f>CY342+CZ342*DA342/DB342</f>
        <v>4.9400466649612814E-3</v>
      </c>
      <c r="DF342">
        <f>1+DC342*(CU342*CX342+CU342*DB342)^-1</f>
        <v>1.0330870539184405</v>
      </c>
      <c r="DG342">
        <f>(DE342*DF342/DD342)^0.5</f>
        <v>20.633332492988366</v>
      </c>
      <c r="DH342">
        <f>DD342/(BO342/60/60)</f>
        <v>3.2543670920417184E-2</v>
      </c>
      <c r="DI342" s="16">
        <f>DF342/((DF342-1)+TANH(DG342*DH342)/(DG342*DH342))</f>
        <v>1.1406325781885289</v>
      </c>
      <c r="DJ342">
        <f>$DI342*BR342</f>
        <v>55.599740862570719</v>
      </c>
      <c r="DK342">
        <f>$DI342*BY342</f>
        <v>81.291234370289189</v>
      </c>
      <c r="DL342">
        <f>$DI342*CF342</f>
        <v>12.589758433834319</v>
      </c>
      <c r="DM342">
        <f>$DI342*CM342</f>
        <v>6938.285397691292</v>
      </c>
    </row>
    <row r="343" spans="1:117" ht="15.75" x14ac:dyDescent="0.25">
      <c r="A343" s="52" t="s">
        <v>326</v>
      </c>
      <c r="B343" t="s">
        <v>340</v>
      </c>
      <c r="C343" s="64" t="s">
        <v>562</v>
      </c>
      <c r="D343" s="65">
        <v>43367</v>
      </c>
      <c r="E343" s="42" t="str">
        <f>A343&amp;D343</f>
        <v>66B43367</v>
      </c>
      <c r="F343" s="3">
        <f>VLOOKUP($E343,Water!$C$2:$E$90, 2, FALSE)</f>
        <v>6</v>
      </c>
      <c r="G343" s="3">
        <f>VLOOKUP($E343,Water!$C$2:$E$90, 3, FALSE)</f>
        <v>1.27</v>
      </c>
      <c r="H343" s="1">
        <f>F343+273.15</f>
        <v>279.14999999999998</v>
      </c>
      <c r="I343" s="3">
        <f>VLOOKUP($E343,Water!$C$2:$F$90, 4, FALSE)</f>
        <v>7.96</v>
      </c>
      <c r="J343">
        <f>10^(I343*-1)</f>
        <v>1.0964781961431828E-8</v>
      </c>
      <c r="K343" s="25">
        <f>VLOOKUP($E343,Atm!$D$2:$G$100, 2, FALSE)</f>
        <v>441.7141509339242</v>
      </c>
      <c r="L343" s="25">
        <f>VLOOKUP($E343,Atm!$D$2:$G$100, 3, FALSE)</f>
        <v>2.0511175889122049</v>
      </c>
      <c r="M343" s="25">
        <f>VLOOKUP($E343,Atm!$D$2:$G$100, 4, FALSE)</f>
        <v>0.31042883380263003</v>
      </c>
      <c r="N343" s="21">
        <f>VLOOKUP($C343,Raw!$B$2:$F$353, 3, FALSE)</f>
        <v>1045.8800891213041</v>
      </c>
      <c r="O343" s="21">
        <f>VLOOKUP($C343,Raw!$B$2:$F$353, 4, FALSE)</f>
        <v>138.8747435050723</v>
      </c>
      <c r="P343" s="21">
        <f>VLOOKUP($C343,Raw!$B$2:$F$353, 5, FALSE)</f>
        <v>0.29955787040662163</v>
      </c>
      <c r="Q343" s="14">
        <v>60</v>
      </c>
      <c r="R343" s="25">
        <v>1140</v>
      </c>
      <c r="S343">
        <f>EXP(24.4543-(100/H343*(67.4509))-(4.8489*LN(H343/100))-(0.000544*G343))</f>
        <v>9.2130972644365525E-3</v>
      </c>
      <c r="T343" s="8">
        <f>EXP(-58.0931+90.5069*(100/H343)+22.294*LN(H343/100)+G343*(0.027766-0.025888*(H343/100)+0.0050578*(H343/100)^2)*G343)</f>
        <v>6.1271903899995421E-2</v>
      </c>
      <c r="U343" s="9">
        <f>(EXP(-67.1962+99.1624*(100/H343)+27.9015*LN(H343/100)+G343*(-0.072909+0.041674*(H343/100)-0.0064603*(H343/100)^2)*G343))</f>
        <v>4.7773662705198901E-2</v>
      </c>
      <c r="V343" s="9">
        <f>(EXP(-64.8539+100.252*(100/H343)+25.2049*LN(H343/100)+(-0.062544+0.035337*(H343/100)-0.0054699*(H343/100)^2)*G343))</f>
        <v>4.6233295869330573E-2</v>
      </c>
      <c r="W343" s="9">
        <f>(EXP(-68.8862+101.4956*(100/H343)+28.7314*LN(H343/100)+G343*(-0.076146+0.04397*(H343/100)-0.0068672*(H343/100)^2)))</f>
        <v>4.7781070538747368E-2</v>
      </c>
      <c r="X343">
        <f>N343*(AZ343-S343)</f>
        <v>963.17030369600081</v>
      </c>
      <c r="Y343">
        <f>O343*(AZ343-S343)</f>
        <v>127.89231793279779</v>
      </c>
      <c r="Z343">
        <f>((Y343/10^6)*AZ343)/(0.082056*H343)</f>
        <v>5.1932696533266665E-6</v>
      </c>
      <c r="AA343">
        <f>(((L343/10^6)*AZ343)/(0.082056*H343))</f>
        <v>8.3288870684942238E-8</v>
      </c>
      <c r="AB343">
        <f>((Y343/10^6)*U343*1)/(0.082056*H343)</f>
        <v>2.6673808133248234E-7</v>
      </c>
      <c r="AC343">
        <f>(Z343*(Q343/1000))+(AB343*(R343/1000))</f>
        <v>6.156775919186299E-7</v>
      </c>
      <c r="AD343" s="39">
        <f>((AC343-(AA343*(Q343/1000)))/(R343/1000))*1000000</f>
        <v>0.53568443831362578</v>
      </c>
      <c r="AE343" s="39">
        <f>(AD343/((U343*AZ343*1))*(0.0821*273.15))</f>
        <v>270.34632099045865</v>
      </c>
      <c r="AF343" s="39">
        <f>L343*U343*AZ343*1/(0.0821*273.15)</f>
        <v>4.0642379356455567E-3</v>
      </c>
      <c r="AG343" s="39">
        <f>AD343-AF343</f>
        <v>0.53162020037798019</v>
      </c>
      <c r="AH343" s="42">
        <f>P343*(AZ343-S343)</f>
        <v>0.27586837919103846</v>
      </c>
      <c r="AI343">
        <f>(((X343/10^6)*(Q343/1000))/(0.082056*H343))</f>
        <v>2.5229367315237539E-6</v>
      </c>
      <c r="AJ343">
        <f>(((K343/10^6)*AZ343)*(Q343/1000))/(0.082056*H343)</f>
        <v>1.0761900632822104E-6</v>
      </c>
      <c r="AK343">
        <f>(X343/10^6)*T343*(R343/1000)</f>
        <v>6.7277417247625475E-5</v>
      </c>
      <c r="AL343">
        <f>AI343+AK343</f>
        <v>6.9800353979149231E-5</v>
      </c>
      <c r="AM343" s="39">
        <f>((AL343-AJ343)/(R343/1000))*1000000</f>
        <v>60.284354312164055</v>
      </c>
      <c r="AN343" s="39">
        <f>AM343/(T343*AZ343)</f>
        <v>1057.7885188991902</v>
      </c>
      <c r="AO343" s="39">
        <f>(K343*AZ343)*T343</f>
        <v>25.173701457176769</v>
      </c>
      <c r="AP343" s="39">
        <f>AM343-AO343</f>
        <v>35.110652854987286</v>
      </c>
      <c r="AQ343">
        <f>(((AH343/10^6)*(Q343/1000))/(0.082056*H343))</f>
        <v>7.2261204924634756E-10</v>
      </c>
      <c r="AR343">
        <f>(((M343/10^6)*AZ343)*(Q343/1000))/(0.082056*H343)</f>
        <v>7.5632719845701766E-10</v>
      </c>
      <c r="AS343">
        <f>(AH343/10^6)*V343*(R343/1000)</f>
        <v>1.4539907011590433E-8</v>
      </c>
      <c r="AT343">
        <f>AQ343+AS343</f>
        <v>1.526251906083678E-8</v>
      </c>
      <c r="AU343" s="39">
        <f>((AT343-AR343)/(R343/1000))*1000000000</f>
        <v>12.724729703841898</v>
      </c>
      <c r="AV343" s="39">
        <f>(AU343/1000)/(V343*AZ343)</f>
        <v>0.29590296854707315</v>
      </c>
      <c r="AW343" s="39">
        <f>(M343*AZ343)*V343*1000</f>
        <v>13.349386191740514</v>
      </c>
      <c r="AX343" s="39">
        <f>AU343-AW343</f>
        <v>-0.62465648789861561</v>
      </c>
      <c r="AY343" s="26">
        <f>VLOOKUP($E343,Water!$C$2:$G$90, 5, FALSE)</f>
        <v>706.9</v>
      </c>
      <c r="AZ343">
        <f>AY343/760</f>
        <v>0.93013157894736842</v>
      </c>
      <c r="BA343" s="3">
        <f>Assumptions!$B$3</f>
        <v>406.07</v>
      </c>
      <c r="BB343" s="3">
        <f>BA343*AZ343*T343</f>
        <v>23.142308049453721</v>
      </c>
      <c r="BC343" s="3">
        <f>Assumptions!$B$4</f>
        <v>1.8474300000000001</v>
      </c>
      <c r="BD343" s="45">
        <f>BC343*AZ343*U343*1/(0.0821*273.15)</f>
        <v>3.660636099089616E-3</v>
      </c>
      <c r="BE343" s="3">
        <f>Assumptions!$B$2</f>
        <v>0.33054499999999998</v>
      </c>
      <c r="BF343" s="44">
        <f>BE343*AZ343*V343*1000</f>
        <v>14.214442662096175</v>
      </c>
      <c r="BG343">
        <f>1923.6+(-125.06*F343)+(4.3773*(F343^2))+(-0.085681*(F343^3))+(0.00070284*(F343^4))</f>
        <v>1313.2265846399996</v>
      </c>
      <c r="BH343">
        <f>1909.4+(-120.78*F343)+(4.1555*(F343^2))+(-0.080578*(F343^3))+(0.00065777*(F343^4))</f>
        <v>1317.7656219200001</v>
      </c>
      <c r="BI343">
        <f>2141.2+(-152.56*F343)+(5.8963*(F343^2))+(-0.12411*(F343^3))+(0.0010655*(F343^4))</f>
        <v>1412.6799279999996</v>
      </c>
      <c r="BJ343" s="25">
        <f>VLOOKUP(E343,Wind!$C$2:$E$109,3, FALSE)</f>
        <v>2.75</v>
      </c>
      <c r="BK343" s="44">
        <v>1.66</v>
      </c>
      <c r="BL343">
        <f>BK343/(1-(((1.3*10^-3)^0.5)/0.41)*LN(10/1.5))</f>
        <v>1.9923982880693825</v>
      </c>
      <c r="BM343">
        <f>BK343*1.22</f>
        <v>2.0251999999999999</v>
      </c>
      <c r="BN343">
        <f>2.07+0.215*(BM343^1.7)*(24/100)</f>
        <v>2.241255750541113</v>
      </c>
      <c r="BO343">
        <f>BN343*((600/BG343)^0.67)</f>
        <v>1.3260661174857507</v>
      </c>
      <c r="BP343">
        <f>BN343*((600/BH343)^0.67)</f>
        <v>1.3230040645633194</v>
      </c>
      <c r="BQ343">
        <f>BN343*((600/BI343)^0.67)</f>
        <v>1.2627675866558403</v>
      </c>
      <c r="BR343" s="39">
        <f>BO343*(AM343-BB343)</f>
        <v>49.252809083068435</v>
      </c>
      <c r="BS343" s="39">
        <f>BP343*(AD343-BD343)</f>
        <v>0.70386965277426283</v>
      </c>
      <c r="BT343" s="39">
        <f>BQ343*(AU343-BF343)</f>
        <v>-1.8811612371046857</v>
      </c>
      <c r="BU343">
        <f>(2.51+1.48*BM343)+(0.39*BM343*LOG10(0.0015))</f>
        <v>3.2768938069574309</v>
      </c>
      <c r="BV343">
        <f>BU343*((600/$BG343)^0.67)</f>
        <v>1.9388139202569916</v>
      </c>
      <c r="BW343">
        <f>BU343*((600/$BH343)^0.67)</f>
        <v>1.9343369558339585</v>
      </c>
      <c r="BX343">
        <f>BU343*((600/$BI343)^0.67)</f>
        <v>1.8462664438630287</v>
      </c>
      <c r="BY343" s="39">
        <f>BV343*($AM343-$BB343)</f>
        <v>72.011516320971978</v>
      </c>
      <c r="BZ343" s="39">
        <f>BW343*($AD343-$BD343)</f>
        <v>1.0291133020068739</v>
      </c>
      <c r="CA343" s="39">
        <f>BX343*($AU343-$BF343)</f>
        <v>-2.7504070458127963</v>
      </c>
      <c r="CB343" s="42">
        <f>AVERAGE(0.72,0.69,0.4,0.22)</f>
        <v>0.50750000000000006</v>
      </c>
      <c r="CC343">
        <f>CB343*((600/$BG343)^0.67)</f>
        <v>0.30026852333185955</v>
      </c>
      <c r="CD343">
        <f>CB343*((600/$BH343)^0.67)</f>
        <v>0.29957516566495396</v>
      </c>
      <c r="CE343">
        <f>CB343*((600/$BI343)^0.67)</f>
        <v>0.28593548508380429</v>
      </c>
      <c r="CF343" s="39">
        <f>CC343*($AM343-$BB343)</f>
        <v>11.152587384827646</v>
      </c>
      <c r="CG343" s="39">
        <f>CD343*($AD343-$BD343)</f>
        <v>0.15938111868611837</v>
      </c>
      <c r="CH343" s="39">
        <f>CE343*($AU343-$BF343)</f>
        <v>-0.4259617973540657</v>
      </c>
      <c r="CI343">
        <v>166.86263901889501</v>
      </c>
      <c r="CJ343">
        <f>((BG343/BH343)^0.67)*CI343</f>
        <v>166.47733226479355</v>
      </c>
      <c r="CK343">
        <f>((BH343/BH343)^0.67)*CI343</f>
        <v>166.86263901889501</v>
      </c>
      <c r="CL343">
        <f>((BI343/BH343)^0.67)*CI343</f>
        <v>174.82231249726149</v>
      </c>
      <c r="CM343" s="39">
        <f>CJ343*($AM343-$BB343)</f>
        <v>6183.3087766715626</v>
      </c>
      <c r="CN343" s="39">
        <f>CK343*($AD343-$BD343)</f>
        <v>88.774895658384139</v>
      </c>
      <c r="CO343" s="39">
        <f>CL343*($AU343-$BF343)</f>
        <v>-260.43506431914903</v>
      </c>
      <c r="CP343" s="27">
        <f>VLOOKUP(A343,Water!$A$2:$E$109, 5, FALSE)/1000</f>
        <v>6.6E-4</v>
      </c>
      <c r="CQ343">
        <f>0.64*CP343</f>
        <v>4.2240000000000002E-4</v>
      </c>
      <c r="CR343" s="19">
        <f>CQ343*1000*(2.5*10^-5)</f>
        <v>1.0560000000000001E-5</v>
      </c>
      <c r="CS343" s="18">
        <f>(-0.0000009*F343^3)+(0.0002*F343^2)-(0.0134*F343)+6.579</f>
        <v>6.5056056</v>
      </c>
      <c r="CT343" s="18">
        <f>CS343-(SQRT(CP343))/(1+1.4*SQRT(CP343))</f>
        <v>6.4808070554454336</v>
      </c>
      <c r="CU343" s="18">
        <f>10^(-CT343)</f>
        <v>3.3051634733595832E-7</v>
      </c>
      <c r="CV343" s="18">
        <f>(0.000001*F343^3)+(0.00006*F343^2)-(0.014*F343)+10.625</f>
        <v>10.543376</v>
      </c>
      <c r="CW343" s="18">
        <f>CV343-(2*SQRT(CR343))/(1+1.4*SQRT(CR343))</f>
        <v>10.536906203367028</v>
      </c>
      <c r="CX343" s="18">
        <f>10^(-CW343)</f>
        <v>2.904649917703897E-11</v>
      </c>
      <c r="CY343">
        <f>EXP(1246.98+-61900/H343-183*LN(H343))</f>
        <v>4.6323151776546676E-3</v>
      </c>
      <c r="CZ343">
        <f>12.225*(F343^2)+15.258*F343+1125.7</f>
        <v>1657.348</v>
      </c>
      <c r="DA343" s="15">
        <f>10^(-4470.99/H343+6.0875-0.01706*H343)</f>
        <v>2.0359083674545998E-15</v>
      </c>
      <c r="DB343">
        <f>(10^-I343)</f>
        <v>1.0964781961431828E-8</v>
      </c>
      <c r="DC343">
        <f>DB343^2</f>
        <v>1.2022644346174082E-16</v>
      </c>
      <c r="DD343" s="20">
        <f>((14.6836*10^-9)*((H343/217.2056)-1)^1.997)*100*100</f>
        <v>1.1987516485047649E-5</v>
      </c>
      <c r="DE343">
        <f>CY343+CZ343*DA343/DB343</f>
        <v>4.9400466649612814E-3</v>
      </c>
      <c r="DF343">
        <f>1+DC343*(CU343*CX343+CU343*DB343)^-1</f>
        <v>1.0330870539184405</v>
      </c>
      <c r="DG343">
        <f>(DE343*DF343/DD343)^0.5</f>
        <v>20.633332492988366</v>
      </c>
      <c r="DH343">
        <f>DD343/(BO343/60/60)</f>
        <v>3.2543670920417184E-2</v>
      </c>
      <c r="DI343" s="16">
        <f>DF343/((DF343-1)+TANH(DG343*DH343)/(DG343*DH343))</f>
        <v>1.1406325781885289</v>
      </c>
      <c r="DJ343">
        <f>$DI343*BR343</f>
        <v>56.179358607447746</v>
      </c>
      <c r="DK343">
        <f>$DI343*BY343</f>
        <v>82.138681520455592</v>
      </c>
      <c r="DL343">
        <f>$DI343*CF343</f>
        <v>12.721004502228821</v>
      </c>
      <c r="DM343">
        <f>$DI343*CM343</f>
        <v>7052.8834316706434</v>
      </c>
    </row>
    <row r="344" spans="1:117" ht="15.75" x14ac:dyDescent="0.25">
      <c r="A344" s="52" t="s">
        <v>326</v>
      </c>
      <c r="B344" t="s">
        <v>341</v>
      </c>
      <c r="C344" s="64" t="s">
        <v>563</v>
      </c>
      <c r="D344" s="65">
        <v>43367</v>
      </c>
      <c r="E344" s="42" t="str">
        <f>A344&amp;D344</f>
        <v>66B43367</v>
      </c>
      <c r="F344" s="3">
        <f>VLOOKUP($E344,Water!$C$2:$E$90, 2, FALSE)</f>
        <v>6</v>
      </c>
      <c r="G344" s="3">
        <f>VLOOKUP($E344,Water!$C$2:$E$90, 3, FALSE)</f>
        <v>1.27</v>
      </c>
      <c r="H344" s="1">
        <f>F344+273.15</f>
        <v>279.14999999999998</v>
      </c>
      <c r="I344" s="3">
        <f>VLOOKUP($E344,Water!$C$2:$F$90, 4, FALSE)</f>
        <v>7.96</v>
      </c>
      <c r="J344">
        <f>10^(I344*-1)</f>
        <v>1.0964781961431828E-8</v>
      </c>
      <c r="K344" s="25">
        <f>VLOOKUP($E344,Atm!$D$2:$G$100, 2, FALSE)</f>
        <v>441.7141509339242</v>
      </c>
      <c r="L344" s="25">
        <f>VLOOKUP($E344,Atm!$D$2:$G$100, 3, FALSE)</f>
        <v>2.0511175889122049</v>
      </c>
      <c r="M344" s="25">
        <f>VLOOKUP($E344,Atm!$D$2:$G$100, 4, FALSE)</f>
        <v>0.31042883380263003</v>
      </c>
      <c r="N344" s="21">
        <f>VLOOKUP($C344,Raw!$B$2:$F$353, 3, FALSE)</f>
        <v>1015.6481577982501</v>
      </c>
      <c r="O344" s="21">
        <f>VLOOKUP($C344,Raw!$B$2:$F$353, 4, FALSE)</f>
        <v>136.369716459355</v>
      </c>
      <c r="P344" s="21">
        <f>VLOOKUP($C344,Raw!$B$2:$F$353, 5, FALSE)</f>
        <v>0.28951437288133597</v>
      </c>
      <c r="Q344" s="14">
        <v>60</v>
      </c>
      <c r="R344" s="25">
        <v>1140</v>
      </c>
      <c r="S344">
        <f>EXP(24.4543-(100/H344*(67.4509))-(4.8489*LN(H344/100))-(0.000544*G344))</f>
        <v>9.2130972644365525E-3</v>
      </c>
      <c r="T344" s="8">
        <f>EXP(-58.0931+90.5069*(100/H344)+22.294*LN(H344/100)+G344*(0.027766-0.025888*(H344/100)+0.0050578*(H344/100)^2)*G344)</f>
        <v>6.1271903899995421E-2</v>
      </c>
      <c r="U344" s="9">
        <f>(EXP(-67.1962+99.1624*(100/H344)+27.9015*LN(H344/100)+G344*(-0.072909+0.041674*(H344/100)-0.0064603*(H344/100)^2)*G344))</f>
        <v>4.7773662705198901E-2</v>
      </c>
      <c r="V344" s="9">
        <f>(EXP(-64.8539+100.252*(100/H344)+25.2049*LN(H344/100)+(-0.062544+0.035337*(H344/100)-0.0054699*(H344/100)^2)*G344))</f>
        <v>4.6233295869330573E-2</v>
      </c>
      <c r="W344" s="9">
        <f>(EXP(-68.8862+101.4956*(100/H344)+28.7314*LN(H344/100)+G344*(-0.076146+0.04397*(H344/100)-0.0068672*(H344/100)^2)))</f>
        <v>4.7781070538747368E-2</v>
      </c>
      <c r="X344">
        <f>N344*(AZ344-S344)</f>
        <v>935.32915940363125</v>
      </c>
      <c r="Y344">
        <f>O344*(AZ344-S344)</f>
        <v>125.58539222928114</v>
      </c>
      <c r="Z344">
        <f>((Y344/10^6)*AZ344)/(0.082056*H344)</f>
        <v>5.0995932899437819E-6</v>
      </c>
      <c r="AA344">
        <f>(((L344/10^6)*AZ344)/(0.082056*H344))</f>
        <v>8.3288870684942238E-8</v>
      </c>
      <c r="AB344">
        <f>((Y344/10^6)*U344*1)/(0.082056*H344)</f>
        <v>2.6192665132731226E-7</v>
      </c>
      <c r="AC344">
        <f>(Z344*(Q344/1000))+(AB344*(R344/1000))</f>
        <v>6.0457197990976283E-7</v>
      </c>
      <c r="AD344" s="39">
        <f>((AC344-(AA344*(Q344/1000)))/(R344/1000))*1000000</f>
        <v>0.52594267339356704</v>
      </c>
      <c r="AE344" s="39">
        <f>(AD344/((U344*AZ344*1))*(0.0821*273.15))</f>
        <v>265.42989983328874</v>
      </c>
      <c r="AF344" s="39">
        <f>L344*U344*AZ344*1/(0.0821*273.15)</f>
        <v>4.0642379356455567E-3</v>
      </c>
      <c r="AG344" s="39">
        <f>AD344-AF344</f>
        <v>0.52187843545792145</v>
      </c>
      <c r="AH344" s="42">
        <f>P344*(AZ344-S344)</f>
        <v>0.26661913669926612</v>
      </c>
      <c r="AI344">
        <f>(((X344/10^6)*(Q344/1000))/(0.082056*H344))</f>
        <v>2.4500093942570913E-6</v>
      </c>
      <c r="AJ344">
        <f>(((K344/10^6)*AZ344)*(Q344/1000))/(0.082056*H344)</f>
        <v>1.0761900632822104E-6</v>
      </c>
      <c r="AK344">
        <f>(X344/10^6)*T344*(R344/1000)</f>
        <v>6.5332714141620775E-5</v>
      </c>
      <c r="AL344">
        <f>AI344+AK344</f>
        <v>6.7782723535877868E-5</v>
      </c>
      <c r="AM344" s="39">
        <f>((AL344-AJ344)/(R344/1000))*1000000</f>
        <v>58.514503046136547</v>
      </c>
      <c r="AN344" s="39">
        <f>AM344/(T344*AZ344)</f>
        <v>1026.7335566171218</v>
      </c>
      <c r="AO344" s="39">
        <f>(K344*AZ344)*T344</f>
        <v>25.173701457176769</v>
      </c>
      <c r="AP344" s="39">
        <f>AM344-AO344</f>
        <v>33.340801588959778</v>
      </c>
      <c r="AQ344">
        <f>(((AH344/10^6)*(Q344/1000))/(0.082056*H344))</f>
        <v>6.9838450243378737E-10</v>
      </c>
      <c r="AR344">
        <f>(((M344/10^6)*AZ344)*(Q344/1000))/(0.082056*H344)</f>
        <v>7.5632719845701766E-10</v>
      </c>
      <c r="AS344">
        <f>(AH344/10^6)*V344*(R344/1000)</f>
        <v>1.4052416831844635E-8</v>
      </c>
      <c r="AT344">
        <f>AQ344+AS344</f>
        <v>1.4750801334278423E-8</v>
      </c>
      <c r="AU344" s="39">
        <f>((AT344-AR344)/(R344/1000))*1000000000</f>
        <v>12.275854505106498</v>
      </c>
      <c r="AV344" s="39">
        <f>(AU344/1000)/(V344*AZ344)</f>
        <v>0.2854647504548759</v>
      </c>
      <c r="AW344" s="39">
        <f>(M344*AZ344)*V344*1000</f>
        <v>13.349386191740514</v>
      </c>
      <c r="AX344" s="39">
        <f>AU344-AW344</f>
        <v>-1.0735316866340163</v>
      </c>
      <c r="AY344" s="26">
        <f>VLOOKUP($E344,Water!$C$2:$G$90, 5, FALSE)</f>
        <v>706.9</v>
      </c>
      <c r="AZ344">
        <f>AY344/760</f>
        <v>0.93013157894736842</v>
      </c>
      <c r="BA344" s="3">
        <f>Assumptions!$B$3</f>
        <v>406.07</v>
      </c>
      <c r="BB344" s="3">
        <f>BA344*AZ344*T344</f>
        <v>23.142308049453721</v>
      </c>
      <c r="BC344" s="3">
        <f>Assumptions!$B$4</f>
        <v>1.8474300000000001</v>
      </c>
      <c r="BD344" s="45">
        <f>BC344*AZ344*U344*1/(0.0821*273.15)</f>
        <v>3.660636099089616E-3</v>
      </c>
      <c r="BE344" s="3">
        <f>Assumptions!$B$2</f>
        <v>0.33054499999999998</v>
      </c>
      <c r="BF344" s="44">
        <f>BE344*AZ344*V344*1000</f>
        <v>14.214442662096175</v>
      </c>
      <c r="BG344">
        <f>1923.6+(-125.06*F344)+(4.3773*(F344^2))+(-0.085681*(F344^3))+(0.00070284*(F344^4))</f>
        <v>1313.2265846399996</v>
      </c>
      <c r="BH344">
        <f>1909.4+(-120.78*F344)+(4.1555*(F344^2))+(-0.080578*(F344^3))+(0.00065777*(F344^4))</f>
        <v>1317.7656219200001</v>
      </c>
      <c r="BI344">
        <f>2141.2+(-152.56*F344)+(5.8963*(F344^2))+(-0.12411*(F344^3))+(0.0010655*(F344^4))</f>
        <v>1412.6799279999996</v>
      </c>
      <c r="BJ344" s="25">
        <f>VLOOKUP(E344,Wind!$C$2:$E$109,3, FALSE)</f>
        <v>2.75</v>
      </c>
      <c r="BK344" s="44">
        <v>1.66</v>
      </c>
      <c r="BL344">
        <f>BK344/(1-(((1.3*10^-3)^0.5)/0.41)*LN(10/1.5))</f>
        <v>1.9923982880693825</v>
      </c>
      <c r="BM344">
        <f>BK344*1.22</f>
        <v>2.0251999999999999</v>
      </c>
      <c r="BN344">
        <f>2.07+0.215*(BM344^1.7)*(24/100)</f>
        <v>2.241255750541113</v>
      </c>
      <c r="BO344">
        <f>BN344*((600/BG344)^0.67)</f>
        <v>1.3260661174857507</v>
      </c>
      <c r="BP344">
        <f>BN344*((600/BH344)^0.67)</f>
        <v>1.3230040645633194</v>
      </c>
      <c r="BQ344">
        <f>BN344*((600/BI344)^0.67)</f>
        <v>1.2627675866558403</v>
      </c>
      <c r="BR344" s="39">
        <f>BO344*(AM344-BB344)</f>
        <v>46.905869286200087</v>
      </c>
      <c r="BS344" s="39">
        <f>BP344*(AD344-BD344)</f>
        <v>0.6909812581890048</v>
      </c>
      <c r="BT344" s="39">
        <f>BQ344*(AU344-BF344)</f>
        <v>-2.4479862885214483</v>
      </c>
      <c r="BU344">
        <f>(2.51+1.48*BM344)+(0.39*BM344*LOG10(0.0015))</f>
        <v>3.2768938069574309</v>
      </c>
      <c r="BV344">
        <f>BU344*((600/$BG344)^0.67)</f>
        <v>1.9388139202569916</v>
      </c>
      <c r="BW344">
        <f>BU344*((600/$BH344)^0.67)</f>
        <v>1.9343369558339585</v>
      </c>
      <c r="BX344">
        <f>BU344*((600/$BI344)^0.67)</f>
        <v>1.8462664438630287</v>
      </c>
      <c r="BY344" s="39">
        <f>BV344*($AM344-$BB344)</f>
        <v>68.580104049613368</v>
      </c>
      <c r="BZ344" s="39">
        <f>BW344*($AD344-$BD344)</f>
        <v>1.0102694461069575</v>
      </c>
      <c r="CA344" s="39">
        <f>BX344*($AU344-$BF344)</f>
        <v>-3.5791502627203147</v>
      </c>
      <c r="CB344" s="42">
        <f>AVERAGE(0.72,0.69,0.4,0.22)</f>
        <v>0.50750000000000006</v>
      </c>
      <c r="CC344">
        <f>CB344*((600/$BG344)^0.67)</f>
        <v>0.30026852333185955</v>
      </c>
      <c r="CD344">
        <f>CB344*((600/$BH344)^0.67)</f>
        <v>0.29957516566495396</v>
      </c>
      <c r="CE344">
        <f>CB344*((600/$BI344)^0.67)</f>
        <v>0.28593548508380429</v>
      </c>
      <c r="CF344" s="39">
        <f>CC344*($AM344-$BB344)</f>
        <v>10.621156758660542</v>
      </c>
      <c r="CG344" s="39">
        <f>CD344*($AD344-$BD344)</f>
        <v>0.15646272784632273</v>
      </c>
      <c r="CH344" s="39">
        <f>CE344*($AU344-$BF344)</f>
        <v>-0.55431114504656154</v>
      </c>
      <c r="CI344">
        <v>167.86263901889501</v>
      </c>
      <c r="CJ344">
        <f>((BG344/BH344)^0.67)*CI344</f>
        <v>167.47502313941732</v>
      </c>
      <c r="CK344">
        <f>((BH344/BH344)^0.67)*CI344</f>
        <v>167.86263901889501</v>
      </c>
      <c r="CL344">
        <f>((BI344/BH344)^0.67)*CI344</f>
        <v>175.87001444855008</v>
      </c>
      <c r="CM344" s="39">
        <f>CJ344*($AM344-$BB344)</f>
        <v>5923.9591755614374</v>
      </c>
      <c r="CN344" s="39">
        <f>CK344*($AD344-$BD344)</f>
        <v>87.671641092415925</v>
      </c>
      <c r="CO344" s="39">
        <f>CL344*($AU344-$BF344)</f>
        <v>-340.93952717956262</v>
      </c>
      <c r="CP344" s="27">
        <f>VLOOKUP(A344,Water!$A$2:$E$109, 5, FALSE)/1000</f>
        <v>6.6E-4</v>
      </c>
      <c r="CQ344">
        <f>0.64*CP344</f>
        <v>4.2240000000000002E-4</v>
      </c>
      <c r="CR344" s="19">
        <f>CQ344*1000*(2.5*10^-5)</f>
        <v>1.0560000000000001E-5</v>
      </c>
      <c r="CS344" s="18">
        <f>(-0.0000009*F344^3)+(0.0002*F344^2)-(0.0134*F344)+6.579</f>
        <v>6.5056056</v>
      </c>
      <c r="CT344" s="18">
        <f>CS344-(SQRT(CP344))/(1+1.4*SQRT(CP344))</f>
        <v>6.4808070554454336</v>
      </c>
      <c r="CU344" s="18">
        <f>10^(-CT344)</f>
        <v>3.3051634733595832E-7</v>
      </c>
      <c r="CV344" s="18">
        <f>(0.000001*F344^3)+(0.00006*F344^2)-(0.014*F344)+10.625</f>
        <v>10.543376</v>
      </c>
      <c r="CW344" s="18">
        <f>CV344-(2*SQRT(CR344))/(1+1.4*SQRT(CR344))</f>
        <v>10.536906203367028</v>
      </c>
      <c r="CX344" s="18">
        <f>10^(-CW344)</f>
        <v>2.904649917703897E-11</v>
      </c>
      <c r="CY344">
        <f>EXP(1246.98+-61900/H344-183*LN(H344))</f>
        <v>4.6323151776546676E-3</v>
      </c>
      <c r="CZ344">
        <f>12.225*(F344^2)+15.258*F344+1125.7</f>
        <v>1657.348</v>
      </c>
      <c r="DA344" s="15">
        <f>10^(-4470.99/H344+6.0875-0.01706*H344)</f>
        <v>2.0359083674545998E-15</v>
      </c>
      <c r="DB344">
        <f>(10^-I344)</f>
        <v>1.0964781961431828E-8</v>
      </c>
      <c r="DC344">
        <f>DB344^2</f>
        <v>1.2022644346174082E-16</v>
      </c>
      <c r="DD344" s="20">
        <f>((14.6836*10^-9)*((H344/217.2056)-1)^1.997)*100*100</f>
        <v>1.1987516485047649E-5</v>
      </c>
      <c r="DE344">
        <f>CY344+CZ344*DA344/DB344</f>
        <v>4.9400466649612814E-3</v>
      </c>
      <c r="DF344">
        <f>1+DC344*(CU344*CX344+CU344*DB344)^-1</f>
        <v>1.0330870539184405</v>
      </c>
      <c r="DG344">
        <f>(DE344*DF344/DD344)^0.5</f>
        <v>20.633332492988366</v>
      </c>
      <c r="DH344">
        <f>DD344/(BO344/60/60)</f>
        <v>3.2543670920417184E-2</v>
      </c>
      <c r="DI344" s="16">
        <f>DF344/((DF344-1)+TANH(DG344*DH344)/(DG344*DH344))</f>
        <v>1.1406325781885289</v>
      </c>
      <c r="DJ344">
        <f>$DI344*BR344</f>
        <v>53.50236261609254</v>
      </c>
      <c r="DK344">
        <f>$DI344*BY344</f>
        <v>78.224700894548064</v>
      </c>
      <c r="DL344">
        <f>$DI344*CF344</f>
        <v>12.114837416975492</v>
      </c>
      <c r="DM344">
        <f>$DI344*CM344</f>
        <v>6757.060827504235</v>
      </c>
    </row>
    <row r="345" spans="1:117" ht="15.75" x14ac:dyDescent="0.25">
      <c r="A345" s="51" t="s">
        <v>326</v>
      </c>
      <c r="B345" t="s">
        <v>342</v>
      </c>
      <c r="C345" s="64" t="s">
        <v>564</v>
      </c>
      <c r="D345" s="65">
        <v>43367</v>
      </c>
      <c r="E345" s="42" t="str">
        <f>A345&amp;D345</f>
        <v>66B43367</v>
      </c>
      <c r="F345" s="3">
        <f>VLOOKUP($E345,Water!$C$2:$E$90, 2, FALSE)</f>
        <v>6</v>
      </c>
      <c r="G345" s="3">
        <f>VLOOKUP($E345,Water!$C$2:$E$90, 3, FALSE)</f>
        <v>1.27</v>
      </c>
      <c r="H345" s="1">
        <f>F345+273.15</f>
        <v>279.14999999999998</v>
      </c>
      <c r="I345" s="3">
        <f>VLOOKUP($E345,Water!$C$2:$F$90, 4, FALSE)</f>
        <v>7.96</v>
      </c>
      <c r="J345">
        <f>10^(I345*-1)</f>
        <v>1.0964781961431828E-8</v>
      </c>
      <c r="K345" s="25">
        <f>VLOOKUP($E345,Atm!$D$2:$G$100, 2, FALSE)</f>
        <v>441.7141509339242</v>
      </c>
      <c r="L345" s="25">
        <f>VLOOKUP($E345,Atm!$D$2:$G$100, 3, FALSE)</f>
        <v>2.0511175889122049</v>
      </c>
      <c r="M345" s="25">
        <f>VLOOKUP($E345,Atm!$D$2:$G$100, 4, FALSE)</f>
        <v>0.31042883380263003</v>
      </c>
      <c r="N345" s="21">
        <f>VLOOKUP($C345,Raw!$B$2:$F$353, 3, FALSE)</f>
        <v>798.0845924328446</v>
      </c>
      <c r="O345" s="21">
        <f>VLOOKUP($C345,Raw!$B$2:$F$353, 4, FALSE)</f>
        <v>78.898657661625947</v>
      </c>
      <c r="P345" s="21">
        <f>VLOOKUP($C345,Raw!$B$2:$F$353, 5, FALSE)</f>
        <v>0.29117851666174616</v>
      </c>
      <c r="Q345" s="14">
        <v>60</v>
      </c>
      <c r="R345" s="25">
        <v>1140</v>
      </c>
      <c r="S345">
        <f>EXP(24.4543-(100/H345*(67.4509))-(4.8489*LN(H345/100))-(0.000544*G345))</f>
        <v>9.2130972644365525E-3</v>
      </c>
      <c r="T345" s="8">
        <f>EXP(-58.0931+90.5069*(100/H345)+22.294*LN(H345/100)+G345*(0.027766-0.025888*(H345/100)+0.0050578*(H345/100)^2)*G345)</f>
        <v>6.1271903899995421E-2</v>
      </c>
      <c r="U345" s="9">
        <f>(EXP(-67.1962+99.1624*(100/H345)+27.9015*LN(H345/100)+G345*(-0.072909+0.041674*(H345/100)-0.0064603*(H345/100)^2)*G345))</f>
        <v>4.7773662705198901E-2</v>
      </c>
      <c r="V345" s="9">
        <f>(EXP(-64.8539+100.252*(100/H345)+25.2049*LN(H345/100)+(-0.062544+0.035337*(H345/100)-0.0054699*(H345/100)^2)*G345))</f>
        <v>4.6233295869330573E-2</v>
      </c>
      <c r="W345" s="9">
        <f>(EXP(-68.8862+101.4956*(100/H345)+28.7314*LN(H345/100)+G345*(-0.076146+0.04397*(H345/100)-0.0068672*(H345/100)^2)))</f>
        <v>4.7781070538747368E-2</v>
      </c>
      <c r="X345">
        <f>N345*(AZ345-S345)</f>
        <v>734.97085111779677</v>
      </c>
      <c r="Y345">
        <f>O345*(AZ345-S345)</f>
        <v>72.659232020565995</v>
      </c>
      <c r="Z345">
        <f>((Y345/10^6)*AZ345)/(0.082056*H345)</f>
        <v>2.9504429256235928E-6</v>
      </c>
      <c r="AA345">
        <f>(((L345/10^6)*AZ345)/(0.082056*H345))</f>
        <v>8.3288870684942238E-8</v>
      </c>
      <c r="AB345">
        <f>((Y345/10^6)*U345*1)/(0.082056*H345)</f>
        <v>1.5154142526716388E-7</v>
      </c>
      <c r="AC345">
        <f>(Z345*(Q345/1000))+(AB345*(R345/1000))</f>
        <v>3.4978380034198237E-7</v>
      </c>
      <c r="AD345" s="39">
        <f>((AC345-(AA345*(Q345/1000)))/(R345/1000))*1000000</f>
        <v>0.30244427026393494</v>
      </c>
      <c r="AE345" s="39">
        <f>(AD345/((U345*AZ345*1))*(0.0821*273.15))</f>
        <v>152.63593623869323</v>
      </c>
      <c r="AF345" s="39">
        <f>L345*U345*AZ345*1/(0.0821*273.15)</f>
        <v>4.0642379356455567E-3</v>
      </c>
      <c r="AG345" s="39">
        <f>AD345-AF345</f>
        <v>0.29838003232828941</v>
      </c>
      <c r="AH345" s="42">
        <f>P345*(AZ345-S345)</f>
        <v>0.26815167746282353</v>
      </c>
      <c r="AI345">
        <f>(((X345/10^6)*(Q345/1000))/(0.082056*H345))</f>
        <v>1.9251890862590606E-6</v>
      </c>
      <c r="AJ345">
        <f>(((K345/10^6)*AZ345)*(Q345/1000))/(0.082056*H345)</f>
        <v>1.0761900632822104E-6</v>
      </c>
      <c r="AK345">
        <f>(X345/10^6)*T345*(R345/1000)</f>
        <v>5.1337692229245726E-5</v>
      </c>
      <c r="AL345">
        <f>AI345+AK345</f>
        <v>5.3262881315504786E-5</v>
      </c>
      <c r="AM345" s="39">
        <f>((AL345-AJ345)/(R345/1000))*1000000</f>
        <v>45.777799344054891</v>
      </c>
      <c r="AN345" s="39">
        <f>AM345/(T345*AZ345)</f>
        <v>803.2470633403035</v>
      </c>
      <c r="AO345" s="39">
        <f>(K345*AZ345)*T345</f>
        <v>25.173701457176769</v>
      </c>
      <c r="AP345" s="39">
        <f>AM345-AO345</f>
        <v>20.604097886878122</v>
      </c>
      <c r="AQ345">
        <f>(((AH345/10^6)*(Q345/1000))/(0.082056*H345))</f>
        <v>7.0239885313594191E-10</v>
      </c>
      <c r="AR345">
        <f>(((M345/10^6)*AZ345)*(Q345/1000))/(0.082056*H345)</f>
        <v>7.5632719845701766E-10</v>
      </c>
      <c r="AS345">
        <f>(AH345/10^6)*V345*(R345/1000)</f>
        <v>1.4133190859875465E-8</v>
      </c>
      <c r="AT345">
        <f>AQ345+AS345</f>
        <v>1.4835589713011407E-8</v>
      </c>
      <c r="AU345" s="39">
        <f>((AT345-AR345)/(R345/1000))*1000000000</f>
        <v>12.350230275924904</v>
      </c>
      <c r="AV345" s="39">
        <f>(AU345/1000)/(V345*AZ345)</f>
        <v>0.28719429692740323</v>
      </c>
      <c r="AW345" s="39">
        <f>(M345*AZ345)*V345*1000</f>
        <v>13.349386191740514</v>
      </c>
      <c r="AX345" s="39">
        <f>AU345-AW345</f>
        <v>-0.99915591581561003</v>
      </c>
      <c r="AY345" s="26">
        <f>VLOOKUP($E345,Water!$C$2:$G$90, 5, FALSE)</f>
        <v>706.9</v>
      </c>
      <c r="AZ345">
        <f>AY345/760</f>
        <v>0.93013157894736842</v>
      </c>
      <c r="BA345" s="3">
        <f>Assumptions!$B$3</f>
        <v>406.07</v>
      </c>
      <c r="BB345" s="3">
        <f>BA345*AZ345*T345</f>
        <v>23.142308049453721</v>
      </c>
      <c r="BC345" s="3">
        <f>Assumptions!$B$4</f>
        <v>1.8474300000000001</v>
      </c>
      <c r="BD345" s="45">
        <f>BC345*AZ345*U345*1/(0.0821*273.15)</f>
        <v>3.660636099089616E-3</v>
      </c>
      <c r="BE345" s="3">
        <f>Assumptions!$B$2</f>
        <v>0.33054499999999998</v>
      </c>
      <c r="BF345" s="44">
        <f>BE345*AZ345*V345*1000</f>
        <v>14.214442662096175</v>
      </c>
      <c r="BG345">
        <f>1923.6+(-125.06*F345)+(4.3773*(F345^2))+(-0.085681*(F345^3))+(0.00070284*(F345^4))</f>
        <v>1313.2265846399996</v>
      </c>
      <c r="BH345">
        <f>1909.4+(-120.78*F345)+(4.1555*(F345^2))+(-0.080578*(F345^3))+(0.00065777*(F345^4))</f>
        <v>1317.7656219200001</v>
      </c>
      <c r="BI345">
        <f>2141.2+(-152.56*F345)+(5.8963*(F345^2))+(-0.12411*(F345^3))+(0.0010655*(F345^4))</f>
        <v>1412.6799279999996</v>
      </c>
      <c r="BJ345" s="25">
        <f>VLOOKUP(E345,Wind!$C$2:$E$109,3, FALSE)</f>
        <v>2.75</v>
      </c>
      <c r="BK345" s="44">
        <v>1.66</v>
      </c>
      <c r="BL345">
        <f>BK345/(1-(((1.3*10^-3)^0.5)/0.41)*LN(10/1.5))</f>
        <v>1.9923982880693825</v>
      </c>
      <c r="BM345">
        <f>BK345*1.22</f>
        <v>2.0251999999999999</v>
      </c>
      <c r="BN345">
        <f>2.07+0.215*(BM345^1.7)*(24/100)</f>
        <v>2.241255750541113</v>
      </c>
      <c r="BO345">
        <f>BN345*((600/BG345)^0.67)</f>
        <v>1.3260661174857507</v>
      </c>
      <c r="BP345">
        <f>BN345*((600/BH345)^0.67)</f>
        <v>1.3230040645633194</v>
      </c>
      <c r="BQ345">
        <f>BN345*((600/BI345)^0.67)</f>
        <v>1.2627675866558403</v>
      </c>
      <c r="BR345" s="39">
        <f>BO345*(AM345-BB345)</f>
        <v>30.01615805841428</v>
      </c>
      <c r="BS345" s="39">
        <f>BP345*(AD345-BD345)</f>
        <v>0.39529196242509024</v>
      </c>
      <c r="BT345" s="39">
        <f>BQ345*(AU345-BF345)</f>
        <v>-2.3540669758994217</v>
      </c>
      <c r="BU345">
        <f>(2.51+1.48*BM345)+(0.39*BM345*LOG10(0.0015))</f>
        <v>3.2768938069574309</v>
      </c>
      <c r="BV345">
        <f>BU345*((600/$BG345)^0.67)</f>
        <v>1.9388139202569916</v>
      </c>
      <c r="BW345">
        <f>BU345*((600/$BH345)^0.67)</f>
        <v>1.9343369558339585</v>
      </c>
      <c r="BX345">
        <f>BU345*((600/$BI345)^0.67)</f>
        <v>1.8462664438630287</v>
      </c>
      <c r="BY345" s="39">
        <f>BV345*($AM345-$BB345)</f>
        <v>43.886005613828701</v>
      </c>
      <c r="BZ345" s="39">
        <f>BW345*($AD345-$BD345)</f>
        <v>0.57794822536343404</v>
      </c>
      <c r="CA345" s="39">
        <f>BX345*($AU345-$BF345)</f>
        <v>-3.4418327728218441</v>
      </c>
      <c r="CB345" s="42">
        <f>AVERAGE(0.72,0.69,0.4,0.22)</f>
        <v>0.50750000000000006</v>
      </c>
      <c r="CC345">
        <f>CB345*((600/$BG345)^0.67)</f>
        <v>0.30026852333185955</v>
      </c>
      <c r="CD345">
        <f>CB345*((600/$BH345)^0.67)</f>
        <v>0.29957516566495396</v>
      </c>
      <c r="CE345">
        <f>CB345*((600/$BI345)^0.67)</f>
        <v>0.28593548508380429</v>
      </c>
      <c r="CF345" s="39">
        <f>CC345*($AM345-$BB345)</f>
        <v>6.7967255459210554</v>
      </c>
      <c r="CG345" s="39">
        <f>CD345*($AD345-$BD345)</f>
        <v>8.9508156702910541E-2</v>
      </c>
      <c r="CH345" s="39">
        <f>CE345*($AU345-$BF345)</f>
        <v>-0.53304447293911872</v>
      </c>
      <c r="CI345">
        <v>168.86263901889501</v>
      </c>
      <c r="CJ345">
        <f>((BG345/BH345)^0.67)*CI345</f>
        <v>168.47271401404109</v>
      </c>
      <c r="CK345">
        <f>((BH345/BH345)^0.67)*CI345</f>
        <v>168.86263901889501</v>
      </c>
      <c r="CL345">
        <f>((BI345/BH345)^0.67)*CI345</f>
        <v>176.9177163998387</v>
      </c>
      <c r="CM345" s="39">
        <f>CJ345*($AM345-$BB345)</f>
        <v>3813.4626514426595</v>
      </c>
      <c r="CN345" s="39">
        <f>CK345*($AD345-$BD345)</f>
        <v>50.453392960731861</v>
      </c>
      <c r="CO345" s="39">
        <f>CL345*($AU345-$BF345)</f>
        <v>-329.81219824571554</v>
      </c>
      <c r="CP345" s="27">
        <f>VLOOKUP(A345,Water!$A$2:$E$109, 5, FALSE)/1000</f>
        <v>6.6E-4</v>
      </c>
      <c r="CQ345">
        <f>0.64*CP345</f>
        <v>4.2240000000000002E-4</v>
      </c>
      <c r="CR345" s="19">
        <f>CQ345*1000*(2.5*10^-5)</f>
        <v>1.0560000000000001E-5</v>
      </c>
      <c r="CS345" s="18">
        <f>(-0.0000009*F345^3)+(0.0002*F345^2)-(0.0134*F345)+6.579</f>
        <v>6.5056056</v>
      </c>
      <c r="CT345" s="18">
        <f>CS345-(SQRT(CP345))/(1+1.4*SQRT(CP345))</f>
        <v>6.4808070554454336</v>
      </c>
      <c r="CU345" s="18">
        <f>10^(-CT345)</f>
        <v>3.3051634733595832E-7</v>
      </c>
      <c r="CV345" s="18">
        <f>(0.000001*F345^3)+(0.00006*F345^2)-(0.014*F345)+10.625</f>
        <v>10.543376</v>
      </c>
      <c r="CW345" s="18">
        <f>CV345-(2*SQRT(CR345))/(1+1.4*SQRT(CR345))</f>
        <v>10.536906203367028</v>
      </c>
      <c r="CX345" s="18">
        <f>10^(-CW345)</f>
        <v>2.904649917703897E-11</v>
      </c>
      <c r="CY345">
        <f>EXP(1246.98+-61900/H345-183*LN(H345))</f>
        <v>4.6323151776546676E-3</v>
      </c>
      <c r="CZ345">
        <f>12.225*(F345^2)+15.258*F345+1125.7</f>
        <v>1657.348</v>
      </c>
      <c r="DA345" s="15">
        <f>10^(-4470.99/H345+6.0875-0.01706*H345)</f>
        <v>2.0359083674545998E-15</v>
      </c>
      <c r="DB345">
        <f>(10^-I345)</f>
        <v>1.0964781961431828E-8</v>
      </c>
      <c r="DC345">
        <f>DB345^2</f>
        <v>1.2022644346174082E-16</v>
      </c>
      <c r="DD345" s="20">
        <f>((14.6836*10^-9)*((H345/217.2056)-1)^1.997)*100*100</f>
        <v>1.1987516485047649E-5</v>
      </c>
      <c r="DE345">
        <f>CY345+CZ345*DA345/DB345</f>
        <v>4.9400466649612814E-3</v>
      </c>
      <c r="DF345">
        <f>1+DC345*(CU345*CX345+CU345*DB345)^-1</f>
        <v>1.0330870539184405</v>
      </c>
      <c r="DG345">
        <f>(DE345*DF345/DD345)^0.5</f>
        <v>20.633332492988366</v>
      </c>
      <c r="DH345">
        <f>DD345/(BO345/60/60)</f>
        <v>3.2543670920417184E-2</v>
      </c>
      <c r="DI345" s="16">
        <f>DF345/((DF345-1)+TANH(DG345*DH345)/(DG345*DH345))</f>
        <v>1.1406325781885289</v>
      </c>
      <c r="DJ345">
        <f>$DI345*BR345</f>
        <v>34.237407753483467</v>
      </c>
      <c r="DK345">
        <f>$DI345*BY345</f>
        <v>50.057807729697686</v>
      </c>
      <c r="DL345">
        <f>$DI345*CF345</f>
        <v>7.7525665826837704</v>
      </c>
      <c r="DM345">
        <f>$DI345*CM345</f>
        <v>4349.7597359407046</v>
      </c>
    </row>
    <row r="346" spans="1:117" ht="15.75" x14ac:dyDescent="0.25">
      <c r="A346" s="51" t="s">
        <v>58</v>
      </c>
      <c r="B346" t="s">
        <v>339</v>
      </c>
      <c r="C346" s="64" t="s">
        <v>565</v>
      </c>
      <c r="D346" s="65">
        <v>43372</v>
      </c>
      <c r="E346" s="42" t="str">
        <f>A346&amp;D346</f>
        <v>14A43372</v>
      </c>
      <c r="F346" s="3">
        <f>VLOOKUP($E346,Water!$C$2:$E$90, 2, FALSE)</f>
        <v>6</v>
      </c>
      <c r="G346" s="3">
        <f>VLOOKUP($E346,Water!$C$2:$E$90, 3, FALSE)</f>
        <v>3.01</v>
      </c>
      <c r="H346" s="1">
        <f>F346+273.15</f>
        <v>279.14999999999998</v>
      </c>
      <c r="I346" s="3">
        <f>VLOOKUP($E346,Water!$C$2:$F$90, 4, FALSE)</f>
        <v>8.6199999999999992</v>
      </c>
      <c r="J346">
        <f>10^(I346*-1)</f>
        <v>2.3988329190194922E-9</v>
      </c>
      <c r="K346" s="25">
        <v>439.52751160265137</v>
      </c>
      <c r="L346" s="25">
        <v>2.8430237635924795</v>
      </c>
      <c r="M346" s="25">
        <f>VLOOKUP($E346,Atm!$D$2:$G$100, 4, FALSE)</f>
        <v>0.30284432529182659</v>
      </c>
      <c r="N346" s="21">
        <f>VLOOKUP($C346,Raw!$B$2:$F$353, 3, FALSE)</f>
        <v>507.00045569203888</v>
      </c>
      <c r="O346" s="21">
        <f>VLOOKUP($C346,Raw!$B$2:$F$353, 4, FALSE)</f>
        <v>48.858354815729292</v>
      </c>
      <c r="P346" s="21">
        <f>VLOOKUP($C346,Raw!$B$2:$F$353, 5, FALSE)</f>
        <v>0.35907132684775322</v>
      </c>
      <c r="Q346" s="14">
        <v>60</v>
      </c>
      <c r="R346" s="25">
        <v>1140</v>
      </c>
      <c r="S346">
        <f>EXP(24.4543-(100/H346*(67.4509))-(4.8489*LN(H346/100))-(0.000544*G346))</f>
        <v>9.2043806411442226E-3</v>
      </c>
      <c r="T346" s="8">
        <f>EXP(-58.0931+90.5069*(100/H346)+22.294*LN(H346/100)+G346*(0.027766-0.025888*(H346/100)+0.0050578*(H346/100)^2)*G346)</f>
        <v>5.8993845848821697E-2</v>
      </c>
      <c r="U346" s="9">
        <f>(EXP(-67.1962+99.1624*(100/H346)+27.9015*LN(H346/100)+G346*(-0.072909+0.041674*(H346/100)-0.0064603*(H346/100)^2)*G346))</f>
        <v>4.5374792686393724E-2</v>
      </c>
      <c r="V346" s="9">
        <f>(EXP(-64.8539+100.252*(100/H346)+25.2049*LN(H346/100)+(-0.062544+0.035337*(H346/100)-0.0054699*(H346/100)^2)*G346))</f>
        <v>4.5711369915553746E-2</v>
      </c>
      <c r="W346" s="9">
        <f>(EXP(-68.8862+101.4956*(100/H346)+28.7314*LN(H346/100)+G346*(-0.076146+0.04397*(H346/100)-0.0068672*(H346/100)^2)))</f>
        <v>4.7209509326077904E-2</v>
      </c>
      <c r="X346">
        <f>N346*(AZ346-S346)</f>
        <v>475.58288541623318</v>
      </c>
      <c r="Y346">
        <f>O346*(AZ346-S346)</f>
        <v>45.830722830885833</v>
      </c>
      <c r="Z346">
        <f>((Y346/10^6)*AZ346)/(0.082056*H346)</f>
        <v>1.8952535267994543E-6</v>
      </c>
      <c r="AA346">
        <f>(((L346/10^6)*AZ346)/(0.082056*H346))</f>
        <v>1.1756853223995199E-7</v>
      </c>
      <c r="AB346">
        <f>((Y346/10^6)*U346*1)/(0.082056*H346)</f>
        <v>9.0786941601164272E-8</v>
      </c>
      <c r="AC346">
        <f>(Z346*(Q346/1000))+(AB346*(R346/1000))</f>
        <v>2.1721232503329452E-7</v>
      </c>
      <c r="AD346" s="39">
        <f>((AC346-(AA346*(Q346/1000)))/(R346/1000))*1000000</f>
        <v>0.18434930973587493</v>
      </c>
      <c r="AE346" s="39">
        <f>(AD346/((U346*AZ346*1))*(0.0821*273.15))</f>
        <v>96.186172352754753</v>
      </c>
      <c r="AF346" s="39">
        <f>L346*U346*AZ346*1/(0.0821*273.15)</f>
        <v>5.4489065898041481E-3</v>
      </c>
      <c r="AG346" s="39">
        <f>AD346-AF346</f>
        <v>0.17890040314607078</v>
      </c>
      <c r="AH346" s="42">
        <f>P346*(AZ346-S346)</f>
        <v>0.33682056056418513</v>
      </c>
      <c r="AI346">
        <f>(((X346/10^6)*(Q346/1000))/(0.082056*H346))</f>
        <v>1.2457459764865975E-6</v>
      </c>
      <c r="AJ346">
        <f>(((K346/10^6)*AZ346)*(Q346/1000))/(0.082056*H346)</f>
        <v>1.0905558739242937E-6</v>
      </c>
      <c r="AK346">
        <f>(X346/10^6)*T346*(R346/1000)</f>
        <v>3.1984368310864721E-5</v>
      </c>
      <c r="AL346">
        <f>AI346+AK346</f>
        <v>3.3230114287351317E-5</v>
      </c>
      <c r="AM346" s="39">
        <f>((AL346-AJ346)/(R346/1000))*1000000</f>
        <v>28.192595099497392</v>
      </c>
      <c r="AN346" s="39">
        <f>AM346/(T346*AZ346)</f>
        <v>504.50998239493799</v>
      </c>
      <c r="AO346" s="39">
        <f>(K346*AZ346)*T346</f>
        <v>24.561300275725767</v>
      </c>
      <c r="AP346" s="39">
        <f>AM346-AO346</f>
        <v>3.6312948237716256</v>
      </c>
      <c r="AQ346">
        <f>(((AH346/10^6)*(Q346/1000))/(0.082056*H346))</f>
        <v>8.8227072711744797E-10</v>
      </c>
      <c r="AR346">
        <f>(((M346/10^6)*AZ346)*(Q346/1000))/(0.082056*H346)</f>
        <v>7.5141748608040659E-10</v>
      </c>
      <c r="AS346">
        <f>(AH346/10^6)*V346*(R346/1000)</f>
        <v>1.7552043332589549E-8</v>
      </c>
      <c r="AT346">
        <f>AQ346+AS346</f>
        <v>1.8434314059706997E-8</v>
      </c>
      <c r="AU346" s="39">
        <f>((AT346-AR346)/(R346/1000))*1000000000</f>
        <v>15.511312783882975</v>
      </c>
      <c r="AV346" s="39">
        <f>(AU346/1000)/(V346*AZ346)</f>
        <v>0.3582331215225949</v>
      </c>
      <c r="AW346" s="39">
        <f>(M346*AZ346)*V346*1000</f>
        <v>13.113005951151942</v>
      </c>
      <c r="AX346" s="39">
        <f>AU346-AW346</f>
        <v>2.3983068327310324</v>
      </c>
      <c r="AY346" s="26">
        <f>VLOOKUP($E346,Water!$C$2:$G$90, 5, FALSE)</f>
        <v>719.9</v>
      </c>
      <c r="AZ346">
        <f>AY346/760</f>
        <v>0.94723684210526315</v>
      </c>
      <c r="BA346" s="3">
        <f>Assumptions!$B$3</f>
        <v>406.07</v>
      </c>
      <c r="BB346" s="3">
        <f>BA346*AZ346*T346</f>
        <v>22.691656243763099</v>
      </c>
      <c r="BC346" s="3">
        <f>Assumptions!$B$4</f>
        <v>1.8474300000000001</v>
      </c>
      <c r="BD346" s="45">
        <f>BC346*AZ346*U346*1/(0.0821*273.15)</f>
        <v>3.5407630530958907E-3</v>
      </c>
      <c r="BE346" s="3">
        <f>Assumptions!$B$2</f>
        <v>0.33054499999999998</v>
      </c>
      <c r="BF346" s="44">
        <f>BE346*AZ346*V346*1000</f>
        <v>14.312431140807313</v>
      </c>
      <c r="BG346">
        <f>1923.6+(-125.06*F346)+(4.3773*(F346^2))+(-0.085681*(F346^3))+(0.00070284*(F346^4))</f>
        <v>1313.2265846399996</v>
      </c>
      <c r="BH346">
        <f>1909.4+(-120.78*F346)+(4.1555*(F346^2))+(-0.080578*(F346^3))+(0.00065777*(F346^4))</f>
        <v>1317.7656219200001</v>
      </c>
      <c r="BI346">
        <f>2141.2+(-152.56*F346)+(5.8963*(F346^2))+(-0.12411*(F346^3))+(0.0010655*(F346^4))</f>
        <v>1412.6799279999996</v>
      </c>
      <c r="BJ346" s="25">
        <f>VLOOKUP(E346,Wind!$C$2:$E$109,3, FALSE)</f>
        <v>3.1944444444444442</v>
      </c>
      <c r="BK346" s="44">
        <v>1.66</v>
      </c>
      <c r="BL346">
        <f>BK346/(1-(((1.3*10^-3)^0.5)/0.41)*LN(10/1.5))</f>
        <v>1.9923982880693825</v>
      </c>
      <c r="BM346">
        <f>BK346*1.22</f>
        <v>2.0251999999999999</v>
      </c>
      <c r="BN346">
        <f>2.07+0.215*(BM346^1.7)*(24/100)</f>
        <v>2.241255750541113</v>
      </c>
      <c r="BO346">
        <f>BN346*((600/BG346)^0.67)</f>
        <v>1.3260661174857507</v>
      </c>
      <c r="BP346">
        <f>BN346*((600/BH346)^0.67)</f>
        <v>1.3230040645633194</v>
      </c>
      <c r="BQ346">
        <f>BN346*((600/BI346)^0.67)</f>
        <v>1.2627675866558403</v>
      </c>
      <c r="BR346" s="39">
        <f>BO346*(AM346-BB346)</f>
        <v>7.2946086309500826</v>
      </c>
      <c r="BS346" s="39">
        <f>BP346*(AD346-BD346)</f>
        <v>0.23921044216910337</v>
      </c>
      <c r="BT346" s="39">
        <f>BQ346*(AU346-BF346)</f>
        <v>1.5139088791126425</v>
      </c>
      <c r="BU346">
        <f>(2.51+1.48*BM346)+(0.39*BM346*LOG10(0.0015))</f>
        <v>3.2768938069574309</v>
      </c>
      <c r="BV346">
        <f>BU346*((600/$BG346)^0.67)</f>
        <v>1.9388139202569916</v>
      </c>
      <c r="BW346">
        <f>BU346*((600/$BH346)^0.67)</f>
        <v>1.9343369558339585</v>
      </c>
      <c r="BX346">
        <f>BU346*((600/$BI346)^0.67)</f>
        <v>1.8462664438630287</v>
      </c>
      <c r="BY346" s="39">
        <f>BV346*($AM346-$BB346)</f>
        <v>10.665296827980216</v>
      </c>
      <c r="BZ346" s="39">
        <f>BW346*($AD346-$BD346)</f>
        <v>0.349744653779129</v>
      </c>
      <c r="CA346" s="39">
        <f>BX346*($AU346-$BF346)</f>
        <v>2.2134549477739678</v>
      </c>
      <c r="CB346" s="42">
        <f>AVERAGE(0.72,0.69,0.4,0.22)</f>
        <v>0.50750000000000006</v>
      </c>
      <c r="CC346">
        <f>CB346*((600/$BG346)^0.67)</f>
        <v>0.30026852333185955</v>
      </c>
      <c r="CD346">
        <f>CB346*((600/$BH346)^0.67)</f>
        <v>0.29957516566495396</v>
      </c>
      <c r="CE346">
        <f>CB346*((600/$BI346)^0.67)</f>
        <v>0.28593548508380429</v>
      </c>
      <c r="CF346" s="39">
        <f>CC346*($AM346-$BB346)</f>
        <v>1.6517587871501855</v>
      </c>
      <c r="CG346" s="39">
        <f>CD346*($AD346-$BD346)</f>
        <v>5.4165750326133091E-2</v>
      </c>
      <c r="CH346" s="39">
        <f>CE346*($AU346-$BF346)</f>
        <v>0.34280280417090775</v>
      </c>
      <c r="CI346">
        <v>169.86263901889501</v>
      </c>
      <c r="CJ346">
        <f>((BG346/BH346)^0.67)*CI346</f>
        <v>169.47040488866489</v>
      </c>
      <c r="CK346">
        <f>((BH346/BH346)^0.67)*CI346</f>
        <v>169.86263901889501</v>
      </c>
      <c r="CL346">
        <f>((BI346/BH346)^0.67)*CI346</f>
        <v>177.96541835112728</v>
      </c>
      <c r="CM346" s="39">
        <f>CJ346*($AM346-$BB346)</f>
        <v>932.24633514907964</v>
      </c>
      <c r="CN346" s="39">
        <f>CK346*($AD346-$BD346)</f>
        <v>30.712616896707924</v>
      </c>
      <c r="CO346" s="39">
        <f>CL346*($AU346-$BF346)</f>
        <v>213.35947316344706</v>
      </c>
      <c r="CP346" s="27">
        <f>VLOOKUP(A346,Water!$A$2:$E$109, 5, FALSE)/1000</f>
        <v>9.1E-4</v>
      </c>
      <c r="CQ346">
        <f>0.64*CP346</f>
        <v>5.8240000000000006E-4</v>
      </c>
      <c r="CR346" s="19">
        <f>CQ346*1000*(2.5*10^-5)</f>
        <v>1.4560000000000001E-5</v>
      </c>
      <c r="CS346" s="18">
        <f>(-0.0000009*F346^3)+(0.0002*F346^2)-(0.0134*F346)+6.579</f>
        <v>6.5056056</v>
      </c>
      <c r="CT346" s="18">
        <f>CS346-(SQRT(CP346))/(1+1.4*SQRT(CP346))</f>
        <v>6.4766617695259701</v>
      </c>
      <c r="CU346" s="18">
        <f>10^(-CT346)</f>
        <v>3.3368618788028551E-7</v>
      </c>
      <c r="CV346" s="18">
        <f>(0.000001*F346^3)+(0.00006*F346^2)-(0.014*F346)+10.625</f>
        <v>10.543376</v>
      </c>
      <c r="CW346" s="18">
        <f>CV346-(2*SQRT(CR346))/(1+1.4*SQRT(CR346))</f>
        <v>10.535785037760821</v>
      </c>
      <c r="CX346" s="18">
        <f>10^(-CW346)</f>
        <v>2.9121581889770804E-11</v>
      </c>
      <c r="CY346">
        <f>EXP(1246.98+-61900/H346-183*LN(H346))</f>
        <v>4.6323151776546676E-3</v>
      </c>
      <c r="CZ346">
        <f>12.225*(F346^2)+15.258*F346+1125.7</f>
        <v>1657.348</v>
      </c>
      <c r="DA346" s="15">
        <f>10^(-4470.99/H346+6.0875-0.01706*H346)</f>
        <v>2.0359083674545998E-15</v>
      </c>
      <c r="DB346">
        <f>(10^-I346)</f>
        <v>2.3988329190194922E-9</v>
      </c>
      <c r="DC346">
        <f>DB346^2</f>
        <v>5.7543993733715778E-18</v>
      </c>
      <c r="DD346" s="20">
        <f>((14.6836*10^-9)*((H346/217.2056)-1)^1.997)*100*100</f>
        <v>1.1987516485047649E-5</v>
      </c>
      <c r="DE346">
        <f>CY346+CZ346*DA346/DB346</f>
        <v>6.038919461859393E-3</v>
      </c>
      <c r="DF346">
        <f>1+DC346*(CU346*CX346+CU346*DB346)^-1</f>
        <v>1.0071026632680897</v>
      </c>
      <c r="DG346">
        <f>(DE346*DF346/DD346)^0.5</f>
        <v>22.524330045042408</v>
      </c>
      <c r="DH346">
        <f>DD346/(BO346/60/60)</f>
        <v>3.2543670920417184E-2</v>
      </c>
      <c r="DI346" s="16">
        <f>DF346/((DF346-1)+TANH(DG346*DH346)/(DG346*DH346))</f>
        <v>1.1715744272736774</v>
      </c>
      <c r="DJ346">
        <f>$DI346*BR346</f>
        <v>8.5461769289909668</v>
      </c>
      <c r="DK346">
        <f>$DI346*BY346</f>
        <v>12.49518902294469</v>
      </c>
      <c r="DL346">
        <f>$DI346*CF346</f>
        <v>1.9351583550497427</v>
      </c>
      <c r="DM346">
        <f>$DI346*CM346</f>
        <v>1092.1959661802678</v>
      </c>
    </row>
    <row r="347" spans="1:117" ht="15.75" x14ac:dyDescent="0.25">
      <c r="A347" s="51" t="s">
        <v>58</v>
      </c>
      <c r="B347" t="s">
        <v>340</v>
      </c>
      <c r="C347" s="69" t="s">
        <v>566</v>
      </c>
      <c r="D347" s="65">
        <v>43372</v>
      </c>
      <c r="E347" s="42" t="str">
        <f>A347&amp;D347</f>
        <v>14A43372</v>
      </c>
      <c r="F347" s="3">
        <f>VLOOKUP($E347,Water!$C$2:$E$90, 2, FALSE)</f>
        <v>6</v>
      </c>
      <c r="G347" s="3">
        <f>VLOOKUP($E347,Water!$C$2:$E$90, 3, FALSE)</f>
        <v>3.01</v>
      </c>
      <c r="H347" s="1">
        <f>F347+273.15</f>
        <v>279.14999999999998</v>
      </c>
      <c r="I347" s="3">
        <f>VLOOKUP($E347,Water!$C$2:$F$90, 4, FALSE)</f>
        <v>8.6199999999999992</v>
      </c>
      <c r="J347">
        <f>10^(I347*-1)</f>
        <v>2.3988329190194922E-9</v>
      </c>
      <c r="K347" s="25">
        <v>439.52751160265137</v>
      </c>
      <c r="L347" s="25">
        <v>2.8430237635924795</v>
      </c>
      <c r="M347" s="25">
        <f>VLOOKUP($E347,Atm!$D$2:$G$100, 4, FALSE)</f>
        <v>0.30284432529182659</v>
      </c>
      <c r="N347" s="21">
        <f>VLOOKUP($C347,Raw!$B$2:$F$353, 3, FALSE)</f>
        <v>540.93315087106919</v>
      </c>
      <c r="O347" s="21">
        <f>VLOOKUP($C347,Raw!$B$2:$F$353, 4, FALSE)</f>
        <v>51.839832870282351</v>
      </c>
      <c r="P347" s="21">
        <f>VLOOKUP($C347,Raw!$B$2:$F$353, 5, FALSE)</f>
        <v>0.36453507181126205</v>
      </c>
      <c r="Q347" s="14">
        <v>60</v>
      </c>
      <c r="R347" s="25">
        <v>1140</v>
      </c>
      <c r="S347">
        <f>EXP(24.4543-(100/H347*(67.4509))-(4.8489*LN(H347/100))-(0.000544*G347))</f>
        <v>9.2043806411442226E-3</v>
      </c>
      <c r="T347" s="8">
        <f>EXP(-58.0931+90.5069*(100/H347)+22.294*LN(H347/100)+G347*(0.027766-0.025888*(H347/100)+0.0050578*(H347/100)^2)*G347)</f>
        <v>5.8993845848821697E-2</v>
      </c>
      <c r="U347" s="9">
        <f>(EXP(-67.1962+99.1624*(100/H347)+27.9015*LN(H347/100)+G347*(-0.072909+0.041674*(H347/100)-0.0064603*(H347/100)^2)*G347))</f>
        <v>4.5374792686393724E-2</v>
      </c>
      <c r="V347" s="9">
        <f>(EXP(-64.8539+100.252*(100/H347)+25.2049*LN(H347/100)+(-0.062544+0.035337*(H347/100)-0.0054699*(H347/100)^2)*G347))</f>
        <v>4.5711369915553746E-2</v>
      </c>
      <c r="W347" s="9">
        <f>(EXP(-68.8862+101.4956*(100/H347)+28.7314*LN(H347/100)+G347*(-0.076146+0.04397*(H347/100)-0.0068672*(H347/100)^2)))</f>
        <v>4.7209509326077904E-2</v>
      </c>
      <c r="X347">
        <f>N347*(AZ347-S347)</f>
        <v>507.41285499913062</v>
      </c>
      <c r="Y347">
        <f>O347*(AZ347-S347)</f>
        <v>48.62744602919949</v>
      </c>
      <c r="Z347">
        <f>((Y347/10^6)*AZ347)/(0.082056*H347)</f>
        <v>2.0109073759574634E-6</v>
      </c>
      <c r="AA347">
        <f>(((L347/10^6)*AZ347)/(0.082056*H347))</f>
        <v>1.1756853223995199E-7</v>
      </c>
      <c r="AB347">
        <f>((Y347/10^6)*U347*1)/(0.082056*H347)</f>
        <v>9.6327023231926002E-8</v>
      </c>
      <c r="AC347">
        <f>(Z347*(Q347/1000))+(AB347*(R347/1000))</f>
        <v>2.3046724904184343E-7</v>
      </c>
      <c r="AD347" s="39">
        <f>((AC347-(AA347*(Q347/1000)))/(R347/1000))*1000000</f>
        <v>0.19597643605916343</v>
      </c>
      <c r="AE347" s="39">
        <f>(AD347/((U347*AZ347*1))*(0.0821*273.15))</f>
        <v>102.25274660845125</v>
      </c>
      <c r="AF347" s="39">
        <f>L347*U347*AZ347*1/(0.0821*273.15)</f>
        <v>5.4489065898041481E-3</v>
      </c>
      <c r="AG347" s="39">
        <f>AD347-AF347</f>
        <v>0.19052752946935927</v>
      </c>
      <c r="AH347" s="42">
        <f>P347*(AZ347-S347)</f>
        <v>0.3419457307011175</v>
      </c>
      <c r="AI347">
        <f>(((X347/10^6)*(Q347/1000))/(0.082056*H347))</f>
        <v>1.3291216776640724E-6</v>
      </c>
      <c r="AJ347">
        <f>(((K347/10^6)*AZ347)*(Q347/1000))/(0.082056*H347)</f>
        <v>1.0905558739242937E-6</v>
      </c>
      <c r="AK347">
        <f>(X347/10^6)*T347*(R347/1000)</f>
        <v>3.4125028754463311E-5</v>
      </c>
      <c r="AL347">
        <f>AI347+AK347</f>
        <v>3.5454150432127383E-5</v>
      </c>
      <c r="AM347" s="39">
        <f>((AL347-AJ347)/(R347/1000))*1000000</f>
        <v>30.143503998423764</v>
      </c>
      <c r="AN347" s="39">
        <f>AM347/(T347*AZ347)</f>
        <v>539.42173886069941</v>
      </c>
      <c r="AO347" s="39">
        <f>(K347*AZ347)*T347</f>
        <v>24.561300275725767</v>
      </c>
      <c r="AP347" s="39">
        <f>AM347-AO347</f>
        <v>5.5822037226979973</v>
      </c>
      <c r="AQ347">
        <f>(((AH347/10^6)*(Q347/1000))/(0.082056*H347))</f>
        <v>8.9569564267408078E-10</v>
      </c>
      <c r="AR347">
        <f>(((M347/10^6)*AZ347)*(Q347/1000))/(0.082056*H347)</f>
        <v>7.5141748608040659E-10</v>
      </c>
      <c r="AS347">
        <f>(AH347/10^6)*V347*(R347/1000)</f>
        <v>1.7819120877320338E-8</v>
      </c>
      <c r="AT347">
        <f>AQ347+AS347</f>
        <v>1.871481651999442E-8</v>
      </c>
      <c r="AU347" s="39">
        <f>((AT347-AR347)/(R347/1000))*1000000000</f>
        <v>15.757367573608784</v>
      </c>
      <c r="AV347" s="39">
        <f>(AU347/1000)/(V347*AZ347)</f>
        <v>0.36391574662449139</v>
      </c>
      <c r="AW347" s="39">
        <f>(M347*AZ347)*V347*1000</f>
        <v>13.113005951151942</v>
      </c>
      <c r="AX347" s="39">
        <f>AU347-AW347</f>
        <v>2.6443616224568416</v>
      </c>
      <c r="AY347" s="26">
        <f>VLOOKUP($E347,Water!$C$2:$G$90, 5, FALSE)</f>
        <v>719.9</v>
      </c>
      <c r="AZ347">
        <f>AY347/760</f>
        <v>0.94723684210526315</v>
      </c>
      <c r="BA347" s="3">
        <f>Assumptions!$B$3</f>
        <v>406.07</v>
      </c>
      <c r="BB347" s="3">
        <f>BA347*AZ347*T347</f>
        <v>22.691656243763099</v>
      </c>
      <c r="BC347" s="3">
        <f>Assumptions!$B$4</f>
        <v>1.8474300000000001</v>
      </c>
      <c r="BD347" s="45">
        <f>BC347*AZ347*U347*1/(0.0821*273.15)</f>
        <v>3.5407630530958907E-3</v>
      </c>
      <c r="BE347" s="3">
        <f>Assumptions!$B$2</f>
        <v>0.33054499999999998</v>
      </c>
      <c r="BF347" s="44">
        <f>BE347*AZ347*V347*1000</f>
        <v>14.312431140807313</v>
      </c>
      <c r="BG347">
        <f>1923.6+(-125.06*F347)+(4.3773*(F347^2))+(-0.085681*(F347^3))+(0.00070284*(F347^4))</f>
        <v>1313.2265846399996</v>
      </c>
      <c r="BH347">
        <f>1909.4+(-120.78*F347)+(4.1555*(F347^2))+(-0.080578*(F347^3))+(0.00065777*(F347^4))</f>
        <v>1317.7656219200001</v>
      </c>
      <c r="BI347">
        <f>2141.2+(-152.56*F347)+(5.8963*(F347^2))+(-0.12411*(F347^3))+(0.0010655*(F347^4))</f>
        <v>1412.6799279999996</v>
      </c>
      <c r="BJ347" s="25">
        <f>VLOOKUP(E347,Wind!$C$2:$E$109,3, FALSE)</f>
        <v>3.1944444444444442</v>
      </c>
      <c r="BK347" s="44">
        <v>1.66</v>
      </c>
      <c r="BL347">
        <f>BK347/(1-(((1.3*10^-3)^0.5)/0.41)*LN(10/1.5))</f>
        <v>1.9923982880693825</v>
      </c>
      <c r="BM347">
        <f>BK347*1.22</f>
        <v>2.0251999999999999</v>
      </c>
      <c r="BN347">
        <f>2.07+0.215*(BM347^1.7)*(24/100)</f>
        <v>2.241255750541113</v>
      </c>
      <c r="BO347">
        <f>BN347*((600/BG347)^0.67)</f>
        <v>1.3260661174857507</v>
      </c>
      <c r="BP347">
        <f>BN347*((600/BH347)^0.67)</f>
        <v>1.3230040645633194</v>
      </c>
      <c r="BQ347">
        <f>BN347*((600/BI347)^0.67)</f>
        <v>1.2627675866558403</v>
      </c>
      <c r="BR347" s="39">
        <f>BO347*(AM347-BB347)</f>
        <v>9.8816428201177775</v>
      </c>
      <c r="BS347" s="39">
        <f>BP347*(AD347-BD347)</f>
        <v>0.25459317755400518</v>
      </c>
      <c r="BT347" s="39">
        <f>BQ347*(AU347-BF347)</f>
        <v>1.8246188921198128</v>
      </c>
      <c r="BU347">
        <f>(2.51+1.48*BM347)+(0.39*BM347*LOG10(0.0015))</f>
        <v>3.2768938069574309</v>
      </c>
      <c r="BV347">
        <f>BU347*((600/$BG347)^0.67)</f>
        <v>1.9388139202569916</v>
      </c>
      <c r="BW347">
        <f>BU347*((600/$BH347)^0.67)</f>
        <v>1.9343369558339585</v>
      </c>
      <c r="BX347">
        <f>BU347*((600/$BI347)^0.67)</f>
        <v>1.8462664438630287</v>
      </c>
      <c r="BY347" s="39">
        <f>BV347*($AM347-$BB347)</f>
        <v>14.447746158371906</v>
      </c>
      <c r="BZ347" s="39">
        <f>BW347*($AD347-$BD347)</f>
        <v>0.37223543391641573</v>
      </c>
      <c r="CA347" s="39">
        <f>BX347*($AU347-$BF347)</f>
        <v>2.6677376493965026</v>
      </c>
      <c r="CB347" s="42">
        <f>AVERAGE(0.72,0.69,0.4,0.22)</f>
        <v>0.50750000000000006</v>
      </c>
      <c r="CC347">
        <f>CB347*((600/$BG347)^0.67)</f>
        <v>0.30026852333185955</v>
      </c>
      <c r="CD347">
        <f>CB347*((600/$BH347)^0.67)</f>
        <v>0.29957516566495396</v>
      </c>
      <c r="CE347">
        <f>CB347*((600/$BI347)^0.67)</f>
        <v>0.28593548508380429</v>
      </c>
      <c r="CF347" s="39">
        <f>CC347*($AM347-$BB347)</f>
        <v>2.2375553213857913</v>
      </c>
      <c r="CG347" s="39">
        <f>CD347*($AD347-$BD347)</f>
        <v>5.7648948620639594E-2</v>
      </c>
      <c r="CH347" s="39">
        <f>CE347*($AU347-$BF347)</f>
        <v>0.41315859982835046</v>
      </c>
      <c r="CI347">
        <v>170.86263901889501</v>
      </c>
      <c r="CJ347">
        <f>((BG347/BH347)^0.67)*CI347</f>
        <v>170.46809576328866</v>
      </c>
      <c r="CK347">
        <f>((BH347/BH347)^0.67)*CI347</f>
        <v>170.86263901889501</v>
      </c>
      <c r="CL347">
        <f>((BI347/BH347)^0.67)*CI347</f>
        <v>179.0131203024159</v>
      </c>
      <c r="CM347" s="39">
        <f>CJ347*($AM347-$BB347)</f>
        <v>1270.302296654942</v>
      </c>
      <c r="CN347" s="39">
        <f>CK347*($AD347-$BD347)</f>
        <v>32.880066931193838</v>
      </c>
      <c r="CO347" s="39">
        <f>CL347*($AU347-$BF347)</f>
        <v>258.66257947443347</v>
      </c>
      <c r="CP347" s="27">
        <f>VLOOKUP(A347,Water!$A$2:$E$109, 5, FALSE)/1000</f>
        <v>9.1E-4</v>
      </c>
      <c r="CQ347">
        <f>0.64*CP347</f>
        <v>5.8240000000000006E-4</v>
      </c>
      <c r="CR347" s="19">
        <f>CQ347*1000*(2.5*10^-5)</f>
        <v>1.4560000000000001E-5</v>
      </c>
      <c r="CS347" s="18">
        <f>(-0.0000009*F347^3)+(0.0002*F347^2)-(0.0134*F347)+6.579</f>
        <v>6.5056056</v>
      </c>
      <c r="CT347" s="18">
        <f>CS347-(SQRT(CP347))/(1+1.4*SQRT(CP347))</f>
        <v>6.4766617695259701</v>
      </c>
      <c r="CU347" s="18">
        <f>10^(-CT347)</f>
        <v>3.3368618788028551E-7</v>
      </c>
      <c r="CV347" s="18">
        <f>(0.000001*F347^3)+(0.00006*F347^2)-(0.014*F347)+10.625</f>
        <v>10.543376</v>
      </c>
      <c r="CW347" s="18">
        <f>CV347-(2*SQRT(CR347))/(1+1.4*SQRT(CR347))</f>
        <v>10.535785037760821</v>
      </c>
      <c r="CX347" s="18">
        <f>10^(-CW347)</f>
        <v>2.9121581889770804E-11</v>
      </c>
      <c r="CY347">
        <f>EXP(1246.98+-61900/H347-183*LN(H347))</f>
        <v>4.6323151776546676E-3</v>
      </c>
      <c r="CZ347">
        <f>12.225*(F347^2)+15.258*F347+1125.7</f>
        <v>1657.348</v>
      </c>
      <c r="DA347" s="15">
        <f>10^(-4470.99/H347+6.0875-0.01706*H347)</f>
        <v>2.0359083674545998E-15</v>
      </c>
      <c r="DB347">
        <f>(10^-I347)</f>
        <v>2.3988329190194922E-9</v>
      </c>
      <c r="DC347">
        <f>DB347^2</f>
        <v>5.7543993733715778E-18</v>
      </c>
      <c r="DD347" s="20">
        <f>((14.6836*10^-9)*((H347/217.2056)-1)^1.997)*100*100</f>
        <v>1.1987516485047649E-5</v>
      </c>
      <c r="DE347">
        <f>CY347+CZ347*DA347/DB347</f>
        <v>6.038919461859393E-3</v>
      </c>
      <c r="DF347">
        <f>1+DC347*(CU347*CX347+CU347*DB347)^-1</f>
        <v>1.0071026632680897</v>
      </c>
      <c r="DG347">
        <f>(DE347*DF347/DD347)^0.5</f>
        <v>22.524330045042408</v>
      </c>
      <c r="DH347">
        <f>DD347/(BO347/60/60)</f>
        <v>3.2543670920417184E-2</v>
      </c>
      <c r="DI347" s="16">
        <f>DF347/((DF347-1)+TANH(DG347*DH347)/(DG347*DH347))</f>
        <v>1.1715744272736774</v>
      </c>
      <c r="DJ347">
        <f>$DI347*BR347</f>
        <v>11.577080027502532</v>
      </c>
      <c r="DK347">
        <f>$DI347*BY347</f>
        <v>16.926609930890038</v>
      </c>
      <c r="DL347">
        <f>$DI347*CF347</f>
        <v>2.6214625941457275</v>
      </c>
      <c r="DM347">
        <f>$DI347*CM347</f>
        <v>1488.2536856679508</v>
      </c>
    </row>
    <row r="348" spans="1:117" ht="15.75" x14ac:dyDescent="0.25">
      <c r="A348" s="51" t="s">
        <v>58</v>
      </c>
      <c r="B348" t="s">
        <v>341</v>
      </c>
      <c r="C348" s="69" t="s">
        <v>567</v>
      </c>
      <c r="D348" s="65">
        <v>43372</v>
      </c>
      <c r="E348" s="42" t="str">
        <f>A348&amp;D348</f>
        <v>14A43372</v>
      </c>
      <c r="F348" s="3">
        <f>VLOOKUP($E348,Water!$C$2:$E$90, 2, FALSE)</f>
        <v>6</v>
      </c>
      <c r="G348" s="3">
        <f>VLOOKUP($E348,Water!$C$2:$E$90, 3, FALSE)</f>
        <v>3.01</v>
      </c>
      <c r="H348" s="1">
        <f>F348+273.15</f>
        <v>279.14999999999998</v>
      </c>
      <c r="I348" s="3">
        <f>VLOOKUP($E348,Water!$C$2:$F$90, 4, FALSE)</f>
        <v>8.6199999999999992</v>
      </c>
      <c r="J348">
        <f>10^(I348*-1)</f>
        <v>2.3988329190194922E-9</v>
      </c>
      <c r="K348" s="25">
        <v>439.52751160265137</v>
      </c>
      <c r="L348" s="25">
        <v>2.8430237635924795</v>
      </c>
      <c r="M348" s="25">
        <f>VLOOKUP($E348,Atm!$D$2:$G$100, 4, FALSE)</f>
        <v>0.30284432529182659</v>
      </c>
      <c r="N348" s="21">
        <f>VLOOKUP($C348,Raw!$B$2:$F$353, 3, FALSE)</f>
        <v>502.64403708159563</v>
      </c>
      <c r="O348" s="21">
        <f>VLOOKUP($C348,Raw!$B$2:$F$353, 4, FALSE)</f>
        <v>50.30471004424669</v>
      </c>
      <c r="P348" s="21">
        <f>VLOOKUP($C348,Raw!$B$2:$F$353, 5, FALSE)</f>
        <v>0.3495151789677281</v>
      </c>
      <c r="Q348" s="14">
        <v>60</v>
      </c>
      <c r="R348" s="25">
        <v>1140</v>
      </c>
      <c r="S348">
        <f>EXP(24.4543-(100/H348*(67.4509))-(4.8489*LN(H348/100))-(0.000544*G348))</f>
        <v>9.2043806411442226E-3</v>
      </c>
      <c r="T348" s="8">
        <f>EXP(-58.0931+90.5069*(100/H348)+22.294*LN(H348/100)+G348*(0.027766-0.025888*(H348/100)+0.0050578*(H348/100)^2)*G348)</f>
        <v>5.8993845848821697E-2</v>
      </c>
      <c r="U348" s="9">
        <f>(EXP(-67.1962+99.1624*(100/H348)+27.9015*LN(H348/100)+G348*(-0.072909+0.041674*(H348/100)-0.0064603*(H348/100)^2)*G348))</f>
        <v>4.5374792686393724E-2</v>
      </c>
      <c r="V348" s="9">
        <f>(EXP(-64.8539+100.252*(100/H348)+25.2049*LN(H348/100)+(-0.062544+0.035337*(H348/100)-0.0054699*(H348/100)^2)*G348))</f>
        <v>4.5711369915553746E-2</v>
      </c>
      <c r="W348" s="9">
        <f>(EXP(-68.8862+101.4956*(100/H348)+28.7314*LN(H348/100)+G348*(-0.076146+0.04397*(H348/100)-0.0068672*(H348/100)^2)))</f>
        <v>4.7209509326077904E-2</v>
      </c>
      <c r="X348">
        <f>N348*(AZ348-S348)</f>
        <v>471.49642334391098</v>
      </c>
      <c r="Y348">
        <f>O348*(AZ348-S348)</f>
        <v>47.187450986043508</v>
      </c>
      <c r="Z348">
        <f>((Y348/10^6)*AZ348)/(0.082056*H348)</f>
        <v>1.9513587693560443E-6</v>
      </c>
      <c r="AA348">
        <f>(((L348/10^6)*AZ348)/(0.082056*H348))</f>
        <v>1.1756853223995199E-7</v>
      </c>
      <c r="AB348">
        <f>((Y348/10^6)*U348*1)/(0.082056*H348)</f>
        <v>9.3474509943593896E-8</v>
      </c>
      <c r="AC348">
        <f>(Z348*(Q348/1000))+(AB348*(R348/1000))</f>
        <v>2.236424674970597E-7</v>
      </c>
      <c r="AD348" s="39">
        <f>((AC348-(AA348*(Q348/1000)))/(R348/1000))*1000000</f>
        <v>0.18998978558128296</v>
      </c>
      <c r="AE348" s="39">
        <f>(AD348/((U348*AZ348*1))*(0.0821*273.15))</f>
        <v>99.129149370652357</v>
      </c>
      <c r="AF348" s="39">
        <f>L348*U348*AZ348*1/(0.0821*273.15)</f>
        <v>5.4489065898041481E-3</v>
      </c>
      <c r="AG348" s="39">
        <f>AD348-AF348</f>
        <v>0.18454087899147881</v>
      </c>
      <c r="AH348" s="42">
        <f>P348*(AZ348-S348)</f>
        <v>0.32785658364617004</v>
      </c>
      <c r="AI348">
        <f>(((X348/10^6)*(Q348/1000))/(0.082056*H348))</f>
        <v>1.2350418619341888E-6</v>
      </c>
      <c r="AJ348">
        <f>(((K348/10^6)*AZ348)*(Q348/1000))/(0.082056*H348)</f>
        <v>1.0905558739242937E-6</v>
      </c>
      <c r="AK348">
        <f>(X348/10^6)*T348*(R348/1000)</f>
        <v>3.1709541541404463E-5</v>
      </c>
      <c r="AL348">
        <f>AI348+AK348</f>
        <v>3.2944583403338654E-5</v>
      </c>
      <c r="AM348" s="39">
        <f>((AL348-AJ348)/(R348/1000))*1000000</f>
        <v>27.942129411766985</v>
      </c>
      <c r="AN348" s="39">
        <f>AM348/(T348*AZ348)</f>
        <v>500.02786788006466</v>
      </c>
      <c r="AO348" s="39">
        <f>(K348*AZ348)*T348</f>
        <v>24.561300275725767</v>
      </c>
      <c r="AP348" s="39">
        <f>AM348-AO348</f>
        <v>3.3808291360412177</v>
      </c>
      <c r="AQ348">
        <f>(((AH348/10^6)*(Q348/1000))/(0.082056*H348))</f>
        <v>8.5879040744790654E-10</v>
      </c>
      <c r="AR348">
        <f>(((M348/10^6)*AZ348)*(Q348/1000))/(0.082056*H348)</f>
        <v>7.5141748608040659E-10</v>
      </c>
      <c r="AS348">
        <f>(AH348/10^6)*V348*(R348/1000)</f>
        <v>1.7084921874701734E-8</v>
      </c>
      <c r="AT348">
        <f>AQ348+AS348</f>
        <v>1.7943712282149639E-8</v>
      </c>
      <c r="AU348" s="39">
        <f>((AT348-AR348)/(R348/1000))*1000000000</f>
        <v>15.080960347429153</v>
      </c>
      <c r="AV348" s="39">
        <f>(AU348/1000)/(V348*AZ348)</f>
        <v>0.34829414995947267</v>
      </c>
      <c r="AW348" s="39">
        <f>(M348*AZ348)*V348*1000</f>
        <v>13.113005951151942</v>
      </c>
      <c r="AX348" s="39">
        <f>AU348-AW348</f>
        <v>1.9679543962772108</v>
      </c>
      <c r="AY348" s="26">
        <f>VLOOKUP($E348,Water!$C$2:$G$90, 5, FALSE)</f>
        <v>719.9</v>
      </c>
      <c r="AZ348">
        <f>AY348/760</f>
        <v>0.94723684210526315</v>
      </c>
      <c r="BA348" s="3">
        <f>Assumptions!$B$3</f>
        <v>406.07</v>
      </c>
      <c r="BB348" s="3">
        <f>BA348*AZ348*T348</f>
        <v>22.691656243763099</v>
      </c>
      <c r="BC348" s="3">
        <f>Assumptions!$B$4</f>
        <v>1.8474300000000001</v>
      </c>
      <c r="BD348" s="45">
        <f>BC348*AZ348*U348*1/(0.0821*273.15)</f>
        <v>3.5407630530958907E-3</v>
      </c>
      <c r="BE348" s="3">
        <f>Assumptions!$B$2</f>
        <v>0.33054499999999998</v>
      </c>
      <c r="BF348" s="44">
        <f>BE348*AZ348*V348*1000</f>
        <v>14.312431140807313</v>
      </c>
      <c r="BG348">
        <f>1923.6+(-125.06*F348)+(4.3773*(F348^2))+(-0.085681*(F348^3))+(0.00070284*(F348^4))</f>
        <v>1313.2265846399996</v>
      </c>
      <c r="BH348">
        <f>1909.4+(-120.78*F348)+(4.1555*(F348^2))+(-0.080578*(F348^3))+(0.00065777*(F348^4))</f>
        <v>1317.7656219200001</v>
      </c>
      <c r="BI348">
        <f>2141.2+(-152.56*F348)+(5.8963*(F348^2))+(-0.12411*(F348^3))+(0.0010655*(F348^4))</f>
        <v>1412.6799279999996</v>
      </c>
      <c r="BJ348" s="25">
        <f>VLOOKUP(E348,Wind!$C$2:$E$109,3, FALSE)</f>
        <v>3.1944444444444442</v>
      </c>
      <c r="BK348" s="44">
        <v>1.66</v>
      </c>
      <c r="BL348">
        <f>BK348/(1-(((1.3*10^-3)^0.5)/0.41)*LN(10/1.5))</f>
        <v>1.9923982880693825</v>
      </c>
      <c r="BM348">
        <f>BK348*1.22</f>
        <v>2.0251999999999999</v>
      </c>
      <c r="BN348">
        <f>2.07+0.215*(BM348^1.7)*(24/100)</f>
        <v>2.241255750541113</v>
      </c>
      <c r="BO348">
        <f>BN348*((600/BG348)^0.67)</f>
        <v>1.3260661174857507</v>
      </c>
      <c r="BP348">
        <f>BN348*((600/BH348)^0.67)</f>
        <v>1.3230040645633194</v>
      </c>
      <c r="BQ348">
        <f>BN348*((600/BI348)^0.67)</f>
        <v>1.2627675866558403</v>
      </c>
      <c r="BR348" s="39">
        <f>BO348*(AM348-BB348)</f>
        <v>6.9624745688580223</v>
      </c>
      <c r="BS348" s="39">
        <f>BP348*(AD348-BD348)</f>
        <v>0.2466728146386494</v>
      </c>
      <c r="BT348" s="39">
        <f>BQ348*(AU348-BF348)</f>
        <v>0.97047377152038927</v>
      </c>
      <c r="BU348">
        <f>(2.51+1.48*BM348)+(0.39*BM348*LOG10(0.0015))</f>
        <v>3.2768938069574309</v>
      </c>
      <c r="BV348">
        <f>BU348*((600/$BG348)^0.67)</f>
        <v>1.9388139202569916</v>
      </c>
      <c r="BW348">
        <f>BU348*((600/$BH348)^0.67)</f>
        <v>1.9343369558339585</v>
      </c>
      <c r="BX348">
        <f>BU348*((600/$BI348)^0.67)</f>
        <v>1.8462664438630287</v>
      </c>
      <c r="BY348" s="39">
        <f>BV348*($AM348-$BB348)</f>
        <v>10.179690466061761</v>
      </c>
      <c r="BZ348" s="39">
        <f>BW348*($AD348-$BD348)</f>
        <v>0.36065523465539051</v>
      </c>
      <c r="CA348" s="39">
        <f>BX348*($AU348-$BF348)</f>
        <v>1.4189096853145804</v>
      </c>
      <c r="CB348" s="42">
        <f>AVERAGE(0.72,0.69,0.4,0.22)</f>
        <v>0.50750000000000006</v>
      </c>
      <c r="CC348">
        <f>CB348*((600/$BG348)^0.67)</f>
        <v>0.30026852333185955</v>
      </c>
      <c r="CD348">
        <f>CB348*((600/$BH348)^0.67)</f>
        <v>0.29957516566495396</v>
      </c>
      <c r="CE348">
        <f>CB348*((600/$BI348)^0.67)</f>
        <v>0.28593548508380429</v>
      </c>
      <c r="CF348" s="39">
        <f>CC348*($AM348-$BB348)</f>
        <v>1.5765518249500774</v>
      </c>
      <c r="CG348" s="39">
        <f>CD348*($AD348-$BD348)</f>
        <v>5.5855496811950373E-2</v>
      </c>
      <c r="CH348" s="39">
        <f>CE348*($AU348-$BF348)</f>
        <v>0.21974977149648722</v>
      </c>
      <c r="CI348">
        <v>171.86263901889501</v>
      </c>
      <c r="CJ348">
        <f>((BG348/BH348)^0.67)*CI348</f>
        <v>171.46578663791243</v>
      </c>
      <c r="CK348">
        <f>((BH348/BH348)^0.67)*CI348</f>
        <v>171.86263901889501</v>
      </c>
      <c r="CL348">
        <f>((BI348/BH348)^0.67)*CI348</f>
        <v>180.06082225370449</v>
      </c>
      <c r="CM348" s="39">
        <f>CJ348*($AM348-$BB348)</f>
        <v>900.2765119730384</v>
      </c>
      <c r="CN348" s="39">
        <f>CK348*($AD348-$BD348)</f>
        <v>32.043621054187639</v>
      </c>
      <c r="CO348" s="39">
        <f>CL348*($AU348-$BF348)</f>
        <v>138.38200087031575</v>
      </c>
      <c r="CP348" s="27">
        <f>VLOOKUP(A348,Water!$A$2:$E$109, 5, FALSE)/1000</f>
        <v>9.1E-4</v>
      </c>
      <c r="CQ348">
        <f>0.64*CP348</f>
        <v>5.8240000000000006E-4</v>
      </c>
      <c r="CR348" s="19">
        <f>CQ348*1000*(2.5*10^-5)</f>
        <v>1.4560000000000001E-5</v>
      </c>
      <c r="CS348" s="18">
        <f>(-0.0000009*F348^3)+(0.0002*F348^2)-(0.0134*F348)+6.579</f>
        <v>6.5056056</v>
      </c>
      <c r="CT348" s="18">
        <f>CS348-(SQRT(CP348))/(1+1.4*SQRT(CP348))</f>
        <v>6.4766617695259701</v>
      </c>
      <c r="CU348" s="18">
        <f>10^(-CT348)</f>
        <v>3.3368618788028551E-7</v>
      </c>
      <c r="CV348" s="18">
        <f>(0.000001*F348^3)+(0.00006*F348^2)-(0.014*F348)+10.625</f>
        <v>10.543376</v>
      </c>
      <c r="CW348" s="18">
        <f>CV348-(2*SQRT(CR348))/(1+1.4*SQRT(CR348))</f>
        <v>10.535785037760821</v>
      </c>
      <c r="CX348" s="18">
        <f>10^(-CW348)</f>
        <v>2.9121581889770804E-11</v>
      </c>
      <c r="CY348">
        <f>EXP(1246.98+-61900/H348-183*LN(H348))</f>
        <v>4.6323151776546676E-3</v>
      </c>
      <c r="CZ348">
        <f>12.225*(F348^2)+15.258*F348+1125.7</f>
        <v>1657.348</v>
      </c>
      <c r="DA348" s="15">
        <f>10^(-4470.99/H348+6.0875-0.01706*H348)</f>
        <v>2.0359083674545998E-15</v>
      </c>
      <c r="DB348">
        <f>(10^-I348)</f>
        <v>2.3988329190194922E-9</v>
      </c>
      <c r="DC348">
        <f>DB348^2</f>
        <v>5.7543993733715778E-18</v>
      </c>
      <c r="DD348" s="20">
        <f>((14.6836*10^-9)*((H348/217.2056)-1)^1.997)*100*100</f>
        <v>1.1987516485047649E-5</v>
      </c>
      <c r="DE348">
        <f>CY348+CZ348*DA348/DB348</f>
        <v>6.038919461859393E-3</v>
      </c>
      <c r="DF348">
        <f>1+DC348*(CU348*CX348+CU348*DB348)^-1</f>
        <v>1.0071026632680897</v>
      </c>
      <c r="DG348">
        <f>(DE348*DF348/DD348)^0.5</f>
        <v>22.524330045042408</v>
      </c>
      <c r="DH348">
        <f>DD348/(BO348/60/60)</f>
        <v>3.2543670920417184E-2</v>
      </c>
      <c r="DI348" s="16">
        <f>DF348/((DF348-1)+TANH(DG348*DH348)/(DG348*DH348))</f>
        <v>1.1715744272736774</v>
      </c>
      <c r="DJ348">
        <f>$DI348*BR348</f>
        <v>8.1570571554173821</v>
      </c>
      <c r="DK348">
        <f>$DI348*BY348</f>
        <v>11.926265027599621</v>
      </c>
      <c r="DL348">
        <f>$DI348*CF348</f>
        <v>1.8470478013831579</v>
      </c>
      <c r="DM348">
        <f>$DI348*CM348</f>
        <v>1054.7409389027564</v>
      </c>
    </row>
    <row r="349" spans="1:117" ht="15.75" x14ac:dyDescent="0.25">
      <c r="A349" s="51" t="s">
        <v>58</v>
      </c>
      <c r="B349" t="s">
        <v>342</v>
      </c>
      <c r="C349" s="69" t="s">
        <v>568</v>
      </c>
      <c r="D349" s="65">
        <v>43372</v>
      </c>
      <c r="E349" s="42" t="str">
        <f>A349&amp;D349</f>
        <v>14A43372</v>
      </c>
      <c r="F349" s="3">
        <f>VLOOKUP($E349,Water!$C$2:$E$90, 2, FALSE)</f>
        <v>6</v>
      </c>
      <c r="G349" s="3">
        <f>VLOOKUP($E349,Water!$C$2:$E$90, 3, FALSE)</f>
        <v>3.01</v>
      </c>
      <c r="H349" s="1">
        <f>F349+273.15</f>
        <v>279.14999999999998</v>
      </c>
      <c r="I349" s="3">
        <f>VLOOKUP($E349,Water!$C$2:$F$90, 4, FALSE)</f>
        <v>8.6199999999999992</v>
      </c>
      <c r="J349">
        <f>10^(I349*-1)</f>
        <v>2.3988329190194922E-9</v>
      </c>
      <c r="K349" s="25">
        <v>439.52751160265137</v>
      </c>
      <c r="L349" s="25">
        <v>2.8430237635924795</v>
      </c>
      <c r="M349" s="25">
        <f>VLOOKUP($E349,Atm!$D$2:$G$100, 4, FALSE)</f>
        <v>0.30284432529182659</v>
      </c>
      <c r="N349" s="21">
        <f>VLOOKUP($C349,Raw!$B$2:$F$353, 3, FALSE)</f>
        <v>499.8968967664652</v>
      </c>
      <c r="O349" s="21">
        <f>VLOOKUP($C349,Raw!$B$2:$F$353, 4, FALSE)</f>
        <v>51.305382087391379</v>
      </c>
      <c r="P349" s="21">
        <f>VLOOKUP($C349,Raw!$B$2:$F$353, 5, FALSE)</f>
        <v>0.35416953307961613</v>
      </c>
      <c r="Q349" s="14">
        <v>60</v>
      </c>
      <c r="R349" s="25">
        <v>1140</v>
      </c>
      <c r="S349">
        <f>EXP(24.4543-(100/H349*(67.4509))-(4.8489*LN(H349/100))-(0.000544*G349))</f>
        <v>9.2043806411442226E-3</v>
      </c>
      <c r="T349" s="8">
        <f>EXP(-58.0931+90.5069*(100/H349)+22.294*LN(H349/100)+G349*(0.027766-0.025888*(H349/100)+0.0050578*(H349/100)^2)*G349)</f>
        <v>5.8993845848821697E-2</v>
      </c>
      <c r="U349" s="9">
        <f>(EXP(-67.1962+99.1624*(100/H349)+27.9015*LN(H349/100)+G349*(-0.072909+0.041674*(H349/100)-0.0064603*(H349/100)^2)*G349))</f>
        <v>4.5374792686393724E-2</v>
      </c>
      <c r="V349" s="9">
        <f>(EXP(-64.8539+100.252*(100/H349)+25.2049*LN(H349/100)+(-0.062544+0.035337*(H349/100)-0.0054699*(H349/100)^2)*G349))</f>
        <v>4.5711369915553746E-2</v>
      </c>
      <c r="W349" s="9">
        <f>(EXP(-68.8862+101.4956*(100/H349)+28.7314*LN(H349/100)+G349*(-0.076146+0.04397*(H349/100)-0.0068672*(H349/100)^2)))</f>
        <v>4.7209509326077904E-2</v>
      </c>
      <c r="X349">
        <f>N349*(AZ349-S349)</f>
        <v>468.91951655212188</v>
      </c>
      <c r="Y349">
        <f>O349*(AZ349-S349)</f>
        <v>48.126113845792851</v>
      </c>
      <c r="Z349">
        <f>((Y349/10^6)*AZ349)/(0.082056*H349)</f>
        <v>1.9901756150335626E-6</v>
      </c>
      <c r="AA349">
        <f>(((L349/10^6)*AZ349)/(0.082056*H349))</f>
        <v>1.1756853223995199E-7</v>
      </c>
      <c r="AB349">
        <f>((Y349/10^6)*U349*1)/(0.082056*H349)</f>
        <v>9.5333924872433203E-8</v>
      </c>
      <c r="AC349">
        <f>(Z349*(Q349/1000))+(AB349*(R349/1000))</f>
        <v>2.2809121125658759E-7</v>
      </c>
      <c r="AD349" s="39">
        <f>((AC349-(AA349*(Q349/1000)))/(R349/1000))*1000000</f>
        <v>0.19389219238788638</v>
      </c>
      <c r="AE349" s="39">
        <f>(AD349/((U349*AZ349*1))*(0.0821*273.15))</f>
        <v>101.16527076556461</v>
      </c>
      <c r="AF349" s="39">
        <f>L349*U349*AZ349*1/(0.0821*273.15)</f>
        <v>5.4489065898041481E-3</v>
      </c>
      <c r="AG349" s="39">
        <f>AD349-AF349</f>
        <v>0.18844328579808223</v>
      </c>
      <c r="AH349" s="42">
        <f>P349*(AZ349-S349)</f>
        <v>0.33222251889026999</v>
      </c>
      <c r="AI349">
        <f>(((X349/10^6)*(Q349/1000))/(0.082056*H349))</f>
        <v>1.2282918897083322E-6</v>
      </c>
      <c r="AJ349">
        <f>(((K349/10^6)*AZ349)*(Q349/1000))/(0.082056*H349)</f>
        <v>1.0905558739242937E-6</v>
      </c>
      <c r="AK349">
        <f>(X349/10^6)*T349*(R349/1000)</f>
        <v>3.1536236869477054E-5</v>
      </c>
      <c r="AL349">
        <f>AI349+AK349</f>
        <v>3.2764528759185383E-5</v>
      </c>
      <c r="AM349" s="39">
        <f>((AL349-AJ349)/(R349/1000))*1000000</f>
        <v>27.784186741457095</v>
      </c>
      <c r="AN349" s="39">
        <f>AM349/(T349*AZ349)</f>
        <v>497.20146422562163</v>
      </c>
      <c r="AO349" s="39">
        <f>(K349*AZ349)*T349</f>
        <v>24.561300275725767</v>
      </c>
      <c r="AP349" s="39">
        <f>AM349-AO349</f>
        <v>3.2228864657313281</v>
      </c>
      <c r="AQ349">
        <f>(((AH349/10^6)*(Q349/1000))/(0.082056*H349))</f>
        <v>8.7022657647484375E-10</v>
      </c>
      <c r="AR349">
        <f>(((M349/10^6)*AZ349)*(Q349/1000))/(0.082056*H349)</f>
        <v>7.5141748608040659E-10</v>
      </c>
      <c r="AS349">
        <f>(AH349/10^6)*V349*(R349/1000)</f>
        <v>1.7312434959007996E-8</v>
      </c>
      <c r="AT349">
        <f>AQ349+AS349</f>
        <v>1.818266153548284E-8</v>
      </c>
      <c r="AU349" s="39">
        <f>((AT349-AR349)/(R349/1000))*1000000000</f>
        <v>15.290564955616169</v>
      </c>
      <c r="AV349" s="39">
        <f>(AU349/1000)/(V349*AZ349)</f>
        <v>0.35313495963964203</v>
      </c>
      <c r="AW349" s="39">
        <f>(M349*AZ349)*V349*1000</f>
        <v>13.113005951151942</v>
      </c>
      <c r="AX349" s="39">
        <f>AU349-AW349</f>
        <v>2.1775590044642268</v>
      </c>
      <c r="AY349" s="26">
        <f>VLOOKUP($E349,Water!$C$2:$G$90, 5, FALSE)</f>
        <v>719.9</v>
      </c>
      <c r="AZ349">
        <f>AY349/760</f>
        <v>0.94723684210526315</v>
      </c>
      <c r="BA349" s="3">
        <f>Assumptions!$B$3</f>
        <v>406.07</v>
      </c>
      <c r="BB349" s="3">
        <f>BA349*AZ349*T349</f>
        <v>22.691656243763099</v>
      </c>
      <c r="BC349" s="3">
        <f>Assumptions!$B$4</f>
        <v>1.8474300000000001</v>
      </c>
      <c r="BD349" s="45">
        <f>BC349*AZ349*U349*1/(0.0821*273.15)</f>
        <v>3.5407630530958907E-3</v>
      </c>
      <c r="BE349" s="3">
        <f>Assumptions!$B$2</f>
        <v>0.33054499999999998</v>
      </c>
      <c r="BF349" s="44">
        <f>BE349*AZ349*V349*1000</f>
        <v>14.312431140807313</v>
      </c>
      <c r="BG349">
        <f>1923.6+(-125.06*F349)+(4.3773*(F349^2))+(-0.085681*(F349^3))+(0.00070284*(F349^4))</f>
        <v>1313.2265846399996</v>
      </c>
      <c r="BH349">
        <f>1909.4+(-120.78*F349)+(4.1555*(F349^2))+(-0.080578*(F349^3))+(0.00065777*(F349^4))</f>
        <v>1317.7656219200001</v>
      </c>
      <c r="BI349">
        <f>2141.2+(-152.56*F349)+(5.8963*(F349^2))+(-0.12411*(F349^3))+(0.0010655*(F349^4))</f>
        <v>1412.6799279999996</v>
      </c>
      <c r="BJ349" s="25">
        <f>VLOOKUP(E349,Wind!$C$2:$E$109,3, FALSE)</f>
        <v>3.1944444444444442</v>
      </c>
      <c r="BK349" s="44">
        <v>1.66</v>
      </c>
      <c r="BL349">
        <f>BK349/(1-(((1.3*10^-3)^0.5)/0.41)*LN(10/1.5))</f>
        <v>1.9923982880693825</v>
      </c>
      <c r="BM349">
        <f>BK349*1.22</f>
        <v>2.0251999999999999</v>
      </c>
      <c r="BN349">
        <f>2.07+0.215*(BM349^1.7)*(24/100)</f>
        <v>2.241255750541113</v>
      </c>
      <c r="BO349">
        <f>BN349*((600/BG349)^0.67)</f>
        <v>1.3260661174857507</v>
      </c>
      <c r="BP349">
        <f>BN349*((600/BH349)^0.67)</f>
        <v>1.3230040645633194</v>
      </c>
      <c r="BQ349">
        <f>BN349*((600/BI349)^0.67)</f>
        <v>1.2627675866558403</v>
      </c>
      <c r="BR349" s="39">
        <f>BO349*(AM349-BB349)</f>
        <v>6.7530321452548554</v>
      </c>
      <c r="BS349" s="39">
        <f>BP349*(AD349-BD349)</f>
        <v>0.25183571470536531</v>
      </c>
      <c r="BT349" s="39">
        <f>BQ349*(AU349-BF349)</f>
        <v>1.2351556767526504</v>
      </c>
      <c r="BU349">
        <f>(2.51+1.48*BM349)+(0.39*BM349*LOG10(0.0015))</f>
        <v>3.2768938069574309</v>
      </c>
      <c r="BV349">
        <f>BU349*((600/$BG349)^0.67)</f>
        <v>1.9388139202569916</v>
      </c>
      <c r="BW349">
        <f>BU349*((600/$BH349)^0.67)</f>
        <v>1.9343369558339585</v>
      </c>
      <c r="BX349">
        <f>BU349*((600/$BI349)^0.67)</f>
        <v>1.8462664438630287</v>
      </c>
      <c r="BY349" s="39">
        <f>BV349*($AM349-$BB349)</f>
        <v>9.8734690182623854</v>
      </c>
      <c r="BZ349" s="39">
        <f>BW349*($AD349-$BD349)</f>
        <v>0.36820380435810152</v>
      </c>
      <c r="CA349" s="39">
        <f>BX349*($AU349-$BF349)</f>
        <v>1.8058956398893258</v>
      </c>
      <c r="CB349" s="42">
        <f>AVERAGE(0.72,0.69,0.4,0.22)</f>
        <v>0.50750000000000006</v>
      </c>
      <c r="CC349">
        <f>CB349*((600/$BG349)^0.67)</f>
        <v>0.30026852333185955</v>
      </c>
      <c r="CD349">
        <f>CB349*((600/$BH349)^0.67)</f>
        <v>0.29957516566495396</v>
      </c>
      <c r="CE349">
        <f>CB349*((600/$BI349)^0.67)</f>
        <v>0.28593548508380429</v>
      </c>
      <c r="CF349" s="39">
        <f>CC349*($AM349-$BB349)</f>
        <v>1.529126612565036</v>
      </c>
      <c r="CG349" s="39">
        <f>CD349*($AD349-$BD349)</f>
        <v>5.7024560977530635E-2</v>
      </c>
      <c r="CH349" s="39">
        <f>CE349*($AU349-$BF349)</f>
        <v>0.27968316681424238</v>
      </c>
      <c r="CI349">
        <v>172.86263901889501</v>
      </c>
      <c r="CJ349">
        <f>((BG349/BH349)^0.67)*CI349</f>
        <v>172.46347751253623</v>
      </c>
      <c r="CK349">
        <f>((BH349/BH349)^0.67)*CI349</f>
        <v>172.86263901889501</v>
      </c>
      <c r="CL349">
        <f>((BI349/BH349)^0.67)*CI349</f>
        <v>181.1085242049931</v>
      </c>
      <c r="CM349" s="39">
        <f>CJ349*($AM349-$BB349)</f>
        <v>878.2755189709535</v>
      </c>
      <c r="CN349" s="39">
        <f>CK349*($AD349-$BD349)</f>
        <v>32.904650415830588</v>
      </c>
      <c r="CO349" s="39">
        <f>CL349*($AU349-$BF349)</f>
        <v>177.14837167503202</v>
      </c>
      <c r="CP349" s="27">
        <f>VLOOKUP(A349,Water!$A$2:$E$109, 5, FALSE)/1000</f>
        <v>9.1E-4</v>
      </c>
      <c r="CQ349">
        <f>0.64*CP349</f>
        <v>5.8240000000000006E-4</v>
      </c>
      <c r="CR349" s="19">
        <f>CQ349*1000*(2.5*10^-5)</f>
        <v>1.4560000000000001E-5</v>
      </c>
      <c r="CS349" s="18">
        <f>(-0.0000009*F349^3)+(0.0002*F349^2)-(0.0134*F349)+6.579</f>
        <v>6.5056056</v>
      </c>
      <c r="CT349" s="18">
        <f>CS349-(SQRT(CP349))/(1+1.4*SQRT(CP349))</f>
        <v>6.4766617695259701</v>
      </c>
      <c r="CU349" s="18">
        <f>10^(-CT349)</f>
        <v>3.3368618788028551E-7</v>
      </c>
      <c r="CV349" s="18">
        <f>(0.000001*F349^3)+(0.00006*F349^2)-(0.014*F349)+10.625</f>
        <v>10.543376</v>
      </c>
      <c r="CW349" s="18">
        <f>CV349-(2*SQRT(CR349))/(1+1.4*SQRT(CR349))</f>
        <v>10.535785037760821</v>
      </c>
      <c r="CX349" s="18">
        <f>10^(-CW349)</f>
        <v>2.9121581889770804E-11</v>
      </c>
      <c r="CY349">
        <f>EXP(1246.98+-61900/H349-183*LN(H349))</f>
        <v>4.6323151776546676E-3</v>
      </c>
      <c r="CZ349">
        <f>12.225*(F349^2)+15.258*F349+1125.7</f>
        <v>1657.348</v>
      </c>
      <c r="DA349" s="15">
        <f>10^(-4470.99/H349+6.0875-0.01706*H349)</f>
        <v>2.0359083674545998E-15</v>
      </c>
      <c r="DB349">
        <f>(10^-I349)</f>
        <v>2.3988329190194922E-9</v>
      </c>
      <c r="DC349">
        <f>DB349^2</f>
        <v>5.7543993733715778E-18</v>
      </c>
      <c r="DD349" s="20">
        <f>((14.6836*10^-9)*((H349/217.2056)-1)^1.997)*100*100</f>
        <v>1.1987516485047649E-5</v>
      </c>
      <c r="DE349">
        <f>CY349+CZ349*DA349/DB349</f>
        <v>6.038919461859393E-3</v>
      </c>
      <c r="DF349">
        <f>1+DC349*(CU349*CX349+CU349*DB349)^-1</f>
        <v>1.0071026632680897</v>
      </c>
      <c r="DG349">
        <f>(DE349*DF349/DD349)^0.5</f>
        <v>22.524330045042408</v>
      </c>
      <c r="DH349">
        <f>DD349/(BO349/60/60)</f>
        <v>3.2543670920417184E-2</v>
      </c>
      <c r="DI349" s="16">
        <f>DF349/((DF349-1)+TANH(DG349*DH349)/(DG349*DH349))</f>
        <v>1.1715744272736774</v>
      </c>
      <c r="DJ349">
        <f>$DI349*BR349</f>
        <v>7.9116797679376907</v>
      </c>
      <c r="DK349">
        <f>$DI349*BY349</f>
        <v>11.567503810275152</v>
      </c>
      <c r="DL349">
        <f>$DI349*CF349</f>
        <v>1.7914856353448205</v>
      </c>
      <c r="DM349">
        <f>$DI349*CM349</f>
        <v>1028.9651381268866</v>
      </c>
    </row>
    <row r="350" spans="1:117" ht="15.75" x14ac:dyDescent="0.25">
      <c r="A350" s="51" t="s">
        <v>337</v>
      </c>
      <c r="B350" t="s">
        <v>339</v>
      </c>
      <c r="C350" s="69" t="s">
        <v>569</v>
      </c>
      <c r="D350" s="65">
        <v>43372</v>
      </c>
      <c r="E350" s="42" t="str">
        <f>A350&amp;D350</f>
        <v>14B43372</v>
      </c>
      <c r="F350" s="3">
        <f>VLOOKUP($E350,Water!$C$2:$E$90, 2, FALSE)</f>
        <v>5.9</v>
      </c>
      <c r="G350" s="3">
        <f>VLOOKUP($E350,Water!$C$2:$E$90, 3, FALSE)</f>
        <v>0.56000000000000005</v>
      </c>
      <c r="H350" s="1">
        <f>F350+273.15</f>
        <v>279.04999999999995</v>
      </c>
      <c r="I350" s="3">
        <f>VLOOKUP($E350,Water!$C$2:$F$90, 4, FALSE)</f>
        <v>9.36</v>
      </c>
      <c r="J350">
        <f>10^(I350*-1)</f>
        <v>4.3651583224016624E-10</v>
      </c>
      <c r="K350" s="25">
        <v>439.52751160265137</v>
      </c>
      <c r="L350" s="25">
        <v>2.8430237635924795</v>
      </c>
      <c r="M350" s="25">
        <f>VLOOKUP($E350,Atm!$D$2:$G$100, 4, FALSE)</f>
        <v>0.31470686677065718</v>
      </c>
      <c r="N350" s="21">
        <f>VLOOKUP($C350,Raw!$B$2:$F$353, 3, FALSE)</f>
        <v>79.45206070074201</v>
      </c>
      <c r="O350" s="21">
        <f>VLOOKUP($C350,Raw!$B$2:$F$353, 4, FALSE)</f>
        <v>13.22646458380834</v>
      </c>
      <c r="P350" s="21">
        <f>VLOOKUP($C350,Raw!$B$2:$F$353, 5, FALSE)</f>
        <v>0.30559519377631772</v>
      </c>
      <c r="Q350" s="14">
        <v>60</v>
      </c>
      <c r="R350" s="25">
        <v>1140</v>
      </c>
      <c r="S350">
        <f>EXP(24.4543-(100/H350*(67.4509))-(4.8489*LN(H350/100))-(0.000544*G350))</f>
        <v>9.1530820139700993E-3</v>
      </c>
      <c r="T350" s="8">
        <f>EXP(-58.0931+90.5069*(100/H350)+22.294*LN(H350/100)+G350*(0.027766-0.025888*(H350/100)+0.0050578*(H350/100)^2)*G350)</f>
        <v>6.1902586709088527E-2</v>
      </c>
      <c r="U350" s="9">
        <f>(EXP(-67.1962+99.1624*(100/H350)+27.9015*LN(H350/100)+G350*(-0.072909+0.041674*(H350/100)-0.0064603*(H350/100)^2)*G350))</f>
        <v>4.8336838388846469E-2</v>
      </c>
      <c r="V350" s="9">
        <f>(EXP(-64.8539+100.252*(100/H350)+25.2049*LN(H350/100)+(-0.062544+0.035337*(H350/100)-0.0054699*(H350/100)^2)*G350))</f>
        <v>4.6626508044633141E-2</v>
      </c>
      <c r="W350" s="9">
        <f>(EXP(-68.8862+101.4956*(100/H350)+28.7314*LN(H350/100)+G350*(-0.076146+0.04397*(H350/100)-0.0068672*(H350/100)^2)))</f>
        <v>4.8147638419122792E-2</v>
      </c>
      <c r="X350">
        <f>N350*(AZ350-S350)</f>
        <v>74.407237226994653</v>
      </c>
      <c r="Y350">
        <f>O350*(AZ350-S350)</f>
        <v>12.386647738045129</v>
      </c>
      <c r="Z350">
        <f>((Y350/10^6)*AZ350)/(0.082056*H350)</f>
        <v>5.1155869423713385E-7</v>
      </c>
      <c r="AA350">
        <f>(((L350/10^6)*AZ350)/(0.082056*H350))</f>
        <v>1.1741461894661431E-7</v>
      </c>
      <c r="AB350">
        <f>((Y350/10^6)*U350*1)/(0.082056*H350)</f>
        <v>2.6148071165451157E-8</v>
      </c>
      <c r="AC350">
        <f>(Z350*(Q350/1000))+(AB350*(R350/1000))</f>
        <v>6.0502322782842353E-8</v>
      </c>
      <c r="AD350" s="39">
        <f>((AC350-(AA350*(Q350/1000)))/(R350/1000))*1000000</f>
        <v>4.6892496180741663E-2</v>
      </c>
      <c r="AE350" s="39">
        <f>(AD350/((U350*AZ350*1))*(0.0821*273.15))</f>
        <v>23.005698316071371</v>
      </c>
      <c r="AF350" s="39">
        <f>L350*U350*AZ350*1/(0.0821*273.15)</f>
        <v>5.7949330267834387E-3</v>
      </c>
      <c r="AG350" s="39">
        <f>AD350-AF350</f>
        <v>4.1097563153958225E-2</v>
      </c>
      <c r="AH350" s="42">
        <f>P350*(AZ350-S350)</f>
        <v>0.28619136971650022</v>
      </c>
      <c r="AI350">
        <f>(((X350/10^6)*(Q350/1000))/(0.082056*H350))</f>
        <v>1.9497281422799051E-7</v>
      </c>
      <c r="AJ350">
        <f>(((K350/10^6)*AZ350)*(Q350/1000))/(0.082056*H350)</f>
        <v>1.0891281870855922E-6</v>
      </c>
      <c r="AK350">
        <f>(X350/10^6)*T350*(R350/1000)</f>
        <v>5.2508405178196417E-6</v>
      </c>
      <c r="AL350">
        <f>AI350+AK350</f>
        <v>5.4458133320476322E-6</v>
      </c>
      <c r="AM350" s="39">
        <f>((AL350-AJ350)/(R350/1000))*1000000</f>
        <v>3.821653635931614</v>
      </c>
      <c r="AN350" s="39">
        <f>AM350/(T350*AZ350)</f>
        <v>65.28425820548631</v>
      </c>
      <c r="AO350" s="39">
        <f>(K350*AZ350)*T350</f>
        <v>25.729355881186805</v>
      </c>
      <c r="AP350" s="39">
        <f>AM350-AO350</f>
        <v>-21.907702245255191</v>
      </c>
      <c r="AQ350">
        <f>(((AH350/10^6)*(Q350/1000))/(0.082056*H350))</f>
        <v>7.4992082545897159E-10</v>
      </c>
      <c r="AR350">
        <f>(((M350/10^6)*AZ350)*(Q350/1000))/(0.082056*H350)</f>
        <v>7.7982858915820632E-10</v>
      </c>
      <c r="AS350">
        <f>(AH350/10^6)*V350*(R350/1000)</f>
        <v>1.5212278790725711E-8</v>
      </c>
      <c r="AT350">
        <f>AQ350+AS350</f>
        <v>1.5962199616184684E-8</v>
      </c>
      <c r="AU350" s="39">
        <f>((AT350-AR350)/(R350/1000))*1000000000</f>
        <v>13.317869321953051</v>
      </c>
      <c r="AV350" s="39">
        <f>(AU350/1000)/(V350*AZ350)</f>
        <v>0.30204232535268072</v>
      </c>
      <c r="AW350" s="39">
        <f>(M350*AZ350)*V350*1000</f>
        <v>13.876283469474034</v>
      </c>
      <c r="AX350" s="39">
        <f>AU350-AW350</f>
        <v>-0.55841414752098295</v>
      </c>
      <c r="AY350" s="26">
        <f>VLOOKUP($E350,Water!$C$2:$G$90, 5, FALSE)</f>
        <v>718.7</v>
      </c>
      <c r="AZ350">
        <f>AY350/760</f>
        <v>0.94565789473684214</v>
      </c>
      <c r="BA350" s="3">
        <f>Assumptions!$B$3</f>
        <v>406.07</v>
      </c>
      <c r="BB350" s="3">
        <f>BA350*AZ350*T350</f>
        <v>23.770797656276908</v>
      </c>
      <c r="BC350" s="3">
        <f>Assumptions!$B$4</f>
        <v>1.8474300000000001</v>
      </c>
      <c r="BD350" s="45">
        <f>BC350*AZ350*U350*1/(0.0821*273.15)</f>
        <v>3.7656150675795387E-3</v>
      </c>
      <c r="BE350" s="3">
        <f>Assumptions!$B$2</f>
        <v>0.33054499999999998</v>
      </c>
      <c r="BF350" s="44">
        <f>BE350*AZ350*V350*1000</f>
        <v>14.574629929380857</v>
      </c>
      <c r="BG350">
        <f>1923.6+(-125.06*F350)+(4.3773*(F350^2))+(-0.085681*(F350^3))+(0.00070284*(F350^4))</f>
        <v>1321.3743915015236</v>
      </c>
      <c r="BH350">
        <f>1909.4+(-120.78*F350)+(4.1555*(F350^2))+(-0.080578*(F350^3))+(0.00065777*(F350^4))</f>
        <v>1325.698969592497</v>
      </c>
      <c r="BI350">
        <f>2141.2+(-152.56*F350)+(5.8963*(F350^2))+(-0.12411*(F350^3))+(0.0010655*(F350^4))</f>
        <v>1422.1477201245498</v>
      </c>
      <c r="BJ350" s="25">
        <f>VLOOKUP(E350,Wind!$C$2:$E$109,3, FALSE)</f>
        <v>1.3055555555555556</v>
      </c>
      <c r="BK350" s="44">
        <v>1.66</v>
      </c>
      <c r="BL350">
        <f>BK350/(1-(((1.3*10^-3)^0.5)/0.41)*LN(10/1.5))</f>
        <v>1.9923982880693825</v>
      </c>
      <c r="BM350">
        <f>BK350*1.22</f>
        <v>2.0251999999999999</v>
      </c>
      <c r="BN350">
        <f>2.07+0.215*(BM350^1.7)*(24/100)</f>
        <v>2.241255750541113</v>
      </c>
      <c r="BO350">
        <f>BN350*((600/BG350)^0.67)</f>
        <v>1.320582114710636</v>
      </c>
      <c r="BP350">
        <f>BN350*((600/BH350)^0.67)</f>
        <v>1.3176942750748195</v>
      </c>
      <c r="BQ350">
        <f>BN350*((600/BI350)^0.67)</f>
        <v>1.2571288677889523</v>
      </c>
      <c r="BR350" s="39">
        <f>BO350*(AM350-BB350)</f>
        <v>-26.344482797054628</v>
      </c>
      <c r="BS350" s="39">
        <f>BP350*(AD350-BD350)</f>
        <v>5.6828044344646091E-2</v>
      </c>
      <c r="BT350" s="39">
        <f>BQ350*(AU350-BF350)</f>
        <v>-1.5799100394974732</v>
      </c>
      <c r="BU350">
        <f>(2.51+1.48*BM350)+(0.39*BM350*LOG10(0.0015))</f>
        <v>3.2768938069574309</v>
      </c>
      <c r="BV350">
        <f>BU350*((600/$BG350)^0.67)</f>
        <v>1.9307958729070753</v>
      </c>
      <c r="BW350">
        <f>BU350*((600/$BH350)^0.67)</f>
        <v>1.9265736221372518</v>
      </c>
      <c r="BX350">
        <f>BU350*((600/$BI350)^0.67)</f>
        <v>1.8380221893063504</v>
      </c>
      <c r="BY350" s="39">
        <f>BV350*($AM350-$BB350)</f>
        <v>-38.517724942511556</v>
      </c>
      <c r="BZ350" s="39">
        <f>BW350*($AD350-$BD350)</f>
        <v>8.308711155766739E-2</v>
      </c>
      <c r="CA350" s="39">
        <f>BX350*($AU350-$BF350)</f>
        <v>-2.3099538830984341</v>
      </c>
      <c r="CB350" s="42">
        <f>AVERAGE(0.72,0.69,0.4,0.22)</f>
        <v>0.50750000000000006</v>
      </c>
      <c r="CC350">
        <f>CB350*((600/$BG350)^0.67)</f>
        <v>0.29902675009482543</v>
      </c>
      <c r="CD350">
        <f>CB350*((600/$BH350)^0.67)</f>
        <v>0.29837284051095797</v>
      </c>
      <c r="CE350">
        <f>CB350*((600/$BI350)^0.67)</f>
        <v>0.28465867862195593</v>
      </c>
      <c r="CF350" s="39">
        <f>CC350*($AM350-$BB350)</f>
        <v>-5.965327703577473</v>
      </c>
      <c r="CG350" s="39">
        <f>CD350*($AD350-$BD350)</f>
        <v>1.2867890020112568E-2</v>
      </c>
      <c r="CH350" s="39">
        <f>CE350*($AU350-$BF350)</f>
        <v>-0.35774781385452586</v>
      </c>
      <c r="CI350">
        <v>173.86263901889501</v>
      </c>
      <c r="CJ350">
        <f>((BG350/BH350)^0.67)*CI350</f>
        <v>173.48243742858617</v>
      </c>
      <c r="CK350">
        <f>((BH350/BH350)^0.67)*CI350</f>
        <v>173.86263901889501</v>
      </c>
      <c r="CL350">
        <f>((BI350/BH350)^0.67)*CI350</f>
        <v>182.23891754831538</v>
      </c>
      <c r="CM350" s="39">
        <f>CJ350*($AM350-$BB350)</f>
        <v>-3460.8261292634065</v>
      </c>
      <c r="CN350" s="39">
        <f>CK350*($AD350-$BD350)</f>
        <v>7.4981533629885071</v>
      </c>
      <c r="CO350" s="39">
        <f>CL350*($AU350-$BF350)</f>
        <v>-229.03069271500664</v>
      </c>
      <c r="CP350" s="27">
        <f>VLOOKUP(A350,Water!$A$2:$E$109, 5, FALSE)/1000</f>
        <v>3.8000000000000002E-4</v>
      </c>
      <c r="CQ350">
        <f>0.64*CP350</f>
        <v>2.4320000000000003E-4</v>
      </c>
      <c r="CR350" s="19">
        <f>CQ350*1000*(2.5*10^-5)</f>
        <v>6.0800000000000011E-6</v>
      </c>
      <c r="CS350" s="18">
        <f>(-0.0000009*F350^3)+(0.0002*F350^2)-(0.0134*F350)+6.579</f>
        <v>6.5067171588999999</v>
      </c>
      <c r="CT350" s="18">
        <f>CS350-(SQRT(CP350))/(1+1.4*SQRT(CP350))</f>
        <v>6.4877414370927804</v>
      </c>
      <c r="CU350" s="18">
        <f>10^(-CT350)</f>
        <v>3.2528089999140388E-7</v>
      </c>
      <c r="CV350" s="18">
        <f>(0.000001*F350^3)+(0.00006*F350^2)-(0.014*F350)+10.625</f>
        <v>10.544693979</v>
      </c>
      <c r="CW350" s="18">
        <f>CV350-(2*SQRT(CR350))/(1+1.4*SQRT(CR350))</f>
        <v>10.539779413231727</v>
      </c>
      <c r="CX350" s="18">
        <f>10^(-CW350)</f>
        <v>2.885496731921234E-11</v>
      </c>
      <c r="CY350">
        <f>EXP(1246.98+-61900/H350-183*LN(H350))</f>
        <v>4.5683887661764492E-3</v>
      </c>
      <c r="CZ350">
        <f>12.225*(F350^2)+15.258*F350+1125.7</f>
        <v>1641.2744500000001</v>
      </c>
      <c r="DA350" s="15">
        <f>10^(-4470.99/H350+6.0875-0.01706*H350)</f>
        <v>2.017086837540581E-15</v>
      </c>
      <c r="DB350">
        <f>(10^-I350)</f>
        <v>4.3651583224016624E-10</v>
      </c>
      <c r="DC350">
        <f>DB350^2</f>
        <v>1.9054607179632495E-19</v>
      </c>
      <c r="DD350" s="20">
        <f>((14.6836*10^-9)*((H350/217.2056)-1)^1.997)*100*100</f>
        <v>1.1948901524973324E-5</v>
      </c>
      <c r="DE350">
        <f>CY350+CZ350*DA350/DB350</f>
        <v>1.2152519387274298E-2</v>
      </c>
      <c r="DF350">
        <f>1+DC350*(CU350*CX350+CU350*DB350)^-1</f>
        <v>1.0012587581857226</v>
      </c>
      <c r="DG350">
        <f>(DE350*DF350/DD350)^0.5</f>
        <v>31.911141101708306</v>
      </c>
      <c r="DH350">
        <f>DD350/(BO350/60/60)</f>
        <v>3.2573548445588012E-2</v>
      </c>
      <c r="DI350" s="16">
        <f>DF350/((DF350-1)+TANH(DG350*DH350)/(DG350*DH350))</f>
        <v>1.3360596882517606</v>
      </c>
      <c r="DJ350">
        <f>$DI350*BR350</f>
        <v>-35.197801472986676</v>
      </c>
      <c r="DK350">
        <f>$DI350*BY350</f>
        <v>-51.461979578859051</v>
      </c>
      <c r="DL350">
        <f>$DI350*CF350</f>
        <v>-7.9700338719613093</v>
      </c>
      <c r="DM350">
        <f>$DI350*CM350</f>
        <v>-4623.8702793572138</v>
      </c>
    </row>
    <row r="351" spans="1:117" ht="15.75" x14ac:dyDescent="0.25">
      <c r="A351" s="51" t="s">
        <v>337</v>
      </c>
      <c r="B351" t="s">
        <v>340</v>
      </c>
      <c r="C351" s="69" t="s">
        <v>570</v>
      </c>
      <c r="D351" s="65">
        <v>43372</v>
      </c>
      <c r="E351" s="42" t="str">
        <f>A351&amp;D351</f>
        <v>14B43372</v>
      </c>
      <c r="F351" s="3">
        <f>VLOOKUP($E351,Water!$C$2:$E$90, 2, FALSE)</f>
        <v>5.9</v>
      </c>
      <c r="G351" s="3">
        <f>VLOOKUP($E351,Water!$C$2:$E$90, 3, FALSE)</f>
        <v>0.56000000000000005</v>
      </c>
      <c r="H351" s="1">
        <f>F351+273.15</f>
        <v>279.04999999999995</v>
      </c>
      <c r="I351" s="3">
        <f>VLOOKUP($E351,Water!$C$2:$F$90, 4, FALSE)</f>
        <v>9.36</v>
      </c>
      <c r="J351">
        <f>10^(I351*-1)</f>
        <v>4.3651583224016624E-10</v>
      </c>
      <c r="K351" s="25">
        <v>439.52751160265137</v>
      </c>
      <c r="L351" s="25">
        <v>2.8430237635924795</v>
      </c>
      <c r="M351" s="25">
        <f>VLOOKUP($E351,Atm!$D$2:$G$100, 4, FALSE)</f>
        <v>0.31470686677065718</v>
      </c>
      <c r="N351" s="21">
        <f>VLOOKUP($C351,Raw!$B$2:$F$353, 3, FALSE)</f>
        <v>100.9274727828615</v>
      </c>
      <c r="O351" s="21">
        <f>VLOOKUP($C351,Raw!$B$2:$F$353, 4, FALSE)</f>
        <v>13.258857859484239</v>
      </c>
      <c r="P351" s="21">
        <f>VLOOKUP($C351,Raw!$B$2:$F$353, 5, FALSE)</f>
        <v>0.30900225429759393</v>
      </c>
      <c r="Q351" s="14">
        <v>60</v>
      </c>
      <c r="R351" s="25">
        <v>1140</v>
      </c>
      <c r="S351">
        <f>EXP(24.4543-(100/H351*(67.4509))-(4.8489*LN(H351/100))-(0.000544*G351))</f>
        <v>9.1530820139700993E-3</v>
      </c>
      <c r="T351" s="8">
        <f>EXP(-58.0931+90.5069*(100/H351)+22.294*LN(H351/100)+G351*(0.027766-0.025888*(H351/100)+0.0050578*(H351/100)^2)*G351)</f>
        <v>6.1902586709088527E-2</v>
      </c>
      <c r="U351" s="9">
        <f>(EXP(-67.1962+99.1624*(100/H351)+27.9015*LN(H351/100)+G351*(-0.072909+0.041674*(H351/100)-0.0064603*(H351/100)^2)*G351))</f>
        <v>4.8336838388846469E-2</v>
      </c>
      <c r="V351" s="9">
        <f>(EXP(-64.8539+100.252*(100/H351)+25.2049*LN(H351/100)+(-0.062544+0.035337*(H351/100)-0.0054699*(H351/100)^2)*G351))</f>
        <v>4.6626508044633141E-2</v>
      </c>
      <c r="W351" s="9">
        <f>(EXP(-68.8862+101.4956*(100/H351)+28.7314*LN(H351/100)+G351*(-0.076146+0.04397*(H351/100)-0.0068672*(H351/100)^2)))</f>
        <v>4.8147638419122792E-2</v>
      </c>
      <c r="X351">
        <f>N351*(AZ351-S351)</f>
        <v>94.519063997106471</v>
      </c>
      <c r="Y351">
        <f>O351*(AZ351-S351)</f>
        <v>12.416984196615466</v>
      </c>
      <c r="Z351">
        <f>((Y351/10^6)*AZ351)/(0.082056*H351)</f>
        <v>5.128115658342129E-7</v>
      </c>
      <c r="AA351">
        <f>(((L351/10^6)*AZ351)/(0.082056*H351))</f>
        <v>1.1741461894661431E-7</v>
      </c>
      <c r="AB351">
        <f>((Y351/10^6)*U351*1)/(0.082056*H351)</f>
        <v>2.6212111081204025E-8</v>
      </c>
      <c r="AC351">
        <f>(Z351*(Q351/1000))+(AB351*(R351/1000))</f>
        <v>6.0650500582625357E-8</v>
      </c>
      <c r="AD351" s="39">
        <f>((AC351-(AA351*(Q351/1000)))/(R351/1000))*1000000</f>
        <v>4.7022476706867107E-2</v>
      </c>
      <c r="AE351" s="39">
        <f>(AD351/((U351*AZ351*1))*(0.0821*273.15))</f>
        <v>23.069467426580662</v>
      </c>
      <c r="AF351" s="39">
        <f>L351*U351*AZ351*1/(0.0821*273.15)</f>
        <v>5.7949330267834387E-3</v>
      </c>
      <c r="AG351" s="39">
        <f>AD351-AF351</f>
        <v>4.1227543680083668E-2</v>
      </c>
      <c r="AH351" s="42">
        <f>P351*(AZ351-S351)</f>
        <v>0.28938209829191347</v>
      </c>
      <c r="AI351">
        <f>(((X351/10^6)*(Q351/1000))/(0.082056*H351))</f>
        <v>2.4767278819251126E-7</v>
      </c>
      <c r="AJ351">
        <f>(((K351/10^6)*AZ351)*(Q351/1000))/(0.082056*H351)</f>
        <v>1.0891281870855922E-6</v>
      </c>
      <c r="AK351">
        <f>(X351/10^6)*T351*(R351/1000)</f>
        <v>6.6701109924067587E-6</v>
      </c>
      <c r="AL351">
        <f>AI351+AK351</f>
        <v>6.91778378059927E-6</v>
      </c>
      <c r="AM351" s="39">
        <f>((AL351-AJ351)/(R351/1000))*1000000</f>
        <v>5.1128557837839281</v>
      </c>
      <c r="AN351" s="39">
        <f>AM351/(T351*AZ351)</f>
        <v>87.341509449637883</v>
      </c>
      <c r="AO351" s="39">
        <f>(K351*AZ351)*T351</f>
        <v>25.729355881186805</v>
      </c>
      <c r="AP351" s="39">
        <f>AM351-AO351</f>
        <v>-20.616500097402877</v>
      </c>
      <c r="AQ351">
        <f>(((AH351/10^6)*(Q351/1000))/(0.082056*H351))</f>
        <v>7.5828164294085337E-10</v>
      </c>
      <c r="AR351">
        <f>(((M351/10^6)*AZ351)*(Q351/1000))/(0.082056*H351)</f>
        <v>7.7982858915820632E-10</v>
      </c>
      <c r="AS351">
        <f>(AH351/10^6)*V351*(R351/1000)</f>
        <v>1.5381879476738022E-8</v>
      </c>
      <c r="AT351">
        <f>AQ351+AS351</f>
        <v>1.6140161119678876E-8</v>
      </c>
      <c r="AU351" s="39">
        <f>((AT351-AR351)/(R351/1000))*1000000000</f>
        <v>13.473975903965501</v>
      </c>
      <c r="AV351" s="39">
        <f>(AU351/1000)/(V351*AZ351)</f>
        <v>0.3055827411574954</v>
      </c>
      <c r="AW351" s="39">
        <f>(M351*AZ351)*V351*1000</f>
        <v>13.876283469474034</v>
      </c>
      <c r="AX351" s="39">
        <f>AU351-AW351</f>
        <v>-0.40230756550853286</v>
      </c>
      <c r="AY351" s="26">
        <f>VLOOKUP($E351,Water!$C$2:$G$90, 5, FALSE)</f>
        <v>718.7</v>
      </c>
      <c r="AZ351">
        <f>AY351/760</f>
        <v>0.94565789473684214</v>
      </c>
      <c r="BA351" s="3">
        <f>Assumptions!$B$3</f>
        <v>406.07</v>
      </c>
      <c r="BB351" s="3">
        <f>BA351*AZ351*T351</f>
        <v>23.770797656276908</v>
      </c>
      <c r="BC351" s="3">
        <f>Assumptions!$B$4</f>
        <v>1.8474300000000001</v>
      </c>
      <c r="BD351" s="45">
        <f>BC351*AZ351*U351*1/(0.0821*273.15)</f>
        <v>3.7656150675795387E-3</v>
      </c>
      <c r="BE351" s="3">
        <f>Assumptions!$B$2</f>
        <v>0.33054499999999998</v>
      </c>
      <c r="BF351" s="44">
        <f>BE351*AZ351*V351*1000</f>
        <v>14.574629929380857</v>
      </c>
      <c r="BG351">
        <f>1923.6+(-125.06*F351)+(4.3773*(F351^2))+(-0.085681*(F351^3))+(0.00070284*(F351^4))</f>
        <v>1321.3743915015236</v>
      </c>
      <c r="BH351">
        <f>1909.4+(-120.78*F351)+(4.1555*(F351^2))+(-0.080578*(F351^3))+(0.00065777*(F351^4))</f>
        <v>1325.698969592497</v>
      </c>
      <c r="BI351">
        <f>2141.2+(-152.56*F351)+(5.8963*(F351^2))+(-0.12411*(F351^3))+(0.0010655*(F351^4))</f>
        <v>1422.1477201245498</v>
      </c>
      <c r="BJ351" s="25">
        <f>VLOOKUP(E351,Wind!$C$2:$E$109,3, FALSE)</f>
        <v>1.3055555555555556</v>
      </c>
      <c r="BK351" s="44">
        <v>1.66</v>
      </c>
      <c r="BL351">
        <f>BK351/(1-(((1.3*10^-3)^0.5)/0.41)*LN(10/1.5))</f>
        <v>1.9923982880693825</v>
      </c>
      <c r="BM351">
        <f>BK351*1.22</f>
        <v>2.0251999999999999</v>
      </c>
      <c r="BN351">
        <f>2.07+0.215*(BM351^1.7)*(24/100)</f>
        <v>2.241255750541113</v>
      </c>
      <c r="BO351">
        <f>BN351*((600/BG351)^0.67)</f>
        <v>1.320582114710636</v>
      </c>
      <c r="BP351">
        <f>BN351*((600/BH351)^0.67)</f>
        <v>1.3176942750748195</v>
      </c>
      <c r="BQ351">
        <f>BN351*((600/BI351)^0.67)</f>
        <v>1.2571288677889523</v>
      </c>
      <c r="BR351" s="39">
        <f>BO351*(AM351-BB351)</f>
        <v>-24.639344334124903</v>
      </c>
      <c r="BS351" s="39">
        <f>BP351*(AD351-BD351)</f>
        <v>5.6999318939792799E-2</v>
      </c>
      <c r="BT351" s="39">
        <f>BQ351*(AU351-BF351)</f>
        <v>-1.3836639487977587</v>
      </c>
      <c r="BU351">
        <f>(2.51+1.48*BM351)+(0.39*BM351*LOG10(0.0015))</f>
        <v>3.2768938069574309</v>
      </c>
      <c r="BV351">
        <f>BU351*((600/$BG351)^0.67)</f>
        <v>1.9307958729070753</v>
      </c>
      <c r="BW351">
        <f>BU351*((600/$BH351)^0.67)</f>
        <v>1.9265736221372518</v>
      </c>
      <c r="BX351">
        <f>BU351*((600/$BI351)^0.67)</f>
        <v>1.8380221893063504</v>
      </c>
      <c r="BY351" s="39">
        <f>BV351*($AM351-$BB351)</f>
        <v>-36.024677164349555</v>
      </c>
      <c r="BZ351" s="39">
        <f>BW351*($AD351-$BD351)</f>
        <v>8.3337528610692185E-2</v>
      </c>
      <c r="CA351" s="39">
        <f>BX351*($AU351-$BF351)</f>
        <v>-2.0230265214627794</v>
      </c>
      <c r="CB351" s="42">
        <f>AVERAGE(0.72,0.69,0.4,0.22)</f>
        <v>0.50750000000000006</v>
      </c>
      <c r="CC351">
        <f>CB351*((600/$BG351)^0.67)</f>
        <v>0.29902675009482543</v>
      </c>
      <c r="CD351">
        <f>CB351*((600/$BH351)^0.67)</f>
        <v>0.29837284051095797</v>
      </c>
      <c r="CE351">
        <f>CB351*((600/$BI351)^0.67)</f>
        <v>0.28465867862195593</v>
      </c>
      <c r="CF351" s="39">
        <f>CC351*($AM351-$BB351)</f>
        <v>-5.579223721589738</v>
      </c>
      <c r="CG351" s="39">
        <f>CD351*($AD351-$BD351)</f>
        <v>1.2906672678903726E-2</v>
      </c>
      <c r="CH351" s="39">
        <f>CE351*($AU351-$BF351)</f>
        <v>-0.31331072049467185</v>
      </c>
      <c r="CI351">
        <v>174.86263901889501</v>
      </c>
      <c r="CJ351">
        <f>((BG351/BH351)^0.67)*CI351</f>
        <v>174.48025063565322</v>
      </c>
      <c r="CK351">
        <f>((BH351/BH351)^0.67)*CI351</f>
        <v>174.86263901889501</v>
      </c>
      <c r="CL351">
        <f>((BI351/BH351)^0.67)*CI351</f>
        <v>183.28709511295312</v>
      </c>
      <c r="CM351" s="39">
        <f>CJ351*($AM351-$BB351)</f>
        <v>-3255.4423742580243</v>
      </c>
      <c r="CN351" s="39">
        <f>CK351*($AD351-$BD351)</f>
        <v>7.5640089819210292</v>
      </c>
      <c r="CO351" s="39">
        <f>CL351*($AU351-$BF351)</f>
        <v>-201.73567904275902</v>
      </c>
      <c r="CP351" s="27">
        <f>VLOOKUP(A351,Water!$A$2:$E$109, 5, FALSE)/1000</f>
        <v>3.8000000000000002E-4</v>
      </c>
      <c r="CQ351">
        <f>0.64*CP351</f>
        <v>2.4320000000000003E-4</v>
      </c>
      <c r="CR351" s="19">
        <f>CQ351*1000*(2.5*10^-5)</f>
        <v>6.0800000000000011E-6</v>
      </c>
      <c r="CS351" s="18">
        <f>(-0.0000009*F351^3)+(0.0002*F351^2)-(0.0134*F351)+6.579</f>
        <v>6.5067171588999999</v>
      </c>
      <c r="CT351" s="18">
        <f>CS351-(SQRT(CP351))/(1+1.4*SQRT(CP351))</f>
        <v>6.4877414370927804</v>
      </c>
      <c r="CU351" s="18">
        <f>10^(-CT351)</f>
        <v>3.2528089999140388E-7</v>
      </c>
      <c r="CV351" s="18">
        <f>(0.000001*F351^3)+(0.00006*F351^2)-(0.014*F351)+10.625</f>
        <v>10.544693979</v>
      </c>
      <c r="CW351" s="18">
        <f>CV351-(2*SQRT(CR351))/(1+1.4*SQRT(CR351))</f>
        <v>10.539779413231727</v>
      </c>
      <c r="CX351" s="18">
        <f>10^(-CW351)</f>
        <v>2.885496731921234E-11</v>
      </c>
      <c r="CY351">
        <f>EXP(1246.98+-61900/H351-183*LN(H351))</f>
        <v>4.5683887661764492E-3</v>
      </c>
      <c r="CZ351">
        <f>12.225*(F351^2)+15.258*F351+1125.7</f>
        <v>1641.2744500000001</v>
      </c>
      <c r="DA351" s="15">
        <f>10^(-4470.99/H351+6.0875-0.01706*H351)</f>
        <v>2.017086837540581E-15</v>
      </c>
      <c r="DB351">
        <f>(10^-I351)</f>
        <v>4.3651583224016624E-10</v>
      </c>
      <c r="DC351">
        <f>DB351^2</f>
        <v>1.9054607179632495E-19</v>
      </c>
      <c r="DD351" s="20">
        <f>((14.6836*10^-9)*((H351/217.2056)-1)^1.997)*100*100</f>
        <v>1.1948901524973324E-5</v>
      </c>
      <c r="DE351">
        <f>CY351+CZ351*DA351/DB351</f>
        <v>1.2152519387274298E-2</v>
      </c>
      <c r="DF351">
        <f>1+DC351*(CU351*CX351+CU351*DB351)^-1</f>
        <v>1.0012587581857226</v>
      </c>
      <c r="DG351">
        <f>(DE351*DF351/DD351)^0.5</f>
        <v>31.911141101708306</v>
      </c>
      <c r="DH351">
        <f>DD351/(BO351/60/60)</f>
        <v>3.2573548445588012E-2</v>
      </c>
      <c r="DI351" s="16">
        <f>DF351/((DF351-1)+TANH(DG351*DH351)/(DG351*DH351))</f>
        <v>1.3360596882517606</v>
      </c>
      <c r="DJ351">
        <f>$DI351*BR351</f>
        <v>-32.919634709778698</v>
      </c>
      <c r="DK351">
        <f>$DI351*BY351</f>
        <v>-48.131118941571188</v>
      </c>
      <c r="DL351">
        <f>$DI351*CF351</f>
        <v>-7.4541759061540125</v>
      </c>
      <c r="DM351">
        <f>$DI351*CM351</f>
        <v>-4349.4653236727472</v>
      </c>
    </row>
    <row r="352" spans="1:117" ht="15.75" x14ac:dyDescent="0.25">
      <c r="A352" s="51" t="s">
        <v>337</v>
      </c>
      <c r="B352" t="s">
        <v>341</v>
      </c>
      <c r="C352" s="69" t="s">
        <v>571</v>
      </c>
      <c r="D352" s="65">
        <v>43372</v>
      </c>
      <c r="E352" s="42" t="str">
        <f>A352&amp;D352</f>
        <v>14B43372</v>
      </c>
      <c r="F352" s="3">
        <f>VLOOKUP($E352,Water!$C$2:$E$90, 2, FALSE)</f>
        <v>5.9</v>
      </c>
      <c r="G352" s="3">
        <f>VLOOKUP($E352,Water!$C$2:$E$90, 3, FALSE)</f>
        <v>0.56000000000000005</v>
      </c>
      <c r="H352" s="1">
        <f>F352+273.15</f>
        <v>279.04999999999995</v>
      </c>
      <c r="I352" s="3">
        <f>VLOOKUP($E352,Water!$C$2:$F$90, 4, FALSE)</f>
        <v>9.36</v>
      </c>
      <c r="J352">
        <f>10^(I352*-1)</f>
        <v>4.3651583224016624E-10</v>
      </c>
      <c r="K352" s="25">
        <v>439.52751160265137</v>
      </c>
      <c r="L352" s="25">
        <v>2.8430237635924795</v>
      </c>
      <c r="M352" s="25">
        <f>VLOOKUP($E352,Atm!$D$2:$G$100, 4, FALSE)</f>
        <v>0.31470686677065718</v>
      </c>
      <c r="N352" s="21">
        <f>VLOOKUP($C352,Raw!$B$2:$F$353, 3, FALSE)</f>
        <v>71.288436717521193</v>
      </c>
      <c r="O352" s="21">
        <f>VLOOKUP($C352,Raw!$B$2:$F$353, 4, FALSE)</f>
        <v>13.173484089882169</v>
      </c>
      <c r="P352" s="21">
        <f>VLOOKUP($C352,Raw!$B$2:$F$353, 5, FALSE)</f>
        <v>0.29005485800380432</v>
      </c>
      <c r="Q352" s="14">
        <v>60</v>
      </c>
      <c r="R352" s="25">
        <v>1140</v>
      </c>
      <c r="S352">
        <f>EXP(24.4543-(100/H352*(67.4509))-(4.8489*LN(H352/100))-(0.000544*G352))</f>
        <v>9.1530820139700993E-3</v>
      </c>
      <c r="T352" s="8">
        <f>EXP(-58.0931+90.5069*(100/H352)+22.294*LN(H352/100)+G352*(0.027766-0.025888*(H352/100)+0.0050578*(H352/100)^2)*G352)</f>
        <v>6.1902586709088527E-2</v>
      </c>
      <c r="U352" s="9">
        <f>(EXP(-67.1962+99.1624*(100/H352)+27.9015*LN(H352/100)+G352*(-0.072909+0.041674*(H352/100)-0.0064603*(H352/100)^2)*G352))</f>
        <v>4.8336838388846469E-2</v>
      </c>
      <c r="V352" s="9">
        <f>(EXP(-64.8539+100.252*(100/H352)+25.2049*LN(H352/100)+(-0.062544+0.035337*(H352/100)-0.0054699*(H352/100)^2)*G352))</f>
        <v>4.6626508044633141E-2</v>
      </c>
      <c r="W352" s="9">
        <f>(EXP(-68.8862+101.4956*(100/H352)+28.7314*LN(H352/100)+G352*(-0.076146+0.04397*(H352/100)-0.0068672*(H352/100)^2)))</f>
        <v>4.8147638419122792E-2</v>
      </c>
      <c r="X352">
        <f>N352*(AZ352-S352)</f>
        <v>66.761964077448496</v>
      </c>
      <c r="Y352">
        <f>O352*(AZ352-S352)</f>
        <v>12.337031250502836</v>
      </c>
      <c r="Z352">
        <f>((Y352/10^6)*AZ352)/(0.082056*H352)</f>
        <v>5.0950957278663764E-7</v>
      </c>
      <c r="AA352">
        <f>(((L352/10^6)*AZ352)/(0.082056*H352))</f>
        <v>1.1741461894661431E-7</v>
      </c>
      <c r="AB352">
        <f>((Y352/10^6)*U352*1)/(0.082056*H352)</f>
        <v>2.6043331329890097E-8</v>
      </c>
      <c r="AC352">
        <f>(Z352*(Q352/1000))+(AB352*(R352/1000))</f>
        <v>6.0259972083272963E-8</v>
      </c>
      <c r="AD352" s="39">
        <f>((AC352-(AA352*(Q352/1000)))/(R352/1000))*1000000</f>
        <v>4.6679907847786063E-2</v>
      </c>
      <c r="AE352" s="39">
        <f>(AD352/((U352*AZ352*1))*(0.0821*273.15))</f>
        <v>22.901401393283507</v>
      </c>
      <c r="AF352" s="39">
        <f>L352*U352*AZ352*1/(0.0821*273.15)</f>
        <v>5.7949330267834387E-3</v>
      </c>
      <c r="AG352" s="39">
        <f>AD352-AF352</f>
        <v>4.0884974821002625E-2</v>
      </c>
      <c r="AH352" s="42">
        <f>P352*(AZ352-S352)</f>
        <v>0.271637770474212</v>
      </c>
      <c r="AI352">
        <f>(((X352/10^6)*(Q352/1000))/(0.082056*H352))</f>
        <v>1.749395422364333E-7</v>
      </c>
      <c r="AJ352">
        <f>(((K352/10^6)*AZ352)*(Q352/1000))/(0.082056*H352)</f>
        <v>1.0891281870855922E-6</v>
      </c>
      <c r="AK352">
        <f>(X352/10^6)*T352*(R352/1000)</f>
        <v>4.7113216279975718E-6</v>
      </c>
      <c r="AL352">
        <f>AI352+AK352</f>
        <v>4.8862611702340052E-6</v>
      </c>
      <c r="AM352" s="39">
        <f>((AL352-AJ352)/(R352/1000))*1000000</f>
        <v>3.3308184062705379</v>
      </c>
      <c r="AN352" s="39">
        <f>AM352/(T352*AZ352)</f>
        <v>56.89945494433691</v>
      </c>
      <c r="AO352" s="39">
        <f>(K352*AZ352)*T352</f>
        <v>25.729355881186805</v>
      </c>
      <c r="AP352" s="39">
        <f>AM352-AO352</f>
        <v>-22.398537474916267</v>
      </c>
      <c r="AQ352">
        <f>(((AH352/10^6)*(Q352/1000))/(0.082056*H352))</f>
        <v>7.1178533881593531E-10</v>
      </c>
      <c r="AR352">
        <f>(((M352/10^6)*AZ352)*(Q352/1000))/(0.082056*H352)</f>
        <v>7.7982858915820632E-10</v>
      </c>
      <c r="AS352">
        <f>(AH352/10^6)*V352*(R352/1000)</f>
        <v>1.4438693586875944E-8</v>
      </c>
      <c r="AT352">
        <f>AQ352+AS352</f>
        <v>1.5150478925691878E-8</v>
      </c>
      <c r="AU352" s="39">
        <f>((AT352-AR352)/(R352/1000))*1000000000</f>
        <v>12.60583362853831</v>
      </c>
      <c r="AV352" s="39">
        <f>(AU352/1000)/(V352*AZ352)</f>
        <v>0.28589372745207015</v>
      </c>
      <c r="AW352" s="39">
        <f>(M352*AZ352)*V352*1000</f>
        <v>13.876283469474034</v>
      </c>
      <c r="AX352" s="39">
        <f>AU352-AW352</f>
        <v>-1.2704498409357239</v>
      </c>
      <c r="AY352" s="26">
        <f>VLOOKUP($E352,Water!$C$2:$G$90, 5, FALSE)</f>
        <v>718.7</v>
      </c>
      <c r="AZ352">
        <f>AY352/760</f>
        <v>0.94565789473684214</v>
      </c>
      <c r="BA352" s="3">
        <f>Assumptions!$B$3</f>
        <v>406.07</v>
      </c>
      <c r="BB352" s="3">
        <f>BA352*AZ352*T352</f>
        <v>23.770797656276908</v>
      </c>
      <c r="BC352" s="3">
        <f>Assumptions!$B$4</f>
        <v>1.8474300000000001</v>
      </c>
      <c r="BD352" s="45">
        <f>BC352*AZ352*U352*1/(0.0821*273.15)</f>
        <v>3.7656150675795387E-3</v>
      </c>
      <c r="BE352" s="3">
        <f>Assumptions!$B$2</f>
        <v>0.33054499999999998</v>
      </c>
      <c r="BF352" s="44">
        <f>BE352*AZ352*V352*1000</f>
        <v>14.574629929380857</v>
      </c>
      <c r="BG352">
        <f>1923.6+(-125.06*F352)+(4.3773*(F352^2))+(-0.085681*(F352^3))+(0.00070284*(F352^4))</f>
        <v>1321.3743915015236</v>
      </c>
      <c r="BH352">
        <f>1909.4+(-120.78*F352)+(4.1555*(F352^2))+(-0.080578*(F352^3))+(0.00065777*(F352^4))</f>
        <v>1325.698969592497</v>
      </c>
      <c r="BI352">
        <f>2141.2+(-152.56*F352)+(5.8963*(F352^2))+(-0.12411*(F352^3))+(0.0010655*(F352^4))</f>
        <v>1422.1477201245498</v>
      </c>
      <c r="BJ352" s="25">
        <f>VLOOKUP(E352,Wind!$C$2:$E$109,3, FALSE)</f>
        <v>1.3055555555555556</v>
      </c>
      <c r="BK352" s="44">
        <v>1.66</v>
      </c>
      <c r="BL352">
        <f>BK352/(1-(((1.3*10^-3)^0.5)/0.41)*LN(10/1.5))</f>
        <v>1.9923982880693825</v>
      </c>
      <c r="BM352">
        <f>BK352*1.22</f>
        <v>2.0251999999999999</v>
      </c>
      <c r="BN352">
        <f>2.07+0.215*(BM352^1.7)*(24/100)</f>
        <v>2.241255750541113</v>
      </c>
      <c r="BO352">
        <f>BN352*((600/BG352)^0.67)</f>
        <v>1.320582114710636</v>
      </c>
      <c r="BP352">
        <f>BN352*((600/BH352)^0.67)</f>
        <v>1.3176942750748195</v>
      </c>
      <c r="BQ352">
        <f>BN352*((600/BI352)^0.67)</f>
        <v>1.2571288677889523</v>
      </c>
      <c r="BR352" s="39">
        <f>BO352*(AM352-BB352)</f>
        <v>-26.992671022614932</v>
      </c>
      <c r="BS352" s="39">
        <f>BP352*(AD352-BD352)</f>
        <v>5.6547917915362796E-2</v>
      </c>
      <c r="BT352" s="39">
        <f>BQ352*(AU352-BF352)</f>
        <v>-2.475030664585268</v>
      </c>
      <c r="BU352">
        <f>(2.51+1.48*BM352)+(0.39*BM352*LOG10(0.0015))</f>
        <v>3.2768938069574309</v>
      </c>
      <c r="BV352">
        <f>BU352*((600/$BG352)^0.67)</f>
        <v>1.9307958729070753</v>
      </c>
      <c r="BW352">
        <f>BU352*((600/$BH352)^0.67)</f>
        <v>1.9265736221372518</v>
      </c>
      <c r="BX352">
        <f>BU352*((600/$BI352)^0.67)</f>
        <v>1.8380221893063504</v>
      </c>
      <c r="BY352" s="39">
        <f>BV352*($AM352-$BB352)</f>
        <v>-39.465427578218559</v>
      </c>
      <c r="BZ352" s="39">
        <f>BW352*($AD352-$BD352)</f>
        <v>8.2677544483021004E-2</v>
      </c>
      <c r="CA352" s="39">
        <f>BX352*($AU352-$BF352)</f>
        <v>-3.6186912871728616</v>
      </c>
      <c r="CB352" s="42">
        <f>AVERAGE(0.72,0.69,0.4,0.22)</f>
        <v>0.50750000000000006</v>
      </c>
      <c r="CC352">
        <f>CB352*((600/$BG352)^0.67)</f>
        <v>0.29902675009482543</v>
      </c>
      <c r="CD352">
        <f>CB352*((600/$BH352)^0.67)</f>
        <v>0.29837284051095797</v>
      </c>
      <c r="CE352">
        <f>CB352*((600/$BI352)^0.67)</f>
        <v>0.28465867862195593</v>
      </c>
      <c r="CF352" s="39">
        <f>CC352*($AM352-$BB352)</f>
        <v>-6.1121005671350721</v>
      </c>
      <c r="CG352" s="39">
        <f>CD352*($AD352-$BD352)</f>
        <v>1.2804459435349117E-2</v>
      </c>
      <c r="CH352" s="39">
        <f>CE352*($AU352-$BF352)</f>
        <v>-0.56043495347363415</v>
      </c>
      <c r="CI352">
        <v>175.86263901889501</v>
      </c>
      <c r="CJ352">
        <f>((BG352/BH352)^0.67)*CI352</f>
        <v>175.47806384272027</v>
      </c>
      <c r="CK352">
        <f>((BH352/BH352)^0.67)*CI352</f>
        <v>175.86263901889501</v>
      </c>
      <c r="CL352">
        <f>((BI352/BH352)^0.67)*CI352</f>
        <v>184.33527267759086</v>
      </c>
      <c r="CM352" s="39">
        <f>CJ352*($AM352-$BB352)</f>
        <v>-3586.7679837764954</v>
      </c>
      <c r="CN352" s="39">
        <f>CK352*($AD352-$BD352)</f>
        <v>7.5470207799566325</v>
      </c>
      <c r="CO352" s="39">
        <f>CL352*($AU352-$BF352)</f>
        <v>-362.91860296244306</v>
      </c>
      <c r="CP352" s="27">
        <f>VLOOKUP(A352,Water!$A$2:$E$109, 5, FALSE)/1000</f>
        <v>3.8000000000000002E-4</v>
      </c>
      <c r="CQ352">
        <f>0.64*CP352</f>
        <v>2.4320000000000003E-4</v>
      </c>
      <c r="CR352" s="19">
        <f>CQ352*1000*(2.5*10^-5)</f>
        <v>6.0800000000000011E-6</v>
      </c>
      <c r="CS352" s="18">
        <f>(-0.0000009*F352^3)+(0.0002*F352^2)-(0.0134*F352)+6.579</f>
        <v>6.5067171588999999</v>
      </c>
      <c r="CT352" s="18">
        <f>CS352-(SQRT(CP352))/(1+1.4*SQRT(CP352))</f>
        <v>6.4877414370927804</v>
      </c>
      <c r="CU352" s="18">
        <f>10^(-CT352)</f>
        <v>3.2528089999140388E-7</v>
      </c>
      <c r="CV352" s="18">
        <f>(0.000001*F352^3)+(0.00006*F352^2)-(0.014*F352)+10.625</f>
        <v>10.544693979</v>
      </c>
      <c r="CW352" s="18">
        <f>CV352-(2*SQRT(CR352))/(1+1.4*SQRT(CR352))</f>
        <v>10.539779413231727</v>
      </c>
      <c r="CX352" s="18">
        <f>10^(-CW352)</f>
        <v>2.885496731921234E-11</v>
      </c>
      <c r="CY352">
        <f>EXP(1246.98+-61900/H352-183*LN(H352))</f>
        <v>4.5683887661764492E-3</v>
      </c>
      <c r="CZ352">
        <f>12.225*(F352^2)+15.258*F352+1125.7</f>
        <v>1641.2744500000001</v>
      </c>
      <c r="DA352" s="15">
        <f>10^(-4470.99/H352+6.0875-0.01706*H352)</f>
        <v>2.017086837540581E-15</v>
      </c>
      <c r="DB352">
        <f>(10^-I352)</f>
        <v>4.3651583224016624E-10</v>
      </c>
      <c r="DC352">
        <f>DB352^2</f>
        <v>1.9054607179632495E-19</v>
      </c>
      <c r="DD352" s="20">
        <f>((14.6836*10^-9)*((H352/217.2056)-1)^1.997)*100*100</f>
        <v>1.1948901524973324E-5</v>
      </c>
      <c r="DE352">
        <f>CY352+CZ352*DA352/DB352</f>
        <v>1.2152519387274298E-2</v>
      </c>
      <c r="DF352">
        <f>1+DC352*(CU352*CX352+CU352*DB352)^-1</f>
        <v>1.0012587581857226</v>
      </c>
      <c r="DG352">
        <f>(DE352*DF352/DD352)^0.5</f>
        <v>31.911141101708306</v>
      </c>
      <c r="DH352">
        <f>DD352/(BO352/60/60)</f>
        <v>3.2573548445588012E-2</v>
      </c>
      <c r="DI352" s="16">
        <f>DF352/((DF352-1)+TANH(DG352*DH352)/(DG352*DH352))</f>
        <v>1.3360596882517606</v>
      </c>
      <c r="DJ352">
        <f>$DI352*BR352</f>
        <v>-36.063819631557237</v>
      </c>
      <c r="DK352">
        <f>$DI352*BY352</f>
        <v>-52.728166866877125</v>
      </c>
      <c r="DL352">
        <f>$DI352*CF352</f>
        <v>-8.1661311782898931</v>
      </c>
      <c r="DM352">
        <f>$DI352*CM352</f>
        <v>-4792.1361142358201</v>
      </c>
    </row>
    <row r="353" spans="1:117" ht="15.75" x14ac:dyDescent="0.25">
      <c r="A353" s="51" t="s">
        <v>337</v>
      </c>
      <c r="B353" t="s">
        <v>342</v>
      </c>
      <c r="C353" s="69" t="s">
        <v>572</v>
      </c>
      <c r="D353" s="65">
        <v>43372</v>
      </c>
      <c r="E353" s="42" t="str">
        <f>A353&amp;D353</f>
        <v>14B43372</v>
      </c>
      <c r="F353" s="3">
        <f>VLOOKUP($E353,Water!$C$2:$E$90, 2, FALSE)</f>
        <v>5.9</v>
      </c>
      <c r="G353" s="3">
        <f>VLOOKUP($E353,Water!$C$2:$E$90, 3, FALSE)</f>
        <v>0.56000000000000005</v>
      </c>
      <c r="H353" s="1">
        <f>F353+273.15</f>
        <v>279.04999999999995</v>
      </c>
      <c r="I353" s="3">
        <f>VLOOKUP($E353,Water!$C$2:$F$90, 4, FALSE)</f>
        <v>9.36</v>
      </c>
      <c r="J353">
        <f>10^(I353*-1)</f>
        <v>4.3651583224016624E-10</v>
      </c>
      <c r="K353" s="25">
        <v>439.52751160265137</v>
      </c>
      <c r="L353" s="25">
        <v>2.8430237635924795</v>
      </c>
      <c r="M353" s="25">
        <f>VLOOKUP($E353,Atm!$D$2:$G$100, 4, FALSE)</f>
        <v>0.31470686677065718</v>
      </c>
      <c r="N353" s="21">
        <f>VLOOKUP($C353,Raw!$B$2:$F$353, 3, FALSE)</f>
        <v>195.38713374431549</v>
      </c>
      <c r="O353" s="21">
        <f>VLOOKUP($C353,Raw!$B$2:$F$353, 4, FALSE)</f>
        <v>10.15549052284927</v>
      </c>
      <c r="P353" s="21">
        <f>VLOOKUP($C353,Raw!$B$2:$F$353, 5, FALSE)</f>
        <v>0.29077362649702115</v>
      </c>
      <c r="Q353" s="14">
        <v>60</v>
      </c>
      <c r="R353" s="25">
        <v>1140</v>
      </c>
      <c r="S353">
        <f>EXP(24.4543-(100/H353*(67.4509))-(4.8489*LN(H353/100))-(0.000544*G353))</f>
        <v>9.1530820139700993E-3</v>
      </c>
      <c r="T353" s="8">
        <f>EXP(-58.0931+90.5069*(100/H353)+22.294*LN(H353/100)+G353*(0.027766-0.025888*(H353/100)+0.0050578*(H353/100)^2)*G353)</f>
        <v>6.1902586709088527E-2</v>
      </c>
      <c r="U353" s="9">
        <f>(EXP(-67.1962+99.1624*(100/H353)+27.9015*LN(H353/100)+G353*(-0.072909+0.041674*(H353/100)-0.0064603*(H353/100)^2)*G353))</f>
        <v>4.8336838388846469E-2</v>
      </c>
      <c r="V353" s="9">
        <f>(EXP(-64.8539+100.252*(100/H353)+25.2049*LN(H353/100)+(-0.062544+0.035337*(H353/100)-0.0054699*(H353/100)^2)*G353))</f>
        <v>4.6626508044633141E-2</v>
      </c>
      <c r="W353" s="9">
        <f>(EXP(-68.8862+101.4956*(100/H353)+28.7314*LN(H353/100)+G353*(-0.076146+0.04397*(H353/100)-0.0068672*(H353/100)^2)))</f>
        <v>4.8147638419122792E-2</v>
      </c>
      <c r="X353">
        <f>N353*(AZ353-S353)</f>
        <v>182.98099109567892</v>
      </c>
      <c r="Y353">
        <f>O353*(AZ353-S353)</f>
        <v>9.5106657502098564</v>
      </c>
      <c r="Z353">
        <f>((Y353/10^6)*AZ353)/(0.082056*H353)</f>
        <v>3.927829268575797E-7</v>
      </c>
      <c r="AA353">
        <f>(((L353/10^6)*AZ353)/(0.082056*H353))</f>
        <v>1.1741461894661431E-7</v>
      </c>
      <c r="AB353">
        <f>((Y353/10^6)*U353*1)/(0.082056*H353)</f>
        <v>2.00769062079224E-8</v>
      </c>
      <c r="AC353">
        <f>(Z353*(Q353/1000))+(AB353*(R353/1000))</f>
        <v>4.6454648688486314E-8</v>
      </c>
      <c r="AD353" s="39">
        <f>((AC353-(AA353*(Q353/1000)))/(R353/1000))*1000000</f>
        <v>3.4569975045341636E-2</v>
      </c>
      <c r="AE353" s="39">
        <f>(AD353/((U353*AZ353*1))*(0.0821*273.15))</f>
        <v>16.960206460791287</v>
      </c>
      <c r="AF353" s="39">
        <f>L353*U353*AZ353*1/(0.0821*273.15)</f>
        <v>5.7949330267834387E-3</v>
      </c>
      <c r="AG353" s="39">
        <f>AD353-AF353</f>
        <v>2.8775042018558197E-2</v>
      </c>
      <c r="AH353" s="42">
        <f>P353*(AZ353-S353)</f>
        <v>0.27231090062734314</v>
      </c>
      <c r="AI353">
        <f>(((X353/10^6)*(Q353/1000))/(0.082056*H353))</f>
        <v>4.7947377316689521E-7</v>
      </c>
      <c r="AJ353">
        <f>(((K353/10^6)*AZ353)*(Q353/1000))/(0.082056*H353)</f>
        <v>1.0891281870855922E-6</v>
      </c>
      <c r="AK353">
        <f>(X353/10^6)*T353*(R353/1000)</f>
        <v>1.291277620085335E-5</v>
      </c>
      <c r="AL353">
        <f>AI353+AK353</f>
        <v>1.3392249974020246E-5</v>
      </c>
      <c r="AM353" s="39">
        <f>((AL353-AJ353)/(R353/1000))*1000000</f>
        <v>10.792212093802329</v>
      </c>
      <c r="AN353" s="39">
        <f>AM353/(T353*AZ353)</f>
        <v>184.36039161576466</v>
      </c>
      <c r="AO353" s="39">
        <f>(K353*AZ353)*T353</f>
        <v>25.729355881186805</v>
      </c>
      <c r="AP353" s="39">
        <f>AM353-AO353</f>
        <v>-14.937143787384477</v>
      </c>
      <c r="AQ353">
        <f>(((AH353/10^6)*(Q353/1000))/(0.082056*H353))</f>
        <v>7.1354917369529415E-10</v>
      </c>
      <c r="AR353">
        <f>(((M353/10^6)*AZ353)*(Q353/1000))/(0.082056*H353)</f>
        <v>7.7982858915820632E-10</v>
      </c>
      <c r="AS353">
        <f>(AH353/10^6)*V353*(R353/1000)</f>
        <v>1.4474473294566007E-8</v>
      </c>
      <c r="AT353">
        <f>AQ353+AS353</f>
        <v>1.5188022468261301E-8</v>
      </c>
      <c r="AU353" s="39">
        <f>((AT353-AR353)/(R353/1000))*1000000000</f>
        <v>12.638766560616752</v>
      </c>
      <c r="AV353" s="39">
        <f>(AU353/1000)/(V353*AZ353)</f>
        <v>0.28664062916323635</v>
      </c>
      <c r="AW353" s="39">
        <f>(M353*AZ353)*V353*1000</f>
        <v>13.876283469474034</v>
      </c>
      <c r="AX353" s="39">
        <f>AU353-AW353</f>
        <v>-1.2375169088572822</v>
      </c>
      <c r="AY353" s="26">
        <f>VLOOKUP($E353,Water!$C$2:$G$90, 5, FALSE)</f>
        <v>718.7</v>
      </c>
      <c r="AZ353">
        <f>AY353/760</f>
        <v>0.94565789473684214</v>
      </c>
      <c r="BA353" s="3">
        <f>Assumptions!$B$3</f>
        <v>406.07</v>
      </c>
      <c r="BB353" s="3">
        <f>BA353*AZ353*T353</f>
        <v>23.770797656276908</v>
      </c>
      <c r="BC353" s="3">
        <f>Assumptions!$B$4</f>
        <v>1.8474300000000001</v>
      </c>
      <c r="BD353" s="45">
        <f>BC353*AZ353*U353*1/(0.0821*273.15)</f>
        <v>3.7656150675795387E-3</v>
      </c>
      <c r="BE353" s="3">
        <f>Assumptions!$B$2</f>
        <v>0.33054499999999998</v>
      </c>
      <c r="BF353" s="44">
        <f>BE353*AZ353*V353*1000</f>
        <v>14.574629929380857</v>
      </c>
      <c r="BG353">
        <f>1923.6+(-125.06*F353)+(4.3773*(F353^2))+(-0.085681*(F353^3))+(0.00070284*(F353^4))</f>
        <v>1321.3743915015236</v>
      </c>
      <c r="BH353">
        <f>1909.4+(-120.78*F353)+(4.1555*(F353^2))+(-0.080578*(F353^3))+(0.00065777*(F353^4))</f>
        <v>1325.698969592497</v>
      </c>
      <c r="BI353">
        <f>2141.2+(-152.56*F353)+(5.8963*(F353^2))+(-0.12411*(F353^3))+(0.0010655*(F353^4))</f>
        <v>1422.1477201245498</v>
      </c>
      <c r="BJ353" s="25">
        <f>VLOOKUP(E353,Wind!$C$2:$E$109,3, FALSE)</f>
        <v>1.3055555555555556</v>
      </c>
      <c r="BK353" s="44">
        <v>1.66</v>
      </c>
      <c r="BL353">
        <f>BK353/(1-(((1.3*10^-3)^0.5)/0.41)*LN(10/1.5))</f>
        <v>1.9923982880693825</v>
      </c>
      <c r="BM353">
        <f>BK353*1.22</f>
        <v>2.0251999999999999</v>
      </c>
      <c r="BN353">
        <f>2.07+0.215*(BM353^1.7)*(24/100)</f>
        <v>2.241255750541113</v>
      </c>
      <c r="BO353">
        <f>BN353*((600/BG353)^0.67)</f>
        <v>1.320582114710636</v>
      </c>
      <c r="BP353">
        <f>BN353*((600/BH353)^0.67)</f>
        <v>1.3176942750748195</v>
      </c>
      <c r="BQ353">
        <f>BN353*((600/BI353)^0.67)</f>
        <v>1.2571288677889523</v>
      </c>
      <c r="BR353" s="39">
        <f>BO353*(AM353-BB353)</f>
        <v>-17.139287968045611</v>
      </c>
      <c r="BS353" s="39">
        <f>BP353*(AD353-BD353)</f>
        <v>4.0590728790041011E-2</v>
      </c>
      <c r="BT353" s="39">
        <f>BQ353*(AU353-BF353)</f>
        <v>-2.4336297249685264</v>
      </c>
      <c r="BU353">
        <f>(2.51+1.48*BM353)+(0.39*BM353*LOG10(0.0015))</f>
        <v>3.2768938069574309</v>
      </c>
      <c r="BV353">
        <f>BU353*((600/$BG353)^0.67)</f>
        <v>1.9307958729070753</v>
      </c>
      <c r="BW353">
        <f>BU353*((600/$BH353)^0.67)</f>
        <v>1.9265736221372518</v>
      </c>
      <c r="BX353">
        <f>BU353*((600/$BI353)^0.67)</f>
        <v>1.8380221893063504</v>
      </c>
      <c r="BY353" s="39">
        <f>BV353*($AM353-$BB353)</f>
        <v>-25.058999440197272</v>
      </c>
      <c r="BZ353" s="39">
        <f>BW353*($AD353-$BD353)</f>
        <v>5.9346867379976916E-2</v>
      </c>
      <c r="CA353" s="39">
        <f>BX353*($AU353-$BF353)</f>
        <v>-3.5581598272537671</v>
      </c>
      <c r="CB353" s="42">
        <f>AVERAGE(0.72,0.69,0.4,0.22)</f>
        <v>0.50750000000000006</v>
      </c>
      <c r="CC353">
        <f>CB353*((600/$BG353)^0.67)</f>
        <v>0.29902675009482543</v>
      </c>
      <c r="CD353">
        <f>CB353*((600/$BH353)^0.67)</f>
        <v>0.29837284051095797</v>
      </c>
      <c r="CE353">
        <f>CB353*((600/$BI353)^0.67)</f>
        <v>0.28465867862195593</v>
      </c>
      <c r="CF353" s="39">
        <f>CC353*($AM353-$BB353)</f>
        <v>-3.8809442615743954</v>
      </c>
      <c r="CG353" s="39">
        <f>CD353*($AD353-$BD353)</f>
        <v>9.1911843866869462E-3</v>
      </c>
      <c r="CH353" s="39">
        <f>CE353*($AU353-$BF353)</f>
        <v>-0.55106030854503829</v>
      </c>
      <c r="CI353">
        <v>176.86263901889501</v>
      </c>
      <c r="CJ353">
        <f>((BG353/BH353)^0.67)*CI353</f>
        <v>176.47587704978733</v>
      </c>
      <c r="CK353">
        <f>((BH353/BH353)^0.67)*CI353</f>
        <v>176.86263901889501</v>
      </c>
      <c r="CL353">
        <f>((BI353/BH353)^0.67)*CI353</f>
        <v>185.38345024222861</v>
      </c>
      <c r="CM353" s="39">
        <f>CJ353*($AM353-$BB353)</f>
        <v>-2290.4072700034089</v>
      </c>
      <c r="CN353" s="39">
        <f>CK353*($AD353-$BD353)</f>
        <v>5.4481403989550348</v>
      </c>
      <c r="CO353" s="39">
        <f>CL353*($AU353-$BF353)</f>
        <v>-358.87703049903348</v>
      </c>
      <c r="CP353" s="27">
        <f>VLOOKUP(A353,Water!$A$2:$E$109, 5, FALSE)/1000</f>
        <v>3.8000000000000002E-4</v>
      </c>
      <c r="CQ353">
        <f>0.64*CP353</f>
        <v>2.4320000000000003E-4</v>
      </c>
      <c r="CR353" s="19">
        <f>CQ353*1000*(2.5*10^-5)</f>
        <v>6.0800000000000011E-6</v>
      </c>
      <c r="CS353" s="18">
        <f>(-0.0000009*F353^3)+(0.0002*F353^2)-(0.0134*F353)+6.579</f>
        <v>6.5067171588999999</v>
      </c>
      <c r="CT353" s="18">
        <f>CS353-(SQRT(CP353))/(1+1.4*SQRT(CP353))</f>
        <v>6.4877414370927804</v>
      </c>
      <c r="CU353" s="18">
        <f>10^(-CT353)</f>
        <v>3.2528089999140388E-7</v>
      </c>
      <c r="CV353" s="18">
        <f>(0.000001*F353^3)+(0.00006*F353^2)-(0.014*F353)+10.625</f>
        <v>10.544693979</v>
      </c>
      <c r="CW353" s="18">
        <f>CV353-(2*SQRT(CR353))/(1+1.4*SQRT(CR353))</f>
        <v>10.539779413231727</v>
      </c>
      <c r="CX353" s="18">
        <f>10^(-CW353)</f>
        <v>2.885496731921234E-11</v>
      </c>
      <c r="CY353">
        <f>EXP(1246.98+-61900/H353-183*LN(H353))</f>
        <v>4.5683887661764492E-3</v>
      </c>
      <c r="CZ353">
        <f>12.225*(F353^2)+15.258*F353+1125.7</f>
        <v>1641.2744500000001</v>
      </c>
      <c r="DA353" s="15">
        <f>10^(-4470.99/H353+6.0875-0.01706*H353)</f>
        <v>2.017086837540581E-15</v>
      </c>
      <c r="DB353">
        <f>(10^-I353)</f>
        <v>4.3651583224016624E-10</v>
      </c>
      <c r="DC353">
        <f>DB353^2</f>
        <v>1.9054607179632495E-19</v>
      </c>
      <c r="DD353" s="20">
        <f>((14.6836*10^-9)*((H353/217.2056)-1)^1.997)*100*100</f>
        <v>1.1948901524973324E-5</v>
      </c>
      <c r="DE353">
        <f>CY353+CZ353*DA353/DB353</f>
        <v>1.2152519387274298E-2</v>
      </c>
      <c r="DF353">
        <f>1+DC353*(CU353*CX353+CU353*DB353)^-1</f>
        <v>1.0012587581857226</v>
      </c>
      <c r="DG353">
        <f>(DE353*DF353/DD353)^0.5</f>
        <v>31.911141101708306</v>
      </c>
      <c r="DH353">
        <f>DD353/(BO353/60/60)</f>
        <v>3.2573548445588012E-2</v>
      </c>
      <c r="DI353" s="16">
        <f>DF353/((DF353-1)+TANH(DG353*DH353)/(DG353*DH353))</f>
        <v>1.3360596882517606</v>
      </c>
      <c r="DJ353">
        <f>$DI353*BR353</f>
        <v>-22.899111739444169</v>
      </c>
      <c r="DK353">
        <f>$DI353*BY353</f>
        <v>-33.48031897997101</v>
      </c>
      <c r="DL353">
        <f>$DI353*CF353</f>
        <v>-5.1851731802415459</v>
      </c>
      <c r="DM353">
        <f>$DI353*CM353</f>
        <v>-3060.1208231303208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workbookViewId="0">
      <pane ySplit="1" topLeftCell="A59" activePane="bottomLeft" state="frozen"/>
      <selection pane="bottomLeft" activeCell="A71" sqref="A71"/>
    </sheetView>
  </sheetViews>
  <sheetFormatPr defaultRowHeight="15" x14ac:dyDescent="0.25"/>
  <cols>
    <col min="2" max="2" width="9.7109375" style="60" bestFit="1" customWidth="1"/>
    <col min="3" max="3" width="9.7109375" style="60" customWidth="1"/>
  </cols>
  <sheetData>
    <row r="1" spans="1:7" ht="30" x14ac:dyDescent="0.25">
      <c r="A1" t="s">
        <v>59</v>
      </c>
      <c r="B1" s="60" t="s">
        <v>346</v>
      </c>
      <c r="C1" s="60" t="s">
        <v>122</v>
      </c>
      <c r="D1" t="s">
        <v>0</v>
      </c>
      <c r="E1" t="s">
        <v>60</v>
      </c>
      <c r="F1" s="46" t="s">
        <v>347</v>
      </c>
      <c r="G1" s="46" t="s">
        <v>61</v>
      </c>
    </row>
    <row r="2" spans="1:7" x14ac:dyDescent="0.25">
      <c r="A2" t="s">
        <v>322</v>
      </c>
      <c r="B2" s="60">
        <v>43221</v>
      </c>
      <c r="C2" s="60" t="str">
        <f>A2&amp;B2</f>
        <v>32A43221</v>
      </c>
      <c r="D2">
        <v>11.6</v>
      </c>
      <c r="E2">
        <v>0.71</v>
      </c>
      <c r="F2">
        <v>8.01</v>
      </c>
      <c r="G2">
        <v>704.7</v>
      </c>
    </row>
    <row r="3" spans="1:7" x14ac:dyDescent="0.25">
      <c r="A3" t="s">
        <v>325</v>
      </c>
      <c r="B3" s="60">
        <v>43221</v>
      </c>
      <c r="C3" s="60" t="str">
        <f t="shared" ref="C3:C67" si="0">A3&amp;B3</f>
        <v>32C43221</v>
      </c>
      <c r="D3">
        <v>7.3</v>
      </c>
      <c r="E3">
        <v>0.79</v>
      </c>
      <c r="F3">
        <v>8.99</v>
      </c>
      <c r="G3">
        <v>705.2</v>
      </c>
    </row>
    <row r="4" spans="1:7" x14ac:dyDescent="0.25">
      <c r="A4" t="s">
        <v>324</v>
      </c>
      <c r="B4" s="60">
        <v>43221</v>
      </c>
      <c r="C4" s="60" t="str">
        <f t="shared" si="0"/>
        <v>32B43221</v>
      </c>
      <c r="D4">
        <v>7.5</v>
      </c>
      <c r="E4">
        <v>0.66</v>
      </c>
      <c r="F4">
        <v>9.02</v>
      </c>
      <c r="G4">
        <v>703.78</v>
      </c>
    </row>
    <row r="5" spans="1:7" x14ac:dyDescent="0.25">
      <c r="A5" t="s">
        <v>323</v>
      </c>
      <c r="B5" s="60">
        <v>43217</v>
      </c>
      <c r="C5" s="60" t="str">
        <f t="shared" si="0"/>
        <v>66A43217</v>
      </c>
      <c r="D5">
        <v>11.4</v>
      </c>
      <c r="E5">
        <v>0.13</v>
      </c>
      <c r="F5">
        <v>7.45</v>
      </c>
      <c r="G5">
        <v>712.7</v>
      </c>
    </row>
    <row r="6" spans="1:7" x14ac:dyDescent="0.25">
      <c r="A6" t="s">
        <v>327</v>
      </c>
      <c r="B6" s="60">
        <v>43217</v>
      </c>
      <c r="C6" s="60" t="str">
        <f t="shared" si="0"/>
        <v>66C43217</v>
      </c>
      <c r="D6">
        <v>7.6</v>
      </c>
      <c r="E6">
        <v>0.12</v>
      </c>
      <c r="F6">
        <v>7.9</v>
      </c>
      <c r="G6">
        <v>713.1</v>
      </c>
    </row>
    <row r="7" spans="1:7" x14ac:dyDescent="0.25">
      <c r="A7" t="s">
        <v>326</v>
      </c>
      <c r="B7" s="60">
        <v>43217</v>
      </c>
      <c r="C7" s="60" t="str">
        <f t="shared" si="0"/>
        <v>66B43217</v>
      </c>
      <c r="D7">
        <v>6.7</v>
      </c>
      <c r="E7">
        <v>0.66</v>
      </c>
      <c r="F7">
        <v>8.2100000000000009</v>
      </c>
      <c r="G7">
        <v>713.3</v>
      </c>
    </row>
    <row r="8" spans="1:7" x14ac:dyDescent="0.25">
      <c r="A8" t="s">
        <v>337</v>
      </c>
      <c r="B8" s="60">
        <v>43216</v>
      </c>
      <c r="C8" s="60" t="str">
        <f t="shared" si="0"/>
        <v>14B43216</v>
      </c>
      <c r="D8">
        <v>5.3</v>
      </c>
      <c r="E8">
        <v>0.38</v>
      </c>
      <c r="F8">
        <v>7.9</v>
      </c>
      <c r="G8">
        <v>710.6</v>
      </c>
    </row>
    <row r="9" spans="1:7" x14ac:dyDescent="0.25">
      <c r="A9" t="s">
        <v>58</v>
      </c>
      <c r="B9" s="60">
        <v>43216</v>
      </c>
      <c r="C9" s="60" t="str">
        <f t="shared" si="0"/>
        <v>14A43216</v>
      </c>
      <c r="D9">
        <v>10.199999999999999</v>
      </c>
      <c r="E9">
        <v>0.91</v>
      </c>
      <c r="F9">
        <v>7.81</v>
      </c>
      <c r="G9">
        <v>711.9</v>
      </c>
    </row>
    <row r="10" spans="1:7" x14ac:dyDescent="0.25">
      <c r="A10" t="s">
        <v>477</v>
      </c>
      <c r="B10" s="60">
        <v>43216</v>
      </c>
      <c r="C10" s="60" t="str">
        <f t="shared" si="0"/>
        <v>68A43216</v>
      </c>
      <c r="D10">
        <v>9.6</v>
      </c>
      <c r="E10">
        <v>0.28999999999999998</v>
      </c>
      <c r="F10">
        <v>8.48</v>
      </c>
      <c r="G10">
        <v>711</v>
      </c>
    </row>
    <row r="11" spans="1:7" x14ac:dyDescent="0.25">
      <c r="A11" t="s">
        <v>328</v>
      </c>
      <c r="B11" s="60">
        <v>43215</v>
      </c>
      <c r="C11" s="60" t="str">
        <f t="shared" si="0"/>
        <v>56B43215</v>
      </c>
      <c r="D11">
        <v>8.5</v>
      </c>
      <c r="E11">
        <v>0.71</v>
      </c>
      <c r="F11">
        <v>8.27</v>
      </c>
      <c r="G11">
        <v>699.5</v>
      </c>
    </row>
    <row r="12" spans="1:7" x14ac:dyDescent="0.25">
      <c r="A12" t="s">
        <v>329</v>
      </c>
      <c r="B12" s="60">
        <v>43215</v>
      </c>
      <c r="C12" s="60" t="str">
        <f t="shared" si="0"/>
        <v>56A43215</v>
      </c>
      <c r="D12">
        <v>2.9</v>
      </c>
      <c r="E12">
        <v>0.8</v>
      </c>
      <c r="F12">
        <v>9.1199999999999992</v>
      </c>
      <c r="G12">
        <v>697.9</v>
      </c>
    </row>
    <row r="13" spans="1:7" x14ac:dyDescent="0.25">
      <c r="A13" t="s">
        <v>335</v>
      </c>
      <c r="B13" s="60">
        <v>43214</v>
      </c>
      <c r="C13" s="60" t="str">
        <f t="shared" si="0"/>
        <v>4C43214</v>
      </c>
      <c r="D13">
        <v>1.2</v>
      </c>
      <c r="E13">
        <v>0.15</v>
      </c>
      <c r="F13">
        <v>8.26</v>
      </c>
      <c r="G13">
        <v>721.1</v>
      </c>
    </row>
    <row r="14" spans="1:7" x14ac:dyDescent="0.25">
      <c r="A14" t="s">
        <v>478</v>
      </c>
      <c r="B14" s="60">
        <v>43214</v>
      </c>
      <c r="C14" s="60" t="str">
        <f t="shared" si="0"/>
        <v>23A43214</v>
      </c>
      <c r="D14">
        <v>0.9</v>
      </c>
      <c r="E14">
        <v>0.1</v>
      </c>
      <c r="F14">
        <v>7.17</v>
      </c>
      <c r="G14">
        <v>716.2</v>
      </c>
    </row>
    <row r="15" spans="1:7" x14ac:dyDescent="0.25">
      <c r="A15" t="s">
        <v>336</v>
      </c>
      <c r="B15" s="60">
        <v>43214</v>
      </c>
      <c r="C15" s="60" t="str">
        <f t="shared" si="0"/>
        <v>4D43214</v>
      </c>
      <c r="D15">
        <v>2.7</v>
      </c>
      <c r="E15">
        <v>0.04</v>
      </c>
      <c r="F15">
        <v>6.91</v>
      </c>
      <c r="G15">
        <v>719.3</v>
      </c>
    </row>
    <row r="16" spans="1:7" x14ac:dyDescent="0.25">
      <c r="A16" t="s">
        <v>338</v>
      </c>
      <c r="B16" s="60">
        <v>43214</v>
      </c>
      <c r="C16" s="60" t="str">
        <f t="shared" si="0"/>
        <v>4A43214</v>
      </c>
      <c r="D16">
        <v>1.2</v>
      </c>
      <c r="E16">
        <v>0.09</v>
      </c>
      <c r="F16">
        <v>6.79</v>
      </c>
      <c r="G16">
        <v>720</v>
      </c>
    </row>
    <row r="17" spans="1:7" x14ac:dyDescent="0.25">
      <c r="A17" t="s">
        <v>330</v>
      </c>
      <c r="B17" s="60">
        <v>43223</v>
      </c>
      <c r="C17" s="60" t="str">
        <f t="shared" si="0"/>
        <v>62B43223</v>
      </c>
      <c r="D17">
        <v>12.5</v>
      </c>
      <c r="E17">
        <v>1.43</v>
      </c>
      <c r="F17">
        <v>9.41</v>
      </c>
      <c r="G17">
        <v>699.94</v>
      </c>
    </row>
    <row r="18" spans="1:7" x14ac:dyDescent="0.25">
      <c r="A18" t="s">
        <v>331</v>
      </c>
      <c r="B18" s="60">
        <v>43223</v>
      </c>
      <c r="C18" s="60" t="str">
        <f t="shared" si="0"/>
        <v>62C43223</v>
      </c>
      <c r="D18">
        <v>13.2</v>
      </c>
      <c r="E18">
        <v>0.16</v>
      </c>
      <c r="F18">
        <v>8.76</v>
      </c>
      <c r="G18">
        <v>699.7</v>
      </c>
    </row>
    <row r="19" spans="1:7" x14ac:dyDescent="0.25">
      <c r="A19" t="s">
        <v>332</v>
      </c>
      <c r="B19" s="60">
        <v>43223</v>
      </c>
      <c r="C19" s="60" t="str">
        <f t="shared" si="0"/>
        <v>62E43223</v>
      </c>
      <c r="D19">
        <v>13.1</v>
      </c>
      <c r="E19">
        <v>1.19</v>
      </c>
      <c r="F19">
        <v>9.57</v>
      </c>
      <c r="G19">
        <v>698.4</v>
      </c>
    </row>
    <row r="20" spans="1:7" x14ac:dyDescent="0.25">
      <c r="A20" t="s">
        <v>333</v>
      </c>
      <c r="B20" s="60">
        <v>43223</v>
      </c>
      <c r="C20" s="60" t="str">
        <f t="shared" si="0"/>
        <v>61C43223</v>
      </c>
      <c r="D20">
        <v>12.1</v>
      </c>
      <c r="E20">
        <v>0.21</v>
      </c>
      <c r="F20">
        <v>9.58</v>
      </c>
      <c r="G20">
        <v>696.4</v>
      </c>
    </row>
    <row r="21" spans="1:7" x14ac:dyDescent="0.25">
      <c r="A21" t="s">
        <v>334</v>
      </c>
      <c r="B21" s="60">
        <v>43223</v>
      </c>
      <c r="C21" s="60" t="str">
        <f t="shared" si="0"/>
        <v>61B43223</v>
      </c>
      <c r="D21">
        <v>14</v>
      </c>
      <c r="E21">
        <v>1.1000000000000001</v>
      </c>
      <c r="F21">
        <v>8.2100000000000009</v>
      </c>
      <c r="G21">
        <v>698.5</v>
      </c>
    </row>
    <row r="22" spans="1:7" x14ac:dyDescent="0.25">
      <c r="A22" t="s">
        <v>332</v>
      </c>
      <c r="B22" s="60">
        <v>43235</v>
      </c>
      <c r="C22" s="60" t="str">
        <f t="shared" si="0"/>
        <v>62E43235</v>
      </c>
      <c r="D22">
        <v>16.5</v>
      </c>
      <c r="E22">
        <v>1.39</v>
      </c>
      <c r="F22">
        <v>8.91</v>
      </c>
      <c r="G22">
        <v>695</v>
      </c>
    </row>
    <row r="23" spans="1:7" x14ac:dyDescent="0.25">
      <c r="A23" t="s">
        <v>330</v>
      </c>
      <c r="B23" s="60">
        <v>43235</v>
      </c>
      <c r="C23" s="60" t="str">
        <f t="shared" si="0"/>
        <v>62B43235</v>
      </c>
      <c r="D23">
        <v>15.4</v>
      </c>
      <c r="E23">
        <v>0.5</v>
      </c>
      <c r="F23">
        <v>9.07</v>
      </c>
      <c r="G23">
        <v>696.6</v>
      </c>
    </row>
    <row r="24" spans="1:7" x14ac:dyDescent="0.25">
      <c r="A24" t="s">
        <v>331</v>
      </c>
      <c r="B24" s="60">
        <v>43235</v>
      </c>
      <c r="C24" s="60" t="str">
        <f t="shared" si="0"/>
        <v>62C43235</v>
      </c>
      <c r="D24">
        <v>15.6</v>
      </c>
      <c r="E24">
        <v>0.18</v>
      </c>
      <c r="F24">
        <v>8.58</v>
      </c>
      <c r="G24">
        <v>696.3</v>
      </c>
    </row>
    <row r="25" spans="1:7" x14ac:dyDescent="0.25">
      <c r="A25" t="s">
        <v>323</v>
      </c>
      <c r="B25" s="60">
        <v>43234</v>
      </c>
      <c r="C25" s="60" t="str">
        <f t="shared" si="0"/>
        <v>66A43234</v>
      </c>
      <c r="D25">
        <v>14.6</v>
      </c>
      <c r="E25">
        <v>0.37</v>
      </c>
      <c r="F25">
        <v>8.74</v>
      </c>
      <c r="G25">
        <v>710.5</v>
      </c>
    </row>
    <row r="26" spans="1:7" x14ac:dyDescent="0.25">
      <c r="A26" t="s">
        <v>327</v>
      </c>
      <c r="B26" s="60">
        <v>43234</v>
      </c>
      <c r="C26" s="60" t="str">
        <f t="shared" si="0"/>
        <v>66C43234</v>
      </c>
      <c r="D26">
        <v>14.1</v>
      </c>
      <c r="E26">
        <v>0.15</v>
      </c>
      <c r="F26">
        <v>7.98</v>
      </c>
      <c r="G26">
        <v>710.7</v>
      </c>
    </row>
    <row r="27" spans="1:7" x14ac:dyDescent="0.25">
      <c r="A27" t="s">
        <v>326</v>
      </c>
      <c r="B27" s="60">
        <v>43234</v>
      </c>
      <c r="C27" s="60" t="str">
        <f t="shared" si="0"/>
        <v>66B43234</v>
      </c>
      <c r="D27">
        <v>14.4</v>
      </c>
      <c r="E27">
        <v>1.19</v>
      </c>
      <c r="F27">
        <v>8.6999999999999993</v>
      </c>
      <c r="G27">
        <v>710.6</v>
      </c>
    </row>
    <row r="28" spans="1:7" x14ac:dyDescent="0.25">
      <c r="A28" t="s">
        <v>338</v>
      </c>
      <c r="B28" s="60">
        <v>43234</v>
      </c>
      <c r="C28" s="60" t="str">
        <f t="shared" si="0"/>
        <v>4A43234</v>
      </c>
      <c r="D28">
        <v>18.5</v>
      </c>
      <c r="E28">
        <v>0.11</v>
      </c>
      <c r="F28">
        <v>9.36</v>
      </c>
      <c r="G28">
        <v>712.1</v>
      </c>
    </row>
    <row r="29" spans="1:7" x14ac:dyDescent="0.25">
      <c r="A29" t="s">
        <v>334</v>
      </c>
      <c r="B29" s="60">
        <v>43235</v>
      </c>
      <c r="C29" s="60" t="str">
        <f t="shared" si="0"/>
        <v>61B43235</v>
      </c>
      <c r="D29">
        <v>16.5</v>
      </c>
      <c r="F29">
        <v>7.93</v>
      </c>
      <c r="G29">
        <v>696.2</v>
      </c>
    </row>
    <row r="30" spans="1:7" x14ac:dyDescent="0.25">
      <c r="A30" t="s">
        <v>333</v>
      </c>
      <c r="B30" s="60">
        <v>43235</v>
      </c>
      <c r="C30" s="60" t="str">
        <f t="shared" si="0"/>
        <v>61C43235</v>
      </c>
      <c r="D30">
        <v>17.600000000000001</v>
      </c>
      <c r="F30">
        <v>8.19</v>
      </c>
      <c r="G30">
        <v>695.6</v>
      </c>
    </row>
    <row r="31" spans="1:7" x14ac:dyDescent="0.25">
      <c r="A31" t="s">
        <v>336</v>
      </c>
      <c r="B31" s="60">
        <v>43236</v>
      </c>
      <c r="C31" s="60" t="str">
        <f t="shared" si="0"/>
        <v>4D43236</v>
      </c>
      <c r="D31">
        <v>19.399999999999999</v>
      </c>
      <c r="E31">
        <v>0.09</v>
      </c>
      <c r="F31">
        <v>9.66</v>
      </c>
      <c r="G31">
        <v>708.8</v>
      </c>
    </row>
    <row r="32" spans="1:7" x14ac:dyDescent="0.25">
      <c r="A32" t="s">
        <v>335</v>
      </c>
      <c r="B32" s="60">
        <v>43236</v>
      </c>
      <c r="C32" s="60" t="str">
        <f t="shared" si="0"/>
        <v>4C43236</v>
      </c>
      <c r="D32">
        <v>17.3</v>
      </c>
      <c r="E32">
        <v>0.16</v>
      </c>
      <c r="F32">
        <v>8.77</v>
      </c>
      <c r="G32">
        <v>708.7</v>
      </c>
    </row>
    <row r="33" spans="1:7" x14ac:dyDescent="0.25">
      <c r="A33" t="s">
        <v>329</v>
      </c>
      <c r="B33" s="60">
        <v>43236</v>
      </c>
      <c r="C33" s="60" t="str">
        <f t="shared" si="0"/>
        <v>56A43236</v>
      </c>
      <c r="D33">
        <v>16</v>
      </c>
      <c r="E33">
        <v>1.35</v>
      </c>
      <c r="F33">
        <v>8.73</v>
      </c>
      <c r="G33">
        <v>697.5</v>
      </c>
    </row>
    <row r="34" spans="1:7" x14ac:dyDescent="0.25">
      <c r="A34" t="s">
        <v>328</v>
      </c>
      <c r="B34" s="60">
        <v>43236</v>
      </c>
      <c r="C34" s="60" t="str">
        <f t="shared" si="0"/>
        <v>56B43236</v>
      </c>
      <c r="D34">
        <v>15.2</v>
      </c>
      <c r="E34">
        <v>1.57</v>
      </c>
      <c r="F34">
        <v>8.61</v>
      </c>
      <c r="G34">
        <v>698</v>
      </c>
    </row>
    <row r="35" spans="1:7" x14ac:dyDescent="0.25">
      <c r="A35" t="s">
        <v>325</v>
      </c>
      <c r="B35" s="60">
        <v>43237</v>
      </c>
      <c r="C35" s="60" t="str">
        <f t="shared" si="0"/>
        <v>32C43237</v>
      </c>
      <c r="D35">
        <v>13.4</v>
      </c>
      <c r="E35">
        <v>1.1000000000000001</v>
      </c>
      <c r="F35">
        <v>8.6</v>
      </c>
      <c r="G35">
        <v>709.2</v>
      </c>
    </row>
    <row r="36" spans="1:7" x14ac:dyDescent="0.25">
      <c r="A36" t="s">
        <v>478</v>
      </c>
      <c r="B36" s="60">
        <v>43237</v>
      </c>
      <c r="C36" s="60" t="str">
        <f t="shared" si="0"/>
        <v>23A43237</v>
      </c>
      <c r="D36">
        <v>12.6</v>
      </c>
      <c r="E36">
        <v>0.09</v>
      </c>
      <c r="F36">
        <v>9.41</v>
      </c>
      <c r="G36">
        <v>709.4</v>
      </c>
    </row>
    <row r="37" spans="1:7" x14ac:dyDescent="0.25">
      <c r="A37" t="s">
        <v>337</v>
      </c>
      <c r="B37" s="60">
        <v>43238</v>
      </c>
      <c r="C37" s="60" t="str">
        <f t="shared" si="0"/>
        <v>14B43238</v>
      </c>
      <c r="D37">
        <v>14.4</v>
      </c>
      <c r="E37">
        <v>0.48</v>
      </c>
      <c r="F37">
        <v>8.33</v>
      </c>
      <c r="G37">
        <v>718.4</v>
      </c>
    </row>
    <row r="38" spans="1:7" x14ac:dyDescent="0.25">
      <c r="A38" t="s">
        <v>477</v>
      </c>
      <c r="B38" s="60">
        <v>43238</v>
      </c>
      <c r="C38" s="60" t="str">
        <f t="shared" si="0"/>
        <v>68A43238</v>
      </c>
      <c r="D38">
        <v>10.6</v>
      </c>
      <c r="E38">
        <v>0.27</v>
      </c>
      <c r="F38">
        <v>7.91</v>
      </c>
      <c r="G38">
        <v>716</v>
      </c>
    </row>
    <row r="39" spans="1:7" x14ac:dyDescent="0.25">
      <c r="A39" t="s">
        <v>58</v>
      </c>
      <c r="B39" s="60">
        <v>43238</v>
      </c>
      <c r="C39" s="60" t="str">
        <f t="shared" si="0"/>
        <v>14A43238</v>
      </c>
      <c r="D39">
        <v>11.3</v>
      </c>
      <c r="E39">
        <v>1.73</v>
      </c>
      <c r="F39">
        <v>8.92</v>
      </c>
      <c r="G39">
        <v>719.6</v>
      </c>
    </row>
    <row r="40" spans="1:7" x14ac:dyDescent="0.25">
      <c r="A40" t="s">
        <v>322</v>
      </c>
      <c r="B40" s="60">
        <v>43243</v>
      </c>
      <c r="C40" s="60" t="str">
        <f t="shared" si="0"/>
        <v>32A43243</v>
      </c>
      <c r="D40">
        <v>18.7</v>
      </c>
      <c r="E40">
        <v>0.95</v>
      </c>
      <c r="F40">
        <v>8.8800000000000008</v>
      </c>
      <c r="G40">
        <v>707.1</v>
      </c>
    </row>
    <row r="41" spans="1:7" x14ac:dyDescent="0.25">
      <c r="A41" t="s">
        <v>324</v>
      </c>
      <c r="B41" s="60">
        <v>43243</v>
      </c>
      <c r="C41" s="60" t="str">
        <f t="shared" si="0"/>
        <v>32B43243</v>
      </c>
      <c r="D41">
        <v>20.3</v>
      </c>
      <c r="E41">
        <v>0.85</v>
      </c>
      <c r="F41">
        <v>8.9</v>
      </c>
      <c r="G41">
        <v>705.9</v>
      </c>
    </row>
    <row r="42" spans="1:7" x14ac:dyDescent="0.25">
      <c r="A42" t="s">
        <v>323</v>
      </c>
      <c r="B42" s="60">
        <v>43263</v>
      </c>
      <c r="C42" s="60" t="str">
        <f t="shared" si="0"/>
        <v>66A43263</v>
      </c>
      <c r="D42">
        <v>17.8</v>
      </c>
      <c r="E42">
        <v>0.76</v>
      </c>
      <c r="F42">
        <v>7.75</v>
      </c>
      <c r="G42">
        <v>704.5</v>
      </c>
    </row>
    <row r="43" spans="1:7" x14ac:dyDescent="0.25">
      <c r="A43" t="s">
        <v>327</v>
      </c>
      <c r="B43" s="60">
        <v>43263</v>
      </c>
      <c r="C43" s="60" t="str">
        <f t="shared" si="0"/>
        <v>66C43263</v>
      </c>
      <c r="D43">
        <v>17.2</v>
      </c>
      <c r="E43">
        <v>0.17</v>
      </c>
      <c r="F43">
        <v>8.1300000000000008</v>
      </c>
      <c r="G43">
        <v>704.1</v>
      </c>
    </row>
    <row r="44" spans="1:7" x14ac:dyDescent="0.25">
      <c r="A44" t="s">
        <v>336</v>
      </c>
      <c r="B44" s="60">
        <v>43262</v>
      </c>
      <c r="C44" s="60" t="str">
        <f t="shared" si="0"/>
        <v>4D43262</v>
      </c>
      <c r="D44">
        <v>18.3</v>
      </c>
      <c r="E44">
        <v>0.11</v>
      </c>
      <c r="F44">
        <v>8.48</v>
      </c>
      <c r="G44">
        <v>705.3</v>
      </c>
    </row>
    <row r="45" spans="1:7" x14ac:dyDescent="0.25">
      <c r="A45" t="s">
        <v>478</v>
      </c>
      <c r="B45" s="60">
        <v>43262</v>
      </c>
      <c r="C45" s="60" t="str">
        <f t="shared" si="0"/>
        <v>23A43262</v>
      </c>
      <c r="D45">
        <v>20.8</v>
      </c>
      <c r="E45">
        <v>0.1</v>
      </c>
      <c r="F45">
        <v>9.15</v>
      </c>
      <c r="G45">
        <v>703</v>
      </c>
    </row>
    <row r="46" spans="1:7" x14ac:dyDescent="0.25">
      <c r="A46" t="s">
        <v>338</v>
      </c>
      <c r="B46" s="60">
        <v>43262</v>
      </c>
      <c r="C46" s="60" t="str">
        <f t="shared" si="0"/>
        <v>4A43262</v>
      </c>
      <c r="D46">
        <v>18.8</v>
      </c>
      <c r="E46">
        <v>0.13</v>
      </c>
      <c r="F46">
        <v>8.26</v>
      </c>
      <c r="G46">
        <v>705.8</v>
      </c>
    </row>
    <row r="47" spans="1:7" x14ac:dyDescent="0.25">
      <c r="A47" t="s">
        <v>332</v>
      </c>
      <c r="B47" s="60">
        <v>43297</v>
      </c>
      <c r="C47" s="60" t="str">
        <f t="shared" si="0"/>
        <v>62E43297</v>
      </c>
      <c r="D47">
        <v>21.3</v>
      </c>
      <c r="E47">
        <v>2.12</v>
      </c>
      <c r="F47">
        <v>8.09</v>
      </c>
      <c r="G47">
        <v>704.3</v>
      </c>
    </row>
    <row r="48" spans="1:7" x14ac:dyDescent="0.25">
      <c r="A48" t="s">
        <v>477</v>
      </c>
      <c r="B48" s="60">
        <v>43294</v>
      </c>
      <c r="C48" s="60" t="str">
        <f t="shared" si="0"/>
        <v>68A43294</v>
      </c>
      <c r="D48">
        <v>25.8</v>
      </c>
      <c r="E48">
        <v>0.12</v>
      </c>
      <c r="F48">
        <v>9.36</v>
      </c>
      <c r="G48">
        <v>710.4</v>
      </c>
    </row>
    <row r="49" spans="1:7" x14ac:dyDescent="0.25">
      <c r="A49" t="s">
        <v>337</v>
      </c>
      <c r="B49" s="60">
        <v>43294</v>
      </c>
      <c r="C49" s="60" t="str">
        <f t="shared" si="0"/>
        <v>14B43294</v>
      </c>
      <c r="D49">
        <v>23</v>
      </c>
      <c r="E49">
        <v>0.53</v>
      </c>
      <c r="F49">
        <v>8.69</v>
      </c>
      <c r="G49">
        <v>712.5</v>
      </c>
    </row>
    <row r="50" spans="1:7" x14ac:dyDescent="0.25">
      <c r="A50" t="s">
        <v>58</v>
      </c>
      <c r="B50" s="60">
        <v>43294</v>
      </c>
      <c r="C50" s="60" t="str">
        <f t="shared" si="0"/>
        <v>14A43294</v>
      </c>
      <c r="D50">
        <v>21.4</v>
      </c>
      <c r="E50">
        <v>2.48</v>
      </c>
      <c r="F50">
        <v>8.3000000000000007</v>
      </c>
      <c r="G50">
        <v>714.4</v>
      </c>
    </row>
    <row r="51" spans="1:7" x14ac:dyDescent="0.25">
      <c r="A51" t="s">
        <v>324</v>
      </c>
      <c r="B51" s="60">
        <v>43293</v>
      </c>
      <c r="C51" s="60" t="str">
        <f t="shared" si="0"/>
        <v>32B43293</v>
      </c>
      <c r="D51">
        <v>22.5</v>
      </c>
      <c r="E51">
        <v>0.94</v>
      </c>
      <c r="F51">
        <v>8.99</v>
      </c>
      <c r="G51">
        <v>706.9</v>
      </c>
    </row>
    <row r="52" spans="1:7" x14ac:dyDescent="0.25">
      <c r="A52" t="s">
        <v>322</v>
      </c>
      <c r="B52" s="60">
        <v>43293</v>
      </c>
      <c r="C52" s="60" t="str">
        <f t="shared" si="0"/>
        <v>32A43293</v>
      </c>
      <c r="D52">
        <v>22.2</v>
      </c>
      <c r="E52">
        <v>1.06</v>
      </c>
      <c r="F52">
        <v>8.7200000000000006</v>
      </c>
      <c r="G52">
        <v>707.8</v>
      </c>
    </row>
    <row r="53" spans="1:7" x14ac:dyDescent="0.25">
      <c r="A53" t="s">
        <v>325</v>
      </c>
      <c r="B53" s="60">
        <v>43293</v>
      </c>
      <c r="C53" s="60" t="str">
        <f t="shared" si="0"/>
        <v>32C43293</v>
      </c>
      <c r="D53">
        <v>21.4</v>
      </c>
      <c r="E53">
        <v>1.4</v>
      </c>
      <c r="F53">
        <v>9.0299999999999994</v>
      </c>
      <c r="G53">
        <v>707.8</v>
      </c>
    </row>
    <row r="54" spans="1:7" x14ac:dyDescent="0.25">
      <c r="A54" t="s">
        <v>478</v>
      </c>
      <c r="B54" s="60">
        <v>43293</v>
      </c>
      <c r="C54" s="60" t="str">
        <f t="shared" si="0"/>
        <v>23A43293</v>
      </c>
      <c r="D54">
        <v>25.8</v>
      </c>
      <c r="E54">
        <v>0.1</v>
      </c>
      <c r="F54">
        <v>10.16</v>
      </c>
      <c r="G54">
        <v>709.5</v>
      </c>
    </row>
    <row r="55" spans="1:7" x14ac:dyDescent="0.25">
      <c r="A55" t="s">
        <v>336</v>
      </c>
      <c r="B55" s="60">
        <v>43292</v>
      </c>
      <c r="C55" s="60" t="str">
        <f t="shared" si="0"/>
        <v>4D43292</v>
      </c>
      <c r="D55">
        <v>21.6</v>
      </c>
      <c r="E55">
        <v>0.09</v>
      </c>
      <c r="F55">
        <v>9.0500000000000007</v>
      </c>
      <c r="G55">
        <v>708</v>
      </c>
    </row>
    <row r="56" spans="1:7" x14ac:dyDescent="0.25">
      <c r="A56" t="s">
        <v>335</v>
      </c>
      <c r="B56" s="60">
        <v>43292</v>
      </c>
      <c r="C56" s="60" t="str">
        <f t="shared" si="0"/>
        <v>4C43292</v>
      </c>
      <c r="D56">
        <v>21.9</v>
      </c>
      <c r="E56">
        <v>0.13</v>
      </c>
      <c r="F56">
        <v>9.99</v>
      </c>
      <c r="G56">
        <v>707.8</v>
      </c>
    </row>
    <row r="57" spans="1:7" x14ac:dyDescent="0.25">
      <c r="A57" t="s">
        <v>329</v>
      </c>
      <c r="B57" s="60">
        <v>43292</v>
      </c>
      <c r="C57" s="60" t="str">
        <f t="shared" si="0"/>
        <v>56A43292</v>
      </c>
      <c r="D57">
        <v>21.8</v>
      </c>
      <c r="E57">
        <v>2.0499999999999998</v>
      </c>
      <c r="F57">
        <v>8.6199999999999992</v>
      </c>
      <c r="G57">
        <v>697.8</v>
      </c>
    </row>
    <row r="58" spans="1:7" x14ac:dyDescent="0.25">
      <c r="A58" t="s">
        <v>328</v>
      </c>
      <c r="B58" s="60">
        <v>43292</v>
      </c>
      <c r="C58" s="60" t="str">
        <f t="shared" si="0"/>
        <v>56B43292</v>
      </c>
      <c r="D58">
        <v>22.2</v>
      </c>
      <c r="E58">
        <v>2.1</v>
      </c>
      <c r="F58">
        <v>8.49</v>
      </c>
      <c r="G58">
        <v>698.6</v>
      </c>
    </row>
    <row r="59" spans="1:7" x14ac:dyDescent="0.25">
      <c r="A59" t="s">
        <v>333</v>
      </c>
      <c r="B59" s="60">
        <v>43291</v>
      </c>
      <c r="C59" s="60" t="str">
        <f t="shared" si="0"/>
        <v>61C43291</v>
      </c>
      <c r="D59">
        <v>22.4</v>
      </c>
      <c r="E59">
        <v>0.24</v>
      </c>
      <c r="F59">
        <v>10.14</v>
      </c>
      <c r="G59">
        <v>697.6</v>
      </c>
    </row>
    <row r="60" spans="1:7" x14ac:dyDescent="0.25">
      <c r="A60" t="s">
        <v>334</v>
      </c>
      <c r="B60" s="60">
        <v>43291</v>
      </c>
      <c r="C60" s="60" t="str">
        <f t="shared" si="0"/>
        <v>61B43291</v>
      </c>
      <c r="D60">
        <v>22.4</v>
      </c>
      <c r="E60">
        <v>2.48</v>
      </c>
      <c r="F60">
        <v>7.88</v>
      </c>
    </row>
    <row r="61" spans="1:7" x14ac:dyDescent="0.25">
      <c r="A61" t="s">
        <v>331</v>
      </c>
      <c r="B61" s="60">
        <v>43291</v>
      </c>
      <c r="C61" s="60" t="str">
        <f t="shared" si="0"/>
        <v>62C43291</v>
      </c>
      <c r="D61">
        <v>21.9</v>
      </c>
      <c r="E61">
        <v>0.25</v>
      </c>
      <c r="F61">
        <v>8.7200000000000006</v>
      </c>
      <c r="G61">
        <v>701.7</v>
      </c>
    </row>
    <row r="62" spans="1:7" x14ac:dyDescent="0.25">
      <c r="A62" t="s">
        <v>330</v>
      </c>
      <c r="B62" s="60">
        <v>43291</v>
      </c>
      <c r="C62" s="60" t="str">
        <f t="shared" si="0"/>
        <v>62B43291</v>
      </c>
      <c r="D62">
        <v>21.5</v>
      </c>
      <c r="E62">
        <v>0.67</v>
      </c>
      <c r="F62">
        <v>8.69</v>
      </c>
      <c r="G62">
        <v>701.2</v>
      </c>
    </row>
    <row r="63" spans="1:7" x14ac:dyDescent="0.25">
      <c r="A63" t="s">
        <v>323</v>
      </c>
      <c r="B63" s="60">
        <v>43290</v>
      </c>
      <c r="C63" s="60" t="str">
        <f t="shared" si="0"/>
        <v>66A43290</v>
      </c>
      <c r="D63">
        <v>24.8</v>
      </c>
      <c r="E63">
        <v>0.85</v>
      </c>
      <c r="F63">
        <v>8.9</v>
      </c>
      <c r="G63">
        <v>713.5</v>
      </c>
    </row>
    <row r="64" spans="1:7" x14ac:dyDescent="0.25">
      <c r="A64" t="s">
        <v>327</v>
      </c>
      <c r="B64" s="60">
        <v>43290</v>
      </c>
      <c r="C64" s="60" t="str">
        <f t="shared" si="0"/>
        <v>66C43290</v>
      </c>
      <c r="D64">
        <v>23.6</v>
      </c>
      <c r="E64">
        <v>0.18</v>
      </c>
      <c r="F64">
        <v>8.93</v>
      </c>
      <c r="G64">
        <v>713.9</v>
      </c>
    </row>
    <row r="65" spans="1:7" x14ac:dyDescent="0.25">
      <c r="A65" t="s">
        <v>326</v>
      </c>
      <c r="B65" s="60">
        <v>43290</v>
      </c>
      <c r="C65" s="60" t="str">
        <f t="shared" si="0"/>
        <v>66B43290</v>
      </c>
      <c r="D65">
        <v>21.8</v>
      </c>
      <c r="E65">
        <v>0.94</v>
      </c>
      <c r="F65">
        <v>9.06</v>
      </c>
      <c r="G65">
        <v>714.4</v>
      </c>
    </row>
    <row r="66" spans="1:7" x14ac:dyDescent="0.25">
      <c r="A66" t="s">
        <v>338</v>
      </c>
      <c r="B66" s="60">
        <v>43290</v>
      </c>
      <c r="C66" s="60" t="str">
        <f t="shared" si="0"/>
        <v>4A43290</v>
      </c>
      <c r="D66">
        <v>24.9</v>
      </c>
      <c r="E66">
        <v>0.12</v>
      </c>
      <c r="F66">
        <v>8.89</v>
      </c>
      <c r="G66">
        <v>714.1</v>
      </c>
    </row>
    <row r="67" spans="1:7" x14ac:dyDescent="0.25">
      <c r="A67" s="72" t="s">
        <v>327</v>
      </c>
      <c r="B67" s="73">
        <v>43321</v>
      </c>
      <c r="C67" s="60" t="str">
        <f t="shared" si="0"/>
        <v>66C43321</v>
      </c>
      <c r="D67" s="72">
        <v>21.8</v>
      </c>
      <c r="E67" s="72">
        <v>0.2</v>
      </c>
      <c r="F67" s="72">
        <v>8.5500000000000007</v>
      </c>
      <c r="G67" s="72">
        <v>710.4</v>
      </c>
    </row>
    <row r="68" spans="1:7" x14ac:dyDescent="0.25">
      <c r="A68" s="72" t="s">
        <v>323</v>
      </c>
      <c r="B68" s="73">
        <v>43321</v>
      </c>
      <c r="C68" s="60" t="str">
        <f t="shared" ref="C68:C90" si="1">A68&amp;B68</f>
        <v>66A43321</v>
      </c>
      <c r="D68" s="72">
        <v>23</v>
      </c>
      <c r="E68" s="72">
        <v>0.94</v>
      </c>
      <c r="F68" s="72">
        <v>8.09</v>
      </c>
      <c r="G68" s="72">
        <v>710.5</v>
      </c>
    </row>
    <row r="69" spans="1:7" x14ac:dyDescent="0.25">
      <c r="A69" s="72" t="s">
        <v>478</v>
      </c>
      <c r="B69" s="73">
        <v>43321</v>
      </c>
      <c r="C69" s="60" t="str">
        <f t="shared" si="1"/>
        <v>23A43321</v>
      </c>
      <c r="D69" s="72">
        <v>26.1</v>
      </c>
      <c r="E69" s="72">
        <v>0.09</v>
      </c>
      <c r="F69" s="72">
        <v>9.9600000000000009</v>
      </c>
      <c r="G69" s="72">
        <v>710.1</v>
      </c>
    </row>
    <row r="70" spans="1:7" x14ac:dyDescent="0.25">
      <c r="A70" s="72" t="s">
        <v>338</v>
      </c>
      <c r="B70" s="73">
        <v>43320</v>
      </c>
      <c r="C70" s="60" t="str">
        <f t="shared" si="1"/>
        <v>4A43320</v>
      </c>
      <c r="D70" s="72">
        <v>20.5</v>
      </c>
      <c r="E70" s="72">
        <v>0.11</v>
      </c>
      <c r="F70" s="72">
        <v>9</v>
      </c>
      <c r="G70" s="72">
        <v>710.6</v>
      </c>
    </row>
    <row r="71" spans="1:7" x14ac:dyDescent="0.25">
      <c r="A71" s="72" t="s">
        <v>336</v>
      </c>
      <c r="B71" s="73">
        <v>43320</v>
      </c>
      <c r="C71" s="60" t="str">
        <f t="shared" si="1"/>
        <v>4D43320</v>
      </c>
      <c r="D71" s="72">
        <v>20.399999999999999</v>
      </c>
      <c r="E71" s="72">
        <v>0.09</v>
      </c>
      <c r="F71" s="72">
        <v>8.99</v>
      </c>
      <c r="G71" s="72">
        <v>710.7</v>
      </c>
    </row>
    <row r="72" spans="1:7" x14ac:dyDescent="0.25">
      <c r="A72" s="72" t="s">
        <v>478</v>
      </c>
      <c r="B72" s="73">
        <v>43370</v>
      </c>
      <c r="C72" s="60" t="str">
        <f t="shared" si="1"/>
        <v>23A43370</v>
      </c>
      <c r="D72" s="72">
        <v>7.6</v>
      </c>
      <c r="E72" s="72">
        <v>0.11</v>
      </c>
      <c r="F72" s="72">
        <v>9.31</v>
      </c>
      <c r="G72" s="72">
        <v>712.3</v>
      </c>
    </row>
    <row r="73" spans="1:7" x14ac:dyDescent="0.25">
      <c r="A73" s="72" t="s">
        <v>324</v>
      </c>
      <c r="B73" s="73">
        <v>43370</v>
      </c>
      <c r="C73" s="60" t="str">
        <f t="shared" si="1"/>
        <v>32B43370</v>
      </c>
      <c r="D73" s="72">
        <v>6.7</v>
      </c>
      <c r="E73" s="72">
        <v>1.1100000000000001</v>
      </c>
      <c r="F73" s="72">
        <v>8.7200000000000006</v>
      </c>
      <c r="G73" s="72">
        <v>709.1</v>
      </c>
    </row>
    <row r="74" spans="1:7" x14ac:dyDescent="0.25">
      <c r="A74" s="72" t="s">
        <v>322</v>
      </c>
      <c r="B74" s="73">
        <v>43370</v>
      </c>
      <c r="C74" s="60" t="str">
        <f t="shared" si="1"/>
        <v>32A43370</v>
      </c>
      <c r="D74" s="72">
        <v>6.5</v>
      </c>
      <c r="E74" s="72">
        <v>1.35</v>
      </c>
      <c r="F74" s="72">
        <v>8.82</v>
      </c>
      <c r="G74" s="72">
        <v>710</v>
      </c>
    </row>
    <row r="75" spans="1:7" x14ac:dyDescent="0.25">
      <c r="A75" s="72" t="s">
        <v>325</v>
      </c>
      <c r="B75" s="73">
        <v>43370</v>
      </c>
      <c r="C75" s="60" t="str">
        <f t="shared" si="1"/>
        <v>32C43370</v>
      </c>
      <c r="D75" s="72">
        <v>6.4</v>
      </c>
      <c r="E75" s="72">
        <v>1.79</v>
      </c>
      <c r="F75" s="72">
        <v>8.98</v>
      </c>
      <c r="G75" s="72">
        <v>709.9</v>
      </c>
    </row>
    <row r="76" spans="1:7" x14ac:dyDescent="0.25">
      <c r="A76" s="72" t="s">
        <v>329</v>
      </c>
      <c r="B76" s="73">
        <v>43369</v>
      </c>
      <c r="C76" s="60" t="str">
        <f t="shared" si="1"/>
        <v>56A43369</v>
      </c>
      <c r="D76" s="72">
        <v>7.8</v>
      </c>
      <c r="E76" s="72">
        <v>3.17</v>
      </c>
      <c r="F76" s="72">
        <v>8.67</v>
      </c>
      <c r="G76" s="72">
        <v>697.7</v>
      </c>
    </row>
    <row r="77" spans="1:7" x14ac:dyDescent="0.25">
      <c r="A77" s="72" t="s">
        <v>328</v>
      </c>
      <c r="B77" s="73">
        <v>43369</v>
      </c>
      <c r="C77" s="60" t="str">
        <f t="shared" si="1"/>
        <v>56B43369</v>
      </c>
      <c r="D77" s="72">
        <v>7.1</v>
      </c>
      <c r="E77" s="72">
        <v>2.64</v>
      </c>
      <c r="F77" s="72">
        <v>9.3000000000000007</v>
      </c>
      <c r="G77" s="72">
        <v>698</v>
      </c>
    </row>
    <row r="78" spans="1:7" x14ac:dyDescent="0.25">
      <c r="A78" s="72" t="s">
        <v>336</v>
      </c>
      <c r="B78" s="73">
        <v>43369</v>
      </c>
      <c r="C78" s="60" t="str">
        <f t="shared" si="1"/>
        <v>4D43369</v>
      </c>
      <c r="D78" s="72">
        <v>8.1999999999999993</v>
      </c>
      <c r="E78" s="72">
        <v>0.12</v>
      </c>
      <c r="F78" s="72">
        <v>8.67</v>
      </c>
      <c r="G78" s="72">
        <v>707.5</v>
      </c>
    </row>
    <row r="79" spans="1:7" x14ac:dyDescent="0.25">
      <c r="A79" s="72" t="s">
        <v>335</v>
      </c>
      <c r="B79" s="73">
        <v>43369</v>
      </c>
      <c r="C79" s="60" t="str">
        <f t="shared" si="1"/>
        <v>4C43369</v>
      </c>
      <c r="D79" s="72">
        <v>8.9</v>
      </c>
      <c r="E79" s="72">
        <v>0.18</v>
      </c>
      <c r="F79" s="72">
        <v>8.27</v>
      </c>
      <c r="G79" s="72">
        <v>707.4</v>
      </c>
    </row>
    <row r="80" spans="1:7" x14ac:dyDescent="0.25">
      <c r="A80" s="72" t="s">
        <v>333</v>
      </c>
      <c r="B80" s="73">
        <v>43368</v>
      </c>
      <c r="C80" s="60" t="str">
        <f t="shared" si="1"/>
        <v>61C43368</v>
      </c>
      <c r="D80" s="72">
        <v>6.8</v>
      </c>
      <c r="E80" s="72">
        <v>0.28000000000000003</v>
      </c>
      <c r="F80" s="72">
        <v>8.39</v>
      </c>
      <c r="G80" s="72">
        <v>712.9</v>
      </c>
    </row>
    <row r="81" spans="1:7" x14ac:dyDescent="0.25">
      <c r="A81" s="72" t="s">
        <v>334</v>
      </c>
      <c r="B81" s="73">
        <v>43368</v>
      </c>
      <c r="C81" s="60" t="str">
        <f t="shared" si="1"/>
        <v>61B43368</v>
      </c>
      <c r="D81" s="72">
        <v>6.3</v>
      </c>
      <c r="E81" s="72">
        <v>2.82</v>
      </c>
      <c r="F81" s="72">
        <v>8.2200000000000006</v>
      </c>
      <c r="G81" s="72">
        <v>712.9</v>
      </c>
    </row>
    <row r="82" spans="1:7" x14ac:dyDescent="0.25">
      <c r="A82" s="72" t="s">
        <v>332</v>
      </c>
      <c r="B82" s="73">
        <v>43368</v>
      </c>
      <c r="C82" s="60" t="str">
        <f t="shared" si="1"/>
        <v>62E43368</v>
      </c>
      <c r="D82" s="72">
        <v>8.1999999999999993</v>
      </c>
      <c r="E82" s="72">
        <v>2.71</v>
      </c>
      <c r="F82" s="72">
        <v>8.2799999999999994</v>
      </c>
      <c r="G82" s="72">
        <v>703.3</v>
      </c>
    </row>
    <row r="83" spans="1:7" x14ac:dyDescent="0.25">
      <c r="A83" s="72" t="s">
        <v>331</v>
      </c>
      <c r="B83" s="73">
        <v>43368</v>
      </c>
      <c r="C83" s="60" t="str">
        <f t="shared" si="1"/>
        <v>62C43368</v>
      </c>
      <c r="D83" s="72">
        <v>7.8</v>
      </c>
      <c r="E83" s="72">
        <v>0.31</v>
      </c>
      <c r="F83" s="72">
        <v>9.09</v>
      </c>
      <c r="G83" s="72">
        <v>704.4</v>
      </c>
    </row>
    <row r="84" spans="1:7" x14ac:dyDescent="0.25">
      <c r="A84" s="72" t="s">
        <v>330</v>
      </c>
      <c r="B84" s="73">
        <v>43368</v>
      </c>
      <c r="C84" s="60" t="str">
        <f t="shared" si="1"/>
        <v>62B43368</v>
      </c>
      <c r="D84" s="72">
        <v>7.3</v>
      </c>
      <c r="E84" s="72">
        <v>0.96</v>
      </c>
      <c r="F84" s="72">
        <v>8.74</v>
      </c>
      <c r="G84" s="72">
        <v>704.1</v>
      </c>
    </row>
    <row r="85" spans="1:7" x14ac:dyDescent="0.25">
      <c r="A85" s="72" t="s">
        <v>338</v>
      </c>
      <c r="B85" s="73">
        <v>43367</v>
      </c>
      <c r="C85" s="60" t="str">
        <f t="shared" si="1"/>
        <v>4A43367</v>
      </c>
      <c r="D85" s="72">
        <v>6.4</v>
      </c>
      <c r="E85" s="72">
        <v>0.14000000000000001</v>
      </c>
      <c r="F85" s="72">
        <v>8.2899999999999991</v>
      </c>
      <c r="G85" s="72">
        <v>709.9</v>
      </c>
    </row>
    <row r="86" spans="1:7" x14ac:dyDescent="0.25">
      <c r="A86" s="72" t="s">
        <v>323</v>
      </c>
      <c r="B86" s="73">
        <v>43367</v>
      </c>
      <c r="C86" s="60" t="str">
        <f t="shared" si="1"/>
        <v>66A43367</v>
      </c>
      <c r="D86" s="72">
        <v>6.5</v>
      </c>
      <c r="E86" s="72">
        <v>1.02</v>
      </c>
      <c r="F86" s="72">
        <v>7.93</v>
      </c>
      <c r="G86" s="72">
        <v>707.6</v>
      </c>
    </row>
    <row r="87" spans="1:7" x14ac:dyDescent="0.25">
      <c r="A87" s="72" t="s">
        <v>327</v>
      </c>
      <c r="B87" s="73">
        <v>43367</v>
      </c>
      <c r="C87" s="60" t="str">
        <f t="shared" si="1"/>
        <v>66C43367</v>
      </c>
      <c r="D87" s="72">
        <v>6.4</v>
      </c>
      <c r="E87" s="72">
        <v>0.23</v>
      </c>
      <c r="F87" s="72">
        <v>8.23</v>
      </c>
      <c r="G87" s="72">
        <v>707.3</v>
      </c>
    </row>
    <row r="88" spans="1:7" x14ac:dyDescent="0.25">
      <c r="A88" s="72" t="s">
        <v>326</v>
      </c>
      <c r="B88" s="73">
        <v>43367</v>
      </c>
      <c r="C88" s="60" t="str">
        <f t="shared" si="1"/>
        <v>66B43367</v>
      </c>
      <c r="D88" s="72">
        <v>6</v>
      </c>
      <c r="E88" s="72">
        <v>1.27</v>
      </c>
      <c r="F88" s="72">
        <v>7.96</v>
      </c>
      <c r="G88" s="72">
        <v>706.9</v>
      </c>
    </row>
    <row r="89" spans="1:7" x14ac:dyDescent="0.25">
      <c r="A89" s="72" t="s">
        <v>58</v>
      </c>
      <c r="B89" s="73">
        <v>43372</v>
      </c>
      <c r="C89" s="60" t="str">
        <f t="shared" si="1"/>
        <v>14A43372</v>
      </c>
      <c r="D89" s="72">
        <v>6</v>
      </c>
      <c r="E89" s="72">
        <v>3.01</v>
      </c>
      <c r="F89" s="72">
        <v>8.6199999999999992</v>
      </c>
      <c r="G89" s="72">
        <v>719.9</v>
      </c>
    </row>
    <row r="90" spans="1:7" x14ac:dyDescent="0.25">
      <c r="A90" s="72" t="s">
        <v>337</v>
      </c>
      <c r="B90" s="73">
        <v>43372</v>
      </c>
      <c r="C90" s="60" t="str">
        <f t="shared" si="1"/>
        <v>14B43372</v>
      </c>
      <c r="D90" s="72">
        <v>5.9</v>
      </c>
      <c r="E90" s="72">
        <v>0.56000000000000005</v>
      </c>
      <c r="F90" s="72">
        <v>9.36</v>
      </c>
      <c r="G90" s="72">
        <v>718.7</v>
      </c>
    </row>
    <row r="91" spans="1:7" x14ac:dyDescent="0.25">
      <c r="D91" s="72"/>
      <c r="E91" s="72"/>
    </row>
  </sheetData>
  <autoFilter ref="A1:A9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0"/>
  <sheetViews>
    <sheetView zoomScale="120" zoomScaleNormal="120" workbookViewId="0">
      <pane ySplit="1" topLeftCell="A263" activePane="bottomLeft" state="frozen"/>
      <selection pane="bottomLeft" activeCell="B277" sqref="B277"/>
    </sheetView>
  </sheetViews>
  <sheetFormatPr defaultRowHeight="15" x14ac:dyDescent="0.25"/>
  <cols>
    <col min="1" max="1" width="8.7109375" style="52"/>
    <col min="2" max="2" width="8.7109375" style="64"/>
    <col min="3" max="3" width="10.42578125" style="65" bestFit="1" customWidth="1"/>
    <col min="4" max="6" width="8.7109375" style="42"/>
  </cols>
  <sheetData>
    <row r="1" spans="1:7" x14ac:dyDescent="0.25">
      <c r="A1" s="52" t="s">
        <v>59</v>
      </c>
      <c r="B1" s="64" t="s">
        <v>479</v>
      </c>
      <c r="C1" s="65" t="s">
        <v>346</v>
      </c>
      <c r="D1" s="42" t="s">
        <v>343</v>
      </c>
      <c r="E1" s="42" t="s">
        <v>344</v>
      </c>
      <c r="F1" s="42" t="s">
        <v>345</v>
      </c>
      <c r="G1" t="s">
        <v>573</v>
      </c>
    </row>
    <row r="2" spans="1:7" x14ac:dyDescent="0.25">
      <c r="A2" s="59" t="s">
        <v>322</v>
      </c>
      <c r="B2" s="64" t="s">
        <v>128</v>
      </c>
      <c r="C2" s="65">
        <v>43221</v>
      </c>
      <c r="D2" s="42">
        <v>1829.8430000000001</v>
      </c>
      <c r="E2" s="42">
        <v>153.137</v>
      </c>
      <c r="F2" s="42">
        <v>0.38400000000000001</v>
      </c>
      <c r="G2" t="s">
        <v>574</v>
      </c>
    </row>
    <row r="3" spans="1:7" x14ac:dyDescent="0.25">
      <c r="A3" s="52" t="s">
        <v>322</v>
      </c>
      <c r="B3" s="64" t="s">
        <v>129</v>
      </c>
      <c r="C3" s="65">
        <v>43221</v>
      </c>
      <c r="D3" s="42">
        <v>1862.5567667533869</v>
      </c>
      <c r="E3" s="42">
        <v>143.8949361012414</v>
      </c>
      <c r="F3" s="42">
        <v>0.42562795232164452</v>
      </c>
    </row>
    <row r="4" spans="1:7" x14ac:dyDescent="0.25">
      <c r="A4" s="52" t="s">
        <v>322</v>
      </c>
      <c r="B4" s="64" t="s">
        <v>130</v>
      </c>
      <c r="C4" s="65">
        <v>43221</v>
      </c>
      <c r="D4" s="42">
        <v>1870.3489900528191</v>
      </c>
      <c r="E4" s="42">
        <v>143.0947249395166</v>
      </c>
      <c r="F4" s="42">
        <v>0.42515304968218648</v>
      </c>
    </row>
    <row r="5" spans="1:7" x14ac:dyDescent="0.25">
      <c r="A5" s="59" t="s">
        <v>322</v>
      </c>
      <c r="B5" s="64" t="s">
        <v>131</v>
      </c>
      <c r="C5" s="65">
        <v>43221</v>
      </c>
      <c r="D5" s="42">
        <v>1860.557</v>
      </c>
      <c r="E5" s="42">
        <v>145.35900000000001</v>
      </c>
      <c r="F5" s="42">
        <v>0.39700000000000002</v>
      </c>
    </row>
    <row r="6" spans="1:7" x14ac:dyDescent="0.25">
      <c r="A6" s="52" t="s">
        <v>323</v>
      </c>
      <c r="B6" s="64" t="s">
        <v>133</v>
      </c>
      <c r="C6" s="65">
        <v>43217</v>
      </c>
      <c r="D6" s="42">
        <v>458.00212501903951</v>
      </c>
      <c r="E6" s="42">
        <v>8.6283880732685834</v>
      </c>
      <c r="F6" s="42">
        <v>0.31436191938268693</v>
      </c>
    </row>
    <row r="7" spans="1:7" x14ac:dyDescent="0.25">
      <c r="A7" s="52" t="s">
        <v>323</v>
      </c>
      <c r="B7" s="64" t="s">
        <v>134</v>
      </c>
      <c r="C7" s="65">
        <v>43217</v>
      </c>
      <c r="D7" s="42">
        <v>2462.7187521983428</v>
      </c>
      <c r="E7" s="42">
        <v>4.4701190381920393</v>
      </c>
      <c r="F7" s="42">
        <v>0.4452405631026809</v>
      </c>
    </row>
    <row r="8" spans="1:7" x14ac:dyDescent="0.25">
      <c r="A8" s="59" t="s">
        <v>323</v>
      </c>
      <c r="B8" s="64" t="s">
        <v>135</v>
      </c>
      <c r="C8" s="65">
        <v>43217</v>
      </c>
      <c r="D8" s="42">
        <v>2392.7399999999998</v>
      </c>
      <c r="E8" s="42">
        <v>4.1609999999999996</v>
      </c>
      <c r="F8" s="42">
        <v>0.41299999999999998</v>
      </c>
    </row>
    <row r="9" spans="1:7" x14ac:dyDescent="0.25">
      <c r="A9" s="52" t="s">
        <v>323</v>
      </c>
      <c r="B9" s="64" t="s">
        <v>136</v>
      </c>
      <c r="C9" s="65">
        <v>43217</v>
      </c>
      <c r="D9" s="42">
        <v>2490.4654500218321</v>
      </c>
      <c r="E9" s="42">
        <v>4.5518959145020101</v>
      </c>
      <c r="F9" s="42">
        <v>0.43586866489526405</v>
      </c>
    </row>
    <row r="10" spans="1:7" x14ac:dyDescent="0.25">
      <c r="A10" s="52" t="s">
        <v>324</v>
      </c>
      <c r="B10" s="64" t="s">
        <v>138</v>
      </c>
      <c r="C10" s="65">
        <v>43221</v>
      </c>
      <c r="D10" s="42">
        <v>198.206904517548</v>
      </c>
      <c r="E10" s="42">
        <v>510.7575703023021</v>
      </c>
      <c r="F10" s="42">
        <v>0.73441421756135838</v>
      </c>
    </row>
    <row r="11" spans="1:7" x14ac:dyDescent="0.25">
      <c r="A11" s="59" t="s">
        <v>324</v>
      </c>
      <c r="B11" s="64" t="s">
        <v>139</v>
      </c>
      <c r="C11" s="65">
        <v>43221</v>
      </c>
      <c r="D11" s="42">
        <v>231.34700000000001</v>
      </c>
      <c r="E11" s="42">
        <v>509.286</v>
      </c>
      <c r="F11" s="42">
        <v>0.65400000000000003</v>
      </c>
    </row>
    <row r="12" spans="1:7" x14ac:dyDescent="0.25">
      <c r="A12" s="59" t="s">
        <v>324</v>
      </c>
      <c r="B12" s="64" t="s">
        <v>140</v>
      </c>
      <c r="C12" s="65">
        <v>43221</v>
      </c>
      <c r="D12" s="42">
        <v>228.94499999999999</v>
      </c>
      <c r="E12" s="42">
        <v>532.54999999999995</v>
      </c>
      <c r="F12" s="42">
        <v>0.65100000000000002</v>
      </c>
    </row>
    <row r="13" spans="1:7" x14ac:dyDescent="0.25">
      <c r="A13" s="59" t="s">
        <v>324</v>
      </c>
      <c r="B13" s="64" t="s">
        <v>141</v>
      </c>
      <c r="C13" s="65">
        <v>43221</v>
      </c>
      <c r="D13" s="42">
        <v>242.535</v>
      </c>
      <c r="E13" s="42">
        <v>537.41200000000003</v>
      </c>
      <c r="F13" s="42">
        <v>0.69</v>
      </c>
    </row>
    <row r="14" spans="1:7" x14ac:dyDescent="0.25">
      <c r="A14" s="52" t="s">
        <v>325</v>
      </c>
      <c r="B14" s="64" t="s">
        <v>143</v>
      </c>
      <c r="C14" s="65">
        <v>43221</v>
      </c>
      <c r="D14" s="42">
        <v>221.01807980485901</v>
      </c>
      <c r="E14" s="42">
        <v>62.520804934973008</v>
      </c>
      <c r="F14" s="42">
        <v>0.42510565906235898</v>
      </c>
    </row>
    <row r="15" spans="1:7" x14ac:dyDescent="0.25">
      <c r="A15" s="52" t="s">
        <v>325</v>
      </c>
      <c r="B15" s="64" t="s">
        <v>144</v>
      </c>
      <c r="C15" s="65">
        <v>43221</v>
      </c>
      <c r="D15" s="42">
        <v>175.94905299462209</v>
      </c>
      <c r="E15" s="42">
        <v>63.096041271660781</v>
      </c>
      <c r="F15" s="42">
        <v>0.42147205587196968</v>
      </c>
    </row>
    <row r="16" spans="1:7" x14ac:dyDescent="0.25">
      <c r="A16" s="59" t="s">
        <v>325</v>
      </c>
      <c r="B16" s="64" t="s">
        <v>145</v>
      </c>
      <c r="C16" s="65">
        <v>43221</v>
      </c>
      <c r="D16" s="42">
        <v>192.54</v>
      </c>
      <c r="E16" s="42">
        <v>61.569000000000003</v>
      </c>
      <c r="F16" s="42">
        <v>0.38100000000000001</v>
      </c>
    </row>
    <row r="17" spans="1:6" x14ac:dyDescent="0.25">
      <c r="A17" s="52" t="s">
        <v>325</v>
      </c>
      <c r="B17" s="64" t="s">
        <v>146</v>
      </c>
      <c r="C17" s="65">
        <v>43221</v>
      </c>
      <c r="D17" s="42">
        <v>181.1331910136858</v>
      </c>
      <c r="E17" s="42">
        <v>57.24020600308269</v>
      </c>
      <c r="F17" s="42">
        <v>0.42467854717545067</v>
      </c>
    </row>
    <row r="18" spans="1:6" x14ac:dyDescent="0.25">
      <c r="A18" s="52" t="s">
        <v>326</v>
      </c>
      <c r="B18" s="64" t="s">
        <v>148</v>
      </c>
      <c r="C18" s="65">
        <v>43217</v>
      </c>
      <c r="D18" s="42">
        <v>1198.7577896904361</v>
      </c>
      <c r="E18" s="42">
        <v>17.710832472207329</v>
      </c>
      <c r="F18" s="42">
        <v>0.3089764451038628</v>
      </c>
    </row>
    <row r="19" spans="1:6" x14ac:dyDescent="0.25">
      <c r="A19" s="52" t="s">
        <v>326</v>
      </c>
      <c r="B19" s="64" t="s">
        <v>149</v>
      </c>
      <c r="C19" s="65">
        <v>43217</v>
      </c>
      <c r="D19" s="42">
        <v>1220.991451252502</v>
      </c>
      <c r="E19" s="42">
        <v>17.538692472631379</v>
      </c>
      <c r="F19" s="42">
        <v>0.31332122111041993</v>
      </c>
    </row>
    <row r="20" spans="1:6" x14ac:dyDescent="0.25">
      <c r="A20" s="52" t="s">
        <v>326</v>
      </c>
      <c r="B20" s="64" t="s">
        <v>150</v>
      </c>
      <c r="C20" s="65">
        <v>43217</v>
      </c>
      <c r="D20" s="42">
        <v>1211.9633476939989</v>
      </c>
      <c r="E20" s="42">
        <v>19.540993212716629</v>
      </c>
      <c r="F20" s="42">
        <v>0.32165770018954126</v>
      </c>
    </row>
    <row r="21" spans="1:6" x14ac:dyDescent="0.25">
      <c r="A21" s="59" t="s">
        <v>326</v>
      </c>
      <c r="B21" s="64" t="s">
        <v>151</v>
      </c>
      <c r="C21" s="65">
        <v>43217</v>
      </c>
      <c r="D21" s="42">
        <v>1167.306</v>
      </c>
      <c r="E21" s="42">
        <v>18.457000000000001</v>
      </c>
      <c r="F21" s="42">
        <v>0.29299999999999998</v>
      </c>
    </row>
    <row r="22" spans="1:6" x14ac:dyDescent="0.25">
      <c r="A22" s="52" t="s">
        <v>327</v>
      </c>
      <c r="B22" s="64" t="s">
        <v>153</v>
      </c>
      <c r="C22" s="65">
        <v>43217</v>
      </c>
      <c r="D22" s="42">
        <v>1265.624791912724</v>
      </c>
      <c r="E22" s="42">
        <v>26.205977262971381</v>
      </c>
      <c r="F22" s="42">
        <v>0.368151516244699</v>
      </c>
    </row>
    <row r="23" spans="1:6" x14ac:dyDescent="0.25">
      <c r="A23" s="52" t="s">
        <v>327</v>
      </c>
      <c r="B23" s="64" t="s">
        <v>154</v>
      </c>
      <c r="C23" s="65">
        <v>43217</v>
      </c>
      <c r="D23" s="42">
        <v>1310.0636169500631</v>
      </c>
      <c r="E23" s="42">
        <v>25.31739447696107</v>
      </c>
      <c r="F23" s="42">
        <v>0.35753956360252592</v>
      </c>
    </row>
    <row r="24" spans="1:6" x14ac:dyDescent="0.25">
      <c r="A24" s="52" t="s">
        <v>327</v>
      </c>
      <c r="B24" s="64" t="s">
        <v>155</v>
      </c>
      <c r="C24" s="65">
        <v>43217</v>
      </c>
      <c r="D24" s="42">
        <v>1061.7524210569179</v>
      </c>
      <c r="E24" s="42">
        <v>30.150147236660128</v>
      </c>
      <c r="F24" s="42">
        <v>0.36799263665625137</v>
      </c>
    </row>
    <row r="25" spans="1:6" x14ac:dyDescent="0.25">
      <c r="A25" s="52" t="s">
        <v>327</v>
      </c>
      <c r="B25" s="64" t="s">
        <v>156</v>
      </c>
      <c r="C25" s="65">
        <v>43217</v>
      </c>
      <c r="D25" s="42">
        <v>1079.359723753299</v>
      </c>
      <c r="E25" s="42">
        <v>26.32833639863895</v>
      </c>
      <c r="F25" s="42">
        <v>0.37780271390819836</v>
      </c>
    </row>
    <row r="26" spans="1:6" x14ac:dyDescent="0.25">
      <c r="A26" s="52" t="s">
        <v>328</v>
      </c>
      <c r="B26" s="64" t="s">
        <v>158</v>
      </c>
      <c r="C26" s="65">
        <v>43215</v>
      </c>
      <c r="D26" s="42">
        <v>851.62311275029595</v>
      </c>
      <c r="E26" s="42">
        <v>13.696200204015801</v>
      </c>
      <c r="F26" s="42">
        <v>0.43730637103995895</v>
      </c>
    </row>
    <row r="27" spans="1:6" x14ac:dyDescent="0.25">
      <c r="A27" s="52" t="s">
        <v>328</v>
      </c>
      <c r="B27" s="64" t="s">
        <v>159</v>
      </c>
      <c r="C27" s="65">
        <v>43215</v>
      </c>
      <c r="D27" s="42">
        <v>807.22045178975475</v>
      </c>
      <c r="E27" s="42">
        <v>13.8795631483168</v>
      </c>
      <c r="F27" s="42">
        <v>0.42321401444325185</v>
      </c>
    </row>
    <row r="28" spans="1:6" x14ac:dyDescent="0.25">
      <c r="A28" s="52" t="s">
        <v>328</v>
      </c>
      <c r="B28" s="64" t="s">
        <v>160</v>
      </c>
      <c r="C28" s="65">
        <v>43215</v>
      </c>
      <c r="D28" s="42">
        <v>725.08725365778901</v>
      </c>
      <c r="E28" s="42">
        <v>10.716767353201289</v>
      </c>
      <c r="F28" s="42">
        <v>0.39955324986118484</v>
      </c>
    </row>
    <row r="29" spans="1:6" x14ac:dyDescent="0.25">
      <c r="A29" s="59" t="s">
        <v>328</v>
      </c>
      <c r="B29" s="64" t="s">
        <v>161</v>
      </c>
      <c r="C29" s="65">
        <v>43215</v>
      </c>
      <c r="D29" s="42">
        <v>699.01599999999996</v>
      </c>
      <c r="E29" s="42">
        <v>9.5980000000000008</v>
      </c>
      <c r="F29" s="42">
        <v>0.36</v>
      </c>
    </row>
    <row r="30" spans="1:6" x14ac:dyDescent="0.25">
      <c r="A30" s="52" t="s">
        <v>329</v>
      </c>
      <c r="B30" s="64" t="s">
        <v>163</v>
      </c>
      <c r="C30" s="65">
        <v>43215</v>
      </c>
      <c r="D30" s="42">
        <v>125.7072050599032</v>
      </c>
      <c r="E30" s="42">
        <v>3.308461580921533</v>
      </c>
      <c r="F30" s="42">
        <v>0.52024668028959753</v>
      </c>
    </row>
    <row r="31" spans="1:6" x14ac:dyDescent="0.25">
      <c r="A31" s="52" t="s">
        <v>329</v>
      </c>
      <c r="B31" s="64" t="s">
        <v>164</v>
      </c>
      <c r="C31" s="65">
        <v>43215</v>
      </c>
      <c r="D31" s="42">
        <v>122.6262615169201</v>
      </c>
      <c r="E31" s="42">
        <v>3.8306906364163789</v>
      </c>
      <c r="F31" s="42">
        <v>0.50791834099633948</v>
      </c>
    </row>
    <row r="32" spans="1:6" x14ac:dyDescent="0.25">
      <c r="A32" s="52" t="s">
        <v>329</v>
      </c>
      <c r="B32" s="64" t="s">
        <v>165</v>
      </c>
      <c r="C32" s="65">
        <v>43215</v>
      </c>
      <c r="D32" s="42">
        <v>176.18260892467649</v>
      </c>
      <c r="E32" s="42">
        <v>3.132147647270298</v>
      </c>
      <c r="F32" s="42">
        <v>0.50259825810657377</v>
      </c>
    </row>
    <row r="33" spans="1:6" x14ac:dyDescent="0.25">
      <c r="A33" s="52" t="s">
        <v>329</v>
      </c>
      <c r="B33" s="64" t="s">
        <v>166</v>
      </c>
      <c r="C33" s="65">
        <v>43215</v>
      </c>
      <c r="D33" s="42">
        <v>120.67823813763771</v>
      </c>
      <c r="E33" s="42">
        <v>3.1605523502046888</v>
      </c>
      <c r="F33" s="42">
        <v>0.4911131775239776</v>
      </c>
    </row>
    <row r="34" spans="1:6" x14ac:dyDescent="0.25">
      <c r="A34" s="52" t="s">
        <v>330</v>
      </c>
      <c r="B34" s="64" t="s">
        <v>168</v>
      </c>
      <c r="C34" s="65">
        <v>43223</v>
      </c>
      <c r="D34" s="42">
        <v>176.13671603894159</v>
      </c>
      <c r="E34" s="42">
        <v>111.6766802887926</v>
      </c>
      <c r="F34" s="42">
        <v>0.32498481621808434</v>
      </c>
    </row>
    <row r="35" spans="1:6" x14ac:dyDescent="0.25">
      <c r="A35" s="52" t="s">
        <v>330</v>
      </c>
      <c r="B35" s="64" t="s">
        <v>169</v>
      </c>
      <c r="C35" s="65">
        <v>43223</v>
      </c>
      <c r="D35" s="42">
        <v>171.3135277464703</v>
      </c>
      <c r="E35" s="42">
        <v>110.2537183061515</v>
      </c>
      <c r="F35" s="42">
        <v>0.32800394609206701</v>
      </c>
    </row>
    <row r="36" spans="1:6" x14ac:dyDescent="0.25">
      <c r="A36" s="59" t="s">
        <v>330</v>
      </c>
      <c r="B36" s="64" t="s">
        <v>170</v>
      </c>
      <c r="C36" s="65">
        <v>43223</v>
      </c>
      <c r="D36" s="42">
        <v>200.82300000000001</v>
      </c>
      <c r="E36" s="42">
        <v>113.133</v>
      </c>
      <c r="F36" s="42">
        <v>0.30299999999999999</v>
      </c>
    </row>
    <row r="37" spans="1:6" x14ac:dyDescent="0.25">
      <c r="A37" s="52" t="s">
        <v>330</v>
      </c>
      <c r="B37" s="64" t="s">
        <v>171</v>
      </c>
      <c r="C37" s="65">
        <v>43223</v>
      </c>
      <c r="D37" s="42">
        <v>169.92637993230451</v>
      </c>
      <c r="E37" s="42">
        <v>111.9074869490851</v>
      </c>
      <c r="F37" s="42">
        <v>0.31706357139586477</v>
      </c>
    </row>
    <row r="38" spans="1:6" x14ac:dyDescent="0.25">
      <c r="A38" s="52" t="s">
        <v>331</v>
      </c>
      <c r="B38" s="64" t="s">
        <v>173</v>
      </c>
      <c r="C38" s="65">
        <v>43223</v>
      </c>
      <c r="D38" s="42">
        <v>379.95949075742999</v>
      </c>
      <c r="E38" s="42">
        <v>68.525613429032077</v>
      </c>
      <c r="F38" s="42">
        <v>0.32149000956211155</v>
      </c>
    </row>
    <row r="39" spans="1:6" x14ac:dyDescent="0.25">
      <c r="A39" s="52" t="s">
        <v>331</v>
      </c>
      <c r="B39" s="64" t="s">
        <v>174</v>
      </c>
      <c r="C39" s="65">
        <v>43223</v>
      </c>
      <c r="D39" s="42">
        <v>438.75361172741373</v>
      </c>
      <c r="E39" s="42">
        <v>79.262895438092542</v>
      </c>
      <c r="F39" s="42">
        <v>0.32069795489747982</v>
      </c>
    </row>
    <row r="40" spans="1:6" x14ac:dyDescent="0.25">
      <c r="A40" s="52" t="s">
        <v>331</v>
      </c>
      <c r="B40" s="64" t="s">
        <v>175</v>
      </c>
      <c r="C40" s="65">
        <v>43223</v>
      </c>
      <c r="D40" s="42">
        <v>380.23057879872079</v>
      </c>
      <c r="E40" s="42">
        <v>62.411843723325539</v>
      </c>
      <c r="F40" s="42">
        <v>0.32253570347321942</v>
      </c>
    </row>
    <row r="41" spans="1:6" x14ac:dyDescent="0.25">
      <c r="A41" s="59" t="s">
        <v>331</v>
      </c>
      <c r="B41" s="64" t="s">
        <v>176</v>
      </c>
      <c r="C41" s="65">
        <v>43223</v>
      </c>
      <c r="D41" s="42">
        <v>393.601</v>
      </c>
      <c r="E41" s="42">
        <v>61.841000000000001</v>
      </c>
      <c r="F41" s="42">
        <v>0.29199999999999998</v>
      </c>
    </row>
    <row r="42" spans="1:6" x14ac:dyDescent="0.25">
      <c r="A42" s="52" t="s">
        <v>332</v>
      </c>
      <c r="B42" s="64" t="s">
        <v>178</v>
      </c>
      <c r="C42" s="65">
        <v>43223</v>
      </c>
      <c r="D42" s="42">
        <v>81.264147155926921</v>
      </c>
      <c r="E42" s="42">
        <v>25.577079358875071</v>
      </c>
      <c r="F42" s="42">
        <v>0.76279586262798282</v>
      </c>
    </row>
    <row r="43" spans="1:6" x14ac:dyDescent="0.25">
      <c r="A43" s="52" t="s">
        <v>332</v>
      </c>
      <c r="B43" s="64" t="s">
        <v>179</v>
      </c>
      <c r="C43" s="65">
        <v>43223</v>
      </c>
      <c r="D43" s="42">
        <v>85.274751263570678</v>
      </c>
      <c r="E43" s="42">
        <v>25.133596212146681</v>
      </c>
      <c r="F43" s="42">
        <v>0.7620770028555871</v>
      </c>
    </row>
    <row r="44" spans="1:6" x14ac:dyDescent="0.25">
      <c r="A44" s="52" t="s">
        <v>332</v>
      </c>
      <c r="B44" s="64" t="s">
        <v>180</v>
      </c>
      <c r="C44" s="65">
        <v>43223</v>
      </c>
      <c r="D44" s="42">
        <v>70.577627379670986</v>
      </c>
      <c r="E44" s="42">
        <v>24.791525665824711</v>
      </c>
      <c r="F44" s="42">
        <v>0.83919847223249888</v>
      </c>
    </row>
    <row r="45" spans="1:6" x14ac:dyDescent="0.25">
      <c r="A45" s="52" t="s">
        <v>332</v>
      </c>
      <c r="B45" s="64" t="s">
        <v>181</v>
      </c>
      <c r="C45" s="65">
        <v>43223</v>
      </c>
      <c r="D45" s="42">
        <v>81.987767873264943</v>
      </c>
      <c r="E45" s="42">
        <v>24.830974979316359</v>
      </c>
      <c r="F45" s="42">
        <v>0.83910795659652371</v>
      </c>
    </row>
    <row r="46" spans="1:6" x14ac:dyDescent="0.25">
      <c r="A46" s="59" t="s">
        <v>333</v>
      </c>
      <c r="B46" s="64" t="s">
        <v>183</v>
      </c>
      <c r="C46" s="65">
        <v>43223</v>
      </c>
      <c r="D46" s="42">
        <v>159.46600000000001</v>
      </c>
      <c r="E46" s="42">
        <v>41.417000000000002</v>
      </c>
      <c r="F46" s="42">
        <v>0.36199999999999999</v>
      </c>
    </row>
    <row r="47" spans="1:6" x14ac:dyDescent="0.25">
      <c r="A47" s="52" t="s">
        <v>333</v>
      </c>
      <c r="B47" s="64" t="s">
        <v>184</v>
      </c>
      <c r="C47" s="65">
        <v>43223</v>
      </c>
      <c r="D47" s="42">
        <v>108.8007015647057</v>
      </c>
      <c r="E47" s="42">
        <v>40.517401222583082</v>
      </c>
      <c r="F47" s="42">
        <v>0.39672945289004968</v>
      </c>
    </row>
    <row r="48" spans="1:6" x14ac:dyDescent="0.25">
      <c r="A48" s="52" t="s">
        <v>333</v>
      </c>
      <c r="B48" s="64" t="s">
        <v>185</v>
      </c>
      <c r="C48" s="65">
        <v>43223</v>
      </c>
      <c r="D48" s="42">
        <v>116.1695300285174</v>
      </c>
      <c r="E48" s="42">
        <v>42.341357957820328</v>
      </c>
      <c r="F48" s="42">
        <v>0.39763077473415215</v>
      </c>
    </row>
    <row r="49" spans="1:6" x14ac:dyDescent="0.25">
      <c r="A49" s="52" t="s">
        <v>333</v>
      </c>
      <c r="B49" s="64" t="s">
        <v>186</v>
      </c>
      <c r="C49" s="65">
        <v>43223</v>
      </c>
      <c r="D49" s="42">
        <v>124.0130818279907</v>
      </c>
      <c r="E49" s="42">
        <v>42.345726563018992</v>
      </c>
      <c r="F49" s="42">
        <v>0.39953014552703403</v>
      </c>
    </row>
    <row r="50" spans="1:6" x14ac:dyDescent="0.25">
      <c r="A50" s="52" t="s">
        <v>334</v>
      </c>
      <c r="B50" s="64" t="s">
        <v>188</v>
      </c>
      <c r="C50" s="65">
        <v>43223</v>
      </c>
      <c r="D50" s="42">
        <v>803.14764366724194</v>
      </c>
      <c r="E50" s="42">
        <v>18.459640322076929</v>
      </c>
      <c r="F50" s="42">
        <v>0.44692670355388658</v>
      </c>
    </row>
    <row r="51" spans="1:6" x14ac:dyDescent="0.25">
      <c r="A51" s="52" t="s">
        <v>334</v>
      </c>
      <c r="B51" s="64" t="s">
        <v>189</v>
      </c>
      <c r="C51" s="65">
        <v>43223</v>
      </c>
      <c r="D51" s="42">
        <v>782.87972243213744</v>
      </c>
      <c r="E51" s="42">
        <v>18.60550922779716</v>
      </c>
      <c r="F51" s="42">
        <v>0.43943550045702101</v>
      </c>
    </row>
    <row r="52" spans="1:6" x14ac:dyDescent="0.25">
      <c r="A52" s="52" t="s">
        <v>334</v>
      </c>
      <c r="B52" s="64" t="s">
        <v>190</v>
      </c>
      <c r="C52" s="65">
        <v>43223</v>
      </c>
      <c r="D52" s="42">
        <v>794.08660331227634</v>
      </c>
      <c r="E52" s="42">
        <v>18.354409056395522</v>
      </c>
      <c r="F52" s="42">
        <v>0.45032938619511176</v>
      </c>
    </row>
    <row r="53" spans="1:6" x14ac:dyDescent="0.25">
      <c r="A53" s="59" t="s">
        <v>334</v>
      </c>
      <c r="B53" s="64" t="s">
        <v>191</v>
      </c>
      <c r="C53" s="65">
        <v>43223</v>
      </c>
      <c r="D53" s="42">
        <v>415.697443667176</v>
      </c>
      <c r="E53" s="42">
        <v>2.1243140058399899</v>
      </c>
      <c r="F53" s="42">
        <v>0.32720279611643893</v>
      </c>
    </row>
    <row r="54" spans="1:6" x14ac:dyDescent="0.25">
      <c r="A54" s="52" t="s">
        <v>335</v>
      </c>
      <c r="B54" s="64" t="s">
        <v>193</v>
      </c>
      <c r="C54" s="65">
        <v>43214</v>
      </c>
      <c r="D54" s="42">
        <v>531.6879525032756</v>
      </c>
      <c r="E54" s="42">
        <v>720.52895159779564</v>
      </c>
      <c r="F54" s="42">
        <v>0.38712094683528675</v>
      </c>
    </row>
    <row r="55" spans="1:6" x14ac:dyDescent="0.25">
      <c r="A55" s="52" t="s">
        <v>335</v>
      </c>
      <c r="B55" s="64" t="s">
        <v>194</v>
      </c>
      <c r="C55" s="65">
        <v>43214</v>
      </c>
      <c r="D55" s="42">
        <v>537.73739003545836</v>
      </c>
      <c r="E55" s="42">
        <v>722.56515345359742</v>
      </c>
      <c r="F55" s="42">
        <v>0.39066509877478689</v>
      </c>
    </row>
    <row r="56" spans="1:6" x14ac:dyDescent="0.25">
      <c r="A56" s="52" t="s">
        <v>335</v>
      </c>
      <c r="B56" s="64" t="s">
        <v>195</v>
      </c>
      <c r="C56" s="65">
        <v>43214</v>
      </c>
      <c r="D56" s="42">
        <v>521.18734447920713</v>
      </c>
      <c r="E56" s="42">
        <v>716.81539216035549</v>
      </c>
      <c r="F56" s="42">
        <v>0.3944570306661862</v>
      </c>
    </row>
    <row r="57" spans="1:6" x14ac:dyDescent="0.25">
      <c r="A57" s="52" t="s">
        <v>335</v>
      </c>
      <c r="B57" s="64" t="s">
        <v>196</v>
      </c>
      <c r="C57" s="65">
        <v>43214</v>
      </c>
      <c r="D57" s="42">
        <v>527.12058915889691</v>
      </c>
      <c r="E57" s="42">
        <v>717.17114266901842</v>
      </c>
      <c r="F57" s="42">
        <v>0.39598399236884213</v>
      </c>
    </row>
    <row r="58" spans="1:6" x14ac:dyDescent="0.25">
      <c r="A58" s="59" t="s">
        <v>58</v>
      </c>
      <c r="B58" s="64" t="s">
        <v>198</v>
      </c>
      <c r="C58" s="65">
        <v>43216</v>
      </c>
      <c r="D58" s="42">
        <v>1586.12</v>
      </c>
      <c r="E58" s="42">
        <v>22.462</v>
      </c>
      <c r="F58" s="42">
        <v>2.1269999999999998</v>
      </c>
    </row>
    <row r="59" spans="1:6" x14ac:dyDescent="0.25">
      <c r="A59" s="59" t="s">
        <v>58</v>
      </c>
      <c r="B59" s="64" t="s">
        <v>199</v>
      </c>
      <c r="C59" s="65">
        <v>43216</v>
      </c>
      <c r="D59" s="42">
        <v>1583.684</v>
      </c>
      <c r="E59" s="42">
        <v>22.056000000000001</v>
      </c>
      <c r="F59" s="42">
        <v>2.0720000000000001</v>
      </c>
    </row>
    <row r="60" spans="1:6" x14ac:dyDescent="0.25">
      <c r="A60" s="52" t="s">
        <v>58</v>
      </c>
      <c r="B60" s="64" t="s">
        <v>200</v>
      </c>
      <c r="C60" s="65">
        <v>43216</v>
      </c>
      <c r="D60" s="42">
        <v>1599.0021626225459</v>
      </c>
      <c r="E60" s="42">
        <v>22.194043403557949</v>
      </c>
      <c r="F60" s="42">
        <v>2.2980388144502193</v>
      </c>
    </row>
    <row r="61" spans="1:6" x14ac:dyDescent="0.25">
      <c r="A61" s="59" t="s">
        <v>58</v>
      </c>
      <c r="B61" s="64" t="s">
        <v>201</v>
      </c>
      <c r="C61" s="65">
        <v>43216</v>
      </c>
      <c r="D61" s="42">
        <v>1555.0730000000001</v>
      </c>
      <c r="E61" s="42">
        <v>21.074999999999999</v>
      </c>
      <c r="F61" s="42">
        <v>2.0539999999999998</v>
      </c>
    </row>
    <row r="62" spans="1:6" x14ac:dyDescent="0.25">
      <c r="A62" s="52" t="s">
        <v>336</v>
      </c>
      <c r="B62" s="64" t="s">
        <v>203</v>
      </c>
      <c r="C62" s="65">
        <v>43214</v>
      </c>
      <c r="D62" s="42">
        <v>738.06047818292677</v>
      </c>
      <c r="E62" s="42">
        <v>518.23865979823813</v>
      </c>
      <c r="F62" s="42">
        <v>1.5116106602867789</v>
      </c>
    </row>
    <row r="63" spans="1:6" x14ac:dyDescent="0.25">
      <c r="A63" s="52" t="s">
        <v>336</v>
      </c>
      <c r="B63" s="64" t="s">
        <v>204</v>
      </c>
      <c r="C63" s="65">
        <v>43214</v>
      </c>
      <c r="D63" s="42">
        <v>727.596505138667</v>
      </c>
      <c r="E63" s="42">
        <v>508.14898834593828</v>
      </c>
      <c r="F63" s="42">
        <v>1.483851227621364</v>
      </c>
    </row>
    <row r="64" spans="1:6" x14ac:dyDescent="0.25">
      <c r="A64" s="59" t="s">
        <v>336</v>
      </c>
      <c r="B64" s="64" t="s">
        <v>205</v>
      </c>
      <c r="C64" s="65">
        <v>43214</v>
      </c>
      <c r="D64" s="42">
        <v>709.71500000000003</v>
      </c>
      <c r="E64" s="42">
        <v>509.44900000000001</v>
      </c>
      <c r="F64" s="42">
        <v>1.2629999999999999</v>
      </c>
    </row>
    <row r="65" spans="1:6" x14ac:dyDescent="0.25">
      <c r="A65" s="59" t="s">
        <v>336</v>
      </c>
      <c r="B65" s="64" t="s">
        <v>206</v>
      </c>
      <c r="C65" s="65">
        <v>43214</v>
      </c>
      <c r="D65" s="42">
        <v>653.01099999999997</v>
      </c>
      <c r="E65" s="42">
        <v>512.03399999999999</v>
      </c>
      <c r="F65" s="42">
        <v>1.1919999999999999</v>
      </c>
    </row>
    <row r="66" spans="1:6" x14ac:dyDescent="0.25">
      <c r="A66" s="53" t="s">
        <v>337</v>
      </c>
      <c r="B66" s="64" t="s">
        <v>208</v>
      </c>
      <c r="C66" s="65">
        <v>43216</v>
      </c>
      <c r="D66" s="42" t="s">
        <v>348</v>
      </c>
      <c r="E66" s="42" t="s">
        <v>348</v>
      </c>
      <c r="F66" s="42" t="s">
        <v>348</v>
      </c>
    </row>
    <row r="67" spans="1:6" x14ac:dyDescent="0.25">
      <c r="A67" s="52" t="s">
        <v>337</v>
      </c>
      <c r="B67" s="66" t="s">
        <v>209</v>
      </c>
      <c r="C67" s="67">
        <v>43216</v>
      </c>
      <c r="D67" s="42">
        <v>1446.993832114623</v>
      </c>
      <c r="E67" s="42">
        <v>74.68211345970289</v>
      </c>
      <c r="F67" s="42">
        <v>0.6433595472655953</v>
      </c>
    </row>
    <row r="68" spans="1:6" x14ac:dyDescent="0.25">
      <c r="A68" s="52" t="s">
        <v>337</v>
      </c>
      <c r="B68" s="64" t="s">
        <v>210</v>
      </c>
      <c r="C68" s="67">
        <v>43216</v>
      </c>
      <c r="D68" s="42">
        <v>1438.178603155912</v>
      </c>
      <c r="E68" s="42">
        <v>74.812248674545444</v>
      </c>
      <c r="F68" s="42">
        <v>0.63455988132248664</v>
      </c>
    </row>
    <row r="69" spans="1:6" x14ac:dyDescent="0.25">
      <c r="A69" s="59" t="s">
        <v>337</v>
      </c>
      <c r="B69" s="64" t="s">
        <v>211</v>
      </c>
      <c r="C69" s="67">
        <v>43216</v>
      </c>
      <c r="D69" s="42">
        <v>1405.6130000000001</v>
      </c>
      <c r="E69" s="42">
        <v>78.893000000000001</v>
      </c>
      <c r="F69" s="42">
        <v>0.57199999999999995</v>
      </c>
    </row>
    <row r="70" spans="1:6" x14ac:dyDescent="0.25">
      <c r="A70" s="52">
        <v>68</v>
      </c>
      <c r="B70" s="64" t="s">
        <v>213</v>
      </c>
      <c r="C70" s="67">
        <v>43216</v>
      </c>
      <c r="D70" s="42">
        <v>616.17535125381073</v>
      </c>
      <c r="E70" s="42">
        <v>1699.5011102524491</v>
      </c>
      <c r="F70" s="42">
        <v>6.4320123502443121</v>
      </c>
    </row>
    <row r="71" spans="1:6" x14ac:dyDescent="0.25">
      <c r="A71" s="52">
        <v>68</v>
      </c>
      <c r="B71" s="64" t="s">
        <v>214</v>
      </c>
      <c r="C71" s="67">
        <v>43216</v>
      </c>
      <c r="D71" s="42">
        <v>650.2947795780459</v>
      </c>
      <c r="E71" s="42">
        <v>1737.482542589521</v>
      </c>
      <c r="F71" s="42">
        <v>6.7315081132822439</v>
      </c>
    </row>
    <row r="72" spans="1:6" x14ac:dyDescent="0.25">
      <c r="A72" s="52">
        <v>68</v>
      </c>
      <c r="B72" s="64" t="s">
        <v>215</v>
      </c>
      <c r="C72" s="65">
        <v>43216</v>
      </c>
      <c r="D72" s="42">
        <v>503.21451537294081</v>
      </c>
      <c r="E72" s="42">
        <v>1416.211180862563</v>
      </c>
      <c r="F72" s="42">
        <v>5.2955005236462451</v>
      </c>
    </row>
    <row r="73" spans="1:6" x14ac:dyDescent="0.25">
      <c r="A73" s="59">
        <v>68</v>
      </c>
      <c r="B73" s="64" t="s">
        <v>216</v>
      </c>
      <c r="C73" s="65">
        <v>43216</v>
      </c>
      <c r="D73" s="42">
        <v>485.50099999999998</v>
      </c>
      <c r="E73" s="42">
        <v>1437.402</v>
      </c>
      <c r="F73" s="42">
        <v>4.4820000000000002</v>
      </c>
    </row>
    <row r="74" spans="1:6" x14ac:dyDescent="0.25">
      <c r="A74" s="59" t="s">
        <v>478</v>
      </c>
      <c r="B74" s="64" t="s">
        <v>218</v>
      </c>
      <c r="C74" s="65">
        <v>43214</v>
      </c>
      <c r="D74" s="42">
        <v>1953.799</v>
      </c>
      <c r="E74" s="42">
        <v>21586.963</v>
      </c>
      <c r="F74" s="42">
        <v>0.438</v>
      </c>
    </row>
    <row r="75" spans="1:6" x14ac:dyDescent="0.25">
      <c r="A75" s="59" t="s">
        <v>478</v>
      </c>
      <c r="B75" s="64" t="s">
        <v>219</v>
      </c>
      <c r="C75" s="65">
        <v>43214</v>
      </c>
      <c r="D75" s="42">
        <v>1985.6567448933331</v>
      </c>
      <c r="E75" s="42">
        <v>21198.172158921701</v>
      </c>
      <c r="F75" s="42">
        <v>0.46894713962052026</v>
      </c>
    </row>
    <row r="76" spans="1:6" x14ac:dyDescent="0.25">
      <c r="A76" s="59" t="s">
        <v>478</v>
      </c>
      <c r="B76" s="64" t="s">
        <v>220</v>
      </c>
      <c r="C76" s="65">
        <v>43214</v>
      </c>
      <c r="D76" s="42">
        <v>2012.8092936703461</v>
      </c>
      <c r="E76" s="42">
        <v>19904.689934753369</v>
      </c>
      <c r="F76" s="42">
        <v>0.48545866241357738</v>
      </c>
    </row>
    <row r="77" spans="1:6" x14ac:dyDescent="0.25">
      <c r="A77" s="59" t="s">
        <v>478</v>
      </c>
      <c r="B77" s="64" t="s">
        <v>221</v>
      </c>
      <c r="C77" s="65">
        <v>43214</v>
      </c>
      <c r="D77" s="42">
        <v>2008.9222086665741</v>
      </c>
      <c r="E77" s="42">
        <v>19958.359560374109</v>
      </c>
      <c r="F77" s="42">
        <v>0.48709726583474505</v>
      </c>
    </row>
    <row r="78" spans="1:6" x14ac:dyDescent="0.25">
      <c r="A78" s="59" t="s">
        <v>332</v>
      </c>
      <c r="B78" s="64" t="s">
        <v>223</v>
      </c>
      <c r="C78" s="65">
        <v>43235</v>
      </c>
      <c r="D78" s="42">
        <v>287.56200000000001</v>
      </c>
      <c r="E78" s="42">
        <v>35.732999999999997</v>
      </c>
      <c r="F78" s="42">
        <v>0.49399999999999999</v>
      </c>
    </row>
    <row r="79" spans="1:6" x14ac:dyDescent="0.25">
      <c r="A79" s="52" t="s">
        <v>332</v>
      </c>
      <c r="B79" s="64" t="s">
        <v>224</v>
      </c>
      <c r="C79" s="65">
        <v>43235</v>
      </c>
      <c r="D79" s="42">
        <v>250.7503832913211</v>
      </c>
      <c r="E79" s="42">
        <v>34.162418651855489</v>
      </c>
      <c r="F79" s="42">
        <v>0.53095070886384488</v>
      </c>
    </row>
    <row r="80" spans="1:6" x14ac:dyDescent="0.25">
      <c r="A80" s="59" t="s">
        <v>332</v>
      </c>
      <c r="B80" s="64" t="s">
        <v>225</v>
      </c>
      <c r="C80" s="65">
        <v>43235</v>
      </c>
      <c r="D80" s="42">
        <v>342.67500000000001</v>
      </c>
      <c r="E80" s="42">
        <v>23.661000000000001</v>
      </c>
      <c r="F80" s="42">
        <v>0.44500000000000001</v>
      </c>
    </row>
    <row r="81" spans="1:6" x14ac:dyDescent="0.25">
      <c r="A81" s="52" t="s">
        <v>332</v>
      </c>
      <c r="B81" s="64" t="s">
        <v>226</v>
      </c>
      <c r="C81" s="65">
        <v>43235</v>
      </c>
      <c r="D81" s="42">
        <v>246.27246751192101</v>
      </c>
      <c r="E81" s="42">
        <v>32.419902068732569</v>
      </c>
      <c r="F81" s="42">
        <v>0.50858808710632675</v>
      </c>
    </row>
    <row r="82" spans="1:6" x14ac:dyDescent="0.25">
      <c r="A82" s="59" t="s">
        <v>330</v>
      </c>
      <c r="B82" s="64" t="s">
        <v>228</v>
      </c>
      <c r="C82" s="65">
        <v>43235</v>
      </c>
      <c r="D82" s="42">
        <v>308.69299999999998</v>
      </c>
      <c r="E82" s="42">
        <v>62.401000000000003</v>
      </c>
      <c r="F82" s="42">
        <v>0.32200000000000001</v>
      </c>
    </row>
    <row r="83" spans="1:6" x14ac:dyDescent="0.25">
      <c r="A83" s="52" t="s">
        <v>330</v>
      </c>
      <c r="B83" s="66" t="s">
        <v>229</v>
      </c>
      <c r="C83" s="65">
        <v>43235</v>
      </c>
      <c r="D83" s="42">
        <v>275.73995716025092</v>
      </c>
      <c r="E83" s="42">
        <v>62.089309800995409</v>
      </c>
      <c r="F83" s="42">
        <v>0.3530434037994693</v>
      </c>
    </row>
    <row r="84" spans="1:6" x14ac:dyDescent="0.25">
      <c r="A84" s="52" t="s">
        <v>330</v>
      </c>
      <c r="B84" s="64" t="s">
        <v>230</v>
      </c>
      <c r="C84" s="65">
        <v>43235</v>
      </c>
      <c r="D84" s="42">
        <v>269.47250142729803</v>
      </c>
      <c r="E84" s="42">
        <v>63.363079479870542</v>
      </c>
      <c r="F84" s="42">
        <v>0.3560275299445822</v>
      </c>
    </row>
    <row r="85" spans="1:6" x14ac:dyDescent="0.25">
      <c r="A85" s="52" t="s">
        <v>330</v>
      </c>
      <c r="B85" s="64" t="s">
        <v>231</v>
      </c>
      <c r="C85" s="65">
        <v>43235</v>
      </c>
      <c r="D85" s="42">
        <v>270.69772032771789</v>
      </c>
      <c r="E85" s="42">
        <v>64.130043092035606</v>
      </c>
      <c r="F85" s="42">
        <v>0.34732926577842327</v>
      </c>
    </row>
    <row r="86" spans="1:6" x14ac:dyDescent="0.25">
      <c r="A86" s="52" t="s">
        <v>331</v>
      </c>
      <c r="B86" s="64" t="s">
        <v>233</v>
      </c>
      <c r="C86" s="65">
        <v>43235</v>
      </c>
      <c r="D86" s="42">
        <v>455.59951520761649</v>
      </c>
      <c r="E86" s="42">
        <v>426.75290899773319</v>
      </c>
      <c r="F86" s="42">
        <v>0.33073913091454243</v>
      </c>
    </row>
    <row r="87" spans="1:6" x14ac:dyDescent="0.25">
      <c r="A87" s="52" t="s">
        <v>331</v>
      </c>
      <c r="B87" s="64" t="s">
        <v>234</v>
      </c>
      <c r="C87" s="65">
        <v>43235</v>
      </c>
      <c r="D87" s="42">
        <v>474.46348352143951</v>
      </c>
      <c r="E87" s="42">
        <v>418.33852918946332</v>
      </c>
      <c r="F87" s="42">
        <v>0.33695516945257831</v>
      </c>
    </row>
    <row r="88" spans="1:6" x14ac:dyDescent="0.25">
      <c r="A88" s="52" t="s">
        <v>331</v>
      </c>
      <c r="B88" s="64" t="s">
        <v>235</v>
      </c>
      <c r="C88" s="65">
        <v>43235</v>
      </c>
      <c r="D88" s="42">
        <v>431.78933319834391</v>
      </c>
      <c r="E88" s="42">
        <v>408.77144444165828</v>
      </c>
      <c r="F88" s="42">
        <v>0.33184183369049897</v>
      </c>
    </row>
    <row r="89" spans="1:6" x14ac:dyDescent="0.25">
      <c r="A89" s="52" t="s">
        <v>331</v>
      </c>
      <c r="B89" s="64" t="s">
        <v>236</v>
      </c>
      <c r="C89" s="65">
        <v>43235</v>
      </c>
      <c r="D89" s="42">
        <v>444.6426822874281</v>
      </c>
      <c r="E89" s="42">
        <v>390.46418472916548</v>
      </c>
      <c r="F89" s="42">
        <v>0.33195824461841711</v>
      </c>
    </row>
    <row r="90" spans="1:6" x14ac:dyDescent="0.25">
      <c r="A90" s="52" t="s">
        <v>337</v>
      </c>
      <c r="B90" s="64" t="s">
        <v>238</v>
      </c>
      <c r="C90" s="65">
        <v>43238</v>
      </c>
      <c r="D90" s="42">
        <v>822.50679886773446</v>
      </c>
      <c r="E90" s="42">
        <v>40.950077978639229</v>
      </c>
      <c r="F90" s="42">
        <v>0.31162455236370828</v>
      </c>
    </row>
    <row r="91" spans="1:6" x14ac:dyDescent="0.25">
      <c r="A91" s="52" t="s">
        <v>337</v>
      </c>
      <c r="B91" s="64" t="s">
        <v>239</v>
      </c>
      <c r="C91" s="65">
        <v>43238</v>
      </c>
      <c r="D91" s="42">
        <v>801.81496493315274</v>
      </c>
      <c r="E91" s="42">
        <v>39.087179864779628</v>
      </c>
      <c r="F91" s="42">
        <v>0.309864474946208</v>
      </c>
    </row>
    <row r="92" spans="1:6" x14ac:dyDescent="0.25">
      <c r="A92" s="52" t="s">
        <v>337</v>
      </c>
      <c r="B92" s="64" t="s">
        <v>240</v>
      </c>
      <c r="C92" s="65">
        <v>43238</v>
      </c>
      <c r="D92" s="42">
        <v>812.08711472318942</v>
      </c>
      <c r="E92" s="42">
        <v>41.894345017971659</v>
      </c>
      <c r="F92" s="42">
        <v>0.31029254306912024</v>
      </c>
    </row>
    <row r="93" spans="1:6" x14ac:dyDescent="0.25">
      <c r="A93" s="52" t="s">
        <v>337</v>
      </c>
      <c r="B93" s="64" t="s">
        <v>241</v>
      </c>
      <c r="C93" s="65">
        <v>43238</v>
      </c>
      <c r="D93" s="42">
        <v>807.31398338805207</v>
      </c>
      <c r="E93" s="42">
        <v>41.802514823795512</v>
      </c>
      <c r="F93" s="42">
        <v>0.311950380887631</v>
      </c>
    </row>
    <row r="94" spans="1:6" x14ac:dyDescent="0.25">
      <c r="A94" s="59">
        <v>68</v>
      </c>
      <c r="B94" s="64" t="s">
        <v>243</v>
      </c>
      <c r="C94" s="65">
        <v>43238</v>
      </c>
      <c r="D94" s="42">
        <v>1619.0340000000001</v>
      </c>
      <c r="E94" s="42">
        <v>728.97500000000002</v>
      </c>
      <c r="F94" s="42">
        <v>0.29399999999999998</v>
      </c>
    </row>
    <row r="95" spans="1:6" x14ac:dyDescent="0.25">
      <c r="A95" s="52">
        <v>68</v>
      </c>
      <c r="B95" s="64" t="s">
        <v>244</v>
      </c>
      <c r="C95" s="65">
        <v>43238</v>
      </c>
      <c r="D95" s="42">
        <v>1666.2853413590069</v>
      </c>
      <c r="E95" s="42">
        <v>713.82400747548343</v>
      </c>
      <c r="F95" s="42">
        <v>0.31905738280477319</v>
      </c>
    </row>
    <row r="96" spans="1:6" x14ac:dyDescent="0.25">
      <c r="A96" s="52">
        <v>68</v>
      </c>
      <c r="B96" s="64" t="s">
        <v>245</v>
      </c>
      <c r="C96" s="65">
        <v>43238</v>
      </c>
      <c r="D96" s="42">
        <v>1706.2464627381689</v>
      </c>
      <c r="E96" s="42">
        <v>709.50661709801261</v>
      </c>
      <c r="F96" s="42">
        <v>0.32759286376376984</v>
      </c>
    </row>
    <row r="97" spans="1:6" x14ac:dyDescent="0.25">
      <c r="A97" s="52">
        <v>68</v>
      </c>
      <c r="B97" s="64" t="s">
        <v>246</v>
      </c>
      <c r="C97" s="65">
        <v>43238</v>
      </c>
      <c r="D97" s="42">
        <v>1679.97629594506</v>
      </c>
      <c r="E97" s="42">
        <v>702.74225580600307</v>
      </c>
      <c r="F97" s="42">
        <v>0.32364143804894202</v>
      </c>
    </row>
    <row r="98" spans="1:6" x14ac:dyDescent="0.25">
      <c r="A98" s="59" t="s">
        <v>58</v>
      </c>
      <c r="B98" s="64" t="s">
        <v>248</v>
      </c>
      <c r="C98" s="65">
        <v>43238</v>
      </c>
      <c r="D98" s="42">
        <v>245.60900000000001</v>
      </c>
      <c r="E98" s="42">
        <v>24.561</v>
      </c>
      <c r="F98" s="42">
        <v>0.27700000000000002</v>
      </c>
    </row>
    <row r="99" spans="1:6" x14ac:dyDescent="0.25">
      <c r="A99" s="52" t="s">
        <v>58</v>
      </c>
      <c r="B99" s="64" t="s">
        <v>249</v>
      </c>
      <c r="C99" s="65">
        <v>43238</v>
      </c>
      <c r="D99" s="42">
        <v>227.98702886637389</v>
      </c>
      <c r="E99" s="42">
        <v>24.319669192824129</v>
      </c>
      <c r="F99" s="42">
        <v>0.29926507194550328</v>
      </c>
    </row>
    <row r="100" spans="1:6" x14ac:dyDescent="0.25">
      <c r="A100" s="52" t="s">
        <v>58</v>
      </c>
      <c r="B100" s="64" t="s">
        <v>250</v>
      </c>
      <c r="C100" s="65">
        <v>43238</v>
      </c>
      <c r="D100" s="42">
        <v>206.78241222470251</v>
      </c>
      <c r="E100" s="42">
        <v>23.395524206368911</v>
      </c>
      <c r="F100" s="42">
        <v>0.28388773502090558</v>
      </c>
    </row>
    <row r="101" spans="1:6" x14ac:dyDescent="0.25">
      <c r="A101" s="59" t="s">
        <v>58</v>
      </c>
      <c r="B101" s="64" t="s">
        <v>251</v>
      </c>
      <c r="C101" s="65">
        <v>43238</v>
      </c>
      <c r="D101" s="42">
        <v>256.791</v>
      </c>
      <c r="E101" s="42">
        <v>22.920999999999999</v>
      </c>
      <c r="F101" s="42">
        <v>0.26</v>
      </c>
    </row>
    <row r="102" spans="1:6" x14ac:dyDescent="0.25">
      <c r="A102" s="52" t="s">
        <v>325</v>
      </c>
      <c r="B102" s="64" t="s">
        <v>253</v>
      </c>
      <c r="C102" s="65">
        <v>43237</v>
      </c>
      <c r="D102" s="42">
        <v>403.60327027938308</v>
      </c>
      <c r="E102" s="42">
        <v>61.064345928775843</v>
      </c>
      <c r="F102" s="42">
        <v>0.3057037163759343</v>
      </c>
    </row>
    <row r="103" spans="1:6" x14ac:dyDescent="0.25">
      <c r="A103" s="52" t="s">
        <v>325</v>
      </c>
      <c r="B103" s="64" t="s">
        <v>254</v>
      </c>
      <c r="C103" s="65">
        <v>43237</v>
      </c>
      <c r="D103" s="42">
        <v>401.34953463214117</v>
      </c>
      <c r="E103" s="42">
        <v>61.436946220505348</v>
      </c>
      <c r="F103" s="42">
        <v>0.30677504246947646</v>
      </c>
    </row>
    <row r="104" spans="1:6" x14ac:dyDescent="0.25">
      <c r="A104" s="59" t="s">
        <v>325</v>
      </c>
      <c r="B104" s="64" t="s">
        <v>255</v>
      </c>
      <c r="C104" s="65">
        <v>43237</v>
      </c>
      <c r="D104" s="42">
        <v>454.3079495895214</v>
      </c>
      <c r="E104" s="42">
        <v>2.0854075607911691</v>
      </c>
      <c r="F104" s="42">
        <v>0.33845918938155789</v>
      </c>
    </row>
    <row r="105" spans="1:6" x14ac:dyDescent="0.25">
      <c r="A105" s="52" t="s">
        <v>325</v>
      </c>
      <c r="B105" s="64" t="s">
        <v>256</v>
      </c>
      <c r="C105" s="65">
        <v>43237</v>
      </c>
      <c r="D105" s="42">
        <v>427.87924872660301</v>
      </c>
      <c r="E105" s="42">
        <v>1.9373659633747931</v>
      </c>
      <c r="F105" s="42">
        <v>0.33112638983601805</v>
      </c>
    </row>
    <row r="106" spans="1:6" x14ac:dyDescent="0.25">
      <c r="A106" s="59" t="s">
        <v>478</v>
      </c>
      <c r="B106" s="64" t="s">
        <v>258</v>
      </c>
      <c r="C106" s="65">
        <v>43237</v>
      </c>
      <c r="D106" s="42">
        <v>137.20099999999999</v>
      </c>
      <c r="E106" s="42">
        <v>1487.827</v>
      </c>
      <c r="F106" s="42">
        <v>0.28199999999999997</v>
      </c>
    </row>
    <row r="107" spans="1:6" x14ac:dyDescent="0.25">
      <c r="A107" s="59" t="s">
        <v>478</v>
      </c>
      <c r="B107" s="64" t="s">
        <v>259</v>
      </c>
      <c r="C107" s="65">
        <v>43237</v>
      </c>
      <c r="D107" s="42">
        <v>78.534181977103344</v>
      </c>
      <c r="E107" s="42">
        <v>1421.7246731783241</v>
      </c>
      <c r="F107" s="42">
        <v>0.29888138615248616</v>
      </c>
    </row>
    <row r="108" spans="1:6" x14ac:dyDescent="0.25">
      <c r="A108" s="59" t="s">
        <v>478</v>
      </c>
      <c r="B108" s="64" t="s">
        <v>260</v>
      </c>
      <c r="C108" s="65">
        <v>43237</v>
      </c>
      <c r="D108" s="42">
        <v>115.965</v>
      </c>
      <c r="E108" s="42">
        <v>1474.0119999999999</v>
      </c>
      <c r="F108" s="42">
        <v>0.26200000000000001</v>
      </c>
    </row>
    <row r="109" spans="1:6" x14ac:dyDescent="0.25">
      <c r="A109" s="59" t="s">
        <v>478</v>
      </c>
      <c r="B109" s="64" t="s">
        <v>261</v>
      </c>
      <c r="C109" s="65">
        <v>43237</v>
      </c>
      <c r="D109" s="42">
        <v>100.791</v>
      </c>
      <c r="E109" s="42">
        <v>1472.876</v>
      </c>
      <c r="F109" s="42">
        <v>0.26100000000000001</v>
      </c>
    </row>
    <row r="110" spans="1:6" x14ac:dyDescent="0.25">
      <c r="A110" s="52" t="s">
        <v>334</v>
      </c>
      <c r="B110" s="64" t="s">
        <v>263</v>
      </c>
      <c r="C110" s="65">
        <v>43235</v>
      </c>
      <c r="D110" s="42">
        <v>1268.2669438712271</v>
      </c>
      <c r="E110" s="42">
        <v>28.544116501026959</v>
      </c>
      <c r="F110" s="42">
        <v>0.41902727208503193</v>
      </c>
    </row>
    <row r="111" spans="1:6" x14ac:dyDescent="0.25">
      <c r="A111" s="52" t="s">
        <v>334</v>
      </c>
      <c r="B111" s="64" t="s">
        <v>264</v>
      </c>
      <c r="C111" s="65">
        <v>43235</v>
      </c>
      <c r="D111" s="42">
        <v>1286.511188960051</v>
      </c>
      <c r="E111" s="42">
        <v>28.573923064872918</v>
      </c>
      <c r="F111" s="42">
        <v>0.4236132142107194</v>
      </c>
    </row>
    <row r="112" spans="1:6" x14ac:dyDescent="0.25">
      <c r="A112" s="52" t="s">
        <v>334</v>
      </c>
      <c r="B112" s="64" t="s">
        <v>265</v>
      </c>
      <c r="C112" s="65">
        <v>43235</v>
      </c>
      <c r="D112" s="42">
        <v>1236.653026717114</v>
      </c>
      <c r="E112" s="42">
        <v>23.809451858998329</v>
      </c>
      <c r="F112" s="42">
        <v>0.41691205529706016</v>
      </c>
    </row>
    <row r="113" spans="1:6" x14ac:dyDescent="0.25">
      <c r="A113" s="52" t="s">
        <v>334</v>
      </c>
      <c r="B113" s="64" t="s">
        <v>266</v>
      </c>
      <c r="C113" s="65">
        <v>43235</v>
      </c>
      <c r="D113" s="42">
        <v>1278.0262973052829</v>
      </c>
      <c r="E113" s="42">
        <v>24.987603738945509</v>
      </c>
      <c r="F113" s="42">
        <v>0.41878261382138221</v>
      </c>
    </row>
    <row r="114" spans="1:6" x14ac:dyDescent="0.25">
      <c r="A114" s="52" t="s">
        <v>333</v>
      </c>
      <c r="B114" s="64" t="s">
        <v>268</v>
      </c>
      <c r="C114" s="65">
        <v>43235</v>
      </c>
      <c r="D114" s="42">
        <v>938.06528476627943</v>
      </c>
      <c r="E114" s="42">
        <v>92.353246995764266</v>
      </c>
      <c r="F114" s="42">
        <v>0.34427419949841787</v>
      </c>
    </row>
    <row r="115" spans="1:6" x14ac:dyDescent="0.25">
      <c r="A115" s="52" t="s">
        <v>333</v>
      </c>
      <c r="B115" s="64" t="s">
        <v>269</v>
      </c>
      <c r="C115" s="65">
        <v>43235</v>
      </c>
      <c r="D115" s="42">
        <v>949.49341521581448</v>
      </c>
      <c r="E115" s="42">
        <v>94.154050999797732</v>
      </c>
      <c r="F115" s="42">
        <v>0.34194863109652734</v>
      </c>
    </row>
    <row r="116" spans="1:6" x14ac:dyDescent="0.25">
      <c r="A116" s="59" t="s">
        <v>333</v>
      </c>
      <c r="B116" s="64" t="s">
        <v>270</v>
      </c>
      <c r="C116" s="65">
        <v>43235</v>
      </c>
      <c r="D116" s="42">
        <v>881.65499999999997</v>
      </c>
      <c r="E116" s="42">
        <v>97.031999999999996</v>
      </c>
      <c r="F116" s="42">
        <v>0.312</v>
      </c>
    </row>
    <row r="117" spans="1:6" x14ac:dyDescent="0.25">
      <c r="A117" s="52" t="s">
        <v>333</v>
      </c>
      <c r="B117" s="64" t="s">
        <v>271</v>
      </c>
      <c r="C117" s="65">
        <v>43235</v>
      </c>
      <c r="D117" s="42">
        <v>910.34468732415996</v>
      </c>
      <c r="E117" s="42">
        <v>94.607816955242157</v>
      </c>
      <c r="F117" s="42">
        <v>0.3313215107997407</v>
      </c>
    </row>
    <row r="118" spans="1:6" x14ac:dyDescent="0.25">
      <c r="A118" s="59" t="s">
        <v>336</v>
      </c>
      <c r="B118" s="64" t="s">
        <v>273</v>
      </c>
      <c r="C118" s="65">
        <v>43236</v>
      </c>
      <c r="D118" s="42">
        <v>104.958</v>
      </c>
      <c r="E118" s="42">
        <v>629.39599999999996</v>
      </c>
      <c r="F118" s="42">
        <v>0.32100000000000001</v>
      </c>
    </row>
    <row r="119" spans="1:6" x14ac:dyDescent="0.25">
      <c r="A119" s="52" t="s">
        <v>336</v>
      </c>
      <c r="B119" s="64" t="s">
        <v>274</v>
      </c>
      <c r="C119" s="65">
        <v>43236</v>
      </c>
      <c r="D119" s="42">
        <v>67.942849381402397</v>
      </c>
      <c r="E119" s="42">
        <v>608.86295957806703</v>
      </c>
      <c r="F119" s="42">
        <v>0.34953887875182926</v>
      </c>
    </row>
    <row r="120" spans="1:6" x14ac:dyDescent="0.25">
      <c r="A120" s="59" t="s">
        <v>336</v>
      </c>
      <c r="B120" s="64" t="s">
        <v>275</v>
      </c>
      <c r="C120" s="65">
        <v>43236</v>
      </c>
      <c r="D120" s="42">
        <v>103.6</v>
      </c>
      <c r="E120" s="42">
        <v>617.15</v>
      </c>
      <c r="F120" s="42">
        <v>0.30199999999999999</v>
      </c>
    </row>
    <row r="121" spans="1:6" x14ac:dyDescent="0.25">
      <c r="A121" s="52" t="s">
        <v>336</v>
      </c>
      <c r="B121" s="64" t="s">
        <v>276</v>
      </c>
      <c r="C121" s="65">
        <v>43236</v>
      </c>
      <c r="D121" s="42">
        <v>62.307480807320317</v>
      </c>
      <c r="E121" s="42">
        <v>605.0079237499192</v>
      </c>
      <c r="F121" s="42">
        <v>0.33217807577353753</v>
      </c>
    </row>
    <row r="122" spans="1:6" x14ac:dyDescent="0.25">
      <c r="A122" s="59" t="s">
        <v>335</v>
      </c>
      <c r="B122" s="64" t="s">
        <v>278</v>
      </c>
      <c r="C122" s="65">
        <v>43236</v>
      </c>
      <c r="D122" s="42">
        <v>331.51400000000001</v>
      </c>
      <c r="E122" s="42">
        <v>469.95699999999999</v>
      </c>
      <c r="F122" s="42">
        <v>0.30299999999999999</v>
      </c>
    </row>
    <row r="123" spans="1:6" x14ac:dyDescent="0.25">
      <c r="A123" s="52" t="s">
        <v>335</v>
      </c>
      <c r="B123" s="64" t="s">
        <v>279</v>
      </c>
      <c r="C123" s="65">
        <v>43236</v>
      </c>
      <c r="D123" s="42">
        <v>302.84689670656638</v>
      </c>
      <c r="E123" s="42">
        <v>465.07885126088672</v>
      </c>
      <c r="F123" s="42">
        <v>0.32642608529267764</v>
      </c>
    </row>
    <row r="124" spans="1:6" x14ac:dyDescent="0.25">
      <c r="A124" s="52" t="s">
        <v>335</v>
      </c>
      <c r="B124" s="64" t="s">
        <v>280</v>
      </c>
      <c r="C124" s="65">
        <v>43236</v>
      </c>
      <c r="D124" s="42">
        <v>305.61652066061748</v>
      </c>
      <c r="E124" s="42">
        <v>495.78624282681483</v>
      </c>
      <c r="F124" s="42">
        <v>0.33258257657532353</v>
      </c>
    </row>
    <row r="125" spans="1:6" x14ac:dyDescent="0.25">
      <c r="A125" s="59" t="s">
        <v>335</v>
      </c>
      <c r="B125" s="64" t="s">
        <v>281</v>
      </c>
      <c r="C125" s="65">
        <v>43236</v>
      </c>
      <c r="D125" s="42">
        <v>342.58100000000002</v>
      </c>
      <c r="E125" s="42">
        <v>504.42200000000003</v>
      </c>
      <c r="F125" s="42">
        <v>0.31</v>
      </c>
    </row>
    <row r="126" spans="1:6" x14ac:dyDescent="0.25">
      <c r="A126" s="52" t="s">
        <v>329</v>
      </c>
      <c r="B126" s="64" t="s">
        <v>283</v>
      </c>
      <c r="C126" s="65">
        <v>43236</v>
      </c>
      <c r="D126" s="42">
        <v>295.91668307267628</v>
      </c>
      <c r="E126" s="42">
        <v>3.197636470089201</v>
      </c>
      <c r="F126" s="42">
        <v>0.3755742692152666</v>
      </c>
    </row>
    <row r="127" spans="1:6" x14ac:dyDescent="0.25">
      <c r="A127" s="52" t="s">
        <v>329</v>
      </c>
      <c r="B127" s="64" t="s">
        <v>284</v>
      </c>
      <c r="C127" s="65">
        <v>43236</v>
      </c>
      <c r="D127" s="42">
        <v>297.92620593848932</v>
      </c>
      <c r="E127" s="42">
        <v>4.3288006095705969</v>
      </c>
      <c r="F127" s="42">
        <v>0.3813650878606597</v>
      </c>
    </row>
    <row r="128" spans="1:6" x14ac:dyDescent="0.25">
      <c r="A128" s="52" t="s">
        <v>329</v>
      </c>
      <c r="B128" s="64" t="s">
        <v>285</v>
      </c>
      <c r="C128" s="65">
        <v>43236</v>
      </c>
      <c r="D128" s="42">
        <v>296.50037304803851</v>
      </c>
      <c r="E128" s="42">
        <v>3.5980888040449179</v>
      </c>
      <c r="F128" s="42">
        <v>0.38978943268362448</v>
      </c>
    </row>
    <row r="129" spans="1:6" x14ac:dyDescent="0.25">
      <c r="A129" s="52" t="s">
        <v>329</v>
      </c>
      <c r="B129" s="64" t="s">
        <v>286</v>
      </c>
      <c r="C129" s="65">
        <v>43236</v>
      </c>
      <c r="D129" s="42">
        <v>322.02137807168702</v>
      </c>
      <c r="E129" s="42">
        <v>4.0032848026111107</v>
      </c>
      <c r="F129" s="42">
        <v>0.39295435258910599</v>
      </c>
    </row>
    <row r="130" spans="1:6" x14ac:dyDescent="0.25">
      <c r="A130" s="59" t="s">
        <v>328</v>
      </c>
      <c r="B130" s="64" t="s">
        <v>288</v>
      </c>
      <c r="C130" s="65">
        <v>43236</v>
      </c>
      <c r="D130" s="42">
        <v>554.17600000000004</v>
      </c>
      <c r="E130" s="42">
        <v>16.532</v>
      </c>
      <c r="F130" s="42">
        <v>0.30099999999999999</v>
      </c>
    </row>
    <row r="131" spans="1:6" x14ac:dyDescent="0.25">
      <c r="A131" s="59" t="s">
        <v>328</v>
      </c>
      <c r="B131" s="64" t="s">
        <v>289</v>
      </c>
      <c r="C131" s="65">
        <v>43236</v>
      </c>
      <c r="D131" s="42">
        <v>540.83699999999999</v>
      </c>
      <c r="E131" s="42">
        <v>16.331</v>
      </c>
      <c r="F131" s="42">
        <v>0.29299999999999998</v>
      </c>
    </row>
    <row r="132" spans="1:6" x14ac:dyDescent="0.25">
      <c r="A132" s="52" t="s">
        <v>328</v>
      </c>
      <c r="B132" s="64" t="s">
        <v>290</v>
      </c>
      <c r="C132" s="65">
        <v>43236</v>
      </c>
      <c r="D132" s="42">
        <v>431.20125022367603</v>
      </c>
      <c r="E132" s="42">
        <v>2.1206154995865329</v>
      </c>
      <c r="F132" s="42">
        <v>0.33000446351247875</v>
      </c>
    </row>
    <row r="133" spans="1:6" x14ac:dyDescent="0.25">
      <c r="A133" s="52" t="s">
        <v>328</v>
      </c>
      <c r="B133" s="64" t="s">
        <v>291</v>
      </c>
      <c r="C133" s="65">
        <v>43236</v>
      </c>
      <c r="D133" s="42">
        <v>431.47253741737592</v>
      </c>
      <c r="E133" s="42">
        <v>2.1382156710747262</v>
      </c>
      <c r="F133" s="42">
        <v>0.33323399954771854</v>
      </c>
    </row>
    <row r="134" spans="1:6" x14ac:dyDescent="0.25">
      <c r="A134" s="59" t="s">
        <v>327</v>
      </c>
      <c r="B134" s="64" t="s">
        <v>293</v>
      </c>
      <c r="C134" s="65">
        <v>43234</v>
      </c>
      <c r="D134" s="42">
        <v>1830.31</v>
      </c>
      <c r="E134" s="42">
        <v>135.13999999999999</v>
      </c>
      <c r="F134" s="42">
        <v>0.27700000000000002</v>
      </c>
    </row>
    <row r="135" spans="1:6" x14ac:dyDescent="0.25">
      <c r="A135" s="52" t="s">
        <v>327</v>
      </c>
      <c r="B135" s="64" t="s">
        <v>294</v>
      </c>
      <c r="C135" s="65">
        <v>43234</v>
      </c>
      <c r="D135" s="42">
        <v>1864.1613233477831</v>
      </c>
      <c r="E135" s="42">
        <v>129.867306719124</v>
      </c>
      <c r="F135" s="42">
        <v>0.30422665604299559</v>
      </c>
    </row>
    <row r="136" spans="1:6" x14ac:dyDescent="0.25">
      <c r="A136" s="52" t="s">
        <v>327</v>
      </c>
      <c r="B136" s="64" t="s">
        <v>295</v>
      </c>
      <c r="C136" s="65">
        <v>43234</v>
      </c>
      <c r="D136" s="42">
        <v>1880.548812751138</v>
      </c>
      <c r="E136" s="42">
        <v>131.27304489960721</v>
      </c>
      <c r="F136" s="42">
        <v>0.2989056446211712</v>
      </c>
    </row>
    <row r="137" spans="1:6" x14ac:dyDescent="0.25">
      <c r="A137" s="52" t="s">
        <v>327</v>
      </c>
      <c r="B137" s="64" t="s">
        <v>296</v>
      </c>
      <c r="C137" s="65">
        <v>43234</v>
      </c>
      <c r="D137" s="42">
        <v>1864.7602527633021</v>
      </c>
      <c r="E137" s="42">
        <v>127.77470410679889</v>
      </c>
      <c r="F137" s="42">
        <v>0.30327542860852474</v>
      </c>
    </row>
    <row r="138" spans="1:6" x14ac:dyDescent="0.25">
      <c r="A138" s="52" t="s">
        <v>326</v>
      </c>
      <c r="B138" s="64" t="s">
        <v>298</v>
      </c>
      <c r="C138" s="65">
        <v>43234</v>
      </c>
      <c r="D138" s="42">
        <v>471.44107265720339</v>
      </c>
      <c r="E138" s="42">
        <v>22.762012329828881</v>
      </c>
      <c r="F138" s="42">
        <v>0.32828894254581775</v>
      </c>
    </row>
    <row r="139" spans="1:6" x14ac:dyDescent="0.25">
      <c r="A139" s="52" t="s">
        <v>326</v>
      </c>
      <c r="B139" s="64" t="s">
        <v>299</v>
      </c>
      <c r="C139" s="65">
        <v>43234</v>
      </c>
      <c r="D139" s="42">
        <v>471.57126165066222</v>
      </c>
      <c r="E139" s="42">
        <v>21.909086697283641</v>
      </c>
      <c r="F139" s="42">
        <v>0.32781795743425107</v>
      </c>
    </row>
    <row r="140" spans="1:6" x14ac:dyDescent="0.25">
      <c r="A140" s="52" t="s">
        <v>326</v>
      </c>
      <c r="B140" s="64" t="s">
        <v>300</v>
      </c>
      <c r="C140" s="65">
        <v>43234</v>
      </c>
      <c r="D140" s="42">
        <v>468.79547889104668</v>
      </c>
      <c r="E140" s="42">
        <v>22.5936820597483</v>
      </c>
      <c r="F140" s="42">
        <v>0.32717883458115787</v>
      </c>
    </row>
    <row r="141" spans="1:6" x14ac:dyDescent="0.25">
      <c r="A141" s="52" t="s">
        <v>326</v>
      </c>
      <c r="B141" s="64" t="s">
        <v>301</v>
      </c>
      <c r="C141" s="65">
        <v>43234</v>
      </c>
      <c r="D141" s="42">
        <v>490.08909188326942</v>
      </c>
      <c r="E141" s="42">
        <v>22.350821616036541</v>
      </c>
      <c r="F141" s="42">
        <v>0.32961130513997933</v>
      </c>
    </row>
    <row r="142" spans="1:6" x14ac:dyDescent="0.25">
      <c r="A142" s="59" t="s">
        <v>338</v>
      </c>
      <c r="B142" s="64" t="s">
        <v>303</v>
      </c>
      <c r="C142" s="65">
        <v>43234</v>
      </c>
      <c r="D142" s="42">
        <v>415.98826271995858</v>
      </c>
      <c r="E142" s="42">
        <v>3.140445609674122</v>
      </c>
      <c r="F142" s="42">
        <v>0.3306197470888258</v>
      </c>
    </row>
    <row r="143" spans="1:6" x14ac:dyDescent="0.25">
      <c r="A143" s="59" t="s">
        <v>338</v>
      </c>
      <c r="B143" s="64" t="s">
        <v>304</v>
      </c>
      <c r="C143" s="65">
        <v>43234</v>
      </c>
      <c r="D143" s="42">
        <v>150.423</v>
      </c>
      <c r="E143" s="42">
        <v>177.53</v>
      </c>
      <c r="F143" s="42">
        <v>0.38800000000000001</v>
      </c>
    </row>
    <row r="144" spans="1:6" x14ac:dyDescent="0.25">
      <c r="A144" s="59" t="s">
        <v>338</v>
      </c>
      <c r="B144" s="64" t="s">
        <v>305</v>
      </c>
      <c r="C144" s="65">
        <v>43234</v>
      </c>
      <c r="D144" s="42">
        <v>402.09737149619639</v>
      </c>
      <c r="E144" s="42">
        <v>6.9819203412361093</v>
      </c>
      <c r="F144" s="42">
        <v>0.33363987707009007</v>
      </c>
    </row>
    <row r="145" spans="1:6" x14ac:dyDescent="0.25">
      <c r="A145" s="52" t="s">
        <v>322</v>
      </c>
      <c r="B145" s="64" t="s">
        <v>307</v>
      </c>
      <c r="C145" s="65">
        <v>43243</v>
      </c>
      <c r="D145" s="42">
        <v>265.43228775943248</v>
      </c>
      <c r="E145" s="42">
        <v>36.898793809440313</v>
      </c>
      <c r="F145" s="42">
        <v>0.32115082052322658</v>
      </c>
    </row>
    <row r="146" spans="1:6" x14ac:dyDescent="0.25">
      <c r="A146" s="52" t="s">
        <v>322</v>
      </c>
      <c r="B146" s="64" t="s">
        <v>308</v>
      </c>
      <c r="C146" s="65">
        <v>43243</v>
      </c>
      <c r="D146" s="42">
        <v>280.0707926722535</v>
      </c>
      <c r="E146" s="42">
        <v>39.861611513746517</v>
      </c>
      <c r="F146" s="42">
        <v>0.32096946792672165</v>
      </c>
    </row>
    <row r="147" spans="1:6" x14ac:dyDescent="0.25">
      <c r="A147" s="59" t="s">
        <v>322</v>
      </c>
      <c r="B147" s="64" t="s">
        <v>309</v>
      </c>
      <c r="C147" s="65">
        <v>43243</v>
      </c>
      <c r="D147" s="42">
        <v>304.005</v>
      </c>
      <c r="E147" s="42">
        <v>41.472000000000001</v>
      </c>
      <c r="F147" s="42">
        <v>0.28899999999999998</v>
      </c>
    </row>
    <row r="148" spans="1:6" x14ac:dyDescent="0.25">
      <c r="A148" s="52" t="s">
        <v>322</v>
      </c>
      <c r="B148" s="64" t="s">
        <v>310</v>
      </c>
      <c r="C148" s="65">
        <v>43243</v>
      </c>
      <c r="D148" s="42">
        <v>271.82242549926389</v>
      </c>
      <c r="E148" s="42">
        <v>40.499785526792458</v>
      </c>
      <c r="F148" s="42">
        <v>0.32510833255291238</v>
      </c>
    </row>
    <row r="149" spans="1:6" x14ac:dyDescent="0.25">
      <c r="A149" s="52" t="s">
        <v>324</v>
      </c>
      <c r="B149" s="64" t="s">
        <v>312</v>
      </c>
      <c r="C149" s="65">
        <v>43243</v>
      </c>
      <c r="D149" s="42">
        <v>279.38309537436118</v>
      </c>
      <c r="E149" s="42">
        <v>38.851343474051767</v>
      </c>
      <c r="F149" s="42">
        <v>0.321567817085126</v>
      </c>
    </row>
    <row r="150" spans="1:6" x14ac:dyDescent="0.25">
      <c r="A150" s="52" t="s">
        <v>324</v>
      </c>
      <c r="B150" s="64" t="s">
        <v>313</v>
      </c>
      <c r="C150" s="65">
        <v>43243</v>
      </c>
      <c r="D150" s="42">
        <v>269.55898923539269</v>
      </c>
      <c r="E150" s="42">
        <v>36.070112206980198</v>
      </c>
      <c r="F150" s="42">
        <v>0.32241918759524385</v>
      </c>
    </row>
    <row r="151" spans="1:6" x14ac:dyDescent="0.25">
      <c r="A151" s="52" t="s">
        <v>324</v>
      </c>
      <c r="B151" s="64" t="s">
        <v>314</v>
      </c>
      <c r="C151" s="65">
        <v>43243</v>
      </c>
      <c r="D151" s="42">
        <v>280.10426101146533</v>
      </c>
      <c r="E151" s="42">
        <v>33.495724808557704</v>
      </c>
      <c r="F151" s="42">
        <v>0.32141059310199738</v>
      </c>
    </row>
    <row r="152" spans="1:6" x14ac:dyDescent="0.25">
      <c r="A152" s="52" t="s">
        <v>324</v>
      </c>
      <c r="B152" s="64" t="s">
        <v>315</v>
      </c>
      <c r="C152" s="65">
        <v>43243</v>
      </c>
      <c r="D152" s="42">
        <v>268.324873432814</v>
      </c>
      <c r="E152" s="42">
        <v>39.933583865703099</v>
      </c>
      <c r="F152" s="42">
        <v>0.32037745536417311</v>
      </c>
    </row>
    <row r="153" spans="1:6" x14ac:dyDescent="0.25">
      <c r="A153" s="52" t="s">
        <v>323</v>
      </c>
      <c r="B153" s="64" t="s">
        <v>317</v>
      </c>
      <c r="C153" s="65">
        <v>43234</v>
      </c>
      <c r="D153" s="42">
        <v>248.28792584229299</v>
      </c>
      <c r="E153" s="42">
        <v>7.7345982878399644</v>
      </c>
      <c r="F153" s="42">
        <v>0.33166373757628975</v>
      </c>
    </row>
    <row r="154" spans="1:6" x14ac:dyDescent="0.25">
      <c r="A154" s="59" t="s">
        <v>323</v>
      </c>
      <c r="B154" s="64" t="s">
        <v>318</v>
      </c>
      <c r="C154" s="65">
        <v>43234</v>
      </c>
      <c r="D154" s="42">
        <v>273.79700000000003</v>
      </c>
      <c r="E154" s="42">
        <v>8.2919999999999998</v>
      </c>
      <c r="F154" s="42">
        <v>0.311</v>
      </c>
    </row>
    <row r="155" spans="1:6" x14ac:dyDescent="0.25">
      <c r="A155" s="52" t="s">
        <v>323</v>
      </c>
      <c r="B155" s="64" t="s">
        <v>319</v>
      </c>
      <c r="C155" s="65">
        <v>43234</v>
      </c>
      <c r="D155" s="42">
        <v>234.873043893568</v>
      </c>
      <c r="E155" s="42">
        <v>8.0038997067271556</v>
      </c>
      <c r="F155" s="42">
        <v>0.32775374285160958</v>
      </c>
    </row>
    <row r="156" spans="1:6" x14ac:dyDescent="0.25">
      <c r="A156" s="52" t="s">
        <v>323</v>
      </c>
      <c r="B156" s="64" t="s">
        <v>320</v>
      </c>
      <c r="C156" s="65">
        <v>43234</v>
      </c>
      <c r="D156" s="42">
        <v>237.7820990161074</v>
      </c>
      <c r="E156" s="42">
        <v>7.7424017742589024</v>
      </c>
      <c r="F156" s="42">
        <v>0.32627778475040503</v>
      </c>
    </row>
    <row r="157" spans="1:6" x14ac:dyDescent="0.25">
      <c r="A157" s="59" t="s">
        <v>478</v>
      </c>
      <c r="B157" s="64" t="s">
        <v>350</v>
      </c>
      <c r="C157" s="65">
        <v>43262</v>
      </c>
      <c r="D157" s="42">
        <v>131.76023245232921</v>
      </c>
      <c r="E157" s="42">
        <v>275.21303463746159</v>
      </c>
      <c r="F157" s="42">
        <v>0.26960183694437351</v>
      </c>
    </row>
    <row r="158" spans="1:6" x14ac:dyDescent="0.25">
      <c r="A158" s="59" t="s">
        <v>478</v>
      </c>
      <c r="B158" s="64" t="s">
        <v>351</v>
      </c>
      <c r="C158" s="65">
        <v>43262</v>
      </c>
      <c r="D158" s="42">
        <v>124.9872368589017</v>
      </c>
      <c r="E158" s="42">
        <v>290.51006313654551</v>
      </c>
      <c r="F158" s="42">
        <v>0.26909069879135039</v>
      </c>
    </row>
    <row r="159" spans="1:6" x14ac:dyDescent="0.25">
      <c r="A159" s="59" t="s">
        <v>478</v>
      </c>
      <c r="B159" s="64" t="s">
        <v>352</v>
      </c>
      <c r="C159" s="65">
        <v>43262</v>
      </c>
      <c r="D159" s="42">
        <v>99.323214750768074</v>
      </c>
      <c r="E159" s="42">
        <v>303.7228017431944</v>
      </c>
      <c r="F159" s="42">
        <v>0.26876875081837831</v>
      </c>
    </row>
    <row r="160" spans="1:6" x14ac:dyDescent="0.25">
      <c r="A160" s="59" t="s">
        <v>478</v>
      </c>
      <c r="B160" s="64" t="s">
        <v>353</v>
      </c>
      <c r="C160" s="65">
        <v>43262</v>
      </c>
      <c r="D160" s="42">
        <v>167.96678039038451</v>
      </c>
      <c r="E160" s="42">
        <v>303.02609433417712</v>
      </c>
      <c r="F160" s="42">
        <v>0.27201419893522755</v>
      </c>
    </row>
    <row r="161" spans="1:6" x14ac:dyDescent="0.25">
      <c r="A161" s="52" t="s">
        <v>338</v>
      </c>
      <c r="B161" s="64" t="s">
        <v>355</v>
      </c>
      <c r="C161" s="65">
        <v>43262</v>
      </c>
      <c r="D161" s="42">
        <v>740.00630546481375</v>
      </c>
      <c r="E161" s="42">
        <v>1137.403308596653</v>
      </c>
      <c r="F161" s="42">
        <v>0.28634816493803061</v>
      </c>
    </row>
    <row r="162" spans="1:6" x14ac:dyDescent="0.25">
      <c r="A162" s="52" t="s">
        <v>338</v>
      </c>
      <c r="B162" s="64" t="s">
        <v>356</v>
      </c>
      <c r="C162" s="65">
        <v>43262</v>
      </c>
      <c r="D162" s="42">
        <v>726.75594934011156</v>
      </c>
      <c r="E162" s="42">
        <v>1095.5978971838381</v>
      </c>
      <c r="F162" s="42">
        <v>0.28764784930391551</v>
      </c>
    </row>
    <row r="163" spans="1:6" x14ac:dyDescent="0.25">
      <c r="A163" s="52" t="s">
        <v>338</v>
      </c>
      <c r="B163" s="64" t="s">
        <v>357</v>
      </c>
      <c r="C163" s="65">
        <v>43262</v>
      </c>
      <c r="D163" s="42">
        <v>734.10950120917551</v>
      </c>
      <c r="E163" s="42">
        <v>1177.745537052014</v>
      </c>
      <c r="F163" s="42">
        <v>0.28390380475024429</v>
      </c>
    </row>
    <row r="164" spans="1:6" x14ac:dyDescent="0.25">
      <c r="A164" s="52" t="s">
        <v>338</v>
      </c>
      <c r="B164" s="64" t="s">
        <v>358</v>
      </c>
      <c r="C164" s="65">
        <v>43262</v>
      </c>
      <c r="D164" s="42">
        <v>759.57994156021607</v>
      </c>
      <c r="E164" s="42">
        <v>1138.9122718351889</v>
      </c>
      <c r="F164" s="42">
        <v>0.28912602544451371</v>
      </c>
    </row>
    <row r="165" spans="1:6" x14ac:dyDescent="0.25">
      <c r="A165" s="52" t="s">
        <v>336</v>
      </c>
      <c r="B165" s="64" t="s">
        <v>359</v>
      </c>
      <c r="C165" s="65">
        <v>43262</v>
      </c>
      <c r="D165" s="42">
        <v>465.99215432954389</v>
      </c>
      <c r="E165" s="42">
        <v>397.01762060601078</v>
      </c>
      <c r="F165" s="42">
        <v>0.29900243801861109</v>
      </c>
    </row>
    <row r="166" spans="1:6" x14ac:dyDescent="0.25">
      <c r="A166" s="52" t="s">
        <v>336</v>
      </c>
      <c r="B166" s="64" t="s">
        <v>360</v>
      </c>
      <c r="C166" s="65">
        <v>43262</v>
      </c>
      <c r="D166" s="42">
        <v>459.90350579158672</v>
      </c>
      <c r="E166" s="42">
        <v>406.90340820283791</v>
      </c>
      <c r="F166" s="42">
        <v>0.30214165277530747</v>
      </c>
    </row>
    <row r="167" spans="1:6" x14ac:dyDescent="0.25">
      <c r="A167" s="52" t="s">
        <v>336</v>
      </c>
      <c r="B167" s="64" t="s">
        <v>361</v>
      </c>
      <c r="C167" s="65">
        <v>43262</v>
      </c>
      <c r="D167" s="42">
        <v>430.58063143932549</v>
      </c>
      <c r="E167" s="42">
        <v>392.13202867967249</v>
      </c>
      <c r="F167" s="42">
        <v>0.28660258631911334</v>
      </c>
    </row>
    <row r="168" spans="1:6" x14ac:dyDescent="0.25">
      <c r="A168" s="52" t="s">
        <v>336</v>
      </c>
      <c r="B168" s="64" t="s">
        <v>362</v>
      </c>
      <c r="C168" s="65">
        <v>43262</v>
      </c>
      <c r="D168" s="42">
        <v>440.43209950340639</v>
      </c>
      <c r="E168" s="42">
        <v>386.50943330146288</v>
      </c>
      <c r="F168" s="42">
        <v>0.29338991229253669</v>
      </c>
    </row>
    <row r="169" spans="1:6" x14ac:dyDescent="0.25">
      <c r="A169" s="52" t="s">
        <v>323</v>
      </c>
      <c r="B169" s="64" t="s">
        <v>364</v>
      </c>
      <c r="C169" s="65">
        <v>43263</v>
      </c>
      <c r="D169" s="42">
        <v>4376.3018592416793</v>
      </c>
      <c r="E169" s="42">
        <v>40.44475441220122</v>
      </c>
      <c r="F169" s="42">
        <v>0.23681870796566531</v>
      </c>
    </row>
    <row r="170" spans="1:6" x14ac:dyDescent="0.25">
      <c r="A170" s="52" t="s">
        <v>323</v>
      </c>
      <c r="B170" s="64" t="s">
        <v>365</v>
      </c>
      <c r="C170" s="65">
        <v>43263</v>
      </c>
      <c r="D170" s="42">
        <v>4489.0631498524026</v>
      </c>
      <c r="E170" s="42">
        <v>40.326867208292171</v>
      </c>
      <c r="F170" s="42">
        <v>0.24101359367245731</v>
      </c>
    </row>
    <row r="171" spans="1:6" x14ac:dyDescent="0.25">
      <c r="A171" s="52" t="s">
        <v>323</v>
      </c>
      <c r="B171" s="64" t="s">
        <v>366</v>
      </c>
      <c r="C171" s="65">
        <v>43263</v>
      </c>
      <c r="D171" s="42">
        <v>4384.1405864514199</v>
      </c>
      <c r="E171" s="42">
        <v>40.088748698627079</v>
      </c>
      <c r="F171" s="42">
        <v>0.24272762833373343</v>
      </c>
    </row>
    <row r="172" spans="1:6" x14ac:dyDescent="0.25">
      <c r="A172" s="52" t="s">
        <v>323</v>
      </c>
      <c r="B172" s="64" t="s">
        <v>367</v>
      </c>
      <c r="C172" s="65">
        <v>43263</v>
      </c>
      <c r="D172" s="42">
        <v>4556.9481909015321</v>
      </c>
      <c r="E172" s="42">
        <v>41.33010657801065</v>
      </c>
      <c r="F172" s="42">
        <v>0.24321479610587168</v>
      </c>
    </row>
    <row r="173" spans="1:6" x14ac:dyDescent="0.25">
      <c r="A173" s="52" t="s">
        <v>327</v>
      </c>
      <c r="B173" s="64" t="s">
        <v>369</v>
      </c>
      <c r="C173" s="65">
        <v>43263</v>
      </c>
      <c r="D173" s="42">
        <v>952.17149030401129</v>
      </c>
      <c r="E173" s="42">
        <v>207.6923975184915</v>
      </c>
      <c r="F173" s="42">
        <v>0.25045815044493031</v>
      </c>
    </row>
    <row r="174" spans="1:6" x14ac:dyDescent="0.25">
      <c r="A174" s="52" t="s">
        <v>327</v>
      </c>
      <c r="B174" s="64" t="s">
        <v>370</v>
      </c>
      <c r="C174" s="65">
        <v>43263</v>
      </c>
      <c r="D174" s="42">
        <v>952.90585569436303</v>
      </c>
      <c r="E174" s="42">
        <v>206.28364457646481</v>
      </c>
      <c r="F174" s="42">
        <v>0.25547664646351143</v>
      </c>
    </row>
    <row r="175" spans="1:6" x14ac:dyDescent="0.25">
      <c r="A175" s="52" t="s">
        <v>327</v>
      </c>
      <c r="B175" s="64" t="s">
        <v>371</v>
      </c>
      <c r="C175" s="65">
        <v>43263</v>
      </c>
      <c r="D175" s="42">
        <v>945.62065114487564</v>
      </c>
      <c r="E175" s="42">
        <v>206.55267201281671</v>
      </c>
      <c r="F175" s="42">
        <v>0.24959513826526822</v>
      </c>
    </row>
    <row r="176" spans="1:6" x14ac:dyDescent="0.25">
      <c r="A176" s="52" t="s">
        <v>327</v>
      </c>
      <c r="B176" s="64" t="s">
        <v>372</v>
      </c>
      <c r="C176" s="65">
        <v>43263</v>
      </c>
      <c r="D176" s="42">
        <v>950.78013090651257</v>
      </c>
      <c r="E176" s="42">
        <v>205.8417813041699</v>
      </c>
      <c r="F176" s="42">
        <v>0.2531117961898226</v>
      </c>
    </row>
    <row r="177" spans="1:6" x14ac:dyDescent="0.25">
      <c r="A177" s="52" t="s">
        <v>332</v>
      </c>
      <c r="B177" s="64" t="s">
        <v>480</v>
      </c>
      <c r="C177" s="65">
        <v>43297</v>
      </c>
      <c r="D177" s="42">
        <v>1759.9390000000001</v>
      </c>
      <c r="E177" s="42">
        <v>312.71899999999999</v>
      </c>
      <c r="F177" s="42">
        <v>0.52400000000000002</v>
      </c>
    </row>
    <row r="178" spans="1:6" x14ac:dyDescent="0.25">
      <c r="A178" s="52" t="s">
        <v>332</v>
      </c>
      <c r="B178" s="64" t="s">
        <v>481</v>
      </c>
      <c r="C178" s="65">
        <v>43297</v>
      </c>
      <c r="D178" s="42">
        <v>1811.941</v>
      </c>
      <c r="E178" s="42">
        <v>314.12700000000001</v>
      </c>
      <c r="F178" s="42">
        <v>0.52400000000000002</v>
      </c>
    </row>
    <row r="179" spans="1:6" x14ac:dyDescent="0.25">
      <c r="A179" s="52" t="s">
        <v>332</v>
      </c>
      <c r="B179" s="64" t="s">
        <v>482</v>
      </c>
      <c r="C179" s="65">
        <v>43297</v>
      </c>
      <c r="D179" s="42">
        <v>1738.713</v>
      </c>
      <c r="E179" s="42">
        <v>319.69400000000002</v>
      </c>
      <c r="F179" s="42">
        <v>0.52600000000000002</v>
      </c>
    </row>
    <row r="180" spans="1:6" x14ac:dyDescent="0.25">
      <c r="A180" s="52" t="s">
        <v>332</v>
      </c>
      <c r="B180" s="64" t="s">
        <v>483</v>
      </c>
      <c r="C180" s="65">
        <v>43297</v>
      </c>
      <c r="D180" s="42">
        <v>1764.3679999999999</v>
      </c>
      <c r="E180" s="42">
        <v>322.24599999999998</v>
      </c>
      <c r="F180" s="42">
        <v>0.52300000000000002</v>
      </c>
    </row>
    <row r="181" spans="1:6" x14ac:dyDescent="0.25">
      <c r="A181" s="52">
        <v>68</v>
      </c>
      <c r="B181" s="64" t="s">
        <v>484</v>
      </c>
      <c r="C181" s="65">
        <v>43294</v>
      </c>
      <c r="D181" s="42">
        <v>142.922</v>
      </c>
      <c r="E181" s="42">
        <v>1988.943</v>
      </c>
      <c r="F181" s="42">
        <v>0.159</v>
      </c>
    </row>
    <row r="182" spans="1:6" x14ac:dyDescent="0.25">
      <c r="A182" s="52">
        <v>68</v>
      </c>
      <c r="B182" s="64" t="s">
        <v>485</v>
      </c>
      <c r="C182" s="65">
        <v>43294</v>
      </c>
      <c r="D182" s="42">
        <v>185.51300000000001</v>
      </c>
      <c r="E182" s="42">
        <v>1983.482</v>
      </c>
      <c r="F182" s="42">
        <v>0.16</v>
      </c>
    </row>
    <row r="183" spans="1:6" x14ac:dyDescent="0.25">
      <c r="A183" s="52">
        <v>68</v>
      </c>
      <c r="B183" s="64" t="s">
        <v>486</v>
      </c>
      <c r="C183" s="65">
        <v>43294</v>
      </c>
      <c r="D183" s="42">
        <v>328.84199999999998</v>
      </c>
      <c r="E183" s="42">
        <v>1458.83</v>
      </c>
      <c r="F183" s="42">
        <v>0.221</v>
      </c>
    </row>
    <row r="184" spans="1:6" x14ac:dyDescent="0.25">
      <c r="A184" s="52">
        <v>68</v>
      </c>
      <c r="B184" s="64" t="s">
        <v>487</v>
      </c>
      <c r="C184" s="65">
        <v>43294</v>
      </c>
      <c r="D184" s="42">
        <v>230.32599999999999</v>
      </c>
      <c r="E184" s="42">
        <v>2646.09</v>
      </c>
      <c r="F184" s="42">
        <v>0.151</v>
      </c>
    </row>
    <row r="185" spans="1:6" x14ac:dyDescent="0.25">
      <c r="A185" s="52" t="s">
        <v>337</v>
      </c>
      <c r="B185" s="64" t="s">
        <v>488</v>
      </c>
      <c r="C185" s="65">
        <v>43294</v>
      </c>
      <c r="D185" s="42">
        <v>434.95600000000002</v>
      </c>
      <c r="E185" s="42">
        <v>168.17099999999999</v>
      </c>
      <c r="F185" s="42">
        <v>0.47199999999999998</v>
      </c>
    </row>
    <row r="186" spans="1:6" x14ac:dyDescent="0.25">
      <c r="A186" s="52" t="s">
        <v>337</v>
      </c>
      <c r="B186" s="64" t="s">
        <v>489</v>
      </c>
      <c r="C186" s="65">
        <v>43294</v>
      </c>
      <c r="D186" s="42">
        <v>468.14699999999999</v>
      </c>
      <c r="E186" s="42">
        <v>165.89099999999999</v>
      </c>
      <c r="F186" s="42">
        <v>0.46700000000000003</v>
      </c>
    </row>
    <row r="187" spans="1:6" x14ac:dyDescent="0.25">
      <c r="A187" s="59" t="s">
        <v>337</v>
      </c>
      <c r="B187" s="64" t="s">
        <v>490</v>
      </c>
      <c r="C187" s="65">
        <v>43294</v>
      </c>
      <c r="D187" s="42">
        <v>442.41</v>
      </c>
      <c r="E187" s="42">
        <v>83.597999999999999</v>
      </c>
      <c r="F187" s="42">
        <v>0.38500000000000001</v>
      </c>
    </row>
    <row r="188" spans="1:6" x14ac:dyDescent="0.25">
      <c r="A188" s="59" t="s">
        <v>337</v>
      </c>
      <c r="B188" s="64" t="s">
        <v>491</v>
      </c>
      <c r="C188" s="65">
        <v>43294</v>
      </c>
      <c r="D188" s="42">
        <v>421.79399999999998</v>
      </c>
      <c r="E188" s="42">
        <v>175.23500000000001</v>
      </c>
      <c r="F188" s="42">
        <v>0.46899999999999997</v>
      </c>
    </row>
    <row r="189" spans="1:6" x14ac:dyDescent="0.25">
      <c r="A189" s="59" t="s">
        <v>58</v>
      </c>
      <c r="B189" s="64" t="s">
        <v>492</v>
      </c>
      <c r="C189" s="65">
        <v>43294</v>
      </c>
      <c r="D189" s="42">
        <v>1896.4690000000001</v>
      </c>
      <c r="E189" s="42">
        <v>125.126</v>
      </c>
      <c r="F189" s="42">
        <v>10.558</v>
      </c>
    </row>
    <row r="190" spans="1:6" x14ac:dyDescent="0.25">
      <c r="A190" s="59" t="s">
        <v>58</v>
      </c>
      <c r="B190" s="64" t="s">
        <v>493</v>
      </c>
      <c r="C190" s="65">
        <v>43294</v>
      </c>
      <c r="D190" s="42">
        <v>1107.0070000000001</v>
      </c>
      <c r="E190" s="42">
        <v>57.991</v>
      </c>
      <c r="F190" s="42">
        <v>4.2690000000000001</v>
      </c>
    </row>
    <row r="191" spans="1:6" x14ac:dyDescent="0.25">
      <c r="A191" s="59" t="s">
        <v>58</v>
      </c>
      <c r="B191" s="64" t="s">
        <v>494</v>
      </c>
      <c r="C191" s="65">
        <v>43294</v>
      </c>
      <c r="D191" s="42">
        <v>1240.154</v>
      </c>
      <c r="E191" s="42">
        <v>54.673999999999999</v>
      </c>
      <c r="F191" s="42">
        <v>3.589</v>
      </c>
    </row>
    <row r="192" spans="1:6" x14ac:dyDescent="0.25">
      <c r="A192" s="52" t="s">
        <v>58</v>
      </c>
      <c r="B192" s="64" t="s">
        <v>495</v>
      </c>
      <c r="C192" s="65">
        <v>43294</v>
      </c>
      <c r="D192" s="42">
        <v>1794.769</v>
      </c>
      <c r="E192" s="42">
        <v>100.968</v>
      </c>
      <c r="F192" s="42">
        <v>6.734</v>
      </c>
    </row>
    <row r="193" spans="1:6" x14ac:dyDescent="0.25">
      <c r="A193" s="52" t="s">
        <v>324</v>
      </c>
      <c r="B193" s="64" t="s">
        <v>378</v>
      </c>
      <c r="C193" s="65">
        <v>43293</v>
      </c>
      <c r="D193" s="42">
        <v>212.60793326365061</v>
      </c>
      <c r="E193" s="42">
        <v>260.28285982925883</v>
      </c>
      <c r="F193" s="42">
        <v>0.28501494713167452</v>
      </c>
    </row>
    <row r="194" spans="1:6" x14ac:dyDescent="0.25">
      <c r="A194" s="52" t="s">
        <v>324</v>
      </c>
      <c r="B194" s="64" t="s">
        <v>379</v>
      </c>
      <c r="C194" s="65">
        <v>43293</v>
      </c>
      <c r="D194" s="42">
        <v>268.37595505818092</v>
      </c>
      <c r="E194" s="42">
        <v>188.3532825589171</v>
      </c>
      <c r="F194" s="42">
        <v>0.28668919717284519</v>
      </c>
    </row>
    <row r="195" spans="1:6" x14ac:dyDescent="0.25">
      <c r="A195" s="52" t="s">
        <v>324</v>
      </c>
      <c r="B195" s="64" t="s">
        <v>380</v>
      </c>
      <c r="C195" s="65">
        <v>43293</v>
      </c>
      <c r="D195" s="42">
        <v>372.88066963003098</v>
      </c>
      <c r="E195" s="42">
        <v>139.1970391170484</v>
      </c>
      <c r="F195" s="42">
        <v>0.28390385500913023</v>
      </c>
    </row>
    <row r="196" spans="1:6" x14ac:dyDescent="0.25">
      <c r="A196" s="52" t="s">
        <v>324</v>
      </c>
      <c r="B196" s="68" t="s">
        <v>381</v>
      </c>
      <c r="C196" s="65">
        <v>43293</v>
      </c>
      <c r="D196" s="42">
        <v>366.8039327735687</v>
      </c>
      <c r="E196" s="42">
        <v>160.37847670189299</v>
      </c>
      <c r="F196" s="42">
        <v>0.28295838349241287</v>
      </c>
    </row>
    <row r="197" spans="1:6" x14ac:dyDescent="0.25">
      <c r="A197" s="52" t="s">
        <v>322</v>
      </c>
      <c r="B197" s="68" t="s">
        <v>383</v>
      </c>
      <c r="C197" s="65">
        <v>43293</v>
      </c>
      <c r="D197" s="42">
        <v>463.9862151850437</v>
      </c>
      <c r="E197" s="42">
        <v>88.382484212925789</v>
      </c>
      <c r="F197" s="42">
        <v>0.2857786689331645</v>
      </c>
    </row>
    <row r="198" spans="1:6" x14ac:dyDescent="0.25">
      <c r="A198" s="52" t="s">
        <v>322</v>
      </c>
      <c r="B198" s="68" t="s">
        <v>384</v>
      </c>
      <c r="C198" s="65">
        <v>43293</v>
      </c>
      <c r="D198" s="42">
        <v>461.55114590211821</v>
      </c>
      <c r="E198" s="42">
        <v>74.313505307002217</v>
      </c>
      <c r="F198" s="42">
        <v>0.28377497978766569</v>
      </c>
    </row>
    <row r="199" spans="1:6" x14ac:dyDescent="0.25">
      <c r="A199" s="52" t="s">
        <v>322</v>
      </c>
      <c r="B199" s="68" t="s">
        <v>385</v>
      </c>
      <c r="C199" s="65">
        <v>43293</v>
      </c>
      <c r="D199" s="42">
        <v>451.75321345505171</v>
      </c>
      <c r="E199" s="42">
        <v>76.490449632100194</v>
      </c>
      <c r="F199" s="42">
        <v>0.28229176074473317</v>
      </c>
    </row>
    <row r="200" spans="1:6" x14ac:dyDescent="0.25">
      <c r="A200" s="52" t="s">
        <v>322</v>
      </c>
      <c r="B200" s="68" t="s">
        <v>386</v>
      </c>
      <c r="C200" s="65">
        <v>43293</v>
      </c>
      <c r="D200" s="42">
        <v>556.49678865887199</v>
      </c>
      <c r="E200" s="42">
        <v>81.69086112533158</v>
      </c>
      <c r="F200" s="42">
        <v>0.28363077280368604</v>
      </c>
    </row>
    <row r="201" spans="1:6" x14ac:dyDescent="0.25">
      <c r="A201" s="52" t="s">
        <v>325</v>
      </c>
      <c r="B201" s="68" t="s">
        <v>388</v>
      </c>
      <c r="C201" s="65">
        <v>43293</v>
      </c>
      <c r="D201" s="42">
        <v>168.65700315106241</v>
      </c>
      <c r="E201" s="42">
        <v>219.51717541044621</v>
      </c>
      <c r="F201" s="42">
        <v>0.27410844225156356</v>
      </c>
    </row>
    <row r="202" spans="1:6" x14ac:dyDescent="0.25">
      <c r="A202" s="52" t="s">
        <v>325</v>
      </c>
      <c r="B202" s="68" t="s">
        <v>389</v>
      </c>
      <c r="C202" s="65">
        <v>43293</v>
      </c>
      <c r="D202" s="42">
        <v>190.86014528520681</v>
      </c>
      <c r="E202" s="42">
        <v>217.45993948538569</v>
      </c>
      <c r="F202" s="42">
        <v>0.27765939045999777</v>
      </c>
    </row>
    <row r="203" spans="1:6" x14ac:dyDescent="0.25">
      <c r="A203" s="52" t="s">
        <v>325</v>
      </c>
      <c r="B203" s="68" t="s">
        <v>390</v>
      </c>
      <c r="C203" s="65">
        <v>43293</v>
      </c>
      <c r="D203" s="42">
        <v>291.51913319083042</v>
      </c>
      <c r="E203" s="42">
        <v>104.5213695656705</v>
      </c>
      <c r="F203" s="42">
        <v>0.28512773794105767</v>
      </c>
    </row>
    <row r="204" spans="1:6" x14ac:dyDescent="0.25">
      <c r="A204" s="52" t="s">
        <v>325</v>
      </c>
      <c r="B204" s="68" t="s">
        <v>391</v>
      </c>
      <c r="C204" s="65">
        <v>43293</v>
      </c>
      <c r="D204" s="42">
        <v>285.49220671817432</v>
      </c>
      <c r="E204" s="42">
        <v>123.87695868364921</v>
      </c>
      <c r="F204" s="42">
        <v>0.2826835558739505</v>
      </c>
    </row>
    <row r="205" spans="1:6" x14ac:dyDescent="0.25">
      <c r="A205" s="59" t="s">
        <v>478</v>
      </c>
      <c r="B205" s="68" t="s">
        <v>393</v>
      </c>
      <c r="C205" s="65">
        <v>43293</v>
      </c>
      <c r="D205" s="42">
        <v>77.806574000657307</v>
      </c>
      <c r="E205" s="42">
        <v>294.79739142328668</v>
      </c>
      <c r="F205" s="42">
        <v>0.22817810753095916</v>
      </c>
    </row>
    <row r="206" spans="1:6" x14ac:dyDescent="0.25">
      <c r="A206" s="59" t="s">
        <v>478</v>
      </c>
      <c r="B206" s="64" t="s">
        <v>394</v>
      </c>
      <c r="C206" s="65">
        <v>43293</v>
      </c>
      <c r="D206" s="42">
        <v>50.770310968241397</v>
      </c>
      <c r="E206" s="42">
        <v>294.49646035713761</v>
      </c>
      <c r="F206" s="42">
        <v>0.22957178364317748</v>
      </c>
    </row>
    <row r="207" spans="1:6" x14ac:dyDescent="0.25">
      <c r="A207" s="59" t="s">
        <v>478</v>
      </c>
      <c r="B207" s="68" t="s">
        <v>395</v>
      </c>
      <c r="C207" s="65">
        <v>43293</v>
      </c>
      <c r="D207" s="42">
        <v>63.14511135638827</v>
      </c>
      <c r="E207" s="42">
        <v>63.509807151923482</v>
      </c>
      <c r="F207" s="42">
        <v>0.21847982293943854</v>
      </c>
    </row>
    <row r="208" spans="1:6" x14ac:dyDescent="0.25">
      <c r="A208" s="59" t="s">
        <v>478</v>
      </c>
      <c r="B208" s="68" t="s">
        <v>396</v>
      </c>
      <c r="C208" s="65">
        <v>43293</v>
      </c>
      <c r="D208" s="42">
        <v>69.85919278064766</v>
      </c>
      <c r="E208" s="42">
        <v>63.147678776552148</v>
      </c>
      <c r="F208" s="42">
        <v>0.2209956053220089</v>
      </c>
    </row>
    <row r="209" spans="1:6" x14ac:dyDescent="0.25">
      <c r="A209" s="52" t="s">
        <v>336</v>
      </c>
      <c r="B209" s="68" t="s">
        <v>398</v>
      </c>
      <c r="C209" s="65">
        <v>43292</v>
      </c>
      <c r="D209" s="42">
        <v>109.0313090696194</v>
      </c>
      <c r="E209" s="42">
        <v>627.54245710657619</v>
      </c>
      <c r="F209" s="42">
        <v>0.28590939892288775</v>
      </c>
    </row>
    <row r="210" spans="1:6" x14ac:dyDescent="0.25">
      <c r="A210" s="52" t="s">
        <v>336</v>
      </c>
      <c r="B210" s="68" t="s">
        <v>399</v>
      </c>
      <c r="C210" s="65">
        <v>43292</v>
      </c>
      <c r="D210" s="42">
        <v>108.56049868896579</v>
      </c>
      <c r="E210" s="42">
        <v>634.81548681524646</v>
      </c>
      <c r="F210" s="42">
        <v>0.2854468891105057</v>
      </c>
    </row>
    <row r="211" spans="1:6" x14ac:dyDescent="0.25">
      <c r="A211" s="52" t="s">
        <v>336</v>
      </c>
      <c r="B211" s="68" t="s">
        <v>400</v>
      </c>
      <c r="C211" s="65">
        <v>43292</v>
      </c>
      <c r="D211" s="42">
        <v>102.467276899146</v>
      </c>
      <c r="E211" s="42">
        <v>695.60504075979395</v>
      </c>
      <c r="F211" s="42">
        <v>0.29001447248761864</v>
      </c>
    </row>
    <row r="212" spans="1:6" x14ac:dyDescent="0.25">
      <c r="A212" s="52" t="s">
        <v>336</v>
      </c>
      <c r="B212" s="68" t="s">
        <v>401</v>
      </c>
      <c r="C212" s="65">
        <v>43292</v>
      </c>
      <c r="D212" s="42">
        <v>95.086729464933512</v>
      </c>
      <c r="E212" s="42">
        <v>693.22747607298845</v>
      </c>
      <c r="F212" s="42">
        <v>0.28736750739571965</v>
      </c>
    </row>
    <row r="213" spans="1:6" x14ac:dyDescent="0.25">
      <c r="A213" s="52" t="s">
        <v>335</v>
      </c>
      <c r="B213" s="68" t="s">
        <v>403</v>
      </c>
      <c r="C213" s="65">
        <v>43292</v>
      </c>
      <c r="D213" s="42">
        <v>88.093742039318343</v>
      </c>
      <c r="E213" s="42">
        <v>183.26340886687271</v>
      </c>
      <c r="F213" s="42">
        <v>0.26141351619911929</v>
      </c>
    </row>
    <row r="214" spans="1:6" x14ac:dyDescent="0.25">
      <c r="A214" s="52" t="s">
        <v>335</v>
      </c>
      <c r="B214" s="68" t="s">
        <v>404</v>
      </c>
      <c r="C214" s="65">
        <v>43292</v>
      </c>
      <c r="D214" s="42">
        <v>191.92888547426881</v>
      </c>
      <c r="E214" s="42">
        <v>117.95225821071161</v>
      </c>
      <c r="F214" s="42">
        <v>0.26697100065455803</v>
      </c>
    </row>
    <row r="215" spans="1:6" x14ac:dyDescent="0.25">
      <c r="A215" s="52" t="s">
        <v>335</v>
      </c>
      <c r="B215" s="68" t="s">
        <v>405</v>
      </c>
      <c r="C215" s="65">
        <v>43292</v>
      </c>
      <c r="D215" s="42">
        <v>43.766158926588488</v>
      </c>
      <c r="E215" s="42">
        <v>393.27135565762632</v>
      </c>
      <c r="F215" s="42">
        <v>0.26017161550974582</v>
      </c>
    </row>
    <row r="216" spans="1:6" x14ac:dyDescent="0.25">
      <c r="A216" s="52" t="s">
        <v>335</v>
      </c>
      <c r="B216" s="68" t="s">
        <v>406</v>
      </c>
      <c r="C216" s="65">
        <v>43292</v>
      </c>
      <c r="D216" s="42">
        <v>53.871517693781463</v>
      </c>
      <c r="E216" s="42">
        <v>394.34661350656307</v>
      </c>
      <c r="F216" s="42">
        <v>0.259690097545488</v>
      </c>
    </row>
    <row r="217" spans="1:6" x14ac:dyDescent="0.25">
      <c r="A217" s="53" t="s">
        <v>329</v>
      </c>
      <c r="B217" s="68" t="s">
        <v>408</v>
      </c>
      <c r="C217" s="65">
        <v>43292</v>
      </c>
      <c r="D217" s="42" t="s">
        <v>348</v>
      </c>
      <c r="E217" s="42" t="s">
        <v>348</v>
      </c>
      <c r="F217" s="42" t="s">
        <v>348</v>
      </c>
    </row>
    <row r="218" spans="1:6" x14ac:dyDescent="0.25">
      <c r="A218" s="59" t="s">
        <v>329</v>
      </c>
      <c r="B218" s="68" t="s">
        <v>409</v>
      </c>
      <c r="C218" s="65">
        <v>43292</v>
      </c>
      <c r="D218" s="42">
        <v>382.70869129938609</v>
      </c>
      <c r="E218" s="42">
        <v>8.8194848942412865</v>
      </c>
      <c r="F218" s="42">
        <v>0.28655509923847411</v>
      </c>
    </row>
    <row r="219" spans="1:6" x14ac:dyDescent="0.25">
      <c r="A219" s="53" t="s">
        <v>329</v>
      </c>
      <c r="B219" s="68" t="s">
        <v>410</v>
      </c>
      <c r="C219" s="65">
        <v>43292</v>
      </c>
      <c r="D219" s="42" t="s">
        <v>348</v>
      </c>
      <c r="E219" s="42" t="s">
        <v>348</v>
      </c>
      <c r="F219" s="42" t="s">
        <v>348</v>
      </c>
    </row>
    <row r="220" spans="1:6" x14ac:dyDescent="0.25">
      <c r="A220" s="52" t="s">
        <v>329</v>
      </c>
      <c r="B220" s="68" t="s">
        <v>411</v>
      </c>
      <c r="C220" s="65">
        <v>43292</v>
      </c>
      <c r="D220" s="42">
        <v>368.94981250323713</v>
      </c>
      <c r="E220" s="42">
        <v>21.782637077026049</v>
      </c>
      <c r="F220" s="42">
        <v>0.30802327716098399</v>
      </c>
    </row>
    <row r="221" spans="1:6" x14ac:dyDescent="0.25">
      <c r="A221" s="52" t="s">
        <v>328</v>
      </c>
      <c r="B221" s="69" t="s">
        <v>413</v>
      </c>
      <c r="C221" s="65">
        <v>43292</v>
      </c>
      <c r="D221" s="42">
        <v>733.78663440325624</v>
      </c>
      <c r="E221" s="42">
        <v>42.189590791446399</v>
      </c>
      <c r="F221" s="42">
        <v>0.25465889186372848</v>
      </c>
    </row>
    <row r="222" spans="1:6" x14ac:dyDescent="0.25">
      <c r="A222" s="52" t="s">
        <v>328</v>
      </c>
      <c r="B222" s="69" t="s">
        <v>414</v>
      </c>
      <c r="C222" s="65">
        <v>43292</v>
      </c>
      <c r="D222" s="42">
        <v>830.56252629106928</v>
      </c>
      <c r="E222" s="42">
        <v>55.619488870258138</v>
      </c>
      <c r="F222" s="42">
        <v>0.25015238916634147</v>
      </c>
    </row>
    <row r="223" spans="1:6" x14ac:dyDescent="0.25">
      <c r="A223" s="52" t="s">
        <v>328</v>
      </c>
      <c r="B223" s="69" t="s">
        <v>415</v>
      </c>
      <c r="C223" s="65">
        <v>43292</v>
      </c>
      <c r="D223" s="42">
        <v>803.39386214884871</v>
      </c>
      <c r="E223" s="42">
        <v>55.364941300454952</v>
      </c>
      <c r="F223" s="42">
        <v>0.2463974425496874</v>
      </c>
    </row>
    <row r="224" spans="1:6" x14ac:dyDescent="0.25">
      <c r="A224" s="52" t="s">
        <v>328</v>
      </c>
      <c r="B224" s="69" t="s">
        <v>416</v>
      </c>
      <c r="C224" s="65">
        <v>43292</v>
      </c>
      <c r="D224" s="42">
        <v>804.7567046773321</v>
      </c>
      <c r="E224" s="42">
        <v>55.528715929426554</v>
      </c>
      <c r="F224" s="42">
        <v>0.25101676976296078</v>
      </c>
    </row>
    <row r="225" spans="1:6" x14ac:dyDescent="0.25">
      <c r="A225" s="52" t="s">
        <v>333</v>
      </c>
      <c r="B225" s="69" t="s">
        <v>418</v>
      </c>
      <c r="C225" s="65">
        <v>43291</v>
      </c>
      <c r="D225" s="42">
        <v>118.40432938954289</v>
      </c>
      <c r="E225" s="42">
        <v>302.23073873882589</v>
      </c>
      <c r="F225" s="42">
        <v>0.27515175281074361</v>
      </c>
    </row>
    <row r="226" spans="1:6" x14ac:dyDescent="0.25">
      <c r="A226" s="52" t="s">
        <v>333</v>
      </c>
      <c r="B226" s="69" t="s">
        <v>496</v>
      </c>
      <c r="C226" s="65">
        <v>43291</v>
      </c>
      <c r="D226" s="42">
        <v>150.51400000000001</v>
      </c>
      <c r="E226" s="42">
        <v>313.61399999999998</v>
      </c>
      <c r="F226" s="42">
        <v>0.28599999999999998</v>
      </c>
    </row>
    <row r="227" spans="1:6" x14ac:dyDescent="0.25">
      <c r="A227" s="52" t="s">
        <v>333</v>
      </c>
      <c r="B227" s="69" t="s">
        <v>497</v>
      </c>
      <c r="C227" s="65">
        <v>43291</v>
      </c>
      <c r="D227" s="42">
        <v>76.046999999999997</v>
      </c>
      <c r="E227" s="42">
        <v>258.08600000000001</v>
      </c>
      <c r="F227" s="42">
        <v>0.29399999999999998</v>
      </c>
    </row>
    <row r="228" spans="1:6" x14ac:dyDescent="0.25">
      <c r="A228" s="53" t="s">
        <v>333</v>
      </c>
      <c r="B228" s="69" t="s">
        <v>498</v>
      </c>
      <c r="C228" s="65">
        <v>43291</v>
      </c>
      <c r="D228" s="42" t="s">
        <v>348</v>
      </c>
      <c r="E228" s="42" t="s">
        <v>348</v>
      </c>
      <c r="F228" s="42" t="s">
        <v>348</v>
      </c>
    </row>
    <row r="229" spans="1:6" x14ac:dyDescent="0.25">
      <c r="A229" s="53" t="s">
        <v>334</v>
      </c>
      <c r="B229" s="69" t="s">
        <v>499</v>
      </c>
      <c r="C229" s="65">
        <v>43291</v>
      </c>
      <c r="D229" s="42" t="s">
        <v>348</v>
      </c>
      <c r="E229" s="42" t="s">
        <v>348</v>
      </c>
      <c r="F229" s="42" t="s">
        <v>348</v>
      </c>
    </row>
    <row r="230" spans="1:6" x14ac:dyDescent="0.25">
      <c r="A230" s="52" t="s">
        <v>334</v>
      </c>
      <c r="B230" s="69" t="s">
        <v>420</v>
      </c>
      <c r="C230" s="65">
        <v>43291</v>
      </c>
      <c r="D230" s="42">
        <v>1308.2240075884649</v>
      </c>
      <c r="E230" s="42">
        <v>73.667667023622769</v>
      </c>
      <c r="F230" s="42">
        <v>0.6047396704156085</v>
      </c>
    </row>
    <row r="231" spans="1:6" x14ac:dyDescent="0.25">
      <c r="A231" s="52" t="s">
        <v>334</v>
      </c>
      <c r="B231" s="69" t="s">
        <v>421</v>
      </c>
      <c r="C231" s="65">
        <v>43291</v>
      </c>
      <c r="D231" s="42">
        <v>1276.4941790172111</v>
      </c>
      <c r="E231" s="42">
        <v>66.908864676182773</v>
      </c>
      <c r="F231" s="42">
        <v>0.6050679689211268</v>
      </c>
    </row>
    <row r="232" spans="1:6" x14ac:dyDescent="0.25">
      <c r="A232" s="52" t="s">
        <v>334</v>
      </c>
      <c r="B232" s="69" t="s">
        <v>500</v>
      </c>
      <c r="C232" s="65">
        <v>43291</v>
      </c>
      <c r="D232" s="42">
        <v>1165.395</v>
      </c>
      <c r="E232" s="42">
        <v>60.697000000000003</v>
      </c>
      <c r="F232" s="42">
        <v>0.61099999999999999</v>
      </c>
    </row>
    <row r="233" spans="1:6" x14ac:dyDescent="0.25">
      <c r="A233" s="52" t="s">
        <v>331</v>
      </c>
      <c r="B233" s="69" t="s">
        <v>423</v>
      </c>
      <c r="C233" s="65">
        <v>43291</v>
      </c>
      <c r="D233" s="42">
        <v>503.3655612037158</v>
      </c>
      <c r="E233" s="42">
        <v>2208.5932994672039</v>
      </c>
      <c r="F233" s="42">
        <v>0.29870666285657271</v>
      </c>
    </row>
    <row r="234" spans="1:6" x14ac:dyDescent="0.25">
      <c r="A234" s="52" t="s">
        <v>331</v>
      </c>
      <c r="B234" s="69" t="s">
        <v>424</v>
      </c>
      <c r="C234" s="65">
        <v>43291</v>
      </c>
      <c r="D234" s="42">
        <v>463.62316894276591</v>
      </c>
      <c r="E234" s="42">
        <v>1588.072188334776</v>
      </c>
      <c r="F234" s="42">
        <v>0.29705758693149642</v>
      </c>
    </row>
    <row r="235" spans="1:6" x14ac:dyDescent="0.25">
      <c r="A235" s="52" t="s">
        <v>331</v>
      </c>
      <c r="B235" s="69" t="s">
        <v>425</v>
      </c>
      <c r="C235" s="65">
        <v>43291</v>
      </c>
      <c r="D235" s="42">
        <v>475.00870052439552</v>
      </c>
      <c r="E235" s="42">
        <v>2522.7136543139081</v>
      </c>
      <c r="F235" s="42">
        <v>0.29044161571457072</v>
      </c>
    </row>
    <row r="236" spans="1:6" x14ac:dyDescent="0.25">
      <c r="A236" s="52" t="s">
        <v>331</v>
      </c>
      <c r="B236" s="69" t="s">
        <v>426</v>
      </c>
      <c r="C236" s="65">
        <v>43291</v>
      </c>
      <c r="D236" s="42">
        <v>800.64358473591437</v>
      </c>
      <c r="E236" s="42">
        <v>1371.9496676750939</v>
      </c>
      <c r="F236" s="42">
        <v>0.28689258768525783</v>
      </c>
    </row>
    <row r="237" spans="1:6" x14ac:dyDescent="0.25">
      <c r="A237" s="52" t="s">
        <v>330</v>
      </c>
      <c r="B237" s="69" t="s">
        <v>428</v>
      </c>
      <c r="C237" s="65">
        <v>43291</v>
      </c>
      <c r="D237" s="42">
        <v>745.36401118307037</v>
      </c>
      <c r="E237" s="42">
        <v>813.23864664104042</v>
      </c>
      <c r="F237" s="42">
        <v>0.33497475544487881</v>
      </c>
    </row>
    <row r="238" spans="1:6" x14ac:dyDescent="0.25">
      <c r="A238" s="52" t="s">
        <v>330</v>
      </c>
      <c r="B238" s="69" t="s">
        <v>429</v>
      </c>
      <c r="C238" s="65">
        <v>43291</v>
      </c>
      <c r="D238" s="42">
        <v>647.07449211884443</v>
      </c>
      <c r="E238" s="42">
        <v>616.68416101768605</v>
      </c>
      <c r="F238" s="42">
        <v>0.32729090908513192</v>
      </c>
    </row>
    <row r="239" spans="1:6" x14ac:dyDescent="0.25">
      <c r="A239" s="52" t="s">
        <v>330</v>
      </c>
      <c r="B239" s="69" t="s">
        <v>430</v>
      </c>
      <c r="C239" s="65">
        <v>43291</v>
      </c>
      <c r="D239" s="42">
        <v>608.8317627999445</v>
      </c>
      <c r="E239" s="42">
        <v>447.09318042981209</v>
      </c>
      <c r="F239" s="42">
        <v>0.31416109708989109</v>
      </c>
    </row>
    <row r="240" spans="1:6" x14ac:dyDescent="0.25">
      <c r="A240" s="52" t="s">
        <v>330</v>
      </c>
      <c r="B240" s="69" t="s">
        <v>431</v>
      </c>
      <c r="C240" s="65">
        <v>43291</v>
      </c>
      <c r="D240" s="42">
        <v>606.82906192188682</v>
      </c>
      <c r="E240" s="42">
        <v>428.39222204243538</v>
      </c>
      <c r="F240" s="42">
        <v>0.31976199836693026</v>
      </c>
    </row>
    <row r="241" spans="1:6" x14ac:dyDescent="0.25">
      <c r="A241" s="52" t="s">
        <v>323</v>
      </c>
      <c r="B241" s="68" t="s">
        <v>433</v>
      </c>
      <c r="C241" s="65">
        <v>43290</v>
      </c>
      <c r="D241" s="42">
        <v>540.51782671659919</v>
      </c>
      <c r="E241" s="42">
        <v>174.8410296005122</v>
      </c>
      <c r="F241" s="42">
        <v>0.22962172303103587</v>
      </c>
    </row>
    <row r="242" spans="1:6" x14ac:dyDescent="0.25">
      <c r="A242" s="52" t="s">
        <v>323</v>
      </c>
      <c r="B242" s="68" t="s">
        <v>434</v>
      </c>
      <c r="C242" s="65">
        <v>43290</v>
      </c>
      <c r="D242" s="42">
        <v>546.91583502191008</v>
      </c>
      <c r="E242" s="42">
        <v>174.84370142046899</v>
      </c>
      <c r="F242" s="42">
        <v>0.23037347233151728</v>
      </c>
    </row>
    <row r="243" spans="1:6" x14ac:dyDescent="0.25">
      <c r="A243" s="52" t="s">
        <v>323</v>
      </c>
      <c r="B243" s="68" t="s">
        <v>435</v>
      </c>
      <c r="C243" s="65">
        <v>43290</v>
      </c>
      <c r="D243" s="42">
        <v>538.95414141359481</v>
      </c>
      <c r="E243" s="42">
        <v>166.412573330058</v>
      </c>
      <c r="F243" s="42">
        <v>0.2327197922093594</v>
      </c>
    </row>
    <row r="244" spans="1:6" x14ac:dyDescent="0.25">
      <c r="A244" s="52" t="s">
        <v>323</v>
      </c>
      <c r="B244" s="68" t="s">
        <v>436</v>
      </c>
      <c r="C244" s="65">
        <v>43290</v>
      </c>
      <c r="D244" s="42">
        <v>532.12147657759704</v>
      </c>
      <c r="E244" s="42">
        <v>168.2148427768476</v>
      </c>
      <c r="F244" s="42">
        <v>0.22884534326250983</v>
      </c>
    </row>
    <row r="245" spans="1:6" x14ac:dyDescent="0.25">
      <c r="A245" s="52" t="s">
        <v>327</v>
      </c>
      <c r="B245" s="68" t="s">
        <v>438</v>
      </c>
      <c r="C245" s="65">
        <v>43290</v>
      </c>
      <c r="D245" s="42">
        <v>206.83989674894039</v>
      </c>
      <c r="E245" s="42">
        <v>691.41607341591873</v>
      </c>
      <c r="F245" s="42">
        <v>0.249997600088392</v>
      </c>
    </row>
    <row r="246" spans="1:6" x14ac:dyDescent="0.25">
      <c r="A246" s="52" t="s">
        <v>327</v>
      </c>
      <c r="B246" s="68" t="s">
        <v>439</v>
      </c>
      <c r="C246" s="65">
        <v>43290</v>
      </c>
      <c r="D246" s="42">
        <v>170.42583575059331</v>
      </c>
      <c r="E246" s="42">
        <v>684.63336595315377</v>
      </c>
      <c r="F246" s="42">
        <v>0.25028048734469982</v>
      </c>
    </row>
    <row r="247" spans="1:6" x14ac:dyDescent="0.25">
      <c r="A247" s="52" t="s">
        <v>327</v>
      </c>
      <c r="B247" s="68" t="s">
        <v>440</v>
      </c>
      <c r="C247" s="65">
        <v>43290</v>
      </c>
      <c r="D247" s="42">
        <v>160.91085556145529</v>
      </c>
      <c r="E247" s="42">
        <v>704.29120091762661</v>
      </c>
      <c r="F247" s="42">
        <v>0.25130007685542827</v>
      </c>
    </row>
    <row r="248" spans="1:6" x14ac:dyDescent="0.25">
      <c r="A248" s="52" t="s">
        <v>327</v>
      </c>
      <c r="B248" s="68" t="s">
        <v>441</v>
      </c>
      <c r="C248" s="65">
        <v>43290</v>
      </c>
      <c r="D248" s="42">
        <v>161.25853726121281</v>
      </c>
      <c r="E248" s="42">
        <v>702.88080287720481</v>
      </c>
      <c r="F248" s="42">
        <v>0.25178087397718418</v>
      </c>
    </row>
    <row r="249" spans="1:6" x14ac:dyDescent="0.25">
      <c r="A249" s="53" t="s">
        <v>326</v>
      </c>
      <c r="B249" s="68" t="s">
        <v>443</v>
      </c>
      <c r="C249" s="65">
        <v>43290</v>
      </c>
      <c r="D249" s="42" t="s">
        <v>348</v>
      </c>
      <c r="E249" s="42" t="s">
        <v>348</v>
      </c>
      <c r="F249" s="42" t="s">
        <v>348</v>
      </c>
    </row>
    <row r="250" spans="1:6" x14ac:dyDescent="0.25">
      <c r="A250" s="52" t="s">
        <v>326</v>
      </c>
      <c r="B250" s="68" t="s">
        <v>444</v>
      </c>
      <c r="C250" s="65">
        <v>43290</v>
      </c>
      <c r="D250" s="42">
        <v>255.62197009166221</v>
      </c>
      <c r="E250" s="42">
        <v>134.11673431120721</v>
      </c>
      <c r="F250" s="42">
        <v>0.26693403542182365</v>
      </c>
    </row>
    <row r="251" spans="1:6" x14ac:dyDescent="0.25">
      <c r="A251" s="52" t="s">
        <v>326</v>
      </c>
      <c r="B251" s="68" t="s">
        <v>445</v>
      </c>
      <c r="C251" s="65">
        <v>43290</v>
      </c>
      <c r="D251" s="42">
        <v>188.8323419546559</v>
      </c>
      <c r="E251" s="42">
        <v>179.7089261388461</v>
      </c>
      <c r="F251" s="42">
        <v>0.26912198580796454</v>
      </c>
    </row>
    <row r="252" spans="1:6" x14ac:dyDescent="0.25">
      <c r="A252" s="52" t="s">
        <v>326</v>
      </c>
      <c r="B252" s="68" t="s">
        <v>446</v>
      </c>
      <c r="C252" s="65">
        <v>43290</v>
      </c>
      <c r="D252" s="42">
        <v>185.65579790212831</v>
      </c>
      <c r="E252" s="42">
        <v>180.3797626927219</v>
      </c>
      <c r="F252" s="42">
        <v>0.26893410603923745</v>
      </c>
    </row>
    <row r="253" spans="1:6" x14ac:dyDescent="0.25">
      <c r="A253" s="52" t="s">
        <v>338</v>
      </c>
      <c r="B253" s="68" t="s">
        <v>448</v>
      </c>
      <c r="C253" s="65">
        <v>43290</v>
      </c>
      <c r="D253" s="42">
        <v>158.43112858096379</v>
      </c>
      <c r="E253" s="42">
        <v>682.91546006559315</v>
      </c>
      <c r="F253" s="42">
        <v>0.27841576106789212</v>
      </c>
    </row>
    <row r="254" spans="1:6" x14ac:dyDescent="0.25">
      <c r="A254" s="52" t="s">
        <v>338</v>
      </c>
      <c r="B254" s="68" t="s">
        <v>449</v>
      </c>
      <c r="C254" s="65">
        <v>43290</v>
      </c>
      <c r="D254" s="42">
        <v>163.07337683270791</v>
      </c>
      <c r="E254" s="42">
        <v>681.83391998347486</v>
      </c>
      <c r="F254" s="42">
        <v>0.28112586304001741</v>
      </c>
    </row>
    <row r="255" spans="1:6" x14ac:dyDescent="0.25">
      <c r="A255" s="52" t="s">
        <v>338</v>
      </c>
      <c r="B255" s="68" t="s">
        <v>450</v>
      </c>
      <c r="C255" s="65">
        <v>43290</v>
      </c>
      <c r="D255" s="42">
        <v>164.56723381551481</v>
      </c>
      <c r="E255" s="42">
        <v>658.32548449254693</v>
      </c>
      <c r="F255" s="42">
        <v>0.27543245501652769</v>
      </c>
    </row>
    <row r="256" spans="1:6" x14ac:dyDescent="0.25">
      <c r="A256" s="52" t="s">
        <v>338</v>
      </c>
      <c r="B256" s="68" t="s">
        <v>451</v>
      </c>
      <c r="C256" s="65">
        <v>43290</v>
      </c>
      <c r="D256" s="42">
        <v>158.792244733459</v>
      </c>
      <c r="E256" s="42">
        <v>661.51000474749219</v>
      </c>
      <c r="F256" s="42">
        <v>0.27840537741560761</v>
      </c>
    </row>
    <row r="257" spans="1:6" x14ac:dyDescent="0.25">
      <c r="A257" s="52" t="s">
        <v>327</v>
      </c>
      <c r="B257" s="68" t="s">
        <v>453</v>
      </c>
      <c r="C257" s="65">
        <v>43321</v>
      </c>
      <c r="D257" s="42">
        <v>325.14333154503112</v>
      </c>
      <c r="E257" s="42">
        <v>238.79952699946551</v>
      </c>
      <c r="F257" s="42">
        <v>0.25549760824521139</v>
      </c>
    </row>
    <row r="258" spans="1:6" x14ac:dyDescent="0.25">
      <c r="A258" s="52" t="s">
        <v>327</v>
      </c>
      <c r="B258" s="68" t="s">
        <v>454</v>
      </c>
      <c r="C258" s="65">
        <v>43321</v>
      </c>
      <c r="D258" s="42">
        <v>333.4377380362057</v>
      </c>
      <c r="E258" s="42">
        <v>239.2599534080538</v>
      </c>
      <c r="F258" s="42">
        <v>0.25443944503622573</v>
      </c>
    </row>
    <row r="259" spans="1:6" x14ac:dyDescent="0.25">
      <c r="A259" s="52" t="s">
        <v>327</v>
      </c>
      <c r="B259" s="68" t="s">
        <v>455</v>
      </c>
      <c r="C259" s="65">
        <v>43321</v>
      </c>
      <c r="D259" s="42">
        <v>389.22626773674227</v>
      </c>
      <c r="E259" s="42">
        <v>221.1798214392976</v>
      </c>
      <c r="F259" s="42">
        <v>0.2601594566266755</v>
      </c>
    </row>
    <row r="260" spans="1:6" x14ac:dyDescent="0.25">
      <c r="A260" s="52" t="s">
        <v>327</v>
      </c>
      <c r="B260" s="68" t="s">
        <v>456</v>
      </c>
      <c r="C260" s="65">
        <v>43321</v>
      </c>
      <c r="D260" s="42">
        <v>392.50214857509849</v>
      </c>
      <c r="E260" s="42">
        <v>217.02482824475771</v>
      </c>
      <c r="F260" s="42">
        <v>0.26269302419372503</v>
      </c>
    </row>
    <row r="261" spans="1:6" x14ac:dyDescent="0.25">
      <c r="A261" s="52" t="s">
        <v>323</v>
      </c>
      <c r="B261" s="68" t="s">
        <v>458</v>
      </c>
      <c r="C261" s="65">
        <v>43321</v>
      </c>
      <c r="D261" s="42">
        <v>2274.3940286373308</v>
      </c>
      <c r="E261" s="42">
        <v>127.3007910202208</v>
      </c>
      <c r="F261" s="42">
        <v>0.22529632921600731</v>
      </c>
    </row>
    <row r="262" spans="1:6" x14ac:dyDescent="0.25">
      <c r="A262" s="52" t="s">
        <v>323</v>
      </c>
      <c r="B262" s="68" t="s">
        <v>459</v>
      </c>
      <c r="C262" s="65">
        <v>43321</v>
      </c>
      <c r="D262" s="42">
        <v>2389.3807204303812</v>
      </c>
      <c r="E262" s="42">
        <v>129.13704973500859</v>
      </c>
      <c r="F262" s="42">
        <v>0.22467445883307122</v>
      </c>
    </row>
    <row r="263" spans="1:6" x14ac:dyDescent="0.25">
      <c r="A263" s="52" t="s">
        <v>323</v>
      </c>
      <c r="B263" s="68" t="s">
        <v>460</v>
      </c>
      <c r="C263" s="65">
        <v>43321</v>
      </c>
      <c r="D263" s="42">
        <v>2022.9451605626639</v>
      </c>
      <c r="E263" s="42">
        <v>114.4486590119886</v>
      </c>
      <c r="F263" s="42">
        <v>0.17944079362940091</v>
      </c>
    </row>
    <row r="264" spans="1:6" x14ac:dyDescent="0.25">
      <c r="A264" s="53" t="s">
        <v>323</v>
      </c>
      <c r="B264" s="68" t="s">
        <v>461</v>
      </c>
      <c r="C264" s="65">
        <v>43321</v>
      </c>
      <c r="D264" s="42" t="s">
        <v>348</v>
      </c>
      <c r="E264" s="42" t="s">
        <v>348</v>
      </c>
      <c r="F264" s="42" t="s">
        <v>348</v>
      </c>
    </row>
    <row r="265" spans="1:6" x14ac:dyDescent="0.25">
      <c r="A265" s="59" t="s">
        <v>478</v>
      </c>
      <c r="B265" s="68" t="s">
        <v>463</v>
      </c>
      <c r="C265" s="65">
        <v>43321</v>
      </c>
      <c r="D265" s="42">
        <v>102.7610276361532</v>
      </c>
      <c r="E265" s="42">
        <v>116.6819813707814</v>
      </c>
      <c r="F265" s="42">
        <v>0.22220261022142224</v>
      </c>
    </row>
    <row r="266" spans="1:6" x14ac:dyDescent="0.25">
      <c r="A266" s="59" t="s">
        <v>478</v>
      </c>
      <c r="B266" s="68" t="s">
        <v>464</v>
      </c>
      <c r="C266" s="65">
        <v>43321</v>
      </c>
      <c r="D266" s="42">
        <v>91.508815738405247</v>
      </c>
      <c r="E266" s="42">
        <v>108.3358287614015</v>
      </c>
      <c r="F266" s="42">
        <v>0.22474634639010932</v>
      </c>
    </row>
    <row r="267" spans="1:6" x14ac:dyDescent="0.25">
      <c r="A267" s="59" t="s">
        <v>478</v>
      </c>
      <c r="B267" s="68" t="s">
        <v>465</v>
      </c>
      <c r="C267" s="65">
        <v>43321</v>
      </c>
      <c r="D267" s="42" t="s">
        <v>348</v>
      </c>
      <c r="E267" s="42" t="s">
        <v>348</v>
      </c>
      <c r="F267" s="42" t="s">
        <v>348</v>
      </c>
    </row>
    <row r="268" spans="1:6" x14ac:dyDescent="0.25">
      <c r="A268" s="59" t="s">
        <v>478</v>
      </c>
      <c r="B268" s="68" t="s">
        <v>466</v>
      </c>
      <c r="C268" s="65">
        <v>43321</v>
      </c>
      <c r="D268" s="42">
        <v>55.068591720805259</v>
      </c>
      <c r="E268" s="42">
        <v>137.21168195355031</v>
      </c>
      <c r="F268" s="42">
        <v>0.22453112346994122</v>
      </c>
    </row>
    <row r="269" spans="1:6" x14ac:dyDescent="0.25">
      <c r="A269" s="52" t="s">
        <v>338</v>
      </c>
      <c r="B269" s="68" t="s">
        <v>468</v>
      </c>
      <c r="C269" s="65">
        <v>43320</v>
      </c>
      <c r="D269" s="42">
        <v>134.19720070343149</v>
      </c>
      <c r="E269" s="42">
        <v>622.32228237987442</v>
      </c>
      <c r="F269" s="42">
        <v>0.28199326598389651</v>
      </c>
    </row>
    <row r="270" spans="1:6" x14ac:dyDescent="0.25">
      <c r="A270" s="52" t="s">
        <v>338</v>
      </c>
      <c r="B270" s="68" t="s">
        <v>469</v>
      </c>
      <c r="C270" s="65">
        <v>43320</v>
      </c>
      <c r="D270" s="42">
        <v>128.54536520472851</v>
      </c>
      <c r="E270" s="42">
        <v>621.86176261783919</v>
      </c>
      <c r="F270" s="42">
        <v>0.28824442420661162</v>
      </c>
    </row>
    <row r="271" spans="1:6" x14ac:dyDescent="0.25">
      <c r="A271" s="52" t="s">
        <v>338</v>
      </c>
      <c r="B271" s="68" t="s">
        <v>470</v>
      </c>
      <c r="C271" s="65">
        <v>43320</v>
      </c>
      <c r="D271" s="42">
        <v>172.1583661220555</v>
      </c>
      <c r="E271" s="42">
        <v>661.16606543774424</v>
      </c>
      <c r="F271" s="42">
        <v>0.2772129355013675</v>
      </c>
    </row>
    <row r="272" spans="1:6" x14ac:dyDescent="0.25">
      <c r="A272" s="52" t="s">
        <v>338</v>
      </c>
      <c r="B272" s="70" t="s">
        <v>471</v>
      </c>
      <c r="C272" s="67">
        <v>43320</v>
      </c>
      <c r="D272" s="42">
        <v>116.8029967992171</v>
      </c>
      <c r="E272" s="42">
        <v>661.52353418885104</v>
      </c>
      <c r="F272" s="42">
        <v>0.27707530391919694</v>
      </c>
    </row>
    <row r="273" spans="1:6" x14ac:dyDescent="0.25">
      <c r="A273" s="51" t="s">
        <v>336</v>
      </c>
      <c r="B273" s="68" t="s">
        <v>575</v>
      </c>
      <c r="C273" s="65">
        <v>43320</v>
      </c>
      <c r="D273" s="42" t="s">
        <v>348</v>
      </c>
      <c r="E273" s="42" t="s">
        <v>348</v>
      </c>
      <c r="F273" s="42" t="s">
        <v>348</v>
      </c>
    </row>
    <row r="274" spans="1:6" x14ac:dyDescent="0.25">
      <c r="A274" s="52" t="s">
        <v>336</v>
      </c>
      <c r="B274" s="70" t="s">
        <v>576</v>
      </c>
      <c r="C274" s="67">
        <v>43320</v>
      </c>
      <c r="D274" s="42">
        <v>561.07673460568697</v>
      </c>
      <c r="E274" s="42">
        <v>89.607739992164184</v>
      </c>
      <c r="F274" s="42">
        <v>0.30099067657555606</v>
      </c>
    </row>
    <row r="275" spans="1:6" x14ac:dyDescent="0.25">
      <c r="A275" s="52" t="s">
        <v>336</v>
      </c>
      <c r="B275" s="68" t="s">
        <v>577</v>
      </c>
      <c r="C275" s="65">
        <v>43320</v>
      </c>
      <c r="D275" s="42">
        <v>526.49211917324658</v>
      </c>
      <c r="E275" s="42">
        <v>87.232363630823002</v>
      </c>
      <c r="F275" s="42">
        <v>0.29457976895131632</v>
      </c>
    </row>
    <row r="276" spans="1:6" x14ac:dyDescent="0.25">
      <c r="A276" s="52" t="s">
        <v>336</v>
      </c>
      <c r="B276" s="68" t="s">
        <v>578</v>
      </c>
      <c r="C276" s="65">
        <v>43320</v>
      </c>
      <c r="D276" s="42">
        <v>575.98959877405241</v>
      </c>
      <c r="E276" s="42">
        <v>135.72836861372701</v>
      </c>
      <c r="F276" s="42">
        <v>0.30285853216043923</v>
      </c>
    </row>
    <row r="277" spans="1:6" x14ac:dyDescent="0.25">
      <c r="A277" s="59" t="s">
        <v>478</v>
      </c>
      <c r="B277" s="68" t="s">
        <v>501</v>
      </c>
      <c r="C277" s="65">
        <v>43370</v>
      </c>
      <c r="D277" s="42">
        <v>362.24935468497779</v>
      </c>
      <c r="E277" s="42">
        <v>30.176155874095841</v>
      </c>
      <c r="F277" s="42">
        <v>0.27503009347504626</v>
      </c>
    </row>
    <row r="278" spans="1:6" x14ac:dyDescent="0.25">
      <c r="A278" s="59" t="s">
        <v>478</v>
      </c>
      <c r="B278" s="68" t="s">
        <v>502</v>
      </c>
      <c r="C278" s="65">
        <v>43370</v>
      </c>
      <c r="D278" s="42">
        <v>95.506459069880862</v>
      </c>
      <c r="E278" s="42">
        <v>46.931180917946961</v>
      </c>
      <c r="F278" s="42">
        <v>0.27409674086427649</v>
      </c>
    </row>
    <row r="279" spans="1:6" x14ac:dyDescent="0.25">
      <c r="A279" s="59" t="s">
        <v>478</v>
      </c>
      <c r="B279" s="68" t="s">
        <v>503</v>
      </c>
      <c r="C279" s="65">
        <v>43370</v>
      </c>
      <c r="D279" s="42">
        <v>91.660462812206845</v>
      </c>
      <c r="E279" s="42">
        <v>48.62941128820276</v>
      </c>
      <c r="F279" s="42">
        <v>0.27449961267060358</v>
      </c>
    </row>
    <row r="280" spans="1:6" x14ac:dyDescent="0.25">
      <c r="A280" s="59" t="s">
        <v>478</v>
      </c>
      <c r="B280" s="68" t="s">
        <v>504</v>
      </c>
      <c r="C280" s="65">
        <v>43370</v>
      </c>
      <c r="D280" s="42">
        <v>218.29277401589931</v>
      </c>
      <c r="E280" s="42">
        <v>29.001445770535199</v>
      </c>
      <c r="F280" s="42">
        <v>0.27292208681040903</v>
      </c>
    </row>
    <row r="281" spans="1:6" x14ac:dyDescent="0.25">
      <c r="A281" s="52" t="s">
        <v>324</v>
      </c>
      <c r="B281" s="69" t="s">
        <v>505</v>
      </c>
      <c r="C281" s="65">
        <v>43370</v>
      </c>
      <c r="D281" s="42">
        <v>342.58494620152572</v>
      </c>
      <c r="E281" s="42">
        <v>39.094142226747891</v>
      </c>
      <c r="F281" s="42">
        <v>0.54025340512247622</v>
      </c>
    </row>
    <row r="282" spans="1:6" x14ac:dyDescent="0.25">
      <c r="A282" s="52" t="s">
        <v>324</v>
      </c>
      <c r="B282" s="68" t="s">
        <v>506</v>
      </c>
      <c r="C282" s="65">
        <v>43370</v>
      </c>
      <c r="D282" s="42">
        <v>335.88539871556009</v>
      </c>
      <c r="E282" s="42">
        <v>39.302333169681738</v>
      </c>
      <c r="F282" s="42">
        <v>0.54855564343983831</v>
      </c>
    </row>
    <row r="283" spans="1:6" x14ac:dyDescent="0.25">
      <c r="A283" s="52" t="s">
        <v>324</v>
      </c>
      <c r="B283" s="69" t="s">
        <v>507</v>
      </c>
      <c r="C283" s="65">
        <v>43370</v>
      </c>
      <c r="D283" s="42">
        <v>477.52449253638912</v>
      </c>
      <c r="E283" s="42">
        <v>50.249349830342886</v>
      </c>
      <c r="F283" s="42">
        <v>0.42232722538658973</v>
      </c>
    </row>
    <row r="284" spans="1:6" x14ac:dyDescent="0.25">
      <c r="A284" s="52" t="s">
        <v>324</v>
      </c>
      <c r="B284" s="69" t="s">
        <v>508</v>
      </c>
      <c r="C284" s="65">
        <v>43370</v>
      </c>
      <c r="D284" s="42">
        <v>317.92252911597831</v>
      </c>
      <c r="E284" s="42">
        <v>41.314099633596577</v>
      </c>
      <c r="F284" s="42">
        <v>0.55131471306765922</v>
      </c>
    </row>
    <row r="285" spans="1:6" x14ac:dyDescent="0.25">
      <c r="A285" s="51" t="s">
        <v>322</v>
      </c>
      <c r="B285" s="71" t="s">
        <v>509</v>
      </c>
      <c r="C285" s="67">
        <v>43370</v>
      </c>
      <c r="D285" s="42">
        <v>387.56257064259472</v>
      </c>
      <c r="E285" s="42">
        <v>367.41934175022658</v>
      </c>
      <c r="F285" s="42">
        <v>0.28927546566163231</v>
      </c>
    </row>
    <row r="286" spans="1:6" x14ac:dyDescent="0.25">
      <c r="A286" s="52" t="s">
        <v>322</v>
      </c>
      <c r="B286" s="68" t="s">
        <v>510</v>
      </c>
      <c r="C286" s="65">
        <v>43370</v>
      </c>
      <c r="D286" s="42">
        <v>356.58916072123651</v>
      </c>
      <c r="E286" s="42">
        <v>612.87345151396698</v>
      </c>
      <c r="F286" s="42">
        <v>0.29678664238790536</v>
      </c>
    </row>
    <row r="287" spans="1:6" x14ac:dyDescent="0.25">
      <c r="A287" s="52" t="s">
        <v>322</v>
      </c>
      <c r="B287" s="71" t="s">
        <v>511</v>
      </c>
      <c r="C287" s="67">
        <v>43370</v>
      </c>
      <c r="D287" s="42">
        <v>323.80873140088022</v>
      </c>
      <c r="E287" s="42">
        <v>600.60413077918111</v>
      </c>
      <c r="F287" s="42">
        <v>0.27962318654558477</v>
      </c>
    </row>
    <row r="288" spans="1:6" x14ac:dyDescent="0.25">
      <c r="A288" s="52" t="s">
        <v>322</v>
      </c>
      <c r="B288" s="68" t="s">
        <v>512</v>
      </c>
      <c r="C288" s="65">
        <v>43370</v>
      </c>
      <c r="D288" s="42">
        <v>335.34407622409782</v>
      </c>
      <c r="E288" s="42">
        <v>602.42299293898327</v>
      </c>
      <c r="F288" s="42">
        <v>0.28027820625014144</v>
      </c>
    </row>
    <row r="289" spans="1:6" x14ac:dyDescent="0.25">
      <c r="A289" s="59" t="s">
        <v>325</v>
      </c>
      <c r="B289" s="68" t="s">
        <v>513</v>
      </c>
      <c r="C289" s="65">
        <v>43370</v>
      </c>
      <c r="D289" s="42" t="e">
        <v>#N/A</v>
      </c>
      <c r="E289" s="42" t="e">
        <v>#N/A</v>
      </c>
      <c r="F289" s="42" t="e">
        <v>#N/A</v>
      </c>
    </row>
    <row r="290" spans="1:6" x14ac:dyDescent="0.25">
      <c r="A290" s="52" t="s">
        <v>325</v>
      </c>
      <c r="B290" s="69" t="s">
        <v>514</v>
      </c>
      <c r="C290" s="65">
        <v>43370</v>
      </c>
      <c r="D290" s="42">
        <v>129.19164716100181</v>
      </c>
      <c r="E290" s="42">
        <v>35.872926236086471</v>
      </c>
      <c r="F290" s="42">
        <v>0.28698633110926097</v>
      </c>
    </row>
    <row r="291" spans="1:6" x14ac:dyDescent="0.25">
      <c r="A291" s="52" t="s">
        <v>325</v>
      </c>
      <c r="B291" s="68" t="s">
        <v>515</v>
      </c>
      <c r="C291" s="65">
        <v>43370</v>
      </c>
      <c r="D291" s="42">
        <v>279.83145556624112</v>
      </c>
      <c r="E291" s="42">
        <v>18.35891353664902</v>
      </c>
      <c r="F291" s="42">
        <v>0.28771100599190774</v>
      </c>
    </row>
    <row r="292" spans="1:6" x14ac:dyDescent="0.25">
      <c r="A292" s="52" t="s">
        <v>325</v>
      </c>
      <c r="B292" s="68" t="s">
        <v>516</v>
      </c>
      <c r="C292" s="65">
        <v>43370</v>
      </c>
      <c r="D292" s="42">
        <v>138.1317077478453</v>
      </c>
      <c r="E292" s="42">
        <v>34.902870201309653</v>
      </c>
      <c r="F292" s="42">
        <v>0.2875732670240817</v>
      </c>
    </row>
    <row r="293" spans="1:6" x14ac:dyDescent="0.25">
      <c r="A293" s="52" t="s">
        <v>329</v>
      </c>
      <c r="B293" s="68" t="s">
        <v>517</v>
      </c>
      <c r="C293" s="65">
        <v>43369</v>
      </c>
      <c r="D293" s="42">
        <v>325.5390012903664</v>
      </c>
      <c r="E293" s="42">
        <v>6.8677145519510896</v>
      </c>
      <c r="F293" s="42">
        <v>0.3173304037814676</v>
      </c>
    </row>
    <row r="294" spans="1:6" x14ac:dyDescent="0.25">
      <c r="A294" s="52" t="s">
        <v>329</v>
      </c>
      <c r="B294" s="68" t="s">
        <v>518</v>
      </c>
      <c r="C294" s="65">
        <v>43369</v>
      </c>
      <c r="D294" s="42">
        <v>318.07573667586172</v>
      </c>
      <c r="E294" s="42">
        <v>6.6197511107564617</v>
      </c>
      <c r="F294" s="42">
        <v>0.310672977399853</v>
      </c>
    </row>
    <row r="295" spans="1:6" x14ac:dyDescent="0.25">
      <c r="A295" s="52" t="s">
        <v>329</v>
      </c>
      <c r="B295" s="68" t="s">
        <v>519</v>
      </c>
      <c r="C295" s="65">
        <v>43369</v>
      </c>
      <c r="D295" s="42">
        <v>330.6598164208005</v>
      </c>
      <c r="E295" s="42">
        <v>6.4020509536132542</v>
      </c>
      <c r="F295" s="42">
        <v>0.30753935249507713</v>
      </c>
    </row>
    <row r="296" spans="1:6" x14ac:dyDescent="0.25">
      <c r="A296" s="52" t="s">
        <v>329</v>
      </c>
      <c r="B296" s="68" t="s">
        <v>520</v>
      </c>
      <c r="C296" s="65">
        <v>43369</v>
      </c>
      <c r="D296" s="42">
        <v>334.65774573906248</v>
      </c>
      <c r="E296" s="42">
        <v>6.7163535166686126</v>
      </c>
      <c r="F296" s="42">
        <v>0.31142137629369193</v>
      </c>
    </row>
    <row r="297" spans="1:6" x14ac:dyDescent="0.25">
      <c r="A297" s="52" t="s">
        <v>328</v>
      </c>
      <c r="B297" s="68" t="s">
        <v>521</v>
      </c>
      <c r="C297" s="65">
        <v>43369</v>
      </c>
      <c r="D297" s="42">
        <v>75.969542778079983</v>
      </c>
      <c r="E297" s="42">
        <v>14.557093504386881</v>
      </c>
      <c r="F297" s="42">
        <v>0.28830625452438896</v>
      </c>
    </row>
    <row r="298" spans="1:6" x14ac:dyDescent="0.25">
      <c r="A298" s="52" t="s">
        <v>328</v>
      </c>
      <c r="B298" s="68" t="s">
        <v>522</v>
      </c>
      <c r="C298" s="65">
        <v>43369</v>
      </c>
      <c r="D298" s="42">
        <v>80.464631862431546</v>
      </c>
      <c r="E298" s="42">
        <v>13.80510901258204</v>
      </c>
      <c r="F298" s="42">
        <v>0.28884280444328109</v>
      </c>
    </row>
    <row r="299" spans="1:6" x14ac:dyDescent="0.25">
      <c r="A299" s="52" t="s">
        <v>328</v>
      </c>
      <c r="B299" s="68" t="s">
        <v>523</v>
      </c>
      <c r="C299" s="65">
        <v>43369</v>
      </c>
      <c r="D299" s="42">
        <v>94.029598237420046</v>
      </c>
      <c r="E299" s="42">
        <v>13.14398023015514</v>
      </c>
      <c r="F299" s="42">
        <v>0.27483621151532472</v>
      </c>
    </row>
    <row r="300" spans="1:6" x14ac:dyDescent="0.25">
      <c r="A300" s="52" t="s">
        <v>328</v>
      </c>
      <c r="B300" s="68" t="s">
        <v>524</v>
      </c>
      <c r="C300" s="65">
        <v>43369</v>
      </c>
      <c r="D300" s="42" t="e">
        <v>#N/A</v>
      </c>
      <c r="E300" s="42" t="e">
        <v>#N/A</v>
      </c>
      <c r="F300" s="42" t="e">
        <v>#N/A</v>
      </c>
    </row>
    <row r="301" spans="1:6" x14ac:dyDescent="0.25">
      <c r="A301" s="52" t="s">
        <v>336</v>
      </c>
      <c r="B301" s="69" t="s">
        <v>525</v>
      </c>
      <c r="C301" s="65">
        <v>43369</v>
      </c>
      <c r="D301" s="42">
        <v>242.54512634989669</v>
      </c>
      <c r="E301" s="42">
        <v>170.59283081801439</v>
      </c>
      <c r="F301" s="42">
        <v>0.27757663561570389</v>
      </c>
    </row>
    <row r="302" spans="1:6" x14ac:dyDescent="0.25">
      <c r="A302" s="52" t="s">
        <v>336</v>
      </c>
      <c r="B302" s="68" t="s">
        <v>526</v>
      </c>
      <c r="C302" s="65">
        <v>43369</v>
      </c>
      <c r="D302" s="42">
        <v>242.44244526762071</v>
      </c>
      <c r="E302" s="42">
        <v>173.14925276598919</v>
      </c>
      <c r="F302" s="42">
        <v>0.28037266026353641</v>
      </c>
    </row>
    <row r="303" spans="1:6" x14ac:dyDescent="0.25">
      <c r="A303" s="52" t="s">
        <v>336</v>
      </c>
      <c r="B303" s="68" t="s">
        <v>527</v>
      </c>
      <c r="C303" s="65">
        <v>43369</v>
      </c>
      <c r="D303" s="42">
        <v>205.27199226903281</v>
      </c>
      <c r="E303" s="42">
        <v>166.95462195524411</v>
      </c>
      <c r="F303" s="42">
        <v>0.27481352461318381</v>
      </c>
    </row>
    <row r="304" spans="1:6" x14ac:dyDescent="0.25">
      <c r="A304" s="52" t="s">
        <v>336</v>
      </c>
      <c r="B304" s="68" t="s">
        <v>528</v>
      </c>
      <c r="C304" s="65">
        <v>43369</v>
      </c>
      <c r="D304" s="42">
        <v>191.1569062091088</v>
      </c>
      <c r="E304" s="42">
        <v>174.3327569917758</v>
      </c>
      <c r="F304" s="42">
        <v>0.27511788999586179</v>
      </c>
    </row>
    <row r="305" spans="1:6" x14ac:dyDescent="0.25">
      <c r="A305" s="51" t="s">
        <v>335</v>
      </c>
      <c r="B305" s="68" t="s">
        <v>473</v>
      </c>
      <c r="C305" s="65">
        <v>43369</v>
      </c>
      <c r="D305" s="42" t="s">
        <v>348</v>
      </c>
      <c r="E305" s="42" t="s">
        <v>348</v>
      </c>
      <c r="F305" s="42" t="s">
        <v>348</v>
      </c>
    </row>
    <row r="306" spans="1:6" x14ac:dyDescent="0.25">
      <c r="A306" s="52" t="s">
        <v>335</v>
      </c>
      <c r="B306" s="68" t="s">
        <v>474</v>
      </c>
      <c r="C306" s="65">
        <v>43369</v>
      </c>
      <c r="D306" s="42">
        <v>561.07673460568697</v>
      </c>
      <c r="E306" s="42">
        <v>89.607739992164184</v>
      </c>
      <c r="F306" s="42">
        <v>0.30099067657555606</v>
      </c>
    </row>
    <row r="307" spans="1:6" x14ac:dyDescent="0.25">
      <c r="A307" s="52" t="s">
        <v>335</v>
      </c>
      <c r="B307" s="68" t="s">
        <v>475</v>
      </c>
      <c r="C307" s="65">
        <v>43369</v>
      </c>
      <c r="D307" s="42">
        <v>526.49211917324658</v>
      </c>
      <c r="E307" s="42">
        <v>87.232363630823002</v>
      </c>
      <c r="F307" s="42">
        <v>0.29457976895131632</v>
      </c>
    </row>
    <row r="308" spans="1:6" x14ac:dyDescent="0.25">
      <c r="A308" s="52" t="s">
        <v>335</v>
      </c>
      <c r="B308" s="68" t="s">
        <v>476</v>
      </c>
      <c r="C308" s="65">
        <v>43369</v>
      </c>
      <c r="D308" s="42">
        <v>575.98959877405241</v>
      </c>
      <c r="E308" s="42">
        <v>135.72836861372701</v>
      </c>
      <c r="F308" s="42">
        <v>0.30285853216043923</v>
      </c>
    </row>
    <row r="309" spans="1:6" x14ac:dyDescent="0.25">
      <c r="A309" s="52" t="s">
        <v>333</v>
      </c>
      <c r="B309" s="68" t="s">
        <v>529</v>
      </c>
      <c r="C309" s="65">
        <v>43368</v>
      </c>
      <c r="D309" s="42">
        <v>646.6658730433403</v>
      </c>
      <c r="E309" s="42">
        <v>93.11127328467866</v>
      </c>
      <c r="F309" s="42">
        <v>0.30226014086225694</v>
      </c>
    </row>
    <row r="310" spans="1:6" x14ac:dyDescent="0.25">
      <c r="A310" s="52" t="s">
        <v>333</v>
      </c>
      <c r="B310" s="68" t="s">
        <v>530</v>
      </c>
      <c r="C310" s="65">
        <v>43368</v>
      </c>
      <c r="D310" s="42">
        <v>662.79131386736879</v>
      </c>
      <c r="E310" s="42">
        <v>93.226413115350937</v>
      </c>
      <c r="F310" s="42">
        <v>0.31265763004128344</v>
      </c>
    </row>
    <row r="311" spans="1:6" x14ac:dyDescent="0.25">
      <c r="A311" s="52" t="s">
        <v>333</v>
      </c>
      <c r="B311" s="68" t="s">
        <v>531</v>
      </c>
      <c r="C311" s="65">
        <v>43368</v>
      </c>
      <c r="D311" s="42">
        <v>630.78986412860115</v>
      </c>
      <c r="E311" s="42">
        <v>57.83121138091898</v>
      </c>
      <c r="F311" s="42">
        <v>0.30232562693933707</v>
      </c>
    </row>
    <row r="312" spans="1:6" x14ac:dyDescent="0.25">
      <c r="A312" s="52" t="s">
        <v>333</v>
      </c>
      <c r="B312" s="70" t="s">
        <v>532</v>
      </c>
      <c r="C312" s="67">
        <v>43368</v>
      </c>
      <c r="D312" s="42">
        <v>613.73474217775026</v>
      </c>
      <c r="E312" s="42">
        <v>52.950492549520682</v>
      </c>
      <c r="F312" s="42">
        <v>0.30088314925605958</v>
      </c>
    </row>
    <row r="313" spans="1:6" x14ac:dyDescent="0.25">
      <c r="A313" s="52" t="s">
        <v>334</v>
      </c>
      <c r="B313" s="68" t="s">
        <v>533</v>
      </c>
      <c r="C313" s="65">
        <v>43368</v>
      </c>
      <c r="D313" s="42">
        <v>789.75435191816518</v>
      </c>
      <c r="E313" s="42">
        <v>27.936534137499748</v>
      </c>
      <c r="F313" s="42">
        <v>0.46117301800862281</v>
      </c>
    </row>
    <row r="314" spans="1:6" x14ac:dyDescent="0.25">
      <c r="A314" s="52" t="s">
        <v>334</v>
      </c>
      <c r="B314" s="68" t="s">
        <v>534</v>
      </c>
      <c r="C314" s="65">
        <v>43368</v>
      </c>
      <c r="D314" s="42">
        <v>781.59336777565045</v>
      </c>
      <c r="E314" s="42">
        <v>28.194386511134802</v>
      </c>
      <c r="F314" s="42">
        <v>0.45824361350341802</v>
      </c>
    </row>
    <row r="315" spans="1:6" x14ac:dyDescent="0.25">
      <c r="A315" s="52" t="s">
        <v>334</v>
      </c>
      <c r="B315" s="68" t="s">
        <v>535</v>
      </c>
      <c r="C315" s="65">
        <v>43368</v>
      </c>
      <c r="D315" s="42">
        <v>630.10021612162018</v>
      </c>
      <c r="E315" s="42">
        <v>17.510308673838761</v>
      </c>
      <c r="F315" s="42">
        <v>0.3726101109849857</v>
      </c>
    </row>
    <row r="316" spans="1:6" x14ac:dyDescent="0.25">
      <c r="A316" s="52" t="s">
        <v>334</v>
      </c>
      <c r="B316" s="68" t="s">
        <v>536</v>
      </c>
      <c r="C316" s="65">
        <v>43368</v>
      </c>
      <c r="D316" s="42">
        <v>731.08651015155112</v>
      </c>
      <c r="E316" s="42">
        <v>26.801108489125799</v>
      </c>
      <c r="F316" s="42">
        <v>0.42476523173577907</v>
      </c>
    </row>
    <row r="317" spans="1:6" x14ac:dyDescent="0.25">
      <c r="A317" s="52" t="s">
        <v>332</v>
      </c>
      <c r="B317" s="68" t="s">
        <v>537</v>
      </c>
      <c r="C317" s="65">
        <v>43368</v>
      </c>
      <c r="D317" s="42">
        <v>1501.9122255675929</v>
      </c>
      <c r="E317" s="42">
        <v>95.77426851186253</v>
      </c>
      <c r="F317" s="42">
        <v>0.61982537760417922</v>
      </c>
    </row>
    <row r="318" spans="1:6" x14ac:dyDescent="0.25">
      <c r="A318" s="52" t="s">
        <v>332</v>
      </c>
      <c r="B318" s="68" t="s">
        <v>538</v>
      </c>
      <c r="C318" s="65">
        <v>43368</v>
      </c>
      <c r="D318" s="42">
        <v>1501.628298653236</v>
      </c>
      <c r="E318" s="42">
        <v>95.469118131662583</v>
      </c>
      <c r="F318" s="42">
        <v>0.61473108085991413</v>
      </c>
    </row>
    <row r="319" spans="1:6" x14ac:dyDescent="0.25">
      <c r="A319" s="52" t="s">
        <v>332</v>
      </c>
      <c r="B319" s="68" t="s">
        <v>539</v>
      </c>
      <c r="C319" s="65">
        <v>43368</v>
      </c>
      <c r="D319" s="42">
        <v>1501.54842006235</v>
      </c>
      <c r="E319" s="42">
        <v>100.21102601414179</v>
      </c>
      <c r="F319" s="42">
        <v>0.78434717324361447</v>
      </c>
    </row>
    <row r="320" spans="1:6" x14ac:dyDescent="0.25">
      <c r="A320" s="52" t="s">
        <v>332</v>
      </c>
      <c r="B320" s="68" t="s">
        <v>540</v>
      </c>
      <c r="C320" s="65">
        <v>43368</v>
      </c>
      <c r="D320" s="42">
        <v>1469.583515164762</v>
      </c>
      <c r="E320" s="42">
        <v>95.334576990480556</v>
      </c>
      <c r="F320" s="42">
        <v>0.5987258827598092</v>
      </c>
    </row>
    <row r="321" spans="1:6" x14ac:dyDescent="0.25">
      <c r="A321" s="52" t="s">
        <v>331</v>
      </c>
      <c r="B321" s="64" t="s">
        <v>541</v>
      </c>
      <c r="C321" s="65">
        <v>43368</v>
      </c>
      <c r="D321" s="42">
        <v>179.1846481937815</v>
      </c>
      <c r="E321" s="42">
        <v>83.827488390635509</v>
      </c>
      <c r="F321" s="42">
        <v>0.26207812035851785</v>
      </c>
    </row>
    <row r="322" spans="1:6" x14ac:dyDescent="0.25">
      <c r="A322" s="52" t="s">
        <v>331</v>
      </c>
      <c r="B322" s="64" t="s">
        <v>542</v>
      </c>
      <c r="C322" s="65">
        <v>43368</v>
      </c>
      <c r="D322" s="42">
        <v>193.526487956376</v>
      </c>
      <c r="E322" s="42">
        <v>84.102089668846034</v>
      </c>
      <c r="F322" s="42">
        <v>0.2633241290566069</v>
      </c>
    </row>
    <row r="323" spans="1:6" x14ac:dyDescent="0.25">
      <c r="A323" s="52" t="s">
        <v>331</v>
      </c>
      <c r="B323" s="64" t="s">
        <v>543</v>
      </c>
      <c r="C323" s="65">
        <v>43368</v>
      </c>
      <c r="D323" s="42">
        <v>188.37662579181131</v>
      </c>
      <c r="E323" s="42">
        <v>77.379408429946025</v>
      </c>
      <c r="F323" s="42">
        <v>0.25966843115290572</v>
      </c>
    </row>
    <row r="324" spans="1:6" x14ac:dyDescent="0.25">
      <c r="A324" s="52" t="s">
        <v>331</v>
      </c>
      <c r="B324" s="64" t="s">
        <v>544</v>
      </c>
      <c r="C324" s="65">
        <v>43368</v>
      </c>
      <c r="D324" s="42">
        <v>189.76261432244669</v>
      </c>
      <c r="E324" s="42">
        <v>77.689596315203602</v>
      </c>
      <c r="F324" s="42">
        <v>0.26590218309468427</v>
      </c>
    </row>
    <row r="325" spans="1:6" x14ac:dyDescent="0.25">
      <c r="A325" s="52" t="s">
        <v>330</v>
      </c>
      <c r="B325" s="64" t="s">
        <v>545</v>
      </c>
      <c r="C325" s="65">
        <v>43368</v>
      </c>
      <c r="D325" s="42">
        <v>503.6260614082002</v>
      </c>
      <c r="E325" s="42">
        <v>177.18935449293849</v>
      </c>
      <c r="F325" s="42">
        <v>0.27809953821556288</v>
      </c>
    </row>
    <row r="326" spans="1:6" x14ac:dyDescent="0.25">
      <c r="A326" s="52" t="s">
        <v>330</v>
      </c>
      <c r="B326" s="64" t="s">
        <v>546</v>
      </c>
      <c r="C326" s="65">
        <v>43368</v>
      </c>
      <c r="D326" s="42">
        <v>546.95850249271598</v>
      </c>
      <c r="E326" s="42">
        <v>176.36490855372989</v>
      </c>
      <c r="F326" s="42">
        <v>0.2844627810956612</v>
      </c>
    </row>
    <row r="327" spans="1:6" x14ac:dyDescent="0.25">
      <c r="A327" s="52" t="s">
        <v>330</v>
      </c>
      <c r="B327" s="64" t="s">
        <v>547</v>
      </c>
      <c r="C327" s="65">
        <v>43368</v>
      </c>
      <c r="D327" s="42">
        <v>496.79973135818852</v>
      </c>
      <c r="E327" s="42">
        <v>178.53371973623109</v>
      </c>
      <c r="F327" s="42">
        <v>0.2743522804462642</v>
      </c>
    </row>
    <row r="328" spans="1:6" x14ac:dyDescent="0.25">
      <c r="A328" s="52" t="s">
        <v>330</v>
      </c>
      <c r="B328" s="64" t="s">
        <v>548</v>
      </c>
      <c r="C328" s="65">
        <v>43368</v>
      </c>
      <c r="D328" s="42">
        <v>558.80031623972764</v>
      </c>
      <c r="E328" s="42">
        <v>108.85740054111621</v>
      </c>
      <c r="F328" s="42">
        <v>0.28625327123230532</v>
      </c>
    </row>
    <row r="329" spans="1:6" x14ac:dyDescent="0.25">
      <c r="A329" s="52" t="s">
        <v>338</v>
      </c>
      <c r="B329" s="64" t="s">
        <v>549</v>
      </c>
      <c r="C329" s="65">
        <v>43367</v>
      </c>
      <c r="D329" s="42">
        <v>550.82130636348711</v>
      </c>
      <c r="E329" s="42">
        <v>214.51121759118061</v>
      </c>
      <c r="F329" s="42">
        <v>0.27231970861971411</v>
      </c>
    </row>
    <row r="330" spans="1:6" x14ac:dyDescent="0.25">
      <c r="A330" s="52" t="s">
        <v>338</v>
      </c>
      <c r="B330" s="66" t="s">
        <v>550</v>
      </c>
      <c r="C330" s="67">
        <v>43367</v>
      </c>
      <c r="D330" s="42">
        <v>544.3214598983393</v>
      </c>
      <c r="E330" s="42">
        <v>214.21004624725421</v>
      </c>
      <c r="F330" s="42">
        <v>0.2731491034201658</v>
      </c>
    </row>
    <row r="331" spans="1:6" x14ac:dyDescent="0.25">
      <c r="A331" s="52" t="s">
        <v>338</v>
      </c>
      <c r="B331" s="64" t="s">
        <v>551</v>
      </c>
      <c r="C331" s="65">
        <v>43367</v>
      </c>
      <c r="D331" s="42">
        <v>558.08502479765798</v>
      </c>
      <c r="E331" s="42">
        <v>131.42759165399531</v>
      </c>
      <c r="F331" s="42">
        <v>0.27459264400361705</v>
      </c>
    </row>
    <row r="332" spans="1:6" x14ac:dyDescent="0.25">
      <c r="A332" s="52" t="s">
        <v>338</v>
      </c>
      <c r="B332" s="64" t="s">
        <v>552</v>
      </c>
      <c r="C332" s="65">
        <v>43367</v>
      </c>
      <c r="D332" s="42">
        <v>589.33516016026783</v>
      </c>
      <c r="E332" s="42">
        <v>212.28425930943479</v>
      </c>
      <c r="F332" s="42">
        <v>0.2682723611004359</v>
      </c>
    </row>
    <row r="333" spans="1:6" x14ac:dyDescent="0.25">
      <c r="A333" s="52" t="s">
        <v>323</v>
      </c>
      <c r="B333" s="64" t="s">
        <v>553</v>
      </c>
      <c r="C333" s="65">
        <v>43367</v>
      </c>
      <c r="D333" s="42">
        <v>2384.5720907446362</v>
      </c>
      <c r="E333" s="42">
        <v>70.965056017310602</v>
      </c>
      <c r="F333" s="42">
        <v>0.21575816644220353</v>
      </c>
    </row>
    <row r="334" spans="1:6" x14ac:dyDescent="0.25">
      <c r="A334" s="52" t="s">
        <v>323</v>
      </c>
      <c r="B334" s="66" t="s">
        <v>554</v>
      </c>
      <c r="C334" s="67">
        <v>43367</v>
      </c>
      <c r="D334" s="42">
        <v>2380.4892362181181</v>
      </c>
      <c r="E334" s="42">
        <v>70.567483504612994</v>
      </c>
      <c r="F334" s="42">
        <v>0.22248879213501485</v>
      </c>
    </row>
    <row r="335" spans="1:6" x14ac:dyDescent="0.25">
      <c r="A335" s="52" t="s">
        <v>323</v>
      </c>
      <c r="B335" s="64" t="s">
        <v>555</v>
      </c>
      <c r="C335" s="65">
        <v>43367</v>
      </c>
      <c r="D335" s="42">
        <v>2332.3524417772001</v>
      </c>
      <c r="E335" s="42">
        <v>74.973901952943436</v>
      </c>
      <c r="F335" s="42">
        <v>0.21970802086945054</v>
      </c>
    </row>
    <row r="336" spans="1:6" x14ac:dyDescent="0.25">
      <c r="A336" s="52" t="s">
        <v>323</v>
      </c>
      <c r="B336" s="64" t="s">
        <v>556</v>
      </c>
      <c r="C336" s="65">
        <v>43367</v>
      </c>
      <c r="D336" s="42">
        <v>2365.2994581924431</v>
      </c>
      <c r="E336" s="42">
        <v>75.757416936839249</v>
      </c>
      <c r="F336" s="42">
        <v>0.22073967156284735</v>
      </c>
    </row>
    <row r="337" spans="1:6" x14ac:dyDescent="0.25">
      <c r="A337" s="52" t="s">
        <v>327</v>
      </c>
      <c r="B337" s="64" t="s">
        <v>557</v>
      </c>
      <c r="C337" s="65">
        <v>43367</v>
      </c>
      <c r="D337" s="42">
        <v>687.66030824457619</v>
      </c>
      <c r="E337" s="42">
        <v>172.51805528092359</v>
      </c>
      <c r="F337" s="42">
        <v>0.27238877003688022</v>
      </c>
    </row>
    <row r="338" spans="1:6" x14ac:dyDescent="0.25">
      <c r="A338" s="52" t="s">
        <v>327</v>
      </c>
      <c r="B338" s="64" t="s">
        <v>558</v>
      </c>
      <c r="C338" s="65">
        <v>43367</v>
      </c>
      <c r="D338" s="42">
        <v>697.20304146359388</v>
      </c>
      <c r="E338" s="42">
        <v>172.19057153727991</v>
      </c>
      <c r="F338" s="42">
        <v>0.27610276687412305</v>
      </c>
    </row>
    <row r="339" spans="1:6" x14ac:dyDescent="0.25">
      <c r="A339" s="52" t="s">
        <v>327</v>
      </c>
      <c r="B339" s="64" t="s">
        <v>559</v>
      </c>
      <c r="C339" s="65">
        <v>43367</v>
      </c>
      <c r="D339" s="42">
        <v>710.95071329206075</v>
      </c>
      <c r="E339" s="42">
        <v>189.32858330634139</v>
      </c>
      <c r="F339" s="42">
        <v>0.27129170749834591</v>
      </c>
    </row>
    <row r="340" spans="1:6" x14ac:dyDescent="0.25">
      <c r="A340" s="52" t="s">
        <v>327</v>
      </c>
      <c r="B340" s="64" t="s">
        <v>560</v>
      </c>
      <c r="C340" s="65">
        <v>43367</v>
      </c>
      <c r="D340" s="42">
        <v>725.35477495320026</v>
      </c>
      <c r="E340" s="42">
        <v>187.82178772404009</v>
      </c>
      <c r="F340" s="42">
        <v>0.27653447009149518</v>
      </c>
    </row>
    <row r="341" spans="1:6" x14ac:dyDescent="0.25">
      <c r="A341" s="52" t="s">
        <v>326</v>
      </c>
      <c r="B341" s="64" t="s">
        <v>561</v>
      </c>
      <c r="C341" s="65">
        <v>43367</v>
      </c>
      <c r="D341" s="42">
        <v>1039.334332641529</v>
      </c>
      <c r="E341" s="42">
        <v>138.14216339372811</v>
      </c>
      <c r="F341" s="42">
        <v>0.29804571532455809</v>
      </c>
    </row>
    <row r="342" spans="1:6" x14ac:dyDescent="0.25">
      <c r="A342" s="52" t="s">
        <v>326</v>
      </c>
      <c r="B342" s="64" t="s">
        <v>562</v>
      </c>
      <c r="C342" s="65">
        <v>43367</v>
      </c>
      <c r="D342" s="42">
        <v>1045.8800891213041</v>
      </c>
      <c r="E342" s="42">
        <v>138.8747435050723</v>
      </c>
      <c r="F342" s="42">
        <v>0.29955787040662163</v>
      </c>
    </row>
    <row r="343" spans="1:6" x14ac:dyDescent="0.25">
      <c r="A343" s="52" t="s">
        <v>326</v>
      </c>
      <c r="B343" s="64" t="s">
        <v>563</v>
      </c>
      <c r="C343" s="65">
        <v>43367</v>
      </c>
      <c r="D343" s="42">
        <v>1015.6481577982501</v>
      </c>
      <c r="E343" s="42">
        <v>136.369716459355</v>
      </c>
      <c r="F343" s="42">
        <v>0.28951437288133597</v>
      </c>
    </row>
    <row r="344" spans="1:6" x14ac:dyDescent="0.25">
      <c r="A344" s="51" t="s">
        <v>326</v>
      </c>
      <c r="B344" s="64" t="s">
        <v>564</v>
      </c>
      <c r="C344" s="65">
        <v>43367</v>
      </c>
      <c r="D344" s="42">
        <v>798.0845924328446</v>
      </c>
      <c r="E344" s="42">
        <v>78.898657661625947</v>
      </c>
      <c r="F344" s="42">
        <v>0.29117851666174616</v>
      </c>
    </row>
    <row r="345" spans="1:6" x14ac:dyDescent="0.25">
      <c r="A345" s="51" t="s">
        <v>58</v>
      </c>
      <c r="B345" s="64" t="s">
        <v>565</v>
      </c>
      <c r="C345" s="65">
        <v>43372</v>
      </c>
      <c r="D345" s="42">
        <v>507.00045569203888</v>
      </c>
      <c r="E345" s="42">
        <v>48.858354815729292</v>
      </c>
      <c r="F345" s="42">
        <v>0.35907132684775322</v>
      </c>
    </row>
    <row r="346" spans="1:6" x14ac:dyDescent="0.25">
      <c r="A346" s="51" t="s">
        <v>58</v>
      </c>
      <c r="B346" s="69" t="s">
        <v>566</v>
      </c>
      <c r="C346" s="65">
        <v>43372</v>
      </c>
      <c r="D346" s="42">
        <v>540.93315087106919</v>
      </c>
      <c r="E346" s="42">
        <v>51.839832870282351</v>
      </c>
      <c r="F346" s="42">
        <v>0.36453507181126205</v>
      </c>
    </row>
    <row r="347" spans="1:6" x14ac:dyDescent="0.25">
      <c r="A347" s="51" t="s">
        <v>58</v>
      </c>
      <c r="B347" s="69" t="s">
        <v>567</v>
      </c>
      <c r="C347" s="65">
        <v>43372</v>
      </c>
      <c r="D347" s="42">
        <v>502.64403708159563</v>
      </c>
      <c r="E347" s="42">
        <v>50.30471004424669</v>
      </c>
      <c r="F347" s="42">
        <v>0.3495151789677281</v>
      </c>
    </row>
    <row r="348" spans="1:6" x14ac:dyDescent="0.25">
      <c r="A348" s="51" t="s">
        <v>58</v>
      </c>
      <c r="B348" s="69" t="s">
        <v>568</v>
      </c>
      <c r="C348" s="65">
        <v>43372</v>
      </c>
      <c r="D348" s="42">
        <v>499.8968967664652</v>
      </c>
      <c r="E348" s="42">
        <v>51.305382087391379</v>
      </c>
      <c r="F348" s="42">
        <v>0.35416953307961613</v>
      </c>
    </row>
    <row r="349" spans="1:6" x14ac:dyDescent="0.25">
      <c r="A349" s="51" t="s">
        <v>337</v>
      </c>
      <c r="B349" s="69" t="s">
        <v>569</v>
      </c>
      <c r="C349" s="65">
        <v>43372</v>
      </c>
      <c r="D349" s="42">
        <v>79.45206070074201</v>
      </c>
      <c r="E349" s="42">
        <v>13.22646458380834</v>
      </c>
      <c r="F349" s="42">
        <v>0.30559519377631772</v>
      </c>
    </row>
    <row r="350" spans="1:6" x14ac:dyDescent="0.25">
      <c r="A350" s="51" t="s">
        <v>337</v>
      </c>
      <c r="B350" s="69" t="s">
        <v>570</v>
      </c>
      <c r="C350" s="65">
        <v>43372</v>
      </c>
      <c r="D350" s="42">
        <v>100.9274727828615</v>
      </c>
      <c r="E350" s="42">
        <v>13.258857859484239</v>
      </c>
      <c r="F350" s="42">
        <v>0.30900225429759393</v>
      </c>
    </row>
    <row r="351" spans="1:6" x14ac:dyDescent="0.25">
      <c r="A351" s="51" t="s">
        <v>337</v>
      </c>
      <c r="B351" s="69" t="s">
        <v>571</v>
      </c>
      <c r="C351" s="65">
        <v>43372</v>
      </c>
      <c r="D351" s="42">
        <v>71.288436717521193</v>
      </c>
      <c r="E351" s="42">
        <v>13.173484089882169</v>
      </c>
      <c r="F351" s="42">
        <v>0.29005485800380432</v>
      </c>
    </row>
    <row r="352" spans="1:6" x14ac:dyDescent="0.25">
      <c r="A352" s="51" t="s">
        <v>337</v>
      </c>
      <c r="B352" s="69" t="s">
        <v>572</v>
      </c>
      <c r="C352" s="65">
        <v>43372</v>
      </c>
      <c r="D352" s="42">
        <v>195.38713374431549</v>
      </c>
      <c r="E352" s="42">
        <v>10.15549052284927</v>
      </c>
      <c r="F352" s="42">
        <v>0.29077362649702115</v>
      </c>
    </row>
    <row r="353" spans="1:2" x14ac:dyDescent="0.25">
      <c r="B353" s="69"/>
    </row>
    <row r="354" spans="1:2" x14ac:dyDescent="0.25">
      <c r="B354" s="69"/>
    </row>
    <row r="355" spans="1:2" x14ac:dyDescent="0.25">
      <c r="B355" s="69"/>
    </row>
    <row r="356" spans="1:2" x14ac:dyDescent="0.25">
      <c r="B356" s="69"/>
    </row>
    <row r="357" spans="1:2" x14ac:dyDescent="0.25">
      <c r="A357" s="51"/>
      <c r="B357" s="69"/>
    </row>
    <row r="358" spans="1:2" x14ac:dyDescent="0.25">
      <c r="B358" s="69"/>
    </row>
    <row r="359" spans="1:2" x14ac:dyDescent="0.25">
      <c r="B359" s="69"/>
    </row>
    <row r="360" spans="1:2" x14ac:dyDescent="0.25">
      <c r="B360" s="69"/>
    </row>
    <row r="361" spans="1:2" x14ac:dyDescent="0.25">
      <c r="B361" s="69"/>
    </row>
    <row r="362" spans="1:2" x14ac:dyDescent="0.25">
      <c r="A362" s="59"/>
      <c r="B362" s="69"/>
    </row>
    <row r="363" spans="1:2" x14ac:dyDescent="0.25">
      <c r="B363" s="69"/>
    </row>
    <row r="364" spans="1:2" x14ac:dyDescent="0.25">
      <c r="B364" s="69"/>
    </row>
    <row r="365" spans="1:2" x14ac:dyDescent="0.25">
      <c r="B365" s="69"/>
    </row>
    <row r="366" spans="1:2" x14ac:dyDescent="0.25">
      <c r="B366" s="69"/>
    </row>
    <row r="367" spans="1:2" x14ac:dyDescent="0.25">
      <c r="B367" s="69"/>
    </row>
    <row r="368" spans="1:2" x14ac:dyDescent="0.25">
      <c r="B368" s="69"/>
    </row>
    <row r="369" spans="1:2" x14ac:dyDescent="0.25">
      <c r="B369" s="69"/>
    </row>
    <row r="370" spans="1:2" x14ac:dyDescent="0.25">
      <c r="B370" s="69"/>
    </row>
    <row r="371" spans="1:2" x14ac:dyDescent="0.25">
      <c r="B371" s="69"/>
    </row>
    <row r="372" spans="1:2" x14ac:dyDescent="0.25">
      <c r="B372" s="69"/>
    </row>
    <row r="373" spans="1:2" x14ac:dyDescent="0.25">
      <c r="B373" s="69"/>
    </row>
    <row r="374" spans="1:2" x14ac:dyDescent="0.25">
      <c r="B374" s="69"/>
    </row>
    <row r="375" spans="1:2" x14ac:dyDescent="0.25">
      <c r="B375" s="69"/>
    </row>
    <row r="376" spans="1:2" x14ac:dyDescent="0.25">
      <c r="B376" s="69"/>
    </row>
    <row r="377" spans="1:2" x14ac:dyDescent="0.25">
      <c r="B377" s="69"/>
    </row>
    <row r="378" spans="1:2" x14ac:dyDescent="0.25">
      <c r="B378" s="69"/>
    </row>
    <row r="379" spans="1:2" x14ac:dyDescent="0.25">
      <c r="B379" s="69"/>
    </row>
    <row r="380" spans="1:2" x14ac:dyDescent="0.25">
      <c r="B380" s="69"/>
    </row>
    <row r="381" spans="1:2" x14ac:dyDescent="0.25">
      <c r="B381" s="69"/>
    </row>
    <row r="382" spans="1:2" x14ac:dyDescent="0.25">
      <c r="A382" s="51"/>
      <c r="B382" s="69"/>
    </row>
    <row r="383" spans="1:2" x14ac:dyDescent="0.25">
      <c r="B383" s="69"/>
    </row>
    <row r="384" spans="1:2" x14ac:dyDescent="0.25">
      <c r="B384" s="69"/>
    </row>
    <row r="385" spans="2:2" x14ac:dyDescent="0.25">
      <c r="B385" s="69"/>
    </row>
    <row r="386" spans="2:2" x14ac:dyDescent="0.25">
      <c r="B386" s="69"/>
    </row>
    <row r="387" spans="2:2" x14ac:dyDescent="0.25">
      <c r="B387" s="69"/>
    </row>
    <row r="388" spans="2:2" x14ac:dyDescent="0.25">
      <c r="B388" s="69"/>
    </row>
    <row r="389" spans="2:2" x14ac:dyDescent="0.25">
      <c r="B389" s="69"/>
    </row>
    <row r="390" spans="2:2" x14ac:dyDescent="0.25">
      <c r="B390" s="69"/>
    </row>
    <row r="391" spans="2:2" x14ac:dyDescent="0.25">
      <c r="B391" s="69"/>
    </row>
    <row r="392" spans="2:2" x14ac:dyDescent="0.25">
      <c r="B392" s="69"/>
    </row>
    <row r="393" spans="2:2" x14ac:dyDescent="0.25">
      <c r="B393" s="69"/>
    </row>
    <row r="394" spans="2:2" x14ac:dyDescent="0.25">
      <c r="B394" s="69"/>
    </row>
    <row r="395" spans="2:2" x14ac:dyDescent="0.25">
      <c r="B395" s="69"/>
    </row>
    <row r="396" spans="2:2" x14ac:dyDescent="0.25">
      <c r="B396" s="69"/>
    </row>
    <row r="397" spans="2:2" x14ac:dyDescent="0.25">
      <c r="B397" s="69"/>
    </row>
    <row r="398" spans="2:2" x14ac:dyDescent="0.25">
      <c r="B398" s="69"/>
    </row>
    <row r="399" spans="2:2" x14ac:dyDescent="0.25">
      <c r="B399" s="69"/>
    </row>
    <row r="400" spans="2:2" x14ac:dyDescent="0.25">
      <c r="B400" s="69"/>
    </row>
    <row r="401" spans="2:2" x14ac:dyDescent="0.25">
      <c r="B401" s="69"/>
    </row>
    <row r="402" spans="2:2" x14ac:dyDescent="0.25">
      <c r="B402" s="69"/>
    </row>
    <row r="403" spans="2:2" x14ac:dyDescent="0.25">
      <c r="B403" s="69"/>
    </row>
    <row r="404" spans="2:2" x14ac:dyDescent="0.25">
      <c r="B404" s="69"/>
    </row>
    <row r="405" spans="2:2" x14ac:dyDescent="0.25">
      <c r="B405" s="69"/>
    </row>
    <row r="406" spans="2:2" x14ac:dyDescent="0.25">
      <c r="B406" s="69"/>
    </row>
    <row r="407" spans="2:2" x14ac:dyDescent="0.25">
      <c r="B407" s="69"/>
    </row>
    <row r="408" spans="2:2" x14ac:dyDescent="0.25">
      <c r="B408" s="69"/>
    </row>
    <row r="409" spans="2:2" x14ac:dyDescent="0.25">
      <c r="B409" s="69"/>
    </row>
    <row r="410" spans="2:2" x14ac:dyDescent="0.25">
      <c r="B410" s="69"/>
    </row>
    <row r="411" spans="2:2" x14ac:dyDescent="0.25">
      <c r="B411" s="69"/>
    </row>
    <row r="412" spans="2:2" x14ac:dyDescent="0.25">
      <c r="B412" s="69"/>
    </row>
    <row r="413" spans="2:2" x14ac:dyDescent="0.25">
      <c r="B413" s="69"/>
    </row>
    <row r="414" spans="2:2" x14ac:dyDescent="0.25">
      <c r="B414" s="69"/>
    </row>
    <row r="415" spans="2:2" x14ac:dyDescent="0.25">
      <c r="B415" s="69"/>
    </row>
    <row r="416" spans="2:2" x14ac:dyDescent="0.25">
      <c r="B416" s="69"/>
    </row>
    <row r="417" spans="1:2" x14ac:dyDescent="0.25">
      <c r="B417" s="69"/>
    </row>
    <row r="418" spans="1:2" x14ac:dyDescent="0.25">
      <c r="B418" s="69"/>
    </row>
    <row r="419" spans="1:2" x14ac:dyDescent="0.25">
      <c r="B419" s="69"/>
    </row>
    <row r="420" spans="1:2" x14ac:dyDescent="0.25">
      <c r="B420" s="69"/>
    </row>
    <row r="421" spans="1:2" x14ac:dyDescent="0.25">
      <c r="B421" s="69"/>
    </row>
    <row r="422" spans="1:2" x14ac:dyDescent="0.25">
      <c r="B422" s="69"/>
    </row>
    <row r="423" spans="1:2" x14ac:dyDescent="0.25">
      <c r="B423" s="69"/>
    </row>
    <row r="424" spans="1:2" x14ac:dyDescent="0.25">
      <c r="B424" s="69"/>
    </row>
    <row r="425" spans="1:2" x14ac:dyDescent="0.25">
      <c r="B425" s="69"/>
    </row>
    <row r="426" spans="1:2" x14ac:dyDescent="0.25">
      <c r="B426" s="69"/>
    </row>
    <row r="427" spans="1:2" x14ac:dyDescent="0.25">
      <c r="B427" s="69"/>
    </row>
    <row r="428" spans="1:2" x14ac:dyDescent="0.25">
      <c r="B428" s="69"/>
    </row>
    <row r="429" spans="1:2" x14ac:dyDescent="0.25">
      <c r="B429" s="69"/>
    </row>
    <row r="430" spans="1:2" x14ac:dyDescent="0.25">
      <c r="A430" s="51"/>
      <c r="B430" s="69"/>
    </row>
    <row r="431" spans="1:2" x14ac:dyDescent="0.25">
      <c r="A431" s="51"/>
      <c r="B431" s="69"/>
    </row>
    <row r="432" spans="1:2" x14ac:dyDescent="0.25">
      <c r="A432" s="51"/>
      <c r="B432" s="69"/>
    </row>
    <row r="433" spans="1:2" x14ac:dyDescent="0.25">
      <c r="A433" s="51"/>
      <c r="B433" s="69"/>
    </row>
    <row r="434" spans="1:2" x14ac:dyDescent="0.25">
      <c r="A434" s="51"/>
      <c r="B434" s="69"/>
    </row>
    <row r="435" spans="1:2" x14ac:dyDescent="0.25">
      <c r="A435" s="51"/>
      <c r="B435" s="69"/>
    </row>
    <row r="436" spans="1:2" x14ac:dyDescent="0.25">
      <c r="A436" s="51"/>
      <c r="B436" s="69"/>
    </row>
    <row r="437" spans="1:2" x14ac:dyDescent="0.25">
      <c r="A437" s="51"/>
      <c r="B437" s="69"/>
    </row>
    <row r="438" spans="1:2" x14ac:dyDescent="0.25">
      <c r="A438" s="51"/>
      <c r="B438" s="69"/>
    </row>
    <row r="439" spans="1:2" x14ac:dyDescent="0.25">
      <c r="A439" s="51"/>
      <c r="B439" s="69"/>
    </row>
    <row r="440" spans="1:2" x14ac:dyDescent="0.25">
      <c r="A440" s="51"/>
      <c r="B440" s="6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B6" sqref="B6"/>
    </sheetView>
  </sheetViews>
  <sheetFormatPr defaultRowHeight="15" x14ac:dyDescent="0.25"/>
  <cols>
    <col min="1" max="1" width="21.7109375" customWidth="1"/>
  </cols>
  <sheetData>
    <row r="1" spans="1:3" x14ac:dyDescent="0.25">
      <c r="A1" t="s">
        <v>125</v>
      </c>
    </row>
    <row r="2" spans="1:3" x14ac:dyDescent="0.25">
      <c r="A2" t="s">
        <v>63</v>
      </c>
      <c r="B2">
        <f>AVERAGE(0.33039, 0.3307)</f>
        <v>0.33054499999999998</v>
      </c>
      <c r="C2" t="s">
        <v>124</v>
      </c>
    </row>
    <row r="3" spans="1:3" x14ac:dyDescent="0.25">
      <c r="A3" t="s">
        <v>64</v>
      </c>
      <c r="B3">
        <f>AVERAGE(407.07, 405.07)</f>
        <v>406.07</v>
      </c>
      <c r="C3" t="s">
        <v>126</v>
      </c>
    </row>
    <row r="4" spans="1:3" x14ac:dyDescent="0.25">
      <c r="A4" t="s">
        <v>65</v>
      </c>
      <c r="B4">
        <f>AVERAGE(1.8485, 1.84636)</f>
        <v>1.8474300000000001</v>
      </c>
    </row>
    <row r="5" spans="1:3" x14ac:dyDescent="0.25">
      <c r="A5" t="s">
        <v>107</v>
      </c>
      <c r="B5">
        <v>706.99</v>
      </c>
    </row>
    <row r="6" spans="1:3" x14ac:dyDescent="0.25">
      <c r="A6" t="s">
        <v>85</v>
      </c>
      <c r="B6">
        <f>AVERAGE(Atm!G2:G89)</f>
        <v>0.32200204339688482</v>
      </c>
    </row>
    <row r="7" spans="1:3" x14ac:dyDescent="0.25">
      <c r="A7" t="s">
        <v>86</v>
      </c>
      <c r="B7">
        <f>AVERAGE(Atm!E3:E90)</f>
        <v>439.53909969160793</v>
      </c>
    </row>
    <row r="8" spans="1:3" x14ac:dyDescent="0.25">
      <c r="A8" t="s">
        <v>87</v>
      </c>
      <c r="B8">
        <f>AVERAGE(Atm!F4:F91)</f>
        <v>2.8198877436638825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1"/>
  <sheetViews>
    <sheetView workbookViewId="0">
      <selection activeCell="I9" sqref="I9"/>
    </sheetView>
  </sheetViews>
  <sheetFormatPr defaultRowHeight="15" x14ac:dyDescent="0.25"/>
  <cols>
    <col min="1" max="1" width="8.42578125" customWidth="1"/>
    <col min="2" max="2" width="11.28515625" customWidth="1"/>
    <col min="4" max="4" width="8.7109375" style="15"/>
    <col min="8" max="8" width="8.85546875" style="52"/>
    <col min="9" max="9" width="9.85546875" bestFit="1" customWidth="1"/>
    <col min="10" max="10" width="8.7109375" bestFit="1" customWidth="1"/>
  </cols>
  <sheetData>
    <row r="1" spans="1:10" x14ac:dyDescent="0.25">
      <c r="A1" t="s">
        <v>89</v>
      </c>
      <c r="B1" t="s">
        <v>346</v>
      </c>
      <c r="C1" t="s">
        <v>122</v>
      </c>
      <c r="D1" s="15" t="s">
        <v>88</v>
      </c>
      <c r="E1" t="s">
        <v>90</v>
      </c>
      <c r="H1" s="76"/>
      <c r="I1" s="46"/>
      <c r="J1" s="46"/>
    </row>
    <row r="2" spans="1:10" x14ac:dyDescent="0.25">
      <c r="A2" s="52" t="s">
        <v>58</v>
      </c>
      <c r="B2" s="61">
        <v>43216</v>
      </c>
      <c r="C2" t="str">
        <f t="shared" ref="C2:C33" si="0">A2&amp;B2</f>
        <v>14A43216</v>
      </c>
      <c r="D2">
        <v>44.7</v>
      </c>
      <c r="E2">
        <f t="shared" ref="E2:E65" si="1">D2*1000/60/60</f>
        <v>12.416666666666666</v>
      </c>
      <c r="I2" s="61"/>
    </row>
    <row r="3" spans="1:10" x14ac:dyDescent="0.25">
      <c r="A3" s="52" t="s">
        <v>337</v>
      </c>
      <c r="B3" s="61">
        <v>43216</v>
      </c>
      <c r="C3" t="str">
        <f t="shared" si="0"/>
        <v>14B43216</v>
      </c>
      <c r="D3">
        <v>29</v>
      </c>
      <c r="E3">
        <f t="shared" si="1"/>
        <v>8.0555555555555554</v>
      </c>
      <c r="I3" s="61"/>
    </row>
    <row r="4" spans="1:10" x14ac:dyDescent="0.25">
      <c r="A4" s="52" t="s">
        <v>478</v>
      </c>
      <c r="B4" s="61">
        <v>43214</v>
      </c>
      <c r="C4" t="str">
        <f t="shared" si="0"/>
        <v>23A43214</v>
      </c>
      <c r="D4">
        <v>9.3000000000000007</v>
      </c>
      <c r="E4">
        <f t="shared" si="1"/>
        <v>2.5833333333333335</v>
      </c>
      <c r="I4" s="61"/>
    </row>
    <row r="5" spans="1:10" x14ac:dyDescent="0.25">
      <c r="A5" s="52" t="s">
        <v>322</v>
      </c>
      <c r="B5" s="61">
        <v>43221</v>
      </c>
      <c r="C5" t="str">
        <f t="shared" si="0"/>
        <v>32A43221</v>
      </c>
      <c r="D5"/>
      <c r="E5">
        <f t="shared" si="1"/>
        <v>0</v>
      </c>
      <c r="I5" s="61"/>
    </row>
    <row r="6" spans="1:10" x14ac:dyDescent="0.25">
      <c r="A6" s="52" t="s">
        <v>324</v>
      </c>
      <c r="B6" s="61">
        <v>43221</v>
      </c>
      <c r="C6" t="str">
        <f t="shared" si="0"/>
        <v>32B43221</v>
      </c>
      <c r="D6">
        <v>2.1</v>
      </c>
      <c r="E6">
        <f t="shared" si="1"/>
        <v>0.58333333333333337</v>
      </c>
      <c r="I6" s="61"/>
    </row>
    <row r="7" spans="1:10" x14ac:dyDescent="0.25">
      <c r="A7" s="52" t="s">
        <v>325</v>
      </c>
      <c r="B7" s="61">
        <v>43221</v>
      </c>
      <c r="C7" t="str">
        <f t="shared" si="0"/>
        <v>32C43221</v>
      </c>
      <c r="D7"/>
      <c r="E7">
        <f t="shared" si="1"/>
        <v>0</v>
      </c>
      <c r="I7" s="61"/>
    </row>
    <row r="8" spans="1:10" x14ac:dyDescent="0.25">
      <c r="A8" s="52" t="s">
        <v>338</v>
      </c>
      <c r="B8" s="61">
        <v>43214</v>
      </c>
      <c r="C8" t="str">
        <f t="shared" si="0"/>
        <v>4A43214</v>
      </c>
      <c r="D8">
        <v>8.3000000000000007</v>
      </c>
      <c r="E8">
        <f t="shared" si="1"/>
        <v>2.3055555555555558</v>
      </c>
      <c r="I8" s="61"/>
    </row>
    <row r="9" spans="1:10" x14ac:dyDescent="0.25">
      <c r="A9" s="52" t="s">
        <v>335</v>
      </c>
      <c r="B9" s="61">
        <v>43214</v>
      </c>
      <c r="C9" t="str">
        <f t="shared" si="0"/>
        <v>4C43214</v>
      </c>
      <c r="D9">
        <v>20.8</v>
      </c>
      <c r="E9">
        <f t="shared" si="1"/>
        <v>5.7777777777777777</v>
      </c>
      <c r="I9" s="61"/>
    </row>
    <row r="10" spans="1:10" x14ac:dyDescent="0.25">
      <c r="A10" s="52" t="s">
        <v>336</v>
      </c>
      <c r="B10" s="61">
        <v>43214</v>
      </c>
      <c r="C10" t="str">
        <f t="shared" si="0"/>
        <v>4D43214</v>
      </c>
      <c r="D10">
        <v>9.6</v>
      </c>
      <c r="E10">
        <f t="shared" si="1"/>
        <v>2.6666666666666665</v>
      </c>
      <c r="I10" s="61"/>
    </row>
    <row r="11" spans="1:10" x14ac:dyDescent="0.25">
      <c r="A11" s="52" t="s">
        <v>329</v>
      </c>
      <c r="B11" s="61">
        <v>43215</v>
      </c>
      <c r="C11" t="str">
        <f t="shared" si="0"/>
        <v>56A43215</v>
      </c>
      <c r="D11">
        <v>10.5</v>
      </c>
      <c r="E11">
        <f t="shared" si="1"/>
        <v>2.9166666666666665</v>
      </c>
      <c r="I11" s="61"/>
    </row>
    <row r="12" spans="1:10" x14ac:dyDescent="0.25">
      <c r="A12" s="52" t="s">
        <v>328</v>
      </c>
      <c r="B12" s="61">
        <v>43215</v>
      </c>
      <c r="C12" t="str">
        <f t="shared" si="0"/>
        <v>56B43215</v>
      </c>
      <c r="D12">
        <v>10.9</v>
      </c>
      <c r="E12">
        <f t="shared" si="1"/>
        <v>3.0277777777777777</v>
      </c>
      <c r="I12" s="61"/>
    </row>
    <row r="13" spans="1:10" x14ac:dyDescent="0.25">
      <c r="A13" s="52" t="s">
        <v>334</v>
      </c>
      <c r="B13" s="61">
        <v>43223</v>
      </c>
      <c r="C13" t="str">
        <f t="shared" si="0"/>
        <v>61B43223</v>
      </c>
      <c r="D13">
        <v>17.399999999999999</v>
      </c>
      <c r="E13">
        <f t="shared" si="1"/>
        <v>4.833333333333333</v>
      </c>
      <c r="I13" s="61"/>
    </row>
    <row r="14" spans="1:10" x14ac:dyDescent="0.25">
      <c r="A14" s="52" t="s">
        <v>333</v>
      </c>
      <c r="B14" s="61">
        <v>43223</v>
      </c>
      <c r="C14" t="str">
        <f t="shared" si="0"/>
        <v>61C43223</v>
      </c>
      <c r="D14">
        <v>13.4</v>
      </c>
      <c r="E14">
        <f t="shared" si="1"/>
        <v>3.7222222222222223</v>
      </c>
      <c r="I14" s="61"/>
    </row>
    <row r="15" spans="1:10" x14ac:dyDescent="0.25">
      <c r="A15" s="52" t="s">
        <v>330</v>
      </c>
      <c r="B15" s="61">
        <v>43223</v>
      </c>
      <c r="C15" t="str">
        <f t="shared" si="0"/>
        <v>62B43223</v>
      </c>
      <c r="D15">
        <v>18.2</v>
      </c>
      <c r="E15">
        <f t="shared" si="1"/>
        <v>5.0555555555555554</v>
      </c>
      <c r="I15" s="61"/>
    </row>
    <row r="16" spans="1:10" x14ac:dyDescent="0.25">
      <c r="A16" s="52" t="s">
        <v>331</v>
      </c>
      <c r="B16" s="61">
        <v>43223</v>
      </c>
      <c r="C16" t="str">
        <f t="shared" si="0"/>
        <v>62C43223</v>
      </c>
      <c r="D16">
        <v>12.2</v>
      </c>
      <c r="E16">
        <f t="shared" si="1"/>
        <v>3.3888888888888888</v>
      </c>
      <c r="I16" s="61"/>
    </row>
    <row r="17" spans="1:9" x14ac:dyDescent="0.25">
      <c r="A17" s="52" t="s">
        <v>332</v>
      </c>
      <c r="B17" s="61">
        <v>43223</v>
      </c>
      <c r="C17" t="str">
        <f t="shared" si="0"/>
        <v>62E43223</v>
      </c>
      <c r="D17">
        <v>14.3</v>
      </c>
      <c r="E17">
        <f t="shared" si="1"/>
        <v>3.9722222222222223</v>
      </c>
      <c r="I17" s="61"/>
    </row>
    <row r="18" spans="1:9" x14ac:dyDescent="0.25">
      <c r="A18" s="52" t="s">
        <v>323</v>
      </c>
      <c r="B18" s="61">
        <v>43217</v>
      </c>
      <c r="C18" t="str">
        <f t="shared" si="0"/>
        <v>66A43217</v>
      </c>
      <c r="D18">
        <v>6.6</v>
      </c>
      <c r="E18">
        <f t="shared" si="1"/>
        <v>1.8333333333333333</v>
      </c>
      <c r="I18" s="61"/>
    </row>
    <row r="19" spans="1:9" x14ac:dyDescent="0.25">
      <c r="A19" s="52" t="s">
        <v>326</v>
      </c>
      <c r="B19" s="61">
        <v>43217</v>
      </c>
      <c r="C19" t="str">
        <f t="shared" si="0"/>
        <v>66B43217</v>
      </c>
      <c r="D19">
        <v>4.5999999999999996</v>
      </c>
      <c r="E19">
        <f t="shared" si="1"/>
        <v>1.2777777777777779</v>
      </c>
      <c r="I19" s="61"/>
    </row>
    <row r="20" spans="1:9" x14ac:dyDescent="0.25">
      <c r="A20" s="52" t="s">
        <v>327</v>
      </c>
      <c r="B20" s="61">
        <v>43217</v>
      </c>
      <c r="C20" t="str">
        <f t="shared" si="0"/>
        <v>66C43217</v>
      </c>
      <c r="D20">
        <v>8.1</v>
      </c>
      <c r="E20">
        <f t="shared" si="1"/>
        <v>2.25</v>
      </c>
      <c r="I20" s="61"/>
    </row>
    <row r="21" spans="1:9" x14ac:dyDescent="0.25">
      <c r="A21" s="52" t="s">
        <v>477</v>
      </c>
      <c r="B21" s="61">
        <v>43216</v>
      </c>
      <c r="C21" t="str">
        <f t="shared" si="0"/>
        <v>68A43216</v>
      </c>
      <c r="D21">
        <v>8.1</v>
      </c>
      <c r="E21">
        <f t="shared" si="1"/>
        <v>2.25</v>
      </c>
      <c r="I21" s="61"/>
    </row>
    <row r="22" spans="1:9" x14ac:dyDescent="0.25">
      <c r="A22" s="52" t="s">
        <v>58</v>
      </c>
      <c r="B22" s="61">
        <v>43238</v>
      </c>
      <c r="C22" t="str">
        <f t="shared" si="0"/>
        <v>14A43238</v>
      </c>
      <c r="D22">
        <v>7.9</v>
      </c>
      <c r="E22">
        <f t="shared" si="1"/>
        <v>2.1944444444444442</v>
      </c>
      <c r="I22" s="61"/>
    </row>
    <row r="23" spans="1:9" x14ac:dyDescent="0.25">
      <c r="A23" s="52" t="s">
        <v>337</v>
      </c>
      <c r="B23" s="61">
        <v>43238</v>
      </c>
      <c r="C23" t="str">
        <f t="shared" si="0"/>
        <v>14B43238</v>
      </c>
      <c r="D23">
        <v>4.0999999999999996</v>
      </c>
      <c r="E23">
        <f t="shared" si="1"/>
        <v>1.1388888888888888</v>
      </c>
      <c r="I23" s="61"/>
    </row>
    <row r="24" spans="1:9" x14ac:dyDescent="0.25">
      <c r="A24" s="52" t="s">
        <v>478</v>
      </c>
      <c r="B24" s="61">
        <v>43237</v>
      </c>
      <c r="C24" t="str">
        <f t="shared" si="0"/>
        <v>23A43237</v>
      </c>
      <c r="D24">
        <v>8</v>
      </c>
      <c r="E24">
        <f t="shared" si="1"/>
        <v>2.2222222222222223</v>
      </c>
      <c r="I24" s="61"/>
    </row>
    <row r="25" spans="1:9" x14ac:dyDescent="0.25">
      <c r="A25" s="52" t="s">
        <v>322</v>
      </c>
      <c r="B25" s="61">
        <v>43243</v>
      </c>
      <c r="C25" t="str">
        <f t="shared" si="0"/>
        <v>32A43243</v>
      </c>
      <c r="D25">
        <v>2.8</v>
      </c>
      <c r="E25">
        <f t="shared" si="1"/>
        <v>0.77777777777777779</v>
      </c>
      <c r="I25" s="61"/>
    </row>
    <row r="26" spans="1:9" x14ac:dyDescent="0.25">
      <c r="A26" s="52" t="s">
        <v>324</v>
      </c>
      <c r="B26" s="61">
        <v>43243</v>
      </c>
      <c r="C26" t="str">
        <f t="shared" si="0"/>
        <v>32B43243</v>
      </c>
      <c r="D26">
        <v>5.9</v>
      </c>
      <c r="E26">
        <f t="shared" si="1"/>
        <v>1.6388888888888888</v>
      </c>
      <c r="I26" s="61"/>
    </row>
    <row r="27" spans="1:9" x14ac:dyDescent="0.25">
      <c r="A27" s="52" t="s">
        <v>325</v>
      </c>
      <c r="B27" s="61">
        <v>43237</v>
      </c>
      <c r="C27" t="str">
        <f t="shared" si="0"/>
        <v>32C43237</v>
      </c>
      <c r="D27">
        <v>23.4</v>
      </c>
      <c r="E27">
        <f t="shared" si="1"/>
        <v>6.5</v>
      </c>
      <c r="I27" s="61"/>
    </row>
    <row r="28" spans="1:9" x14ac:dyDescent="0.25">
      <c r="A28" s="52" t="s">
        <v>338</v>
      </c>
      <c r="B28" s="61">
        <v>43234</v>
      </c>
      <c r="C28" t="str">
        <f t="shared" si="0"/>
        <v>4A43234</v>
      </c>
      <c r="D28">
        <v>2.5</v>
      </c>
      <c r="E28">
        <f t="shared" si="1"/>
        <v>0.69444444444444442</v>
      </c>
      <c r="I28" s="61"/>
    </row>
    <row r="29" spans="1:9" x14ac:dyDescent="0.25">
      <c r="A29" s="52" t="s">
        <v>335</v>
      </c>
      <c r="B29" s="61">
        <v>43236</v>
      </c>
      <c r="C29" t="str">
        <f t="shared" si="0"/>
        <v>4C43236</v>
      </c>
      <c r="D29">
        <v>15.6</v>
      </c>
      <c r="E29">
        <f t="shared" si="1"/>
        <v>4.333333333333333</v>
      </c>
      <c r="I29" s="61"/>
    </row>
    <row r="30" spans="1:9" x14ac:dyDescent="0.25">
      <c r="A30" s="52" t="s">
        <v>336</v>
      </c>
      <c r="B30" s="61">
        <v>43236</v>
      </c>
      <c r="C30" t="str">
        <f t="shared" si="0"/>
        <v>4D43236</v>
      </c>
      <c r="D30">
        <v>3.7</v>
      </c>
      <c r="E30">
        <f t="shared" si="1"/>
        <v>1.0277777777777777</v>
      </c>
      <c r="I30" s="61"/>
    </row>
    <row r="31" spans="1:9" x14ac:dyDescent="0.25">
      <c r="A31" s="52" t="s">
        <v>329</v>
      </c>
      <c r="B31" s="61">
        <v>43236</v>
      </c>
      <c r="C31" t="str">
        <f t="shared" si="0"/>
        <v>56A43236</v>
      </c>
      <c r="D31">
        <v>13.6</v>
      </c>
      <c r="E31">
        <f t="shared" si="1"/>
        <v>3.7777777777777777</v>
      </c>
      <c r="I31" s="61"/>
    </row>
    <row r="32" spans="1:9" x14ac:dyDescent="0.25">
      <c r="A32" s="52" t="s">
        <v>328</v>
      </c>
      <c r="B32" s="61">
        <v>43236</v>
      </c>
      <c r="C32" t="str">
        <f t="shared" si="0"/>
        <v>56B43236</v>
      </c>
      <c r="D32">
        <v>18.2</v>
      </c>
      <c r="E32">
        <f t="shared" si="1"/>
        <v>5.0555555555555554</v>
      </c>
      <c r="I32" s="61"/>
    </row>
    <row r="33" spans="1:9" x14ac:dyDescent="0.25">
      <c r="A33" s="52" t="s">
        <v>334</v>
      </c>
      <c r="B33" s="61">
        <v>43235</v>
      </c>
      <c r="C33" t="str">
        <f t="shared" si="0"/>
        <v>61B43235</v>
      </c>
      <c r="D33">
        <v>24.4</v>
      </c>
      <c r="E33">
        <f t="shared" si="1"/>
        <v>6.7777777777777777</v>
      </c>
      <c r="I33" s="61"/>
    </row>
    <row r="34" spans="1:9" x14ac:dyDescent="0.25">
      <c r="A34" s="52" t="s">
        <v>333</v>
      </c>
      <c r="B34" s="61">
        <v>43235</v>
      </c>
      <c r="C34" t="str">
        <f t="shared" ref="C34:C65" si="2">A34&amp;B34</f>
        <v>61C43235</v>
      </c>
      <c r="D34">
        <v>19.3</v>
      </c>
      <c r="E34">
        <f t="shared" si="1"/>
        <v>5.3611111111111116</v>
      </c>
      <c r="I34" s="61"/>
    </row>
    <row r="35" spans="1:9" x14ac:dyDescent="0.25">
      <c r="A35" s="52" t="s">
        <v>330</v>
      </c>
      <c r="B35" s="61">
        <v>43235</v>
      </c>
      <c r="C35" t="str">
        <f t="shared" si="2"/>
        <v>62B43235</v>
      </c>
      <c r="D35">
        <v>21</v>
      </c>
      <c r="E35">
        <f t="shared" si="1"/>
        <v>5.833333333333333</v>
      </c>
      <c r="I35" s="61"/>
    </row>
    <row r="36" spans="1:9" x14ac:dyDescent="0.25">
      <c r="A36" s="52" t="s">
        <v>331</v>
      </c>
      <c r="B36" s="61">
        <v>43235</v>
      </c>
      <c r="C36" t="str">
        <f t="shared" si="2"/>
        <v>62C43235</v>
      </c>
      <c r="D36">
        <v>15</v>
      </c>
      <c r="E36">
        <f t="shared" si="1"/>
        <v>4.166666666666667</v>
      </c>
      <c r="I36" s="61"/>
    </row>
    <row r="37" spans="1:9" x14ac:dyDescent="0.25">
      <c r="A37" s="52" t="s">
        <v>332</v>
      </c>
      <c r="B37" s="61">
        <v>43235</v>
      </c>
      <c r="C37" t="str">
        <f t="shared" si="2"/>
        <v>62E43235</v>
      </c>
      <c r="D37">
        <v>17.899999999999999</v>
      </c>
      <c r="E37">
        <f t="shared" si="1"/>
        <v>4.9722222222222223</v>
      </c>
      <c r="I37" s="61"/>
    </row>
    <row r="38" spans="1:9" x14ac:dyDescent="0.25">
      <c r="A38" s="52" t="s">
        <v>323</v>
      </c>
      <c r="B38" s="61">
        <v>43234</v>
      </c>
      <c r="C38" t="str">
        <f t="shared" si="2"/>
        <v>66A43234</v>
      </c>
      <c r="D38">
        <v>2.8</v>
      </c>
      <c r="E38">
        <f t="shared" si="1"/>
        <v>0.77777777777777779</v>
      </c>
      <c r="I38" s="61"/>
    </row>
    <row r="39" spans="1:9" x14ac:dyDescent="0.25">
      <c r="A39" s="52" t="s">
        <v>326</v>
      </c>
      <c r="B39" s="61">
        <v>43234</v>
      </c>
      <c r="C39" t="str">
        <f t="shared" si="2"/>
        <v>66B43234</v>
      </c>
      <c r="D39">
        <v>13.5</v>
      </c>
      <c r="E39">
        <f t="shared" si="1"/>
        <v>3.75</v>
      </c>
      <c r="I39" s="61"/>
    </row>
    <row r="40" spans="1:9" x14ac:dyDescent="0.25">
      <c r="A40" s="52" t="s">
        <v>327</v>
      </c>
      <c r="B40" s="61">
        <v>43234</v>
      </c>
      <c r="C40" t="str">
        <f t="shared" si="2"/>
        <v>66C43234</v>
      </c>
      <c r="D40">
        <v>10.5</v>
      </c>
      <c r="E40">
        <f t="shared" si="1"/>
        <v>2.9166666666666665</v>
      </c>
      <c r="I40" s="61"/>
    </row>
    <row r="41" spans="1:9" x14ac:dyDescent="0.25">
      <c r="A41" s="52" t="s">
        <v>477</v>
      </c>
      <c r="B41" s="61">
        <v>43238</v>
      </c>
      <c r="C41" t="str">
        <f t="shared" si="2"/>
        <v>68A43238</v>
      </c>
      <c r="D41">
        <v>6.9</v>
      </c>
      <c r="E41">
        <f t="shared" si="1"/>
        <v>1.9166666666666667</v>
      </c>
      <c r="I41" s="61"/>
    </row>
    <row r="42" spans="1:9" x14ac:dyDescent="0.25">
      <c r="A42" s="52" t="s">
        <v>478</v>
      </c>
      <c r="B42" s="61">
        <v>43262</v>
      </c>
      <c r="C42" t="str">
        <f t="shared" si="2"/>
        <v>23A43262</v>
      </c>
      <c r="D42">
        <v>2.2999999999999998</v>
      </c>
      <c r="E42">
        <f t="shared" si="1"/>
        <v>0.63888888888888895</v>
      </c>
      <c r="I42" s="61"/>
    </row>
    <row r="43" spans="1:9" x14ac:dyDescent="0.25">
      <c r="A43" s="52" t="s">
        <v>338</v>
      </c>
      <c r="B43" s="61">
        <v>43262</v>
      </c>
      <c r="C43" t="str">
        <f t="shared" si="2"/>
        <v>4A43262</v>
      </c>
      <c r="D43">
        <v>5.3</v>
      </c>
      <c r="E43">
        <f t="shared" si="1"/>
        <v>1.4722222222222221</v>
      </c>
      <c r="I43" s="61"/>
    </row>
    <row r="44" spans="1:9" x14ac:dyDescent="0.25">
      <c r="A44" s="52" t="s">
        <v>336</v>
      </c>
      <c r="B44" s="61">
        <v>43262</v>
      </c>
      <c r="C44" t="str">
        <f t="shared" si="2"/>
        <v>4D43262</v>
      </c>
      <c r="D44">
        <v>17.899999999999999</v>
      </c>
      <c r="E44">
        <f t="shared" si="1"/>
        <v>4.9722222222222223</v>
      </c>
      <c r="I44" s="61"/>
    </row>
    <row r="45" spans="1:9" x14ac:dyDescent="0.25">
      <c r="A45" s="52" t="s">
        <v>323</v>
      </c>
      <c r="B45" s="61">
        <v>43263</v>
      </c>
      <c r="C45" t="str">
        <f t="shared" si="2"/>
        <v>66A43263</v>
      </c>
      <c r="D45">
        <v>15.2</v>
      </c>
      <c r="E45">
        <f t="shared" si="1"/>
        <v>4.2222222222222223</v>
      </c>
      <c r="I45" s="61"/>
    </row>
    <row r="46" spans="1:9" x14ac:dyDescent="0.25">
      <c r="A46" s="52" t="s">
        <v>327</v>
      </c>
      <c r="B46" s="61">
        <v>43263</v>
      </c>
      <c r="C46" t="str">
        <f t="shared" si="2"/>
        <v>66C43263</v>
      </c>
      <c r="D46">
        <v>17.2</v>
      </c>
      <c r="E46">
        <f t="shared" si="1"/>
        <v>4.7777777777777777</v>
      </c>
      <c r="I46" s="61"/>
    </row>
    <row r="47" spans="1:9" x14ac:dyDescent="0.25">
      <c r="A47" s="52" t="s">
        <v>58</v>
      </c>
      <c r="B47" s="61">
        <v>43294</v>
      </c>
      <c r="C47" t="str">
        <f t="shared" si="2"/>
        <v>14A43294</v>
      </c>
      <c r="D47">
        <v>6.2</v>
      </c>
      <c r="E47">
        <f t="shared" si="1"/>
        <v>1.7222222222222221</v>
      </c>
      <c r="I47" s="61"/>
    </row>
    <row r="48" spans="1:9" x14ac:dyDescent="0.25">
      <c r="A48" s="52" t="s">
        <v>337</v>
      </c>
      <c r="B48" s="61">
        <v>43294</v>
      </c>
      <c r="C48" t="str">
        <f t="shared" si="2"/>
        <v>14B43294</v>
      </c>
      <c r="D48">
        <v>2.4</v>
      </c>
      <c r="E48">
        <f t="shared" si="1"/>
        <v>0.66666666666666663</v>
      </c>
      <c r="I48" s="61"/>
    </row>
    <row r="49" spans="1:10" x14ac:dyDescent="0.25">
      <c r="A49" s="52" t="s">
        <v>478</v>
      </c>
      <c r="B49" s="61">
        <v>43293</v>
      </c>
      <c r="C49" t="str">
        <f t="shared" si="2"/>
        <v>23A43293</v>
      </c>
      <c r="D49">
        <v>1</v>
      </c>
      <c r="E49">
        <f t="shared" si="1"/>
        <v>0.27777777777777779</v>
      </c>
      <c r="I49" s="61"/>
    </row>
    <row r="50" spans="1:10" x14ac:dyDescent="0.25">
      <c r="A50" s="52" t="s">
        <v>322</v>
      </c>
      <c r="B50" s="61">
        <v>43293</v>
      </c>
      <c r="C50" t="str">
        <f t="shared" si="2"/>
        <v>32A43293</v>
      </c>
      <c r="D50">
        <v>6.2</v>
      </c>
      <c r="E50">
        <f t="shared" si="1"/>
        <v>1.7222222222222221</v>
      </c>
      <c r="I50" s="61"/>
    </row>
    <row r="51" spans="1:10" x14ac:dyDescent="0.25">
      <c r="A51" s="52" t="s">
        <v>324</v>
      </c>
      <c r="B51" s="61">
        <v>43293</v>
      </c>
      <c r="C51" t="str">
        <f t="shared" si="2"/>
        <v>32B43293</v>
      </c>
      <c r="D51">
        <v>6.9</v>
      </c>
      <c r="E51">
        <f t="shared" si="1"/>
        <v>1.9166666666666667</v>
      </c>
      <c r="I51" s="61"/>
    </row>
    <row r="52" spans="1:10" x14ac:dyDescent="0.25">
      <c r="A52" s="52" t="s">
        <v>325</v>
      </c>
      <c r="B52" s="61">
        <v>43293</v>
      </c>
      <c r="C52" t="str">
        <f t="shared" si="2"/>
        <v>32C43293</v>
      </c>
      <c r="D52">
        <v>10.199999999999999</v>
      </c>
      <c r="E52">
        <f t="shared" si="1"/>
        <v>2.8333333333333335</v>
      </c>
      <c r="I52" s="61"/>
    </row>
    <row r="53" spans="1:10" x14ac:dyDescent="0.25">
      <c r="A53" s="52" t="s">
        <v>338</v>
      </c>
      <c r="B53" s="61">
        <v>43290</v>
      </c>
      <c r="C53" t="str">
        <f t="shared" si="2"/>
        <v>4A43290</v>
      </c>
      <c r="D53">
        <v>11.8</v>
      </c>
      <c r="E53">
        <f t="shared" si="1"/>
        <v>3.2777777777777777</v>
      </c>
      <c r="I53" s="61"/>
    </row>
    <row r="54" spans="1:10" x14ac:dyDescent="0.25">
      <c r="A54" s="52" t="s">
        <v>335</v>
      </c>
      <c r="B54" s="61">
        <v>43292</v>
      </c>
      <c r="C54" t="str">
        <f t="shared" si="2"/>
        <v>4C43292</v>
      </c>
      <c r="D54">
        <v>20.5</v>
      </c>
      <c r="E54">
        <f t="shared" si="1"/>
        <v>5.6944444444444446</v>
      </c>
      <c r="I54" s="61"/>
    </row>
    <row r="55" spans="1:10" x14ac:dyDescent="0.25">
      <c r="A55" s="52" t="s">
        <v>336</v>
      </c>
      <c r="B55" s="61">
        <v>43292</v>
      </c>
      <c r="C55" t="str">
        <f t="shared" si="2"/>
        <v>4D43292</v>
      </c>
      <c r="D55">
        <v>3</v>
      </c>
      <c r="E55">
        <f t="shared" si="1"/>
        <v>0.83333333333333337</v>
      </c>
      <c r="I55" s="61"/>
    </row>
    <row r="56" spans="1:10" x14ac:dyDescent="0.25">
      <c r="A56" s="52" t="s">
        <v>329</v>
      </c>
      <c r="B56" s="61">
        <v>43292</v>
      </c>
      <c r="C56" t="str">
        <f t="shared" si="2"/>
        <v>56A43292</v>
      </c>
      <c r="D56">
        <v>29.2</v>
      </c>
      <c r="E56">
        <f t="shared" si="1"/>
        <v>8.1111111111111107</v>
      </c>
      <c r="I56" s="61"/>
    </row>
    <row r="57" spans="1:10" x14ac:dyDescent="0.25">
      <c r="A57" s="52" t="s">
        <v>328</v>
      </c>
      <c r="B57" s="61">
        <v>43292</v>
      </c>
      <c r="C57" t="str">
        <f t="shared" si="2"/>
        <v>56B43292</v>
      </c>
      <c r="D57">
        <v>4</v>
      </c>
      <c r="E57">
        <f t="shared" si="1"/>
        <v>1.1111111111111112</v>
      </c>
      <c r="I57" s="61"/>
    </row>
    <row r="58" spans="1:10" x14ac:dyDescent="0.25">
      <c r="A58" s="52" t="s">
        <v>334</v>
      </c>
      <c r="B58" s="61">
        <v>43291</v>
      </c>
      <c r="C58" t="str">
        <f t="shared" si="2"/>
        <v>61B43291</v>
      </c>
      <c r="D58">
        <v>5.8</v>
      </c>
      <c r="E58">
        <f t="shared" si="1"/>
        <v>1.6111111111111112</v>
      </c>
      <c r="I58" s="61"/>
    </row>
    <row r="59" spans="1:10" x14ac:dyDescent="0.25">
      <c r="A59" s="52" t="s">
        <v>333</v>
      </c>
      <c r="B59" s="61">
        <v>43291</v>
      </c>
      <c r="C59" t="str">
        <f t="shared" si="2"/>
        <v>61C43291</v>
      </c>
      <c r="D59">
        <v>7.1</v>
      </c>
      <c r="E59">
        <f t="shared" si="1"/>
        <v>1.9722222222222221</v>
      </c>
      <c r="I59" s="61"/>
    </row>
    <row r="60" spans="1:10" x14ac:dyDescent="0.25">
      <c r="A60" s="52" t="s">
        <v>330</v>
      </c>
      <c r="B60" s="61">
        <v>43291</v>
      </c>
      <c r="C60" t="str">
        <f t="shared" si="2"/>
        <v>62B43291</v>
      </c>
      <c r="D60">
        <v>2.5</v>
      </c>
      <c r="E60">
        <f t="shared" si="1"/>
        <v>0.69444444444444442</v>
      </c>
      <c r="I60" s="61"/>
    </row>
    <row r="61" spans="1:10" x14ac:dyDescent="0.25">
      <c r="A61" s="77" t="s">
        <v>331</v>
      </c>
      <c r="B61" s="80">
        <v>43291</v>
      </c>
      <c r="C61" t="str">
        <f t="shared" si="2"/>
        <v>62C43291</v>
      </c>
      <c r="D61" s="83">
        <v>2</v>
      </c>
      <c r="E61">
        <f t="shared" si="1"/>
        <v>0.55555555555555558</v>
      </c>
      <c r="H61" s="77"/>
      <c r="I61" s="80"/>
      <c r="J61" s="83"/>
    </row>
    <row r="62" spans="1:10" x14ac:dyDescent="0.25">
      <c r="A62" s="52" t="s">
        <v>332</v>
      </c>
      <c r="B62" s="61">
        <v>43297</v>
      </c>
      <c r="C62" t="str">
        <f t="shared" si="2"/>
        <v>62E43297</v>
      </c>
      <c r="D62">
        <v>14</v>
      </c>
      <c r="E62">
        <f t="shared" si="1"/>
        <v>3.8888888888888888</v>
      </c>
      <c r="I62" s="61"/>
    </row>
    <row r="63" spans="1:10" x14ac:dyDescent="0.25">
      <c r="A63" s="52" t="s">
        <v>323</v>
      </c>
      <c r="B63" s="61">
        <v>43290</v>
      </c>
      <c r="C63" t="str">
        <f t="shared" si="2"/>
        <v>66A43290</v>
      </c>
      <c r="D63">
        <v>2.4</v>
      </c>
      <c r="E63">
        <f t="shared" si="1"/>
        <v>0.66666666666666663</v>
      </c>
      <c r="I63" s="61"/>
    </row>
    <row r="64" spans="1:10" x14ac:dyDescent="0.25">
      <c r="A64" s="77" t="s">
        <v>326</v>
      </c>
      <c r="B64" s="80">
        <v>43290</v>
      </c>
      <c r="C64" t="str">
        <f t="shared" si="2"/>
        <v>66B43290</v>
      </c>
      <c r="D64" s="83">
        <v>10.199999999999999</v>
      </c>
      <c r="E64">
        <f t="shared" si="1"/>
        <v>2.8333333333333335</v>
      </c>
      <c r="H64" s="77"/>
      <c r="I64" s="80"/>
      <c r="J64" s="83"/>
    </row>
    <row r="65" spans="1:10" x14ac:dyDescent="0.25">
      <c r="A65" s="52" t="s">
        <v>327</v>
      </c>
      <c r="B65" s="61">
        <v>43290</v>
      </c>
      <c r="C65" t="str">
        <f t="shared" si="2"/>
        <v>66C43290</v>
      </c>
      <c r="D65">
        <v>8.5</v>
      </c>
      <c r="E65">
        <f t="shared" si="1"/>
        <v>2.3611111111111112</v>
      </c>
      <c r="I65" s="61"/>
    </row>
    <row r="66" spans="1:10" x14ac:dyDescent="0.25">
      <c r="A66" s="77" t="s">
        <v>477</v>
      </c>
      <c r="B66" s="80">
        <v>43294</v>
      </c>
      <c r="C66" t="str">
        <f t="shared" ref="C66" si="3">A66&amp;B66</f>
        <v>68A43294</v>
      </c>
      <c r="D66" s="83">
        <v>3.9</v>
      </c>
      <c r="E66">
        <f t="shared" ref="E66:E90" si="4">D66*1000/60/60</f>
        <v>1.0833333333333333</v>
      </c>
      <c r="H66" s="77"/>
      <c r="I66" s="80"/>
      <c r="J66" s="83"/>
    </row>
    <row r="67" spans="1:10" x14ac:dyDescent="0.25">
      <c r="A67" s="78" t="s">
        <v>478</v>
      </c>
      <c r="B67" s="81">
        <v>43321</v>
      </c>
      <c r="C67" t="str">
        <f t="shared" ref="C67:C90" si="5">A67&amp;B67</f>
        <v>23A43321</v>
      </c>
      <c r="D67" s="45">
        <v>4.4000000000000004</v>
      </c>
      <c r="E67">
        <f t="shared" si="4"/>
        <v>1.2222222222222221</v>
      </c>
      <c r="H67" s="78"/>
      <c r="I67" s="81"/>
      <c r="J67" s="45"/>
    </row>
    <row r="68" spans="1:10" x14ac:dyDescent="0.25">
      <c r="A68" s="79" t="s">
        <v>338</v>
      </c>
      <c r="B68" s="82">
        <v>43320</v>
      </c>
      <c r="C68" t="str">
        <f t="shared" si="5"/>
        <v>4A43320</v>
      </c>
      <c r="D68" s="84">
        <v>3.5</v>
      </c>
      <c r="E68">
        <f t="shared" si="4"/>
        <v>0.97222222222222221</v>
      </c>
      <c r="H68" s="79"/>
      <c r="I68" s="82"/>
      <c r="J68" s="84"/>
    </row>
    <row r="69" spans="1:10" x14ac:dyDescent="0.25">
      <c r="A69" s="77" t="s">
        <v>336</v>
      </c>
      <c r="B69" s="80">
        <v>43320</v>
      </c>
      <c r="C69" t="str">
        <f t="shared" si="5"/>
        <v>4D43320</v>
      </c>
      <c r="D69" s="83">
        <v>1.3</v>
      </c>
      <c r="E69">
        <f t="shared" si="4"/>
        <v>0.3611111111111111</v>
      </c>
      <c r="H69" s="77"/>
      <c r="I69" s="80"/>
      <c r="J69" s="83"/>
    </row>
    <row r="70" spans="1:10" x14ac:dyDescent="0.25">
      <c r="A70" s="77" t="s">
        <v>323</v>
      </c>
      <c r="B70" s="80">
        <v>43321</v>
      </c>
      <c r="C70" t="str">
        <f t="shared" si="5"/>
        <v>66A43321</v>
      </c>
      <c r="D70" s="83">
        <v>0.9</v>
      </c>
      <c r="E70">
        <f t="shared" si="4"/>
        <v>0.25</v>
      </c>
      <c r="H70" s="77"/>
      <c r="I70" s="80"/>
      <c r="J70" s="83"/>
    </row>
    <row r="71" spans="1:10" x14ac:dyDescent="0.25">
      <c r="A71" s="52" t="s">
        <v>327</v>
      </c>
      <c r="B71" s="61">
        <v>43321</v>
      </c>
      <c r="C71" t="str">
        <f t="shared" si="5"/>
        <v>66C43321</v>
      </c>
      <c r="D71">
        <v>2</v>
      </c>
      <c r="E71">
        <f t="shared" si="4"/>
        <v>0.55555555555555558</v>
      </c>
      <c r="I71" s="61"/>
    </row>
    <row r="72" spans="1:10" x14ac:dyDescent="0.25">
      <c r="A72" s="52" t="s">
        <v>58</v>
      </c>
      <c r="B72" s="61">
        <v>43372</v>
      </c>
      <c r="C72" t="str">
        <f t="shared" si="5"/>
        <v>14A43372</v>
      </c>
      <c r="D72">
        <v>11.5</v>
      </c>
      <c r="E72">
        <f t="shared" si="4"/>
        <v>3.1944444444444442</v>
      </c>
      <c r="I72" s="61"/>
    </row>
    <row r="73" spans="1:10" x14ac:dyDescent="0.25">
      <c r="A73" s="52" t="s">
        <v>337</v>
      </c>
      <c r="B73" s="61">
        <v>43372</v>
      </c>
      <c r="C73" t="str">
        <f t="shared" si="5"/>
        <v>14B43372</v>
      </c>
      <c r="D73">
        <v>4.7</v>
      </c>
      <c r="E73">
        <f t="shared" si="4"/>
        <v>1.3055555555555556</v>
      </c>
      <c r="I73" s="61"/>
    </row>
    <row r="74" spans="1:10" x14ac:dyDescent="0.25">
      <c r="A74" s="52" t="s">
        <v>478</v>
      </c>
      <c r="B74" s="61">
        <v>43370</v>
      </c>
      <c r="C74" t="str">
        <f t="shared" si="5"/>
        <v>23A43370</v>
      </c>
      <c r="D74">
        <v>11.6</v>
      </c>
      <c r="E74">
        <f t="shared" si="4"/>
        <v>3.2222222222222223</v>
      </c>
      <c r="I74" s="61"/>
    </row>
    <row r="75" spans="1:10" x14ac:dyDescent="0.25">
      <c r="A75" s="52" t="s">
        <v>322</v>
      </c>
      <c r="B75" s="61">
        <v>43370</v>
      </c>
      <c r="C75" t="str">
        <f t="shared" si="5"/>
        <v>32A43370</v>
      </c>
      <c r="D75">
        <v>5.9</v>
      </c>
      <c r="E75">
        <f t="shared" si="4"/>
        <v>1.6388888888888888</v>
      </c>
      <c r="I75" s="61"/>
    </row>
    <row r="76" spans="1:10" x14ac:dyDescent="0.25">
      <c r="A76" s="52" t="s">
        <v>324</v>
      </c>
      <c r="B76" s="61">
        <v>43370</v>
      </c>
      <c r="C76" t="str">
        <f t="shared" si="5"/>
        <v>32B43370</v>
      </c>
      <c r="D76">
        <v>2.9</v>
      </c>
      <c r="E76">
        <f t="shared" si="4"/>
        <v>0.80555555555555558</v>
      </c>
      <c r="I76" s="61"/>
    </row>
    <row r="77" spans="1:10" x14ac:dyDescent="0.25">
      <c r="A77" s="52" t="s">
        <v>325</v>
      </c>
      <c r="B77" s="61">
        <v>43370</v>
      </c>
      <c r="C77" t="str">
        <f t="shared" si="5"/>
        <v>32C43370</v>
      </c>
      <c r="D77">
        <v>13.4</v>
      </c>
      <c r="E77">
        <f t="shared" si="4"/>
        <v>3.7222222222222223</v>
      </c>
      <c r="I77" s="61"/>
    </row>
    <row r="78" spans="1:10" x14ac:dyDescent="0.25">
      <c r="A78" s="52" t="s">
        <v>338</v>
      </c>
      <c r="B78" s="61">
        <v>43367</v>
      </c>
      <c r="C78" t="str">
        <f t="shared" si="5"/>
        <v>4A43367</v>
      </c>
      <c r="D78">
        <v>13.3</v>
      </c>
      <c r="E78">
        <f t="shared" si="4"/>
        <v>3.6944444444444442</v>
      </c>
      <c r="I78" s="61"/>
    </row>
    <row r="79" spans="1:10" x14ac:dyDescent="0.25">
      <c r="A79" s="52" t="s">
        <v>335</v>
      </c>
      <c r="B79" s="61">
        <v>43369</v>
      </c>
      <c r="C79" t="str">
        <f t="shared" si="5"/>
        <v>4C43369</v>
      </c>
      <c r="D79">
        <v>11.1</v>
      </c>
      <c r="E79">
        <f t="shared" si="4"/>
        <v>3.0833333333333335</v>
      </c>
      <c r="I79" s="61"/>
    </row>
    <row r="80" spans="1:10" x14ac:dyDescent="0.25">
      <c r="A80" s="52" t="s">
        <v>336</v>
      </c>
      <c r="B80" s="61">
        <v>43369</v>
      </c>
      <c r="C80" t="str">
        <f t="shared" si="5"/>
        <v>4D43369</v>
      </c>
      <c r="D80">
        <v>11.4</v>
      </c>
      <c r="E80">
        <f t="shared" si="4"/>
        <v>3.1666666666666665</v>
      </c>
      <c r="I80" s="61"/>
    </row>
    <row r="81" spans="1:9" x14ac:dyDescent="0.25">
      <c r="A81" s="52" t="s">
        <v>329</v>
      </c>
      <c r="B81" s="61">
        <v>43369</v>
      </c>
      <c r="C81" t="str">
        <f t="shared" si="5"/>
        <v>56A43369</v>
      </c>
      <c r="D81">
        <v>3.3</v>
      </c>
      <c r="E81">
        <f t="shared" si="4"/>
        <v>0.91666666666666663</v>
      </c>
      <c r="I81" s="61"/>
    </row>
    <row r="82" spans="1:9" x14ac:dyDescent="0.25">
      <c r="A82" s="52" t="s">
        <v>328</v>
      </c>
      <c r="B82" s="61">
        <v>43369</v>
      </c>
      <c r="C82" t="str">
        <f t="shared" si="5"/>
        <v>56B43369</v>
      </c>
      <c r="D82">
        <v>4</v>
      </c>
      <c r="E82">
        <f t="shared" si="4"/>
        <v>1.1111111111111112</v>
      </c>
      <c r="I82" s="61"/>
    </row>
    <row r="83" spans="1:9" x14ac:dyDescent="0.25">
      <c r="A83" s="52" t="s">
        <v>334</v>
      </c>
      <c r="B83" s="61">
        <v>43368</v>
      </c>
      <c r="C83" t="str">
        <f t="shared" si="5"/>
        <v>61B43368</v>
      </c>
      <c r="D83">
        <v>18</v>
      </c>
      <c r="E83">
        <f t="shared" si="4"/>
        <v>5</v>
      </c>
      <c r="I83" s="61"/>
    </row>
    <row r="84" spans="1:9" x14ac:dyDescent="0.25">
      <c r="A84" s="52" t="s">
        <v>333</v>
      </c>
      <c r="B84" s="61">
        <v>43368</v>
      </c>
      <c r="C84" t="str">
        <f t="shared" si="5"/>
        <v>61C43368</v>
      </c>
      <c r="D84">
        <v>22</v>
      </c>
      <c r="E84">
        <f t="shared" si="4"/>
        <v>6.1111111111111116</v>
      </c>
      <c r="I84" s="61"/>
    </row>
    <row r="85" spans="1:9" x14ac:dyDescent="0.25">
      <c r="A85" s="52" t="s">
        <v>330</v>
      </c>
      <c r="B85" s="61">
        <v>43368</v>
      </c>
      <c r="C85" t="str">
        <f t="shared" si="5"/>
        <v>62B43368</v>
      </c>
      <c r="D85">
        <v>13</v>
      </c>
      <c r="E85">
        <f t="shared" si="4"/>
        <v>3.6111111111111112</v>
      </c>
      <c r="I85" s="61"/>
    </row>
    <row r="86" spans="1:9" x14ac:dyDescent="0.25">
      <c r="A86" s="52" t="s">
        <v>331</v>
      </c>
      <c r="B86" s="61">
        <v>43368</v>
      </c>
      <c r="C86" t="str">
        <f t="shared" si="5"/>
        <v>62C43368</v>
      </c>
      <c r="D86">
        <v>2.2999999999999998</v>
      </c>
      <c r="E86">
        <f t="shared" si="4"/>
        <v>0.63888888888888895</v>
      </c>
      <c r="I86" s="61"/>
    </row>
    <row r="87" spans="1:9" x14ac:dyDescent="0.25">
      <c r="A87" s="52" t="s">
        <v>332</v>
      </c>
      <c r="B87" s="61">
        <v>43368</v>
      </c>
      <c r="C87" t="str">
        <f t="shared" si="5"/>
        <v>62E43368</v>
      </c>
      <c r="D87">
        <v>8.6999999999999993</v>
      </c>
      <c r="E87">
        <f t="shared" si="4"/>
        <v>2.4166666666666665</v>
      </c>
      <c r="I87" s="61"/>
    </row>
    <row r="88" spans="1:9" x14ac:dyDescent="0.25">
      <c r="A88" s="52" t="s">
        <v>323</v>
      </c>
      <c r="B88" s="61">
        <v>43367</v>
      </c>
      <c r="C88" t="str">
        <f t="shared" si="5"/>
        <v>66A43367</v>
      </c>
      <c r="D88">
        <v>4.2</v>
      </c>
      <c r="E88">
        <f t="shared" si="4"/>
        <v>1.1666666666666667</v>
      </c>
      <c r="I88" s="61"/>
    </row>
    <row r="89" spans="1:9" x14ac:dyDescent="0.25">
      <c r="A89" s="52" t="s">
        <v>326</v>
      </c>
      <c r="B89" s="61">
        <v>43367</v>
      </c>
      <c r="C89" t="str">
        <f t="shared" si="5"/>
        <v>66B43367</v>
      </c>
      <c r="D89">
        <v>9.9</v>
      </c>
      <c r="E89">
        <f t="shared" si="4"/>
        <v>2.75</v>
      </c>
      <c r="I89" s="61"/>
    </row>
    <row r="90" spans="1:9" x14ac:dyDescent="0.25">
      <c r="A90" s="52" t="s">
        <v>327</v>
      </c>
      <c r="B90" s="61">
        <v>43367</v>
      </c>
      <c r="C90" t="str">
        <f t="shared" si="5"/>
        <v>66C43367</v>
      </c>
      <c r="D90">
        <v>6</v>
      </c>
      <c r="E90">
        <f t="shared" si="4"/>
        <v>1.6666666666666667</v>
      </c>
      <c r="I90" s="61"/>
    </row>
    <row r="91" spans="1:9" x14ac:dyDescent="0.25">
      <c r="A91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topLeftCell="A55" workbookViewId="0">
      <selection activeCell="A88" sqref="A88:G89"/>
    </sheetView>
  </sheetViews>
  <sheetFormatPr defaultRowHeight="15" x14ac:dyDescent="0.25"/>
  <cols>
    <col min="3" max="3" width="12.7109375" customWidth="1"/>
  </cols>
  <sheetData>
    <row r="1" spans="1:7" x14ac:dyDescent="0.25">
      <c r="A1" t="s">
        <v>59</v>
      </c>
      <c r="B1" t="s">
        <v>5</v>
      </c>
      <c r="C1" t="s">
        <v>346</v>
      </c>
      <c r="D1" t="s">
        <v>122</v>
      </c>
      <c r="E1" t="s">
        <v>343</v>
      </c>
      <c r="F1" t="s">
        <v>344</v>
      </c>
      <c r="G1" t="s">
        <v>345</v>
      </c>
    </row>
    <row r="2" spans="1:7" x14ac:dyDescent="0.25">
      <c r="A2" s="52" t="s">
        <v>322</v>
      </c>
      <c r="B2" t="s">
        <v>127</v>
      </c>
      <c r="C2" s="57">
        <v>43221</v>
      </c>
      <c r="D2" s="57" t="str">
        <f>A2&amp;C2</f>
        <v>32A43221</v>
      </c>
      <c r="E2">
        <v>416.71157764018687</v>
      </c>
      <c r="F2">
        <v>2.121522248100145</v>
      </c>
      <c r="G2">
        <v>0.32618413930397455</v>
      </c>
    </row>
    <row r="3" spans="1:7" x14ac:dyDescent="0.25">
      <c r="A3" s="52" t="s">
        <v>323</v>
      </c>
      <c r="B3" t="s">
        <v>132</v>
      </c>
      <c r="C3" s="57">
        <v>43217</v>
      </c>
      <c r="D3" s="57" t="str">
        <f t="shared" ref="D3:D66" si="0">A3&amp;C3</f>
        <v>66A43217</v>
      </c>
      <c r="E3">
        <v>459.45823569072093</v>
      </c>
      <c r="F3">
        <v>8.4175947379717329</v>
      </c>
      <c r="G3">
        <v>0.33156416833357744</v>
      </c>
    </row>
    <row r="4" spans="1:7" x14ac:dyDescent="0.25">
      <c r="A4" s="52" t="s">
        <v>324</v>
      </c>
      <c r="B4" t="s">
        <v>137</v>
      </c>
      <c r="C4" s="57">
        <v>43221</v>
      </c>
      <c r="D4" s="57" t="str">
        <f t="shared" si="0"/>
        <v>32B43221</v>
      </c>
      <c r="E4">
        <v>482.45129539414432</v>
      </c>
      <c r="F4">
        <v>10.759986678442271</v>
      </c>
      <c r="G4">
        <v>0.33484935853251896</v>
      </c>
    </row>
    <row r="5" spans="1:7" x14ac:dyDescent="0.25">
      <c r="A5" s="52" t="s">
        <v>325</v>
      </c>
      <c r="B5" t="s">
        <v>142</v>
      </c>
      <c r="C5" s="57">
        <v>43221</v>
      </c>
      <c r="D5" s="57" t="str">
        <f t="shared" si="0"/>
        <v>32C43221</v>
      </c>
      <c r="E5">
        <v>486.10114370663149</v>
      </c>
      <c r="F5">
        <v>2.4878540448794908</v>
      </c>
      <c r="G5">
        <v>0.33333961581584787</v>
      </c>
    </row>
    <row r="6" spans="1:7" x14ac:dyDescent="0.25">
      <c r="A6" s="52" t="s">
        <v>326</v>
      </c>
      <c r="B6" t="s">
        <v>147</v>
      </c>
      <c r="C6" s="57">
        <v>43217</v>
      </c>
      <c r="D6" s="57" t="str">
        <f t="shared" si="0"/>
        <v>66B43217</v>
      </c>
      <c r="E6">
        <v>449.52924045947111</v>
      </c>
      <c r="F6">
        <v>5.2730022274000889</v>
      </c>
      <c r="G6">
        <v>0.31804081523825678</v>
      </c>
    </row>
    <row r="7" spans="1:7" x14ac:dyDescent="0.25">
      <c r="A7" s="52" t="s">
        <v>327</v>
      </c>
      <c r="B7" t="s">
        <v>152</v>
      </c>
      <c r="C7" s="57">
        <v>43217</v>
      </c>
      <c r="D7" s="57" t="str">
        <f t="shared" si="0"/>
        <v>66C43217</v>
      </c>
      <c r="E7">
        <v>493.70412591952459</v>
      </c>
      <c r="F7">
        <v>4.7040854357796924</v>
      </c>
      <c r="G7">
        <v>0.33065402579279957</v>
      </c>
    </row>
    <row r="8" spans="1:7" x14ac:dyDescent="0.25">
      <c r="A8" s="52" t="s">
        <v>328</v>
      </c>
      <c r="B8" t="s">
        <v>157</v>
      </c>
      <c r="C8" s="57">
        <v>43215</v>
      </c>
      <c r="D8" s="57" t="str">
        <f t="shared" si="0"/>
        <v>56B43215</v>
      </c>
      <c r="E8">
        <v>419.12906080135991</v>
      </c>
      <c r="F8">
        <v>2.2639426473174771</v>
      </c>
      <c r="G8">
        <v>0.32862600656294394</v>
      </c>
    </row>
    <row r="9" spans="1:7" x14ac:dyDescent="0.25">
      <c r="A9" s="52" t="s">
        <v>329</v>
      </c>
      <c r="B9" t="s">
        <v>162</v>
      </c>
      <c r="C9" s="57">
        <v>43215</v>
      </c>
      <c r="D9" s="57" t="str">
        <f t="shared" si="0"/>
        <v>56A43215</v>
      </c>
      <c r="E9">
        <v>435.17637940607648</v>
      </c>
      <c r="F9">
        <v>1.8837922509577909</v>
      </c>
      <c r="G9">
        <v>0.32881774846468698</v>
      </c>
    </row>
    <row r="10" spans="1:7" x14ac:dyDescent="0.25">
      <c r="A10" s="52" t="s">
        <v>330</v>
      </c>
      <c r="B10" t="s">
        <v>167</v>
      </c>
      <c r="C10" s="57">
        <v>43223</v>
      </c>
      <c r="D10" s="57" t="str">
        <f t="shared" si="0"/>
        <v>62B43223</v>
      </c>
      <c r="E10">
        <v>453.94096696817888</v>
      </c>
      <c r="F10">
        <v>2.4732134464892819</v>
      </c>
      <c r="G10">
        <v>0.33395690097660158</v>
      </c>
    </row>
    <row r="11" spans="1:7" x14ac:dyDescent="0.25">
      <c r="A11" s="52" t="s">
        <v>331</v>
      </c>
      <c r="B11" t="s">
        <v>172</v>
      </c>
      <c r="C11" s="57">
        <v>43223</v>
      </c>
      <c r="D11" s="57" t="str">
        <f t="shared" si="0"/>
        <v>62C43223</v>
      </c>
      <c r="E11">
        <v>445.25542774904068</v>
      </c>
      <c r="F11">
        <v>2.3130059604866831</v>
      </c>
      <c r="G11">
        <v>0.3128617921059948</v>
      </c>
    </row>
    <row r="12" spans="1:7" x14ac:dyDescent="0.25">
      <c r="A12" s="52" t="s">
        <v>332</v>
      </c>
      <c r="B12" t="s">
        <v>177</v>
      </c>
      <c r="C12" s="57">
        <v>43223</v>
      </c>
      <c r="D12" s="57" t="str">
        <f t="shared" si="0"/>
        <v>62E43223</v>
      </c>
      <c r="E12">
        <v>492.40095603301552</v>
      </c>
      <c r="F12">
        <v>11.526681260263141</v>
      </c>
      <c r="G12">
        <v>0.33004911192027742</v>
      </c>
    </row>
    <row r="13" spans="1:7" x14ac:dyDescent="0.25">
      <c r="A13" s="52" t="s">
        <v>333</v>
      </c>
      <c r="B13" t="s">
        <v>182</v>
      </c>
      <c r="C13" s="57">
        <v>43223</v>
      </c>
      <c r="D13" s="57" t="str">
        <f t="shared" si="0"/>
        <v>61C43223</v>
      </c>
      <c r="E13">
        <v>474.7614133324256</v>
      </c>
      <c r="F13">
        <v>2.7058566584302222</v>
      </c>
      <c r="G13">
        <v>0.3383059202946414</v>
      </c>
    </row>
    <row r="14" spans="1:7" x14ac:dyDescent="0.25">
      <c r="A14" s="52" t="s">
        <v>334</v>
      </c>
      <c r="B14" t="s">
        <v>187</v>
      </c>
      <c r="C14" s="57">
        <v>43223</v>
      </c>
      <c r="D14" s="57" t="str">
        <f t="shared" si="0"/>
        <v>61B43223</v>
      </c>
      <c r="E14">
        <v>456.51125997214501</v>
      </c>
      <c r="F14">
        <v>2.3535382703497429</v>
      </c>
      <c r="G14">
        <v>0.33206109426016461</v>
      </c>
    </row>
    <row r="15" spans="1:7" x14ac:dyDescent="0.25">
      <c r="A15" s="53" t="s">
        <v>335</v>
      </c>
      <c r="B15" s="49" t="s">
        <v>192</v>
      </c>
      <c r="C15" s="58">
        <v>43214</v>
      </c>
      <c r="D15" s="57" t="str">
        <f t="shared" si="0"/>
        <v>4C43214</v>
      </c>
      <c r="E15" s="49"/>
      <c r="F15" s="49"/>
      <c r="G15" s="49"/>
    </row>
    <row r="16" spans="1:7" x14ac:dyDescent="0.25">
      <c r="A16" s="52" t="s">
        <v>58</v>
      </c>
      <c r="B16" t="s">
        <v>197</v>
      </c>
      <c r="C16" s="57">
        <v>43216</v>
      </c>
      <c r="D16" s="57" t="str">
        <f t="shared" si="0"/>
        <v>14A43216</v>
      </c>
      <c r="E16">
        <v>442.41194651989929</v>
      </c>
      <c r="F16">
        <v>2.704502505162409</v>
      </c>
      <c r="G16">
        <v>0.32446855970781519</v>
      </c>
    </row>
    <row r="17" spans="1:7" x14ac:dyDescent="0.25">
      <c r="A17" s="52" t="s">
        <v>336</v>
      </c>
      <c r="B17" t="s">
        <v>202</v>
      </c>
      <c r="C17" s="57">
        <v>43214</v>
      </c>
      <c r="D17" s="57" t="str">
        <f t="shared" si="0"/>
        <v>4D43214</v>
      </c>
      <c r="E17">
        <v>449.14695713428227</v>
      </c>
      <c r="F17">
        <v>4.5678493928170054</v>
      </c>
      <c r="G17">
        <v>0.32688556097329385</v>
      </c>
    </row>
    <row r="18" spans="1:7" x14ac:dyDescent="0.25">
      <c r="A18" s="52" t="s">
        <v>337</v>
      </c>
      <c r="B18" t="s">
        <v>207</v>
      </c>
      <c r="C18" s="57">
        <v>43216</v>
      </c>
      <c r="D18" s="57" t="str">
        <f t="shared" si="0"/>
        <v>14B43216</v>
      </c>
      <c r="E18">
        <v>437.09186215702118</v>
      </c>
      <c r="F18">
        <v>1.9722847137845281</v>
      </c>
      <c r="G18">
        <v>0.32508895019405104</v>
      </c>
    </row>
    <row r="19" spans="1:7" x14ac:dyDescent="0.25">
      <c r="A19" s="52">
        <v>68</v>
      </c>
      <c r="B19" t="s">
        <v>212</v>
      </c>
      <c r="C19" s="57">
        <v>43216</v>
      </c>
      <c r="D19" s="57" t="str">
        <f t="shared" si="0"/>
        <v>6843216</v>
      </c>
      <c r="E19">
        <v>446.28341840112489</v>
      </c>
      <c r="F19">
        <v>4.1509407023814742</v>
      </c>
      <c r="G19">
        <v>0.32825966699737952</v>
      </c>
    </row>
    <row r="20" spans="1:7" x14ac:dyDescent="0.25">
      <c r="A20" s="52" t="s">
        <v>478</v>
      </c>
      <c r="B20" t="s">
        <v>217</v>
      </c>
      <c r="C20" s="57">
        <v>43214</v>
      </c>
      <c r="D20" s="57" t="str">
        <f t="shared" si="0"/>
        <v>23A43214</v>
      </c>
      <c r="E20">
        <v>416.47513033966442</v>
      </c>
      <c r="F20">
        <v>2.8000695980352699</v>
      </c>
      <c r="G20">
        <v>0.32962993608993868</v>
      </c>
    </row>
    <row r="21" spans="1:7" x14ac:dyDescent="0.25">
      <c r="A21" s="52" t="s">
        <v>332</v>
      </c>
      <c r="B21" t="s">
        <v>222</v>
      </c>
      <c r="C21" s="57">
        <v>43235</v>
      </c>
      <c r="D21" s="57" t="str">
        <f t="shared" si="0"/>
        <v>62E43235</v>
      </c>
      <c r="E21">
        <v>428.95553430301101</v>
      </c>
      <c r="F21">
        <v>8.570092688468451</v>
      </c>
      <c r="G21">
        <v>0.32247815936599156</v>
      </c>
    </row>
    <row r="22" spans="1:7" x14ac:dyDescent="0.25">
      <c r="A22" s="52" t="s">
        <v>330</v>
      </c>
      <c r="B22" t="s">
        <v>227</v>
      </c>
      <c r="C22" s="57">
        <v>43235</v>
      </c>
      <c r="D22" s="57" t="str">
        <f t="shared" si="0"/>
        <v>62B43235</v>
      </c>
      <c r="E22">
        <v>421.28034936791698</v>
      </c>
      <c r="F22">
        <v>2.0979022984200948</v>
      </c>
      <c r="G22">
        <v>0.33006362898435643</v>
      </c>
    </row>
    <row r="23" spans="1:7" x14ac:dyDescent="0.25">
      <c r="A23" s="52" t="s">
        <v>331</v>
      </c>
      <c r="B23" t="s">
        <v>232</v>
      </c>
      <c r="C23" s="57">
        <v>43235</v>
      </c>
      <c r="D23" s="57" t="str">
        <f t="shared" si="0"/>
        <v>62C43235</v>
      </c>
      <c r="E23">
        <v>429.39147426053341</v>
      </c>
      <c r="F23">
        <v>1.9199736655654731</v>
      </c>
      <c r="G23">
        <v>0.32387360640181789</v>
      </c>
    </row>
    <row r="24" spans="1:7" x14ac:dyDescent="0.25">
      <c r="A24" s="52" t="s">
        <v>337</v>
      </c>
      <c r="B24" t="s">
        <v>237</v>
      </c>
      <c r="C24" s="57">
        <v>43238</v>
      </c>
      <c r="D24" s="57" t="str">
        <f t="shared" si="0"/>
        <v>14B43238</v>
      </c>
      <c r="E24">
        <v>423.68768365459141</v>
      </c>
      <c r="F24">
        <v>2.0357734290686782</v>
      </c>
      <c r="G24">
        <v>0.32343071515373834</v>
      </c>
    </row>
    <row r="25" spans="1:7" x14ac:dyDescent="0.25">
      <c r="A25" s="52">
        <v>68</v>
      </c>
      <c r="B25" t="s">
        <v>242</v>
      </c>
      <c r="C25" s="57">
        <v>43238</v>
      </c>
      <c r="D25" s="57" t="str">
        <f t="shared" si="0"/>
        <v>6843238</v>
      </c>
      <c r="E25">
        <v>426.15337168751392</v>
      </c>
      <c r="F25">
        <v>2.0093621318419701</v>
      </c>
      <c r="G25">
        <v>0.3288271223955343</v>
      </c>
    </row>
    <row r="26" spans="1:7" x14ac:dyDescent="0.25">
      <c r="A26" s="52" t="s">
        <v>58</v>
      </c>
      <c r="B26" t="s">
        <v>247</v>
      </c>
      <c r="C26" s="57">
        <v>43238</v>
      </c>
      <c r="D26" s="57" t="str">
        <f t="shared" si="0"/>
        <v>14A43238</v>
      </c>
      <c r="E26">
        <v>422.83804776972539</v>
      </c>
      <c r="F26">
        <v>1.9830235765966211</v>
      </c>
      <c r="G26">
        <v>0.32915243042986875</v>
      </c>
    </row>
    <row r="27" spans="1:7" x14ac:dyDescent="0.25">
      <c r="A27" s="52" t="s">
        <v>325</v>
      </c>
      <c r="B27" t="s">
        <v>252</v>
      </c>
      <c r="C27" s="57">
        <v>43237</v>
      </c>
      <c r="D27" s="57" t="str">
        <f t="shared" si="0"/>
        <v>32C43237</v>
      </c>
      <c r="E27">
        <v>423.31444862609908</v>
      </c>
      <c r="F27">
        <v>2.0531488750049749</v>
      </c>
      <c r="G27">
        <v>0.32429558325815616</v>
      </c>
    </row>
    <row r="28" spans="1:7" x14ac:dyDescent="0.25">
      <c r="A28" s="52" t="s">
        <v>478</v>
      </c>
      <c r="B28" t="s">
        <v>257</v>
      </c>
      <c r="C28" s="57">
        <v>43237</v>
      </c>
      <c r="D28" s="57" t="str">
        <f t="shared" si="0"/>
        <v>23A43237</v>
      </c>
      <c r="E28">
        <v>437.65163191221518</v>
      </c>
      <c r="F28">
        <v>2.340032019963648</v>
      </c>
      <c r="G28">
        <v>0.33056937065577419</v>
      </c>
    </row>
    <row r="29" spans="1:7" x14ac:dyDescent="0.25">
      <c r="A29" s="52" t="s">
        <v>334</v>
      </c>
      <c r="B29" t="s">
        <v>262</v>
      </c>
      <c r="C29" s="57">
        <v>43235</v>
      </c>
      <c r="D29" s="57" t="str">
        <f t="shared" si="0"/>
        <v>61B43235</v>
      </c>
      <c r="E29">
        <v>426.23782653193172</v>
      </c>
      <c r="F29">
        <v>2.1662444800994161</v>
      </c>
      <c r="G29">
        <v>0.32446247359764185</v>
      </c>
    </row>
    <row r="30" spans="1:7" x14ac:dyDescent="0.25">
      <c r="A30" s="52" t="s">
        <v>333</v>
      </c>
      <c r="B30" t="s">
        <v>267</v>
      </c>
      <c r="C30" s="57">
        <v>43235</v>
      </c>
      <c r="D30" s="57" t="str">
        <f t="shared" si="0"/>
        <v>61C43235</v>
      </c>
      <c r="E30">
        <v>437.07427938659731</v>
      </c>
      <c r="F30">
        <v>2.764880422108881</v>
      </c>
      <c r="G30">
        <v>0.33154069582859014</v>
      </c>
    </row>
    <row r="31" spans="1:7" x14ac:dyDescent="0.25">
      <c r="A31" s="52" t="s">
        <v>336</v>
      </c>
      <c r="B31" t="s">
        <v>272</v>
      </c>
      <c r="C31" s="57">
        <v>43236</v>
      </c>
      <c r="D31" s="57" t="str">
        <f t="shared" si="0"/>
        <v>4D43236</v>
      </c>
      <c r="E31">
        <v>432.20843332408691</v>
      </c>
      <c r="F31">
        <v>2.352566138509733</v>
      </c>
      <c r="G31">
        <v>0.32523504728685282</v>
      </c>
    </row>
    <row r="32" spans="1:7" x14ac:dyDescent="0.25">
      <c r="A32" s="52" t="s">
        <v>335</v>
      </c>
      <c r="B32" t="s">
        <v>277</v>
      </c>
      <c r="C32" s="57">
        <v>43236</v>
      </c>
      <c r="D32" s="57" t="str">
        <f t="shared" si="0"/>
        <v>4C43236</v>
      </c>
      <c r="E32">
        <v>434.70218678237688</v>
      </c>
      <c r="F32">
        <v>2.655282291465269</v>
      </c>
      <c r="G32">
        <v>0.32662616126859711</v>
      </c>
    </row>
    <row r="33" spans="1:7" x14ac:dyDescent="0.25">
      <c r="A33" s="52" t="s">
        <v>329</v>
      </c>
      <c r="B33" t="s">
        <v>282</v>
      </c>
      <c r="C33" s="57">
        <v>43236</v>
      </c>
      <c r="D33" s="57" t="str">
        <f t="shared" si="0"/>
        <v>56A43236</v>
      </c>
      <c r="E33">
        <v>422.58476255726799</v>
      </c>
      <c r="F33">
        <v>2.1751753364776509</v>
      </c>
      <c r="G33">
        <v>0.32783178910496813</v>
      </c>
    </row>
    <row r="34" spans="1:7" x14ac:dyDescent="0.25">
      <c r="A34" s="52" t="s">
        <v>328</v>
      </c>
      <c r="B34" t="s">
        <v>287</v>
      </c>
      <c r="C34" s="57">
        <v>43236</v>
      </c>
      <c r="D34" s="57" t="str">
        <f t="shared" si="0"/>
        <v>56B43236</v>
      </c>
      <c r="E34">
        <v>453.99923100415771</v>
      </c>
      <c r="F34">
        <v>2.5059529930489282</v>
      </c>
      <c r="G34">
        <v>0.33688033106221438</v>
      </c>
    </row>
    <row r="35" spans="1:7" x14ac:dyDescent="0.25">
      <c r="A35" s="52" t="s">
        <v>327</v>
      </c>
      <c r="B35" t="s">
        <v>292</v>
      </c>
      <c r="C35" s="57">
        <v>43234</v>
      </c>
      <c r="D35" s="57" t="str">
        <f t="shared" si="0"/>
        <v>66C43234</v>
      </c>
      <c r="E35">
        <v>467.9316753005964</v>
      </c>
      <c r="F35">
        <v>5.4028081938197481</v>
      </c>
      <c r="G35">
        <v>0.32507308191826351</v>
      </c>
    </row>
    <row r="36" spans="1:7" x14ac:dyDescent="0.25">
      <c r="A36" s="52" t="s">
        <v>326</v>
      </c>
      <c r="B36" t="s">
        <v>297</v>
      </c>
      <c r="C36" s="57">
        <v>43234</v>
      </c>
      <c r="D36" s="57" t="str">
        <f t="shared" si="0"/>
        <v>66B43234</v>
      </c>
      <c r="E36">
        <v>425.84611961534631</v>
      </c>
      <c r="F36">
        <v>2.239751935473536</v>
      </c>
      <c r="G36">
        <v>0.32489405963728157</v>
      </c>
    </row>
    <row r="37" spans="1:7" x14ac:dyDescent="0.25">
      <c r="A37" s="52" t="s">
        <v>338</v>
      </c>
      <c r="B37" t="s">
        <v>302</v>
      </c>
      <c r="C37" s="57">
        <v>43234</v>
      </c>
      <c r="D37" s="57" t="str">
        <f t="shared" si="0"/>
        <v>4A43234</v>
      </c>
      <c r="E37">
        <v>416.5814159956131</v>
      </c>
      <c r="F37">
        <v>2.0266971350101919</v>
      </c>
      <c r="G37">
        <v>0.33161689031893959</v>
      </c>
    </row>
    <row r="38" spans="1:7" x14ac:dyDescent="0.25">
      <c r="A38" s="52" t="s">
        <v>322</v>
      </c>
      <c r="B38" t="s">
        <v>306</v>
      </c>
      <c r="C38" s="57">
        <v>43243</v>
      </c>
      <c r="D38" s="57" t="str">
        <f t="shared" si="0"/>
        <v>32A43243</v>
      </c>
      <c r="E38">
        <v>434.47976898528862</v>
      </c>
      <c r="F38">
        <v>2.266525490924796</v>
      </c>
      <c r="G38">
        <v>0.32960395406414911</v>
      </c>
    </row>
    <row r="39" spans="1:7" x14ac:dyDescent="0.25">
      <c r="A39" s="52" t="s">
        <v>324</v>
      </c>
      <c r="B39" t="s">
        <v>311</v>
      </c>
      <c r="C39" s="57">
        <v>43243</v>
      </c>
      <c r="D39" s="57" t="str">
        <f t="shared" si="0"/>
        <v>32B43243</v>
      </c>
      <c r="E39">
        <v>417.31196402057247</v>
      </c>
      <c r="F39">
        <v>2.6187584960266279</v>
      </c>
      <c r="G39">
        <v>0.32730393793396539</v>
      </c>
    </row>
    <row r="40" spans="1:7" x14ac:dyDescent="0.25">
      <c r="A40" s="52" t="s">
        <v>323</v>
      </c>
      <c r="B40" t="s">
        <v>316</v>
      </c>
      <c r="C40" s="57">
        <v>43234</v>
      </c>
      <c r="D40" s="57" t="str">
        <f t="shared" si="0"/>
        <v>66A43234</v>
      </c>
      <c r="E40">
        <v>428.76056654028031</v>
      </c>
      <c r="F40">
        <v>1.9572047477822729</v>
      </c>
      <c r="G40">
        <v>0.32582317351407991</v>
      </c>
    </row>
    <row r="41" spans="1:7" x14ac:dyDescent="0.25">
      <c r="A41" s="52" t="s">
        <v>478</v>
      </c>
      <c r="B41" s="62" t="s">
        <v>349</v>
      </c>
      <c r="C41" s="57">
        <v>43262</v>
      </c>
      <c r="D41" s="57" t="str">
        <f t="shared" si="0"/>
        <v>23A43262</v>
      </c>
      <c r="E41">
        <v>423.11735866272181</v>
      </c>
      <c r="F41">
        <v>2.068218092876386</v>
      </c>
      <c r="G41">
        <v>0.28878251336494598</v>
      </c>
    </row>
    <row r="42" spans="1:7" x14ac:dyDescent="0.25">
      <c r="A42" s="52" t="s">
        <v>338</v>
      </c>
      <c r="B42" s="62" t="s">
        <v>354</v>
      </c>
      <c r="C42" s="57">
        <v>43262</v>
      </c>
      <c r="D42" s="57" t="str">
        <f t="shared" si="0"/>
        <v>4A43262</v>
      </c>
      <c r="E42">
        <v>419.53269305300228</v>
      </c>
      <c r="F42">
        <v>1.87347037645888</v>
      </c>
      <c r="G42">
        <v>0.28512434451129015</v>
      </c>
    </row>
    <row r="43" spans="1:7" x14ac:dyDescent="0.25">
      <c r="A43" s="52" t="s">
        <v>336</v>
      </c>
      <c r="B43" s="50" t="s">
        <v>321</v>
      </c>
      <c r="C43" s="57">
        <v>43262</v>
      </c>
      <c r="D43" s="57" t="str">
        <f t="shared" si="0"/>
        <v>4D43262</v>
      </c>
    </row>
    <row r="44" spans="1:7" x14ac:dyDescent="0.25">
      <c r="A44" s="52" t="s">
        <v>323</v>
      </c>
      <c r="B44" s="62" t="s">
        <v>363</v>
      </c>
      <c r="C44" s="57">
        <v>43263</v>
      </c>
      <c r="D44" s="57" t="str">
        <f t="shared" si="0"/>
        <v>66A43263</v>
      </c>
      <c r="E44">
        <v>420.27894674021002</v>
      </c>
      <c r="F44">
        <v>1.8324193378979521</v>
      </c>
      <c r="G44">
        <v>0.28925435602840566</v>
      </c>
    </row>
    <row r="45" spans="1:7" x14ac:dyDescent="0.25">
      <c r="A45" s="52" t="s">
        <v>327</v>
      </c>
      <c r="B45" s="62" t="s">
        <v>368</v>
      </c>
      <c r="C45" s="57">
        <v>43263</v>
      </c>
      <c r="D45" s="57" t="str">
        <f t="shared" si="0"/>
        <v>66C43263</v>
      </c>
      <c r="E45">
        <v>421.18991148288109</v>
      </c>
      <c r="F45">
        <v>1.857815368536482</v>
      </c>
      <c r="G45">
        <v>0.29003815377618508</v>
      </c>
    </row>
    <row r="46" spans="1:7" x14ac:dyDescent="0.25">
      <c r="A46" s="52" t="s">
        <v>332</v>
      </c>
      <c r="B46" s="50" t="s">
        <v>373</v>
      </c>
      <c r="C46" s="57">
        <v>43297</v>
      </c>
      <c r="D46" s="57" t="str">
        <f t="shared" si="0"/>
        <v>62E43297</v>
      </c>
    </row>
    <row r="47" spans="1:7" x14ac:dyDescent="0.25">
      <c r="A47" s="52">
        <v>68</v>
      </c>
      <c r="B47" s="50" t="s">
        <v>374</v>
      </c>
      <c r="C47" s="57">
        <v>43294</v>
      </c>
      <c r="D47" s="57" t="str">
        <f t="shared" si="0"/>
        <v>6843294</v>
      </c>
    </row>
    <row r="48" spans="1:7" x14ac:dyDescent="0.25">
      <c r="A48" s="52" t="s">
        <v>337</v>
      </c>
      <c r="B48" s="50" t="s">
        <v>375</v>
      </c>
      <c r="C48" s="57">
        <v>43294</v>
      </c>
      <c r="D48" s="57" t="str">
        <f t="shared" si="0"/>
        <v>14B43294</v>
      </c>
    </row>
    <row r="49" spans="1:7" x14ac:dyDescent="0.25">
      <c r="A49" s="52" t="s">
        <v>58</v>
      </c>
      <c r="B49" s="50" t="s">
        <v>376</v>
      </c>
      <c r="C49" s="57">
        <v>43294</v>
      </c>
      <c r="D49" s="57" t="str">
        <f t="shared" si="0"/>
        <v>14A43294</v>
      </c>
    </row>
    <row r="50" spans="1:7" x14ac:dyDescent="0.25">
      <c r="A50" s="52" t="s">
        <v>324</v>
      </c>
      <c r="B50" s="62" t="s">
        <v>377</v>
      </c>
      <c r="C50" s="57">
        <v>43293</v>
      </c>
      <c r="D50" s="57" t="str">
        <f t="shared" si="0"/>
        <v>32B43293</v>
      </c>
      <c r="E50">
        <v>447.16325736992229</v>
      </c>
      <c r="F50">
        <v>2.1371686599433839</v>
      </c>
      <c r="G50">
        <v>0.29066818161689745</v>
      </c>
    </row>
    <row r="51" spans="1:7" x14ac:dyDescent="0.25">
      <c r="A51" s="52" t="s">
        <v>322</v>
      </c>
      <c r="B51" s="62" t="s">
        <v>382</v>
      </c>
      <c r="C51" s="57">
        <v>43293</v>
      </c>
      <c r="D51" s="57" t="str">
        <f t="shared" si="0"/>
        <v>32A43293</v>
      </c>
      <c r="E51">
        <v>416.50138231124839</v>
      </c>
      <c r="F51">
        <v>2.0472938748408969</v>
      </c>
      <c r="G51">
        <v>0.29634610556873048</v>
      </c>
    </row>
    <row r="52" spans="1:7" x14ac:dyDescent="0.25">
      <c r="A52" s="52" t="s">
        <v>325</v>
      </c>
      <c r="B52" s="62" t="s">
        <v>387</v>
      </c>
      <c r="C52" s="57">
        <v>43293</v>
      </c>
      <c r="D52" s="57" t="str">
        <f t="shared" si="0"/>
        <v>32C43293</v>
      </c>
      <c r="E52">
        <v>459.97742632397319</v>
      </c>
      <c r="F52">
        <v>2.0155666148013589</v>
      </c>
      <c r="G52">
        <v>0.28809610637338745</v>
      </c>
    </row>
    <row r="53" spans="1:7" x14ac:dyDescent="0.25">
      <c r="A53" s="52" t="s">
        <v>478</v>
      </c>
      <c r="B53" s="62" t="s">
        <v>392</v>
      </c>
      <c r="C53" s="57">
        <v>43293</v>
      </c>
      <c r="D53" s="57" t="str">
        <f t="shared" si="0"/>
        <v>23A43293</v>
      </c>
      <c r="E53">
        <v>520.40865782178912</v>
      </c>
      <c r="F53">
        <v>1.958422359241905</v>
      </c>
      <c r="G53">
        <v>0.29935016330372</v>
      </c>
    </row>
    <row r="54" spans="1:7" x14ac:dyDescent="0.25">
      <c r="A54" s="52" t="s">
        <v>336</v>
      </c>
      <c r="B54" s="62" t="s">
        <v>397</v>
      </c>
      <c r="C54" s="57">
        <v>43292</v>
      </c>
      <c r="D54" s="57" t="str">
        <f t="shared" si="0"/>
        <v>4D43292</v>
      </c>
      <c r="E54">
        <v>409.10059790241718</v>
      </c>
      <c r="F54">
        <v>1.8431201827171619</v>
      </c>
      <c r="G54">
        <v>0.29499923482883172</v>
      </c>
    </row>
    <row r="55" spans="1:7" x14ac:dyDescent="0.25">
      <c r="A55" s="52" t="s">
        <v>335</v>
      </c>
      <c r="B55" s="62" t="s">
        <v>402</v>
      </c>
      <c r="C55" s="57">
        <v>43292</v>
      </c>
      <c r="D55" s="57" t="str">
        <f t="shared" si="0"/>
        <v>4C43292</v>
      </c>
      <c r="E55">
        <v>404.94208666998719</v>
      </c>
      <c r="F55">
        <v>1.878895038233003</v>
      </c>
      <c r="G55">
        <v>0.29071497789181466</v>
      </c>
    </row>
    <row r="56" spans="1:7" x14ac:dyDescent="0.25">
      <c r="A56" s="52" t="s">
        <v>329</v>
      </c>
      <c r="B56" s="62" t="s">
        <v>407</v>
      </c>
      <c r="C56" s="57">
        <v>43292</v>
      </c>
      <c r="D56" s="57" t="str">
        <f t="shared" si="0"/>
        <v>56A43292</v>
      </c>
      <c r="E56">
        <v>451.60086098859171</v>
      </c>
      <c r="F56">
        <v>1.9568631540917421</v>
      </c>
      <c r="G56">
        <v>0.29296449160963511</v>
      </c>
    </row>
    <row r="57" spans="1:7" x14ac:dyDescent="0.25">
      <c r="A57" s="52" t="s">
        <v>328</v>
      </c>
      <c r="B57" s="62" t="s">
        <v>412</v>
      </c>
      <c r="C57" s="57">
        <v>43292</v>
      </c>
      <c r="D57" s="57" t="str">
        <f t="shared" si="0"/>
        <v>56B43292</v>
      </c>
      <c r="E57">
        <v>429.8335630517937</v>
      </c>
      <c r="F57">
        <v>1.9517338622489251</v>
      </c>
      <c r="G57">
        <v>0.28662844238837965</v>
      </c>
    </row>
    <row r="58" spans="1:7" x14ac:dyDescent="0.25">
      <c r="A58" s="52" t="s">
        <v>333</v>
      </c>
      <c r="B58" s="50" t="s">
        <v>417</v>
      </c>
      <c r="C58" s="57">
        <v>43291</v>
      </c>
      <c r="D58" s="57" t="str">
        <f t="shared" si="0"/>
        <v>61C43291</v>
      </c>
    </row>
    <row r="59" spans="1:7" x14ac:dyDescent="0.25">
      <c r="A59" s="52" t="s">
        <v>334</v>
      </c>
      <c r="B59" s="62" t="s">
        <v>419</v>
      </c>
      <c r="C59" s="57">
        <v>43291</v>
      </c>
      <c r="D59" s="57" t="str">
        <f t="shared" si="0"/>
        <v>61B43291</v>
      </c>
      <c r="E59">
        <v>446.6942226149701</v>
      </c>
      <c r="F59">
        <v>1.9916207046913219</v>
      </c>
      <c r="G59">
        <v>0.29069914177366074</v>
      </c>
    </row>
    <row r="60" spans="1:7" x14ac:dyDescent="0.25">
      <c r="A60" s="52" t="s">
        <v>331</v>
      </c>
      <c r="B60" s="62" t="s">
        <v>422</v>
      </c>
      <c r="C60" s="57">
        <v>43291</v>
      </c>
      <c r="D60" s="57" t="str">
        <f t="shared" si="0"/>
        <v>62C43291</v>
      </c>
      <c r="E60">
        <v>446.35194289063088</v>
      </c>
      <c r="F60">
        <v>1.9634491096744711</v>
      </c>
      <c r="G60">
        <v>0.2896388262464169</v>
      </c>
    </row>
    <row r="61" spans="1:7" x14ac:dyDescent="0.25">
      <c r="A61" s="52" t="s">
        <v>330</v>
      </c>
      <c r="B61" s="62" t="s">
        <v>427</v>
      </c>
      <c r="C61" s="57">
        <v>43291</v>
      </c>
      <c r="D61" s="57" t="str">
        <f t="shared" si="0"/>
        <v>62B43291</v>
      </c>
      <c r="E61">
        <v>415.74313124226398</v>
      </c>
      <c r="F61">
        <v>9.5529629691914657</v>
      </c>
      <c r="G61">
        <v>0.29948047301603087</v>
      </c>
    </row>
    <row r="62" spans="1:7" x14ac:dyDescent="0.25">
      <c r="A62" s="52" t="s">
        <v>323</v>
      </c>
      <c r="B62" s="50" t="s">
        <v>432</v>
      </c>
      <c r="C62" s="57">
        <v>43290</v>
      </c>
      <c r="D62" s="57" t="str">
        <f t="shared" si="0"/>
        <v>66A43290</v>
      </c>
    </row>
    <row r="63" spans="1:7" x14ac:dyDescent="0.25">
      <c r="A63" s="52" t="s">
        <v>327</v>
      </c>
      <c r="B63" s="62" t="s">
        <v>437</v>
      </c>
      <c r="C63" s="57">
        <v>43290</v>
      </c>
      <c r="D63" s="57" t="str">
        <f t="shared" si="0"/>
        <v>66C43290</v>
      </c>
      <c r="E63">
        <v>410.4299055191363</v>
      </c>
      <c r="F63">
        <v>2.9874882585537259</v>
      </c>
      <c r="G63">
        <v>0.29763717912682763</v>
      </c>
    </row>
    <row r="64" spans="1:7" x14ac:dyDescent="0.25">
      <c r="A64" s="52" t="s">
        <v>326</v>
      </c>
      <c r="B64" s="62" t="s">
        <v>442</v>
      </c>
      <c r="C64" s="57">
        <v>43290</v>
      </c>
      <c r="D64" s="57" t="str">
        <f t="shared" si="0"/>
        <v>66B43290</v>
      </c>
      <c r="E64">
        <v>407.17552045970331</v>
      </c>
      <c r="F64">
        <v>2.0616361493772679</v>
      </c>
      <c r="G64">
        <v>0.28943618839970642</v>
      </c>
    </row>
    <row r="65" spans="1:7" x14ac:dyDescent="0.25">
      <c r="A65" s="52" t="s">
        <v>338</v>
      </c>
      <c r="B65" s="62" t="s">
        <v>447</v>
      </c>
      <c r="C65" s="57">
        <v>43290</v>
      </c>
      <c r="D65" s="57" t="str">
        <f t="shared" si="0"/>
        <v>4A43290</v>
      </c>
      <c r="E65">
        <v>433.43890291295918</v>
      </c>
      <c r="F65">
        <v>1.9858879292579721</v>
      </c>
      <c r="G65">
        <v>0.3003945228116125</v>
      </c>
    </row>
    <row r="66" spans="1:7" x14ac:dyDescent="0.25">
      <c r="A66" s="52" t="s">
        <v>327</v>
      </c>
      <c r="B66" s="50" t="s">
        <v>452</v>
      </c>
      <c r="C66" s="57">
        <v>43321</v>
      </c>
      <c r="D66" s="57" t="str">
        <f t="shared" si="0"/>
        <v>66C43321</v>
      </c>
    </row>
    <row r="67" spans="1:7" x14ac:dyDescent="0.25">
      <c r="A67" s="52" t="s">
        <v>323</v>
      </c>
      <c r="B67" s="50" t="s">
        <v>457</v>
      </c>
      <c r="C67" s="57">
        <v>43321</v>
      </c>
      <c r="D67" s="57" t="str">
        <f t="shared" ref="D67:D89" si="1">A67&amp;C67</f>
        <v>66A43321</v>
      </c>
    </row>
    <row r="68" spans="1:7" x14ac:dyDescent="0.25">
      <c r="A68" s="52" t="s">
        <v>478</v>
      </c>
      <c r="B68" s="50" t="s">
        <v>462</v>
      </c>
      <c r="C68" s="57">
        <v>43321</v>
      </c>
      <c r="D68" s="57" t="str">
        <f t="shared" si="1"/>
        <v>23A43321</v>
      </c>
    </row>
    <row r="69" spans="1:7" x14ac:dyDescent="0.25">
      <c r="A69" s="52" t="s">
        <v>338</v>
      </c>
      <c r="B69" s="50" t="s">
        <v>467</v>
      </c>
      <c r="C69" s="57">
        <v>43320</v>
      </c>
      <c r="D69" s="57" t="str">
        <f t="shared" si="1"/>
        <v>4A43320</v>
      </c>
    </row>
    <row r="70" spans="1:7" x14ac:dyDescent="0.25">
      <c r="A70" s="52" t="s">
        <v>335</v>
      </c>
      <c r="B70" s="50" t="s">
        <v>472</v>
      </c>
      <c r="C70" s="57">
        <v>43320</v>
      </c>
      <c r="D70" s="57" t="str">
        <f t="shared" si="1"/>
        <v>4C43320</v>
      </c>
    </row>
    <row r="71" spans="1:7" x14ac:dyDescent="0.25">
      <c r="A71" s="52" t="s">
        <v>478</v>
      </c>
      <c r="B71" s="63" t="s">
        <v>501</v>
      </c>
      <c r="C71" s="57">
        <v>43370</v>
      </c>
      <c r="D71" s="57" t="str">
        <f t="shared" si="1"/>
        <v>23A43370</v>
      </c>
      <c r="E71">
        <v>455.81548365394713</v>
      </c>
      <c r="F71">
        <v>2.1174285952504839</v>
      </c>
      <c r="G71">
        <v>0.30024551436183244</v>
      </c>
    </row>
    <row r="72" spans="1:7" x14ac:dyDescent="0.25">
      <c r="A72" s="52" t="s">
        <v>324</v>
      </c>
      <c r="B72" s="63" t="s">
        <v>505</v>
      </c>
      <c r="C72" s="57">
        <v>43370</v>
      </c>
      <c r="D72" s="57" t="str">
        <f t="shared" si="1"/>
        <v>32B43370</v>
      </c>
      <c r="E72">
        <v>442.63163769115482</v>
      </c>
      <c r="F72">
        <v>2.141493176072649</v>
      </c>
      <c r="G72">
        <v>0.31052938715797113</v>
      </c>
    </row>
    <row r="73" spans="1:7" x14ac:dyDescent="0.25">
      <c r="A73" s="52" t="s">
        <v>322</v>
      </c>
      <c r="B73" s="63" t="s">
        <v>509</v>
      </c>
      <c r="C73" s="57">
        <v>43370</v>
      </c>
      <c r="D73" s="57" t="str">
        <f t="shared" si="1"/>
        <v>32A43370</v>
      </c>
      <c r="E73">
        <v>452.49260634430271</v>
      </c>
      <c r="F73">
        <v>2.009482919733991</v>
      </c>
      <c r="G73">
        <v>0.31593658876179576</v>
      </c>
    </row>
    <row r="74" spans="1:7" x14ac:dyDescent="0.25">
      <c r="A74" s="52" t="s">
        <v>325</v>
      </c>
      <c r="B74" s="63" t="s">
        <v>513</v>
      </c>
      <c r="C74" s="57">
        <v>43370</v>
      </c>
      <c r="D74" s="57" t="str">
        <f t="shared" si="1"/>
        <v>32C43370</v>
      </c>
      <c r="E74">
        <v>427.92718106246252</v>
      </c>
      <c r="F74">
        <v>2.02049727104994</v>
      </c>
      <c r="G74">
        <v>0.30153296619833742</v>
      </c>
    </row>
    <row r="75" spans="1:7" x14ac:dyDescent="0.25">
      <c r="A75" s="52" t="s">
        <v>329</v>
      </c>
      <c r="B75" s="63" t="s">
        <v>517</v>
      </c>
      <c r="C75" s="57">
        <v>43369</v>
      </c>
      <c r="D75" s="57" t="str">
        <f t="shared" si="1"/>
        <v>56A43369</v>
      </c>
      <c r="E75">
        <v>441.56494781122137</v>
      </c>
      <c r="F75">
        <v>1.981603458532571</v>
      </c>
      <c r="G75">
        <v>0.31252456947396895</v>
      </c>
    </row>
    <row r="76" spans="1:7" x14ac:dyDescent="0.25">
      <c r="A76" s="52" t="s">
        <v>328</v>
      </c>
      <c r="B76" s="63" t="s">
        <v>521</v>
      </c>
      <c r="C76" s="57">
        <v>43369</v>
      </c>
      <c r="D76" s="57" t="str">
        <f t="shared" si="1"/>
        <v>56B43369</v>
      </c>
      <c r="E76">
        <v>434.41839145322058</v>
      </c>
      <c r="F76">
        <v>2.582745627069694</v>
      </c>
      <c r="G76">
        <v>0.31082161201386715</v>
      </c>
    </row>
    <row r="77" spans="1:7" x14ac:dyDescent="0.25">
      <c r="A77" s="52" t="s">
        <v>336</v>
      </c>
      <c r="B77" s="63" t="s">
        <v>525</v>
      </c>
      <c r="C77" s="57">
        <v>43369</v>
      </c>
      <c r="D77" s="57" t="str">
        <f t="shared" si="1"/>
        <v>4D43369</v>
      </c>
      <c r="E77">
        <v>439.46944293443198</v>
      </c>
      <c r="F77">
        <v>1.93638578852503</v>
      </c>
      <c r="G77">
        <v>0.31132021893523704</v>
      </c>
    </row>
    <row r="78" spans="1:7" x14ac:dyDescent="0.25">
      <c r="A78" s="52" t="s">
        <v>335</v>
      </c>
      <c r="B78" s="63" t="s">
        <v>473</v>
      </c>
      <c r="C78" s="57">
        <v>43369</v>
      </c>
      <c r="D78" s="57" t="str">
        <f t="shared" si="1"/>
        <v>4C43369</v>
      </c>
      <c r="E78">
        <v>446.66723096452921</v>
      </c>
      <c r="F78">
        <v>5.3105253204993978</v>
      </c>
      <c r="G78">
        <v>0.30728000934186112</v>
      </c>
    </row>
    <row r="79" spans="1:7" x14ac:dyDescent="0.25">
      <c r="A79" s="52" t="s">
        <v>333</v>
      </c>
      <c r="B79" s="63" t="s">
        <v>529</v>
      </c>
      <c r="C79" s="57">
        <v>43368</v>
      </c>
      <c r="D79" s="57" t="str">
        <f t="shared" si="1"/>
        <v>61C43368</v>
      </c>
      <c r="E79">
        <v>428.97619210900632</v>
      </c>
      <c r="F79">
        <v>2.013473718829526</v>
      </c>
      <c r="G79">
        <v>0.30596050202684061</v>
      </c>
    </row>
    <row r="80" spans="1:7" x14ac:dyDescent="0.25">
      <c r="A80" s="52" t="s">
        <v>334</v>
      </c>
      <c r="B80" s="63" t="s">
        <v>533</v>
      </c>
      <c r="C80" s="57">
        <v>43368</v>
      </c>
      <c r="D80" s="57" t="str">
        <f t="shared" si="1"/>
        <v>61B43368</v>
      </c>
      <c r="E80">
        <v>441.85422923176611</v>
      </c>
      <c r="F80">
        <v>2.035652927534306</v>
      </c>
      <c r="G80">
        <v>0.31028877015853901</v>
      </c>
    </row>
    <row r="81" spans="1:7" x14ac:dyDescent="0.25">
      <c r="A81" s="52" t="s">
        <v>332</v>
      </c>
      <c r="B81" s="63" t="s">
        <v>537</v>
      </c>
      <c r="C81" s="57">
        <v>43368</v>
      </c>
      <c r="D81" s="57" t="str">
        <f t="shared" si="1"/>
        <v>62E43368</v>
      </c>
      <c r="E81">
        <v>439.91218641854908</v>
      </c>
      <c r="F81">
        <v>2.0405343881206348</v>
      </c>
      <c r="G81">
        <v>0.31017886086011426</v>
      </c>
    </row>
    <row r="82" spans="1:7" x14ac:dyDescent="0.25">
      <c r="A82" s="52" t="s">
        <v>331</v>
      </c>
      <c r="B82" s="63" t="s">
        <v>541</v>
      </c>
      <c r="C82" s="57">
        <v>43368</v>
      </c>
      <c r="D82" s="57" t="str">
        <f t="shared" si="1"/>
        <v>62C43368</v>
      </c>
      <c r="E82">
        <v>474.3169107828931</v>
      </c>
      <c r="F82">
        <v>2.2034104559689669</v>
      </c>
      <c r="G82">
        <v>0.87785594144473589</v>
      </c>
    </row>
    <row r="83" spans="1:7" x14ac:dyDescent="0.25">
      <c r="A83" s="52" t="s">
        <v>330</v>
      </c>
      <c r="B83" s="63" t="s">
        <v>545</v>
      </c>
      <c r="C83" s="57">
        <v>43368</v>
      </c>
      <c r="D83" s="57" t="str">
        <f t="shared" si="1"/>
        <v>62B43368</v>
      </c>
      <c r="E83">
        <v>431.21051383287568</v>
      </c>
      <c r="F83">
        <v>2.2040402769884091</v>
      </c>
      <c r="G83">
        <v>0.30119341676803724</v>
      </c>
    </row>
    <row r="84" spans="1:7" x14ac:dyDescent="0.25">
      <c r="A84" s="52" t="s">
        <v>338</v>
      </c>
      <c r="B84" s="63" t="s">
        <v>549</v>
      </c>
      <c r="C84" s="57">
        <v>43367</v>
      </c>
      <c r="D84" s="57" t="str">
        <f t="shared" si="1"/>
        <v>4A43367</v>
      </c>
      <c r="E84">
        <v>434.10839005077912</v>
      </c>
      <c r="F84">
        <v>2.1112094215544879</v>
      </c>
      <c r="G84">
        <v>0.30614998281987815</v>
      </c>
    </row>
    <row r="85" spans="1:7" x14ac:dyDescent="0.25">
      <c r="A85" s="52" t="s">
        <v>323</v>
      </c>
      <c r="B85" s="63" t="s">
        <v>553</v>
      </c>
      <c r="C85" s="57">
        <v>43367</v>
      </c>
      <c r="D85" s="57" t="str">
        <f t="shared" si="1"/>
        <v>66A43367</v>
      </c>
      <c r="E85">
        <v>443.45780199051711</v>
      </c>
      <c r="F85">
        <v>1.977217313640816</v>
      </c>
      <c r="G85">
        <v>0.30940721709958346</v>
      </c>
    </row>
    <row r="86" spans="1:7" x14ac:dyDescent="0.25">
      <c r="A86" s="52" t="s">
        <v>327</v>
      </c>
      <c r="B86" s="63" t="s">
        <v>557</v>
      </c>
      <c r="C86" s="57">
        <v>43367</v>
      </c>
      <c r="D86" s="57" t="str">
        <f t="shared" si="1"/>
        <v>66C43367</v>
      </c>
      <c r="E86">
        <v>435.14357849666351</v>
      </c>
      <c r="F86">
        <v>2.072074785495055</v>
      </c>
      <c r="G86">
        <v>0.30746868509662872</v>
      </c>
    </row>
    <row r="87" spans="1:7" x14ac:dyDescent="0.25">
      <c r="A87" s="52" t="s">
        <v>326</v>
      </c>
      <c r="B87" s="63" t="s">
        <v>561</v>
      </c>
      <c r="C87" s="57">
        <v>43367</v>
      </c>
      <c r="D87" s="57" t="str">
        <f t="shared" si="1"/>
        <v>66B43367</v>
      </c>
      <c r="E87">
        <v>441.7141509339242</v>
      </c>
      <c r="F87">
        <v>2.0511175889122049</v>
      </c>
      <c r="G87">
        <v>0.31042883380263003</v>
      </c>
    </row>
    <row r="88" spans="1:7" x14ac:dyDescent="0.25">
      <c r="A88" s="59" t="s">
        <v>58</v>
      </c>
      <c r="B88" s="74" t="s">
        <v>565</v>
      </c>
      <c r="C88" s="75">
        <v>43372</v>
      </c>
      <c r="D88" s="75" t="str">
        <f t="shared" si="1"/>
        <v>14A43372</v>
      </c>
      <c r="E88" s="42">
        <v>452.06714781431037</v>
      </c>
      <c r="F88" s="42">
        <v>2.0934737314172809</v>
      </c>
      <c r="G88" s="42">
        <v>0.30284432529182659</v>
      </c>
    </row>
    <row r="89" spans="1:7" x14ac:dyDescent="0.25">
      <c r="A89" s="59" t="s">
        <v>337</v>
      </c>
      <c r="B89" s="74" t="s">
        <v>569</v>
      </c>
      <c r="C89" s="75">
        <v>43372</v>
      </c>
      <c r="D89" s="75" t="str">
        <f t="shared" si="1"/>
        <v>14B43372</v>
      </c>
      <c r="E89" s="42">
        <v>427.84539397378109</v>
      </c>
      <c r="F89" s="42">
        <v>1.9036443409801329</v>
      </c>
      <c r="G89" s="42">
        <v>0.31470686677065718</v>
      </c>
    </row>
    <row r="99" spans="1:2" x14ac:dyDescent="0.25">
      <c r="B99" t="s">
        <v>115</v>
      </c>
    </row>
    <row r="100" spans="1:2" x14ac:dyDescent="0.25">
      <c r="A100" t="s">
        <v>116</v>
      </c>
      <c r="B100" t="s">
        <v>115</v>
      </c>
    </row>
    <row r="101" spans="1:2" x14ac:dyDescent="0.25">
      <c r="A101" t="s">
        <v>116</v>
      </c>
      <c r="B101" t="s">
        <v>115</v>
      </c>
    </row>
    <row r="102" spans="1:2" x14ac:dyDescent="0.25">
      <c r="A102" t="s">
        <v>117</v>
      </c>
      <c r="B102" t="s">
        <v>115</v>
      </c>
    </row>
    <row r="103" spans="1:2" x14ac:dyDescent="0.25">
      <c r="A103" t="s">
        <v>117</v>
      </c>
      <c r="B103" t="s">
        <v>115</v>
      </c>
    </row>
    <row r="104" spans="1:2" x14ac:dyDescent="0.25">
      <c r="A104" t="s">
        <v>117</v>
      </c>
      <c r="B104" t="s">
        <v>115</v>
      </c>
    </row>
    <row r="105" spans="1:2" x14ac:dyDescent="0.25">
      <c r="A105" t="s">
        <v>66</v>
      </c>
      <c r="B105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Water</vt:lpstr>
      <vt:lpstr>Raw</vt:lpstr>
      <vt:lpstr>Assumptions</vt:lpstr>
      <vt:lpstr>Wind</vt:lpstr>
      <vt:lpstr>Atm</vt:lpstr>
    </vt:vector>
  </TitlesOfParts>
  <Company>Southern Cross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Gatland</dc:creator>
  <cp:lastModifiedBy>limno</cp:lastModifiedBy>
  <dcterms:created xsi:type="dcterms:W3CDTF">2017-08-25T15:47:54Z</dcterms:created>
  <dcterms:modified xsi:type="dcterms:W3CDTF">2021-10-05T21:08:17Z</dcterms:modified>
</cp:coreProperties>
</file>