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imno\Google Drive\Paired Study\"/>
    </mc:Choice>
  </mc:AlternateContent>
  <xr:revisionPtr revIDLastSave="0" documentId="13_ncr:1_{9456C735-9AF1-4387-8A27-D00B41A0A5B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aster" sheetId="1" r:id="rId1"/>
    <sheet name="SO4_ALK_CL" sheetId="9" r:id="rId2"/>
    <sheet name="Triplex" sheetId="6" r:id="rId3"/>
    <sheet name="TP" sheetId="7" r:id="rId4"/>
    <sheet name="TN" sheetId="8" r:id="rId5"/>
    <sheet name="CHL" sheetId="4" r:id="rId6"/>
    <sheet name="TICTOC" sheetId="3" r:id="rId7"/>
    <sheet name="GHG" sheetId="2" r:id="rId8"/>
    <sheet name="Flux" sheetId="5" r:id="rId9"/>
    <sheet name="Ebullition" sheetId="10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7" hidden="1">GHG!$B$1:$B$39</definedName>
    <definedName name="_xlnm._FilterDatabase" localSheetId="0" hidden="1">Master!$D$1:$D$41</definedName>
    <definedName name="_xlnm._FilterDatabase" localSheetId="1" hidden="1">SO4_ALK_CL!$C$1:$C$134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Y30" i="1" l="1"/>
  <c r="CY9" i="1"/>
  <c r="CY11" i="1"/>
  <c r="CY12" i="1"/>
  <c r="CY20" i="1"/>
  <c r="CY26" i="1"/>
  <c r="CY34" i="1"/>
  <c r="CY39" i="1"/>
  <c r="CY5" i="1"/>
  <c r="CX5" i="1"/>
  <c r="CX9" i="1"/>
  <c r="CX11" i="1"/>
  <c r="CX12" i="1"/>
  <c r="CX20" i="1"/>
  <c r="CX26" i="1"/>
  <c r="CX30" i="1"/>
  <c r="CX34" i="1"/>
  <c r="CX39" i="1"/>
  <c r="CO2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W30" i="1"/>
  <c r="F9" i="10"/>
  <c r="E9" i="10"/>
  <c r="CW39" i="1" s="1"/>
  <c r="D9" i="10"/>
  <c r="F8" i="10"/>
  <c r="E8" i="10"/>
  <c r="CW34" i="1" s="1"/>
  <c r="D8" i="10"/>
  <c r="F10" i="10"/>
  <c r="E10" i="10"/>
  <c r="CW26" i="1" s="1"/>
  <c r="D10" i="10"/>
  <c r="F7" i="10"/>
  <c r="E7" i="10"/>
  <c r="D7" i="10"/>
  <c r="F5" i="10"/>
  <c r="E5" i="10"/>
  <c r="CW12" i="1" s="1"/>
  <c r="D5" i="10"/>
  <c r="F4" i="10"/>
  <c r="E4" i="10"/>
  <c r="CW9" i="1" s="1"/>
  <c r="D4" i="10"/>
  <c r="F2" i="10"/>
  <c r="E2" i="10"/>
  <c r="CW20" i="1" s="1"/>
  <c r="D2" i="10"/>
  <c r="F6" i="10"/>
  <c r="E6" i="10"/>
  <c r="CW5" i="1" s="1"/>
  <c r="D6" i="10"/>
  <c r="F3" i="10"/>
  <c r="E3" i="10"/>
  <c r="CW11" i="1" s="1"/>
  <c r="D3" i="10"/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2" i="9"/>
  <c r="CR25" i="1" l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2" i="1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2" i="6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2" i="7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E112" i="8"/>
  <c r="A112" i="8"/>
  <c r="A111" i="8"/>
  <c r="E110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E93" i="8"/>
  <c r="A93" i="8"/>
  <c r="E92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E78" i="8"/>
  <c r="A78" i="8"/>
  <c r="A77" i="8"/>
  <c r="A76" i="8"/>
  <c r="E75" i="8"/>
  <c r="A75" i="8"/>
  <c r="A74" i="8"/>
  <c r="A73" i="8"/>
  <c r="E72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E34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34" i="7"/>
  <c r="A133" i="7"/>
  <c r="E132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CQ3" i="1" l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2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2" i="1"/>
  <c r="AH22" i="1" l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" i="1"/>
  <c r="BJ12" i="1" l="1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E7" i="1" l="1"/>
  <c r="BF7" i="1"/>
  <c r="AP7" i="1" l="1"/>
  <c r="AP20" i="1"/>
  <c r="AP11" i="1"/>
  <c r="AP19" i="1"/>
  <c r="AP17" i="1"/>
  <c r="AP18" i="1"/>
  <c r="AP14" i="1"/>
  <c r="AP6" i="1"/>
  <c r="AP13" i="1"/>
  <c r="AP9" i="1"/>
  <c r="AP12" i="1"/>
  <c r="AP8" i="1"/>
  <c r="AP10" i="1"/>
  <c r="AP15" i="1"/>
  <c r="AP16" i="1"/>
  <c r="AP3" i="1"/>
  <c r="AP5" i="1"/>
  <c r="AP2" i="1"/>
  <c r="AP4" i="1"/>
  <c r="AP21" i="1"/>
  <c r="AP27" i="1"/>
  <c r="AP40" i="1"/>
  <c r="AP30" i="1"/>
  <c r="AP41" i="1"/>
  <c r="AP38" i="1"/>
  <c r="AP32" i="1"/>
  <c r="AP28" i="1"/>
  <c r="AP22" i="1"/>
  <c r="AP31" i="1"/>
  <c r="AP34" i="1"/>
  <c r="AP39" i="1"/>
  <c r="AP23" i="1"/>
  <c r="AP37" i="1"/>
  <c r="AP36" i="1"/>
  <c r="AP25" i="1"/>
  <c r="AP29" i="1"/>
  <c r="AP26" i="1"/>
  <c r="AP35" i="1"/>
  <c r="AP24" i="1"/>
  <c r="AP33" i="1"/>
  <c r="BL20" i="1"/>
  <c r="BM20" i="1"/>
  <c r="BL11" i="1"/>
  <c r="BM11" i="1"/>
  <c r="BL19" i="1"/>
  <c r="BM19" i="1"/>
  <c r="BL17" i="1"/>
  <c r="BM17" i="1"/>
  <c r="BL18" i="1"/>
  <c r="BM18" i="1"/>
  <c r="BL14" i="1"/>
  <c r="BM14" i="1"/>
  <c r="BL6" i="1"/>
  <c r="BM6" i="1"/>
  <c r="BL13" i="1"/>
  <c r="BM13" i="1"/>
  <c r="BL9" i="1"/>
  <c r="BM9" i="1"/>
  <c r="BL12" i="1"/>
  <c r="BM12" i="1"/>
  <c r="BL8" i="1"/>
  <c r="BM8" i="1"/>
  <c r="BL10" i="1"/>
  <c r="BM10" i="1"/>
  <c r="BL15" i="1"/>
  <c r="BM15" i="1"/>
  <c r="BL16" i="1"/>
  <c r="BM16" i="1"/>
  <c r="BL3" i="1"/>
  <c r="BM3" i="1"/>
  <c r="BL5" i="1"/>
  <c r="BM5" i="1"/>
  <c r="BL2" i="1"/>
  <c r="BM2" i="1"/>
  <c r="BL4" i="1"/>
  <c r="BM4" i="1"/>
  <c r="BL21" i="1"/>
  <c r="BM21" i="1"/>
  <c r="BL27" i="1"/>
  <c r="BM27" i="1"/>
  <c r="BL40" i="1"/>
  <c r="BM40" i="1"/>
  <c r="BL30" i="1"/>
  <c r="BM30" i="1"/>
  <c r="BL41" i="1"/>
  <c r="BM41" i="1"/>
  <c r="BL38" i="1"/>
  <c r="BM38" i="1"/>
  <c r="BL32" i="1"/>
  <c r="BM32" i="1"/>
  <c r="BL28" i="1"/>
  <c r="BM28" i="1"/>
  <c r="BL22" i="1"/>
  <c r="BM22" i="1"/>
  <c r="BL31" i="1"/>
  <c r="BM31" i="1"/>
  <c r="BL34" i="1"/>
  <c r="BM34" i="1"/>
  <c r="BL39" i="1"/>
  <c r="BM39" i="1"/>
  <c r="BL23" i="1"/>
  <c r="BM23" i="1"/>
  <c r="BL37" i="1"/>
  <c r="BM37" i="1"/>
  <c r="BL36" i="1"/>
  <c r="BM36" i="1"/>
  <c r="BL25" i="1"/>
  <c r="BM25" i="1"/>
  <c r="BL29" i="1"/>
  <c r="BM29" i="1"/>
  <c r="BL26" i="1"/>
  <c r="BM26" i="1"/>
  <c r="BL35" i="1"/>
  <c r="BM35" i="1"/>
  <c r="BL24" i="1"/>
  <c r="BM24" i="1"/>
  <c r="BL33" i="1"/>
  <c r="BM33" i="1"/>
  <c r="BM7" i="1"/>
  <c r="BL7" i="1"/>
  <c r="BK20" i="1"/>
  <c r="BK11" i="1"/>
  <c r="BK19" i="1"/>
  <c r="BK17" i="1"/>
  <c r="BK18" i="1"/>
  <c r="BK14" i="1"/>
  <c r="BK6" i="1"/>
  <c r="BK13" i="1"/>
  <c r="BK9" i="1"/>
  <c r="BK12" i="1"/>
  <c r="BK8" i="1"/>
  <c r="BK10" i="1"/>
  <c r="BK15" i="1"/>
  <c r="BK16" i="1"/>
  <c r="BK3" i="1"/>
  <c r="BK5" i="1"/>
  <c r="BK2" i="1"/>
  <c r="BK4" i="1"/>
  <c r="BK21" i="1"/>
  <c r="BK27" i="1"/>
  <c r="BK40" i="1"/>
  <c r="BK30" i="1"/>
  <c r="BK41" i="1"/>
  <c r="BK38" i="1"/>
  <c r="BK32" i="1"/>
  <c r="BK28" i="1"/>
  <c r="BK22" i="1"/>
  <c r="BK31" i="1"/>
  <c r="BK34" i="1"/>
  <c r="BK39" i="1"/>
  <c r="BK23" i="1"/>
  <c r="BK37" i="1"/>
  <c r="BK36" i="1"/>
  <c r="BK25" i="1"/>
  <c r="BK29" i="1"/>
  <c r="BK26" i="1"/>
  <c r="BK35" i="1"/>
  <c r="BK24" i="1"/>
  <c r="BK33" i="1"/>
  <c r="BK7" i="1"/>
  <c r="BJ20" i="1"/>
  <c r="BJ11" i="1"/>
  <c r="BJ19" i="1"/>
  <c r="BJ17" i="1"/>
  <c r="BJ18" i="1"/>
  <c r="BJ14" i="1"/>
  <c r="BJ6" i="1"/>
  <c r="BJ13" i="1"/>
  <c r="BJ9" i="1"/>
  <c r="BJ8" i="1"/>
  <c r="BJ10" i="1"/>
  <c r="BJ15" i="1"/>
  <c r="BJ16" i="1"/>
  <c r="BJ3" i="1"/>
  <c r="BJ5" i="1"/>
  <c r="BJ2" i="1"/>
  <c r="BJ4" i="1"/>
  <c r="BJ21" i="1"/>
  <c r="BJ27" i="1"/>
  <c r="BJ40" i="1"/>
  <c r="BJ30" i="1"/>
  <c r="BJ41" i="1"/>
  <c r="BJ38" i="1"/>
  <c r="BJ32" i="1"/>
  <c r="BJ28" i="1"/>
  <c r="BJ22" i="1"/>
  <c r="BJ31" i="1"/>
  <c r="BJ34" i="1"/>
  <c r="BJ39" i="1"/>
  <c r="BJ23" i="1"/>
  <c r="BJ37" i="1"/>
  <c r="BJ36" i="1"/>
  <c r="BJ25" i="1"/>
  <c r="BJ29" i="1"/>
  <c r="BJ26" i="1"/>
  <c r="BJ35" i="1"/>
  <c r="BJ24" i="1"/>
  <c r="BJ33" i="1"/>
  <c r="BJ7" i="1"/>
  <c r="BI20" i="1"/>
  <c r="BI11" i="1"/>
  <c r="BI19" i="1"/>
  <c r="BI17" i="1"/>
  <c r="BI18" i="1"/>
  <c r="BI14" i="1"/>
  <c r="BI6" i="1"/>
  <c r="BI13" i="1"/>
  <c r="BI9" i="1"/>
  <c r="BI12" i="1"/>
  <c r="BI8" i="1"/>
  <c r="BI10" i="1"/>
  <c r="BI15" i="1"/>
  <c r="BI16" i="1"/>
  <c r="BI3" i="1"/>
  <c r="BI5" i="1"/>
  <c r="BI2" i="1"/>
  <c r="BI4" i="1"/>
  <c r="BI21" i="1"/>
  <c r="BI27" i="1"/>
  <c r="BI40" i="1"/>
  <c r="BI30" i="1"/>
  <c r="BI41" i="1"/>
  <c r="BI38" i="1"/>
  <c r="BI32" i="1"/>
  <c r="BI28" i="1"/>
  <c r="BI22" i="1"/>
  <c r="BI31" i="1"/>
  <c r="BI34" i="1"/>
  <c r="BI39" i="1"/>
  <c r="BI23" i="1"/>
  <c r="BI37" i="1"/>
  <c r="BI36" i="1"/>
  <c r="BI25" i="1"/>
  <c r="BI29" i="1"/>
  <c r="BI26" i="1"/>
  <c r="BI35" i="1"/>
  <c r="BI24" i="1"/>
  <c r="BI33" i="1"/>
  <c r="BI7" i="1"/>
  <c r="BH20" i="1"/>
  <c r="BH11" i="1"/>
  <c r="BH19" i="1"/>
  <c r="BH17" i="1"/>
  <c r="BH18" i="1"/>
  <c r="BH14" i="1"/>
  <c r="BH6" i="1"/>
  <c r="BH13" i="1"/>
  <c r="BH9" i="1"/>
  <c r="BH12" i="1"/>
  <c r="BH8" i="1"/>
  <c r="BH10" i="1"/>
  <c r="BH15" i="1"/>
  <c r="BH16" i="1"/>
  <c r="BH3" i="1"/>
  <c r="BH5" i="1"/>
  <c r="BH2" i="1"/>
  <c r="BH4" i="1"/>
  <c r="BH21" i="1"/>
  <c r="BH27" i="1"/>
  <c r="BH40" i="1"/>
  <c r="BH30" i="1"/>
  <c r="BH41" i="1"/>
  <c r="BH38" i="1"/>
  <c r="BH32" i="1"/>
  <c r="BH28" i="1"/>
  <c r="BH22" i="1"/>
  <c r="BH31" i="1"/>
  <c r="BH34" i="1"/>
  <c r="BH39" i="1"/>
  <c r="BH23" i="1"/>
  <c r="BH37" i="1"/>
  <c r="BH36" i="1"/>
  <c r="BH25" i="1"/>
  <c r="BH29" i="1"/>
  <c r="BH26" i="1"/>
  <c r="BH35" i="1"/>
  <c r="BH24" i="1"/>
  <c r="BH33" i="1"/>
  <c r="BH7" i="1"/>
  <c r="BG20" i="1"/>
  <c r="BG11" i="1"/>
  <c r="BG19" i="1"/>
  <c r="BG17" i="1"/>
  <c r="BG18" i="1"/>
  <c r="BG14" i="1"/>
  <c r="BG6" i="1"/>
  <c r="BG13" i="1"/>
  <c r="BG9" i="1"/>
  <c r="BG12" i="1"/>
  <c r="BG8" i="1"/>
  <c r="BG10" i="1"/>
  <c r="BG15" i="1"/>
  <c r="BG16" i="1"/>
  <c r="BG3" i="1"/>
  <c r="BG5" i="1"/>
  <c r="BG2" i="1"/>
  <c r="BG4" i="1"/>
  <c r="BG21" i="1"/>
  <c r="BG27" i="1"/>
  <c r="BG40" i="1"/>
  <c r="BG30" i="1"/>
  <c r="BG41" i="1"/>
  <c r="BG38" i="1"/>
  <c r="BG32" i="1"/>
  <c r="BG28" i="1"/>
  <c r="BG22" i="1"/>
  <c r="BG31" i="1"/>
  <c r="BG34" i="1"/>
  <c r="BG39" i="1"/>
  <c r="BG23" i="1"/>
  <c r="BG37" i="1"/>
  <c r="BG36" i="1"/>
  <c r="BG25" i="1"/>
  <c r="BG29" i="1"/>
  <c r="BG26" i="1"/>
  <c r="BG35" i="1"/>
  <c r="BG24" i="1"/>
  <c r="BG33" i="1"/>
  <c r="BG7" i="1"/>
  <c r="BF20" i="1"/>
  <c r="BF11" i="1"/>
  <c r="BF19" i="1"/>
  <c r="BF17" i="1"/>
  <c r="BF18" i="1"/>
  <c r="BF14" i="1"/>
  <c r="BF6" i="1"/>
  <c r="BF13" i="1"/>
  <c r="BF9" i="1"/>
  <c r="BF12" i="1"/>
  <c r="BF8" i="1"/>
  <c r="BF10" i="1"/>
  <c r="BF15" i="1"/>
  <c r="BF16" i="1"/>
  <c r="BF3" i="1"/>
  <c r="BF5" i="1"/>
  <c r="BF2" i="1"/>
  <c r="BF4" i="1"/>
  <c r="BF21" i="1"/>
  <c r="BF27" i="1"/>
  <c r="BF40" i="1"/>
  <c r="BF30" i="1"/>
  <c r="BF41" i="1"/>
  <c r="BF38" i="1"/>
  <c r="BF32" i="1"/>
  <c r="BF28" i="1"/>
  <c r="BF22" i="1"/>
  <c r="BF31" i="1"/>
  <c r="BF34" i="1"/>
  <c r="BF39" i="1"/>
  <c r="BF23" i="1"/>
  <c r="BF37" i="1"/>
  <c r="BF36" i="1"/>
  <c r="BF25" i="1"/>
  <c r="BF29" i="1"/>
  <c r="BF26" i="1"/>
  <c r="BF35" i="1"/>
  <c r="BF24" i="1"/>
  <c r="BF33" i="1"/>
  <c r="BE20" i="1"/>
  <c r="BE11" i="1"/>
  <c r="BE19" i="1"/>
  <c r="BE17" i="1"/>
  <c r="BE18" i="1"/>
  <c r="BE14" i="1"/>
  <c r="BE6" i="1"/>
  <c r="BE13" i="1"/>
  <c r="BE9" i="1"/>
  <c r="BE12" i="1"/>
  <c r="BE8" i="1"/>
  <c r="BE10" i="1"/>
  <c r="BE15" i="1"/>
  <c r="BE16" i="1"/>
  <c r="BE3" i="1"/>
  <c r="BE5" i="1"/>
  <c r="BE2" i="1"/>
  <c r="BE4" i="1"/>
  <c r="BE21" i="1"/>
  <c r="BE27" i="1"/>
  <c r="BE40" i="1"/>
  <c r="BE30" i="1"/>
  <c r="BE41" i="1"/>
  <c r="BE38" i="1"/>
  <c r="BE32" i="1"/>
  <c r="BE28" i="1"/>
  <c r="BE22" i="1"/>
  <c r="BE31" i="1"/>
  <c r="BE34" i="1"/>
  <c r="BE39" i="1"/>
  <c r="BE23" i="1"/>
  <c r="BE37" i="1"/>
  <c r="BE36" i="1"/>
  <c r="BE25" i="1"/>
  <c r="BE29" i="1"/>
  <c r="BE26" i="1"/>
  <c r="BE35" i="1"/>
  <c r="BE24" i="1"/>
  <c r="BE33" i="1"/>
  <c r="AR20" i="1" l="1"/>
  <c r="AR11" i="1"/>
  <c r="AR19" i="1"/>
  <c r="AR17" i="1"/>
  <c r="AR18" i="1"/>
  <c r="AR14" i="1"/>
  <c r="AR6" i="1"/>
  <c r="AR13" i="1"/>
  <c r="AR9" i="1"/>
  <c r="AR12" i="1"/>
  <c r="AR8" i="1"/>
  <c r="AR10" i="1"/>
  <c r="AR15" i="1"/>
  <c r="AR16" i="1"/>
  <c r="AR3" i="1"/>
  <c r="AR5" i="1"/>
  <c r="AR2" i="1"/>
  <c r="AR4" i="1"/>
  <c r="AR21" i="1"/>
  <c r="AR27" i="1"/>
  <c r="AR40" i="1"/>
  <c r="AR30" i="1"/>
  <c r="AR41" i="1"/>
  <c r="AR38" i="1"/>
  <c r="AR32" i="1"/>
  <c r="AR28" i="1"/>
  <c r="AR22" i="1"/>
  <c r="AR31" i="1"/>
  <c r="AR34" i="1"/>
  <c r="AR39" i="1"/>
  <c r="AR23" i="1"/>
  <c r="AR37" i="1"/>
  <c r="AR36" i="1"/>
  <c r="AR25" i="1"/>
  <c r="AR29" i="1"/>
  <c r="AR26" i="1"/>
  <c r="AR35" i="1"/>
  <c r="AR24" i="1"/>
  <c r="AR33" i="1"/>
  <c r="AR7" i="1"/>
  <c r="AQ20" i="1"/>
  <c r="AQ11" i="1"/>
  <c r="AQ19" i="1"/>
  <c r="AQ17" i="1"/>
  <c r="AQ18" i="1"/>
  <c r="AQ14" i="1"/>
  <c r="AQ6" i="1"/>
  <c r="AQ13" i="1"/>
  <c r="AQ9" i="1"/>
  <c r="AQ12" i="1"/>
  <c r="AQ8" i="1"/>
  <c r="AQ10" i="1"/>
  <c r="AQ15" i="1"/>
  <c r="AQ16" i="1"/>
  <c r="AQ3" i="1"/>
  <c r="AQ5" i="1"/>
  <c r="AQ2" i="1"/>
  <c r="AQ4" i="1"/>
  <c r="AQ21" i="1"/>
  <c r="AQ27" i="1"/>
  <c r="AQ40" i="1"/>
  <c r="AQ30" i="1"/>
  <c r="AQ41" i="1"/>
  <c r="AQ38" i="1"/>
  <c r="AQ32" i="1"/>
  <c r="AQ28" i="1"/>
  <c r="AQ22" i="1"/>
  <c r="AQ31" i="1"/>
  <c r="AQ34" i="1"/>
  <c r="AQ39" i="1"/>
  <c r="AQ23" i="1"/>
  <c r="AQ37" i="1"/>
  <c r="AQ36" i="1"/>
  <c r="AQ25" i="1"/>
  <c r="AQ29" i="1"/>
  <c r="AQ26" i="1"/>
  <c r="AQ35" i="1"/>
  <c r="AQ24" i="1"/>
  <c r="AQ33" i="1"/>
  <c r="AQ7" i="1"/>
  <c r="AS34" i="1" l="1"/>
  <c r="AS12" i="1"/>
  <c r="AS39" i="1"/>
  <c r="AS13" i="1"/>
  <c r="AS31" i="1"/>
  <c r="AS11" i="1"/>
  <c r="AS30" i="1"/>
  <c r="AS5" i="1"/>
  <c r="AS26" i="1"/>
  <c r="AS20" i="1"/>
  <c r="AS40" i="1"/>
  <c r="AS16" i="1"/>
  <c r="AS25" i="1"/>
  <c r="AS6" i="1"/>
  <c r="AS22" i="1"/>
  <c r="AS7" i="1"/>
  <c r="AS27" i="1"/>
  <c r="AS17" i="1"/>
  <c r="AS38" i="1"/>
  <c r="AS18" i="1"/>
  <c r="AS32" i="1"/>
  <c r="AS19" i="1"/>
  <c r="AS41" i="1"/>
  <c r="AS2" i="1"/>
  <c r="AS35" i="1"/>
  <c r="AS10" i="1"/>
  <c r="AS37" i="1"/>
  <c r="AS15" i="1"/>
  <c r="AS36" i="1"/>
  <c r="AS14" i="1"/>
  <c r="AS28" i="1"/>
  <c r="AS21" i="1"/>
  <c r="AS33" i="1"/>
  <c r="AS3" i="1"/>
  <c r="AS29" i="1"/>
  <c r="AS4" i="1"/>
  <c r="AS24" i="1"/>
  <c r="AS8" i="1"/>
  <c r="AS23" i="1"/>
  <c r="AS9" i="1"/>
  <c r="AF9" i="1" l="1"/>
  <c r="AF34" i="1"/>
  <c r="AF12" i="1"/>
  <c r="AF39" i="1"/>
  <c r="AF13" i="1"/>
  <c r="AF31" i="1"/>
  <c r="AF11" i="1"/>
  <c r="AF30" i="1"/>
  <c r="AF5" i="1"/>
  <c r="AF26" i="1"/>
  <c r="AF20" i="1"/>
  <c r="AF40" i="1"/>
  <c r="AF16" i="1"/>
  <c r="AF25" i="1"/>
  <c r="AF6" i="1"/>
  <c r="AF22" i="1"/>
  <c r="AF7" i="1"/>
  <c r="AF27" i="1"/>
  <c r="AF17" i="1"/>
  <c r="AF38" i="1"/>
  <c r="AF18" i="1"/>
  <c r="AF32" i="1"/>
  <c r="AF19" i="1"/>
  <c r="AF41" i="1"/>
  <c r="AF2" i="1"/>
  <c r="AF35" i="1"/>
  <c r="AF10" i="1"/>
  <c r="AF37" i="1"/>
  <c r="AF15" i="1"/>
  <c r="AF36" i="1"/>
  <c r="AF14" i="1"/>
  <c r="AF28" i="1"/>
  <c r="AF21" i="1"/>
  <c r="AF33" i="1"/>
  <c r="AF3" i="1"/>
  <c r="AF29" i="1"/>
  <c r="AF4" i="1"/>
  <c r="AF24" i="1"/>
  <c r="AF8" i="1"/>
  <c r="AF23" i="1"/>
  <c r="C9" i="1"/>
  <c r="C34" i="1"/>
  <c r="C12" i="1"/>
  <c r="C39" i="1"/>
  <c r="C13" i="1"/>
  <c r="C31" i="1"/>
  <c r="C11" i="1"/>
  <c r="C30" i="1"/>
  <c r="C5" i="1"/>
  <c r="C26" i="1"/>
  <c r="C20" i="1"/>
  <c r="C40" i="1"/>
  <c r="C16" i="1"/>
  <c r="C25" i="1"/>
  <c r="C6" i="1"/>
  <c r="C22" i="1"/>
  <c r="C7" i="1"/>
  <c r="C27" i="1"/>
  <c r="C17" i="1"/>
  <c r="C38" i="1"/>
  <c r="C18" i="1"/>
  <c r="C32" i="1"/>
  <c r="C19" i="1"/>
  <c r="C41" i="1"/>
  <c r="C2" i="1"/>
  <c r="C35" i="1"/>
  <c r="C10" i="1"/>
  <c r="C37" i="1"/>
  <c r="C15" i="1"/>
  <c r="C36" i="1"/>
  <c r="C14" i="1"/>
  <c r="C28" i="1"/>
  <c r="C21" i="1"/>
  <c r="C33" i="1"/>
  <c r="C3" i="1"/>
  <c r="C29" i="1"/>
  <c r="C4" i="1"/>
  <c r="C24" i="1"/>
  <c r="C8" i="1"/>
  <c r="C23" i="1"/>
  <c r="CU30" i="1" l="1"/>
  <c r="CV30" i="1"/>
  <c r="CT30" i="1"/>
  <c r="CU28" i="1"/>
  <c r="CV28" i="1"/>
  <c r="CT28" i="1"/>
  <c r="CV31" i="1"/>
  <c r="CU31" i="1"/>
  <c r="CT31" i="1"/>
  <c r="CV38" i="1"/>
  <c r="CU38" i="1"/>
  <c r="CT38" i="1"/>
  <c r="CV15" i="1"/>
  <c r="CU15" i="1"/>
  <c r="CT15" i="1"/>
  <c r="CV23" i="1"/>
  <c r="CU23" i="1"/>
  <c r="CT23" i="1"/>
  <c r="CV37" i="1"/>
  <c r="CU37" i="1"/>
  <c r="CT37" i="1"/>
  <c r="CV22" i="1"/>
  <c r="CU22" i="1"/>
  <c r="CT22" i="1"/>
  <c r="CU39" i="1"/>
  <c r="CV39" i="1"/>
  <c r="CT39" i="1"/>
  <c r="CV13" i="1"/>
  <c r="CU13" i="1"/>
  <c r="CT13" i="1"/>
  <c r="CV8" i="1"/>
  <c r="CU8" i="1"/>
  <c r="CT8" i="1"/>
  <c r="CV10" i="1"/>
  <c r="CU10" i="1"/>
  <c r="CT10" i="1"/>
  <c r="CV6" i="1"/>
  <c r="CU6" i="1"/>
  <c r="CT6" i="1"/>
  <c r="CV12" i="1"/>
  <c r="CU12" i="1"/>
  <c r="CT12" i="1"/>
  <c r="CU14" i="1"/>
  <c r="CV14" i="1"/>
  <c r="CT14" i="1"/>
  <c r="CV25" i="1"/>
  <c r="CU25" i="1"/>
  <c r="CT25" i="1"/>
  <c r="CV34" i="1"/>
  <c r="CU34" i="1"/>
  <c r="CT34" i="1"/>
  <c r="CV11" i="1"/>
  <c r="CU11" i="1"/>
  <c r="CT11" i="1"/>
  <c r="CV4" i="1"/>
  <c r="CU4" i="1"/>
  <c r="CT4" i="1"/>
  <c r="CV2" i="1"/>
  <c r="CU2" i="1"/>
  <c r="CT2" i="1"/>
  <c r="CU16" i="1"/>
  <c r="CV16" i="1"/>
  <c r="CT16" i="1"/>
  <c r="CV9" i="1"/>
  <c r="CU9" i="1"/>
  <c r="CT9" i="1"/>
  <c r="CU17" i="1"/>
  <c r="CV17" i="1"/>
  <c r="CT17" i="1"/>
  <c r="CV35" i="1"/>
  <c r="CU35" i="1"/>
  <c r="CT35" i="1"/>
  <c r="CU29" i="1"/>
  <c r="CV29" i="1"/>
  <c r="CT29" i="1"/>
  <c r="CV41" i="1"/>
  <c r="CU41" i="1"/>
  <c r="CT41" i="1"/>
  <c r="CU40" i="1"/>
  <c r="CV40" i="1"/>
  <c r="CT40" i="1"/>
  <c r="CU27" i="1"/>
  <c r="CV27" i="1"/>
  <c r="CT27" i="1"/>
  <c r="CV24" i="1"/>
  <c r="CU24" i="1"/>
  <c r="CT24" i="1"/>
  <c r="CV3" i="1"/>
  <c r="CU3" i="1"/>
  <c r="CT3" i="1"/>
  <c r="CU19" i="1"/>
  <c r="CV19" i="1"/>
  <c r="CT19" i="1"/>
  <c r="CV20" i="1"/>
  <c r="CU20" i="1"/>
  <c r="CT20" i="1"/>
  <c r="CV7" i="1"/>
  <c r="CU7" i="1"/>
  <c r="CT7" i="1"/>
  <c r="CV32" i="1"/>
  <c r="CU32" i="1"/>
  <c r="CT32" i="1"/>
  <c r="CU26" i="1"/>
  <c r="CV26" i="1"/>
  <c r="CT26" i="1"/>
  <c r="CV36" i="1"/>
  <c r="CU36" i="1"/>
  <c r="CT36" i="1"/>
  <c r="CV33" i="1"/>
  <c r="CU33" i="1"/>
  <c r="CT33" i="1"/>
  <c r="CV21" i="1"/>
  <c r="CU21" i="1"/>
  <c r="CT21" i="1"/>
  <c r="CV18" i="1"/>
  <c r="CU18" i="1"/>
  <c r="CT18" i="1"/>
  <c r="CV5" i="1"/>
  <c r="CU5" i="1"/>
  <c r="CT5" i="1"/>
  <c r="AY23" i="1"/>
  <c r="AV23" i="1"/>
  <c r="AU23" i="1"/>
  <c r="AX23" i="1"/>
  <c r="AT23" i="1"/>
  <c r="AV41" i="1"/>
  <c r="AY41" i="1"/>
  <c r="AZ41" i="1" s="1"/>
  <c r="AU41" i="1"/>
  <c r="AT41" i="1"/>
  <c r="AX41" i="1"/>
  <c r="AU40" i="1"/>
  <c r="AY40" i="1"/>
  <c r="AZ40" i="1" s="1"/>
  <c r="AV40" i="1"/>
  <c r="AX40" i="1"/>
  <c r="AT40" i="1"/>
  <c r="AX14" i="1"/>
  <c r="AU14" i="1"/>
  <c r="AV14" i="1"/>
  <c r="AT14" i="1"/>
  <c r="AW14" i="1" s="1"/>
  <c r="AY14" i="1"/>
  <c r="AX6" i="1"/>
  <c r="AU6" i="1"/>
  <c r="AY6" i="1"/>
  <c r="AZ6" i="1" s="1"/>
  <c r="AV6" i="1"/>
  <c r="AT6" i="1"/>
  <c r="AW6" i="1" s="1"/>
  <c r="AX20" i="1"/>
  <c r="AU20" i="1"/>
  <c r="AY20" i="1"/>
  <c r="AV20" i="1"/>
  <c r="AT20" i="1"/>
  <c r="AY11" i="1"/>
  <c r="AT11" i="1"/>
  <c r="AX11" i="1"/>
  <c r="AU11" i="1"/>
  <c r="AV11" i="1"/>
  <c r="AU12" i="1"/>
  <c r="AY12" i="1"/>
  <c r="AZ12" i="1" s="1"/>
  <c r="AV12" i="1"/>
  <c r="AT12" i="1"/>
  <c r="AW12" i="1" s="1"/>
  <c r="AX12" i="1"/>
  <c r="AU28" i="1"/>
  <c r="AY28" i="1"/>
  <c r="AV28" i="1"/>
  <c r="AT28" i="1"/>
  <c r="AX28" i="1"/>
  <c r="AU38" i="1"/>
  <c r="AT38" i="1"/>
  <c r="AY38" i="1"/>
  <c r="AX38" i="1"/>
  <c r="AV38" i="1"/>
  <c r="AY39" i="1"/>
  <c r="AV39" i="1"/>
  <c r="AU39" i="1"/>
  <c r="AX39" i="1"/>
  <c r="AT39" i="1"/>
  <c r="AW39" i="1" s="1"/>
  <c r="AU8" i="1"/>
  <c r="AY8" i="1"/>
  <c r="AZ8" i="1" s="1"/>
  <c r="AV8" i="1"/>
  <c r="AT8" i="1"/>
  <c r="AW8" i="1" s="1"/>
  <c r="AX8" i="1"/>
  <c r="AY19" i="1"/>
  <c r="AX19" i="1"/>
  <c r="AU19" i="1"/>
  <c r="AT19" i="1"/>
  <c r="AV19" i="1"/>
  <c r="AU36" i="1"/>
  <c r="AY36" i="1"/>
  <c r="AZ36" i="1" s="1"/>
  <c r="AV36" i="1"/>
  <c r="AX36" i="1"/>
  <c r="AT36" i="1"/>
  <c r="AW36" i="1" s="1"/>
  <c r="AY27" i="1"/>
  <c r="AV27" i="1"/>
  <c r="AU27" i="1"/>
  <c r="AX27" i="1"/>
  <c r="AT27" i="1"/>
  <c r="AX34" i="1"/>
  <c r="AU34" i="1"/>
  <c r="AY34" i="1"/>
  <c r="AZ34" i="1" s="1"/>
  <c r="AT34" i="1"/>
  <c r="AW34" i="1" s="1"/>
  <c r="AV34" i="1"/>
  <c r="AY29" i="1"/>
  <c r="AU29" i="1"/>
  <c r="AV29" i="1"/>
  <c r="AX29" i="1"/>
  <c r="AT29" i="1"/>
  <c r="AW29" i="1" s="1"/>
  <c r="AV37" i="1"/>
  <c r="AY37" i="1"/>
  <c r="AZ37" i="1" s="1"/>
  <c r="AU37" i="1"/>
  <c r="AX37" i="1"/>
  <c r="AT37" i="1"/>
  <c r="AW37" i="1" s="1"/>
  <c r="AU22" i="1"/>
  <c r="AT22" i="1"/>
  <c r="AY22" i="1"/>
  <c r="AX22" i="1"/>
  <c r="AV22" i="1"/>
  <c r="AU30" i="1"/>
  <c r="AY30" i="1"/>
  <c r="AZ30" i="1" s="1"/>
  <c r="AX30" i="1"/>
  <c r="AV30" i="1"/>
  <c r="AT30" i="1"/>
  <c r="AY3" i="1"/>
  <c r="AU3" i="1"/>
  <c r="AV3" i="1"/>
  <c r="AX3" i="1"/>
  <c r="AT3" i="1"/>
  <c r="AX10" i="1"/>
  <c r="AU10" i="1"/>
  <c r="AT10" i="1"/>
  <c r="AV10" i="1"/>
  <c r="AY10" i="1"/>
  <c r="AT17" i="1"/>
  <c r="AW17" i="1" s="1"/>
  <c r="AV17" i="1"/>
  <c r="AX17" i="1"/>
  <c r="AY17" i="1"/>
  <c r="AU17" i="1"/>
  <c r="AU24" i="1"/>
  <c r="AY24" i="1"/>
  <c r="AZ24" i="1" s="1"/>
  <c r="AV24" i="1"/>
  <c r="AX24" i="1"/>
  <c r="AT24" i="1"/>
  <c r="AV33" i="1"/>
  <c r="AY33" i="1"/>
  <c r="AU33" i="1"/>
  <c r="AX33" i="1"/>
  <c r="AT33" i="1"/>
  <c r="AY35" i="1"/>
  <c r="AU35" i="1"/>
  <c r="AV35" i="1"/>
  <c r="AX35" i="1"/>
  <c r="AT35" i="1"/>
  <c r="AW35" i="1" s="1"/>
  <c r="AU32" i="1"/>
  <c r="AY32" i="1"/>
  <c r="AV32" i="1"/>
  <c r="AX32" i="1"/>
  <c r="AT32" i="1"/>
  <c r="AV25" i="1"/>
  <c r="AY25" i="1"/>
  <c r="AU25" i="1"/>
  <c r="AX25" i="1"/>
  <c r="AT25" i="1"/>
  <c r="AW25" i="1" s="1"/>
  <c r="AU26" i="1"/>
  <c r="AY26" i="1"/>
  <c r="AZ26" i="1" s="1"/>
  <c r="AV26" i="1"/>
  <c r="AT26" i="1"/>
  <c r="AX26" i="1"/>
  <c r="AY31" i="1"/>
  <c r="AZ31" i="1" s="1"/>
  <c r="AV31" i="1"/>
  <c r="AU31" i="1"/>
  <c r="AX31" i="1"/>
  <c r="AT31" i="1"/>
  <c r="AW31" i="1" s="1"/>
  <c r="AU4" i="1"/>
  <c r="AY4" i="1"/>
  <c r="AV4" i="1"/>
  <c r="AT4" i="1"/>
  <c r="AW4" i="1" s="1"/>
  <c r="AX4" i="1"/>
  <c r="AV21" i="1"/>
  <c r="AY21" i="1"/>
  <c r="AU21" i="1"/>
  <c r="AX21" i="1"/>
  <c r="AT21" i="1"/>
  <c r="AY15" i="1"/>
  <c r="AV15" i="1"/>
  <c r="AU15" i="1"/>
  <c r="AX15" i="1"/>
  <c r="AT15" i="1"/>
  <c r="AW15" i="1" s="1"/>
  <c r="AV2" i="1"/>
  <c r="AY2" i="1"/>
  <c r="AU2" i="1"/>
  <c r="AT2" i="1"/>
  <c r="AW2" i="1" s="1"/>
  <c r="AX2" i="1"/>
  <c r="AU18" i="1"/>
  <c r="AY18" i="1"/>
  <c r="AV18" i="1"/>
  <c r="AT18" i="1"/>
  <c r="AW18" i="1" s="1"/>
  <c r="AX18" i="1"/>
  <c r="AY7" i="1"/>
  <c r="AT7" i="1"/>
  <c r="AX7" i="1"/>
  <c r="AV7" i="1"/>
  <c r="AU7" i="1"/>
  <c r="AU16" i="1"/>
  <c r="AY16" i="1"/>
  <c r="AV16" i="1"/>
  <c r="AX16" i="1"/>
  <c r="AT16" i="1"/>
  <c r="AV5" i="1"/>
  <c r="AY5" i="1"/>
  <c r="AZ5" i="1" s="1"/>
  <c r="AU5" i="1"/>
  <c r="AX5" i="1"/>
  <c r="AT5" i="1"/>
  <c r="AW5" i="1" s="1"/>
  <c r="AX13" i="1"/>
  <c r="AV13" i="1"/>
  <c r="AY13" i="1"/>
  <c r="AU13" i="1"/>
  <c r="AT13" i="1"/>
  <c r="AX9" i="1"/>
  <c r="AV9" i="1"/>
  <c r="AY9" i="1"/>
  <c r="AU9" i="1"/>
  <c r="AT9" i="1"/>
  <c r="BC36" i="1"/>
  <c r="BA36" i="1"/>
  <c r="BB36" i="1" s="1"/>
  <c r="BC27" i="1"/>
  <c r="BA27" i="1"/>
  <c r="BB27" i="1" s="1"/>
  <c r="BC21" i="1"/>
  <c r="BA21" i="1"/>
  <c r="BB21" i="1" s="1"/>
  <c r="BC18" i="1"/>
  <c r="BA18" i="1"/>
  <c r="BB18" i="1" s="1"/>
  <c r="BC7" i="1"/>
  <c r="BA7" i="1"/>
  <c r="BB7" i="1" s="1"/>
  <c r="BC5" i="1"/>
  <c r="BA5" i="1"/>
  <c r="BB5" i="1" s="1"/>
  <c r="BC23" i="1"/>
  <c r="BA23" i="1"/>
  <c r="BB23" i="1" s="1"/>
  <c r="BC29" i="1"/>
  <c r="BA29" i="1"/>
  <c r="BB29" i="1" s="1"/>
  <c r="BC28" i="1"/>
  <c r="BA28" i="1"/>
  <c r="BB28" i="1" s="1"/>
  <c r="BA37" i="1"/>
  <c r="BB37" i="1" s="1"/>
  <c r="BC37" i="1"/>
  <c r="BC41" i="1"/>
  <c r="BA41" i="1"/>
  <c r="BB41" i="1" s="1"/>
  <c r="BA38" i="1"/>
  <c r="BB38" i="1" s="1"/>
  <c r="BC38" i="1"/>
  <c r="BC22" i="1"/>
  <c r="BA22" i="1"/>
  <c r="BB22" i="1" s="1"/>
  <c r="BC40" i="1"/>
  <c r="BA40" i="1"/>
  <c r="BB40" i="1" s="1"/>
  <c r="BC30" i="1"/>
  <c r="BA30" i="1"/>
  <c r="BB30" i="1" s="1"/>
  <c r="BC39" i="1"/>
  <c r="BA39" i="1"/>
  <c r="BB39" i="1" s="1"/>
  <c r="BC35" i="1"/>
  <c r="BA35" i="1"/>
  <c r="BB35" i="1" s="1"/>
  <c r="BC26" i="1"/>
  <c r="BA26" i="1"/>
  <c r="BB26" i="1" s="1"/>
  <c r="BC4" i="1"/>
  <c r="BA4" i="1"/>
  <c r="BB4" i="1" s="1"/>
  <c r="BC2" i="1"/>
  <c r="BA2" i="1"/>
  <c r="BB2" i="1" s="1"/>
  <c r="BC16" i="1"/>
  <c r="BA16" i="1"/>
  <c r="BB16" i="1" s="1"/>
  <c r="BC13" i="1"/>
  <c r="BA13" i="1"/>
  <c r="BB13" i="1" s="1"/>
  <c r="BC8" i="1"/>
  <c r="BA8" i="1"/>
  <c r="BB8" i="1" s="1"/>
  <c r="BC3" i="1"/>
  <c r="BA3" i="1"/>
  <c r="BB3" i="1" s="1"/>
  <c r="BC14" i="1"/>
  <c r="BA14" i="1"/>
  <c r="BB14" i="1" s="1"/>
  <c r="BC10" i="1"/>
  <c r="BA10" i="1"/>
  <c r="BB10" i="1" s="1"/>
  <c r="BC19" i="1"/>
  <c r="BA19" i="1"/>
  <c r="BB19" i="1" s="1"/>
  <c r="BC17" i="1"/>
  <c r="BA17" i="1"/>
  <c r="BB17" i="1" s="1"/>
  <c r="BC6" i="1"/>
  <c r="BA6" i="1"/>
  <c r="BB6" i="1" s="1"/>
  <c r="BC20" i="1"/>
  <c r="BA20" i="1"/>
  <c r="BB20" i="1" s="1"/>
  <c r="BC11" i="1"/>
  <c r="BA11" i="1"/>
  <c r="BB11" i="1" s="1"/>
  <c r="BC12" i="1"/>
  <c r="BA12" i="1"/>
  <c r="BB12" i="1" s="1"/>
  <c r="BC33" i="1"/>
  <c r="BA33" i="1"/>
  <c r="BB33" i="1" s="1"/>
  <c r="BC25" i="1"/>
  <c r="BA25" i="1"/>
  <c r="BB25" i="1" s="1"/>
  <c r="BC31" i="1"/>
  <c r="BA31" i="1"/>
  <c r="BB31" i="1" s="1"/>
  <c r="BC34" i="1"/>
  <c r="BA34" i="1"/>
  <c r="BB34" i="1" s="1"/>
  <c r="BC24" i="1"/>
  <c r="BA24" i="1"/>
  <c r="BB24" i="1" s="1"/>
  <c r="BC32" i="1"/>
  <c r="BA32" i="1"/>
  <c r="BB32" i="1" s="1"/>
  <c r="BC15" i="1"/>
  <c r="BA15" i="1"/>
  <c r="BB15" i="1" s="1"/>
  <c r="BC9" i="1"/>
  <c r="BA9" i="1"/>
  <c r="BB9" i="1" s="1"/>
  <c r="BD12" i="1" l="1"/>
  <c r="CS12" i="1"/>
  <c r="BD10" i="1"/>
  <c r="CS10" i="1"/>
  <c r="BD2" i="1"/>
  <c r="CS2" i="1"/>
  <c r="BD40" i="1"/>
  <c r="CS40" i="1"/>
  <c r="BD29" i="1"/>
  <c r="CS29" i="1"/>
  <c r="BD27" i="1"/>
  <c r="CS27" i="1"/>
  <c r="AZ2" i="1"/>
  <c r="BD11" i="1"/>
  <c r="CS11" i="1"/>
  <c r="BD14" i="1"/>
  <c r="CS14" i="1"/>
  <c r="BD4" i="1"/>
  <c r="CS4" i="1"/>
  <c r="BD22" i="1"/>
  <c r="CS22" i="1"/>
  <c r="BD23" i="1"/>
  <c r="CS23" i="1"/>
  <c r="BD36" i="1"/>
  <c r="CS36" i="1"/>
  <c r="AZ22" i="1"/>
  <c r="AW41" i="1"/>
  <c r="BD38" i="1"/>
  <c r="CS38" i="1"/>
  <c r="BD24" i="1"/>
  <c r="CS24" i="1"/>
  <c r="BD3" i="1"/>
  <c r="CS3" i="1"/>
  <c r="BD26" i="1"/>
  <c r="CS26" i="1"/>
  <c r="BD5" i="1"/>
  <c r="CS5" i="1"/>
  <c r="AZ9" i="1"/>
  <c r="AZ35" i="1"/>
  <c r="AZ17" i="1"/>
  <c r="BD34" i="1"/>
  <c r="CS34" i="1"/>
  <c r="BD20" i="1"/>
  <c r="CS20" i="1"/>
  <c r="BD31" i="1"/>
  <c r="CS31" i="1"/>
  <c r="BD6" i="1"/>
  <c r="CS6" i="1"/>
  <c r="BD8" i="1"/>
  <c r="CS8" i="1"/>
  <c r="BD35" i="1"/>
  <c r="CS35" i="1"/>
  <c r="BD41" i="1"/>
  <c r="CS41" i="1"/>
  <c r="BD7" i="1"/>
  <c r="CS7" i="1"/>
  <c r="AW16" i="1"/>
  <c r="AW33" i="1"/>
  <c r="AW23" i="1"/>
  <c r="BD33" i="1"/>
  <c r="CS33" i="1"/>
  <c r="BD37" i="1"/>
  <c r="CS37" i="1"/>
  <c r="AW21" i="1"/>
  <c r="BD32" i="1"/>
  <c r="CS32" i="1"/>
  <c r="BD9" i="1"/>
  <c r="CS9" i="1"/>
  <c r="BD25" i="1"/>
  <c r="CS25" i="1"/>
  <c r="BD17" i="1"/>
  <c r="CS17" i="1"/>
  <c r="BD13" i="1"/>
  <c r="CS13" i="1"/>
  <c r="BD39" i="1"/>
  <c r="CS39" i="1"/>
  <c r="BD18" i="1"/>
  <c r="CS18" i="1"/>
  <c r="AW13" i="1"/>
  <c r="AW32" i="1"/>
  <c r="AW27" i="1"/>
  <c r="AZ16" i="1"/>
  <c r="AZ33" i="1"/>
  <c r="AZ10" i="1"/>
  <c r="BD15" i="1"/>
  <c r="CS15" i="1"/>
  <c r="BD19" i="1"/>
  <c r="CS19" i="1"/>
  <c r="BD16" i="1"/>
  <c r="CS16" i="1"/>
  <c r="BD30" i="1"/>
  <c r="CS30" i="1"/>
  <c r="BD28" i="1"/>
  <c r="CS28" i="1"/>
  <c r="BD21" i="1"/>
  <c r="CS21" i="1"/>
  <c r="AZ23" i="1"/>
  <c r="AW9" i="1"/>
  <c r="AZ7" i="1"/>
  <c r="AZ18" i="1"/>
  <c r="AZ4" i="1"/>
  <c r="AW26" i="1"/>
  <c r="AZ32" i="1"/>
  <c r="AW24" i="1"/>
  <c r="AW10" i="1"/>
  <c r="AW30" i="1"/>
  <c r="AW22" i="1"/>
  <c r="AW19" i="1"/>
  <c r="AZ38" i="1"/>
  <c r="AW28" i="1"/>
  <c r="AW11" i="1"/>
  <c r="AZ20" i="1"/>
  <c r="AZ14" i="1"/>
  <c r="AZ27" i="1"/>
  <c r="AZ39" i="1"/>
  <c r="AW38" i="1"/>
  <c r="AZ11" i="1"/>
  <c r="AW40" i="1"/>
  <c r="AZ28" i="1"/>
  <c r="AW20" i="1"/>
  <c r="AZ13" i="1"/>
  <c r="AW7" i="1"/>
  <c r="AZ15" i="1"/>
  <c r="AZ21" i="1"/>
  <c r="AZ25" i="1"/>
  <c r="AW3" i="1"/>
  <c r="AZ3" i="1"/>
  <c r="AZ29" i="1"/>
  <c r="AZ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Finlaylab</author>
    <author>limno</author>
  </authors>
  <commentList>
    <comment ref="AQ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Finlaylab: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maximum buoyancy frequency based on temp profiles</t>
        </r>
      </text>
    </comment>
    <comment ref="AZ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Finlaylab: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Molar ratio of SRP to TN</t>
        </r>
      </text>
    </comment>
    <comment ref="CS1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limno:</t>
        </r>
        <r>
          <rPr>
            <sz val="9"/>
            <color indexed="81"/>
            <rFont val="Tahoma"/>
            <charset val="1"/>
          </rPr>
          <t xml:space="preserve">
Ratio of DOC to Nox
</t>
        </r>
      </text>
    </comment>
    <comment ref="CN2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limno:</t>
        </r>
        <r>
          <rPr>
            <sz val="9"/>
            <color indexed="81"/>
            <rFont val="Tahoma"/>
            <family val="2"/>
          </rPr>
          <t xml:space="preserve">
Estimate. Couldn't calculate from satellite. Very small.
</t>
        </r>
      </text>
    </comment>
  </commentList>
</comments>
</file>

<file path=xl/sharedStrings.xml><?xml version="1.0" encoding="utf-8"?>
<sst xmlns="http://schemas.openxmlformats.org/spreadsheetml/2006/main" count="2030" uniqueCount="487">
  <si>
    <t>Site_ID</t>
  </si>
  <si>
    <t>Sorting</t>
  </si>
  <si>
    <t>Month</t>
  </si>
  <si>
    <t>Date</t>
  </si>
  <si>
    <t>Time</t>
  </si>
  <si>
    <t>latitude</t>
  </si>
  <si>
    <t>longitude</t>
  </si>
  <si>
    <t>Air_temp</t>
  </si>
  <si>
    <t>Cloud (%)</t>
  </si>
  <si>
    <t>Wind_km.hr</t>
  </si>
  <si>
    <t>Field_team</t>
  </si>
  <si>
    <t>Secchi.m</t>
  </si>
  <si>
    <t>Depth.m</t>
  </si>
  <si>
    <t>Max_depth.m</t>
  </si>
  <si>
    <t>DO Calibration%</t>
  </si>
  <si>
    <t>Sample_depth</t>
  </si>
  <si>
    <t>Depth_grouped</t>
  </si>
  <si>
    <t>Surface_Temp</t>
  </si>
  <si>
    <t>Surface_DO.sat</t>
  </si>
  <si>
    <t>Surface_DO.mg.L</t>
  </si>
  <si>
    <t>Surface_Cond</t>
  </si>
  <si>
    <t>Surface_Sal.ppt</t>
  </si>
  <si>
    <t>Surface_pH</t>
  </si>
  <si>
    <t>Deep_Temp</t>
  </si>
  <si>
    <t>Deep_DO.sat</t>
  </si>
  <si>
    <t>Deep_DO.mg.L</t>
  </si>
  <si>
    <t>Deep_Cond</t>
  </si>
  <si>
    <t>Deep_Sal.ppt</t>
  </si>
  <si>
    <t>Deep_pH</t>
  </si>
  <si>
    <t>TDS.mg.L</t>
  </si>
  <si>
    <t>YSI_atm</t>
  </si>
  <si>
    <t>Bottle_Temp_In</t>
  </si>
  <si>
    <t>Bottle_temp_out</t>
  </si>
  <si>
    <t>Tows</t>
  </si>
  <si>
    <t>General Comments</t>
  </si>
  <si>
    <t>Floating_chamberY/N</t>
  </si>
  <si>
    <t>Chl_total</t>
  </si>
  <si>
    <t>Chla</t>
  </si>
  <si>
    <t>Nitrate_Nitrite.ug.N.L</t>
  </si>
  <si>
    <t>TN.ug.N.L</t>
  </si>
  <si>
    <t>NP_ratio</t>
  </si>
  <si>
    <t>DIC.mg.L</t>
  </si>
  <si>
    <t>DIC.uM</t>
  </si>
  <si>
    <t>DOC.mg.L</t>
  </si>
  <si>
    <t>DOC.uM</t>
  </si>
  <si>
    <t>pCO2</t>
  </si>
  <si>
    <t>CO2.uM</t>
  </si>
  <si>
    <t>CO2.uM.error</t>
  </si>
  <si>
    <t>pCH4</t>
  </si>
  <si>
    <t>CH4.uM</t>
  </si>
  <si>
    <t>CH4.uM.error</t>
  </si>
  <si>
    <t>pN2O</t>
  </si>
  <si>
    <t>N2O.nM</t>
  </si>
  <si>
    <t>N2O.nM.error</t>
  </si>
  <si>
    <r>
      <t>d</t>
    </r>
    <r>
      <rPr>
        <vertAlign val="superscript"/>
        <sz val="11"/>
        <rFont val="Calibri"/>
        <family val="2"/>
        <scheme val="minor"/>
      </rPr>
      <t>15</t>
    </r>
    <r>
      <rPr>
        <sz val="11"/>
        <rFont val="Calibri"/>
        <family val="2"/>
        <scheme val="minor"/>
      </rPr>
      <t>N_bulk</t>
    </r>
  </si>
  <si>
    <r>
      <t>d</t>
    </r>
    <r>
      <rPr>
        <vertAlign val="superscript"/>
        <sz val="11"/>
        <rFont val="Calibri"/>
        <family val="2"/>
        <scheme val="minor"/>
      </rPr>
      <t>13</t>
    </r>
    <r>
      <rPr>
        <sz val="11"/>
        <rFont val="Calibri"/>
        <family val="2"/>
        <scheme val="minor"/>
      </rPr>
      <t>C_bulk</t>
    </r>
  </si>
  <si>
    <t>mgN_bulk</t>
  </si>
  <si>
    <t>mgC_bulk</t>
  </si>
  <si>
    <t>PercentN_bulk</t>
  </si>
  <si>
    <t>PercentC_bulk</t>
  </si>
  <si>
    <t>sediment_C_N</t>
  </si>
  <si>
    <r>
      <t>d</t>
    </r>
    <r>
      <rPr>
        <vertAlign val="superscript"/>
        <sz val="11"/>
        <rFont val="Calibri"/>
        <family val="2"/>
        <scheme val="minor"/>
      </rPr>
      <t>15</t>
    </r>
    <r>
      <rPr>
        <sz val="11"/>
        <rFont val="Calibri"/>
        <family val="2"/>
        <scheme val="minor"/>
      </rPr>
      <t>N_org</t>
    </r>
  </si>
  <si>
    <r>
      <t>d</t>
    </r>
    <r>
      <rPr>
        <vertAlign val="superscript"/>
        <sz val="11"/>
        <rFont val="Calibri"/>
        <family val="2"/>
        <scheme val="minor"/>
      </rPr>
      <t>13</t>
    </r>
    <r>
      <rPr>
        <sz val="11"/>
        <rFont val="Calibri"/>
        <family val="2"/>
        <scheme val="minor"/>
      </rPr>
      <t>C_org</t>
    </r>
  </si>
  <si>
    <t>mgN_org</t>
  </si>
  <si>
    <t>mgC_org</t>
  </si>
  <si>
    <t>PercentN_org</t>
  </si>
  <si>
    <t>PercentC_org</t>
  </si>
  <si>
    <t>d2H</t>
  </si>
  <si>
    <t>d18O</t>
  </si>
  <si>
    <t>EtoI</t>
  </si>
  <si>
    <t>Regime</t>
  </si>
  <si>
    <t>Water Source</t>
  </si>
  <si>
    <t>Residence_Time</t>
  </si>
  <si>
    <t>Water_class</t>
  </si>
  <si>
    <t>Landuse</t>
  </si>
  <si>
    <t>Age.years</t>
  </si>
  <si>
    <t>NP.ratio</t>
  </si>
  <si>
    <t>TA_DIC.umol</t>
  </si>
  <si>
    <t>TA_CO2.umol</t>
  </si>
  <si>
    <t>b.f.max</t>
  </si>
  <si>
    <t>b.f.min</t>
  </si>
  <si>
    <t>Rn.dpm.L</t>
  </si>
  <si>
    <t>D56A</t>
  </si>
  <si>
    <t>June</t>
  </si>
  <si>
    <t>SE, M</t>
  </si>
  <si>
    <t>W56A</t>
  </si>
  <si>
    <t>D56C</t>
  </si>
  <si>
    <t>W56C</t>
  </si>
  <si>
    <t>Sampled from surf. Measured 0.25 as deep YSI depth - to top of YSI device. Zoops- used container to scoop surf. Did 2 scoops.</t>
  </si>
  <si>
    <t>D52</t>
  </si>
  <si>
    <t>Dugout attached to slough</t>
  </si>
  <si>
    <t>W52</t>
  </si>
  <si>
    <t>Sampled from 0.25m</t>
  </si>
  <si>
    <t>D20</t>
  </si>
  <si>
    <t>W20</t>
  </si>
  <si>
    <t>Sampled from 0.25m.</t>
  </si>
  <si>
    <t>D75</t>
  </si>
  <si>
    <t>W75</t>
  </si>
  <si>
    <t>Sampled from 0.25 m Shakey bottle 1 more green than 2</t>
  </si>
  <si>
    <t>D14A</t>
  </si>
  <si>
    <t>W14A</t>
  </si>
  <si>
    <t>N/A</t>
  </si>
  <si>
    <t xml:space="preserve">Sampled from wading, did all sampling from surf. Needle broke- sample could be off. </t>
  </si>
  <si>
    <t>D61B</t>
  </si>
  <si>
    <t>W61B</t>
  </si>
  <si>
    <t xml:space="preserve">Sampled from surf. </t>
  </si>
  <si>
    <t>D5</t>
  </si>
  <si>
    <t>W5</t>
  </si>
  <si>
    <t>Sampled from 0.25</t>
  </si>
  <si>
    <t>D10E</t>
  </si>
  <si>
    <t>Built in 2017</t>
  </si>
  <si>
    <t>W10E</t>
  </si>
  <si>
    <t>Sampled from surf. 212</t>
  </si>
  <si>
    <t>D31B</t>
  </si>
  <si>
    <t>July</t>
  </si>
  <si>
    <t>SE, SC</t>
  </si>
  <si>
    <t>W31B</t>
  </si>
  <si>
    <t>water sampled from surf by wading in</t>
  </si>
  <si>
    <t>D31C</t>
  </si>
  <si>
    <t>Dugout flooded/ dug into side of slough</t>
  </si>
  <si>
    <t>W31C</t>
  </si>
  <si>
    <t>Sampled from syrface, lots of submerged macrophytes. Cattle have direct access.</t>
  </si>
  <si>
    <t>D31A</t>
  </si>
  <si>
    <t>W31A</t>
  </si>
  <si>
    <t>Sample from 2.5m</t>
  </si>
  <si>
    <t>D76</t>
  </si>
  <si>
    <t>W76</t>
  </si>
  <si>
    <t>D57A</t>
  </si>
  <si>
    <t>W57A</t>
  </si>
  <si>
    <t>D57B</t>
  </si>
  <si>
    <t>if water level was a few inches higher, then dugout and slough would be connected</t>
  </si>
  <si>
    <t>W57B</t>
  </si>
  <si>
    <t>did zoops with cup, can see sediment bubbles, sampled from surface, waded in</t>
  </si>
  <si>
    <t>D44B</t>
  </si>
  <si>
    <t>W44B</t>
  </si>
  <si>
    <t>Surrounded by canola, sampled from surf, did zoop tows with sampling cup from net</t>
  </si>
  <si>
    <t>D8G</t>
  </si>
  <si>
    <t>Dugout dug into seasonal creek</t>
  </si>
  <si>
    <t>W8G</t>
  </si>
  <si>
    <t>Sampled from .25m, a lot of submerged vegetation</t>
  </si>
  <si>
    <t>D65</t>
  </si>
  <si>
    <t>Sampled from surf, surrounded by trees in a ditch, canopy cover 50%</t>
  </si>
  <si>
    <t>W65</t>
  </si>
  <si>
    <t>D8E</t>
  </si>
  <si>
    <t>W8E</t>
  </si>
  <si>
    <t>Did zoops with cup, lots of submerged vegetation in water, sampeld from surf</t>
  </si>
  <si>
    <t>D56D</t>
  </si>
  <si>
    <t>SE, AK</t>
  </si>
  <si>
    <t>Rainbow trout overwintered twice ~1995-1997, none now</t>
  </si>
  <si>
    <t>W56D</t>
  </si>
  <si>
    <t>Sampled from .25</t>
  </si>
  <si>
    <t>CO2ppm_mean</t>
  </si>
  <si>
    <t>CO2ppm_std_error</t>
  </si>
  <si>
    <t>CO2um_mean</t>
  </si>
  <si>
    <t>CO2uM_std_error</t>
  </si>
  <si>
    <t>CH4ppm_mean</t>
  </si>
  <si>
    <t>CH4_std_error</t>
  </si>
  <si>
    <t>CH4um_mean</t>
  </si>
  <si>
    <t>CH4uM_std_error</t>
  </si>
  <si>
    <t>N2Oppm_mean</t>
  </si>
  <si>
    <t>N2Oppm_std_error</t>
  </si>
  <si>
    <t>N2OnM_mean</t>
  </si>
  <si>
    <t>N2OnM_std_error</t>
  </si>
  <si>
    <t>Type</t>
  </si>
  <si>
    <t>Dugout</t>
  </si>
  <si>
    <t>Wetland</t>
  </si>
  <si>
    <t>N</t>
  </si>
  <si>
    <t>Site</t>
  </si>
  <si>
    <t>10E</t>
  </si>
  <si>
    <t>14A</t>
  </si>
  <si>
    <t>31A</t>
  </si>
  <si>
    <t>31B</t>
  </si>
  <si>
    <t>31C</t>
  </si>
  <si>
    <t>44B</t>
  </si>
  <si>
    <t>56A</t>
  </si>
  <si>
    <t>56C</t>
  </si>
  <si>
    <t>56D</t>
  </si>
  <si>
    <t>57A</t>
  </si>
  <si>
    <t>57B</t>
  </si>
  <si>
    <t>61B</t>
  </si>
  <si>
    <t>8E</t>
  </si>
  <si>
    <t>8G</t>
  </si>
  <si>
    <t>Vial_ID</t>
  </si>
  <si>
    <t>logCHL</t>
  </si>
  <si>
    <t>elevation.m</t>
  </si>
  <si>
    <t>Area.m2</t>
  </si>
  <si>
    <t>Sample ID</t>
  </si>
  <si>
    <t>TIC (PPM as mg/L C)</t>
  </si>
  <si>
    <t>TOC (PPM as mg/L C)</t>
  </si>
  <si>
    <t>D10A</t>
  </si>
  <si>
    <t>D10A-AUG26</t>
  </si>
  <si>
    <t>D10B</t>
  </si>
  <si>
    <t>D10B-AUG26</t>
  </si>
  <si>
    <t>D10C</t>
  </si>
  <si>
    <t>D10C-AUG26</t>
  </si>
  <si>
    <t>D10D</t>
  </si>
  <si>
    <t>D10D-AUG26</t>
  </si>
  <si>
    <t>D10E-AUG26</t>
  </si>
  <si>
    <t>D10E-JUNE28</t>
  </si>
  <si>
    <t>D15B</t>
  </si>
  <si>
    <t>D125B-AUG6</t>
  </si>
  <si>
    <t>D14A-JULY29</t>
  </si>
  <si>
    <t>D14A-JUNE24</t>
  </si>
  <si>
    <t>D14B</t>
  </si>
  <si>
    <t>D14B-JULY29</t>
  </si>
  <si>
    <t>D15A</t>
  </si>
  <si>
    <t>D15A-AUG6</t>
  </si>
  <si>
    <t>D20-JULY22</t>
  </si>
  <si>
    <t>D20-JUNE20</t>
  </si>
  <si>
    <t>D22C</t>
  </si>
  <si>
    <t>D22C-AUG9</t>
  </si>
  <si>
    <t>D24B</t>
  </si>
  <si>
    <t>D24B-AUG15</t>
  </si>
  <si>
    <t>D26A</t>
  </si>
  <si>
    <t>D26A-AUG15</t>
  </si>
  <si>
    <t>D26B</t>
  </si>
  <si>
    <t>D26B-AUG15</t>
  </si>
  <si>
    <t>D26C</t>
  </si>
  <si>
    <t>D26C-AUG15</t>
  </si>
  <si>
    <t>D27A</t>
  </si>
  <si>
    <t>D27A-AUG7</t>
  </si>
  <si>
    <t>D27B</t>
  </si>
  <si>
    <t>D27B-AUG7</t>
  </si>
  <si>
    <t>D27C</t>
  </si>
  <si>
    <t>D27C-AUG7</t>
  </si>
  <si>
    <t>D30A</t>
  </si>
  <si>
    <t>D30A-AUG19</t>
  </si>
  <si>
    <t>D30B</t>
  </si>
  <si>
    <t>D30B-AUG19</t>
  </si>
  <si>
    <t>D31A-AUG19</t>
  </si>
  <si>
    <t>D31A-JULY3</t>
  </si>
  <si>
    <t>D31B-AUG19</t>
  </si>
  <si>
    <t>D31B-JULY2</t>
  </si>
  <si>
    <t>D31C-JULY2</t>
  </si>
  <si>
    <t>D36</t>
  </si>
  <si>
    <t>D36-AUG12</t>
  </si>
  <si>
    <t>D44</t>
  </si>
  <si>
    <t>D44-AUG9</t>
  </si>
  <si>
    <t>D44A</t>
  </si>
  <si>
    <t>D44A-AUG22</t>
  </si>
  <si>
    <t>D44B-AUG22</t>
  </si>
  <si>
    <t>D44B-JULY8</t>
  </si>
  <si>
    <t>D45A</t>
  </si>
  <si>
    <t>D45A-AUG6</t>
  </si>
  <si>
    <t>D45B</t>
  </si>
  <si>
    <t>D45B-AUG6</t>
  </si>
  <si>
    <t>D45D</t>
  </si>
  <si>
    <t>D45D-AUG6</t>
  </si>
  <si>
    <t>D48A</t>
  </si>
  <si>
    <t>D48A-JULY22</t>
  </si>
  <si>
    <t>D48B</t>
  </si>
  <si>
    <t>D48B-JULY22</t>
  </si>
  <si>
    <t>D49</t>
  </si>
  <si>
    <t>D49-JULY22</t>
  </si>
  <si>
    <t>D4A</t>
  </si>
  <si>
    <t>D4A-JULY26</t>
  </si>
  <si>
    <t>D4C</t>
  </si>
  <si>
    <t>D4C-JULY26</t>
  </si>
  <si>
    <t>D4D</t>
  </si>
  <si>
    <t>D4D-JULY25</t>
  </si>
  <si>
    <t>D4E</t>
  </si>
  <si>
    <t>D4E-JULY25</t>
  </si>
  <si>
    <t>D4G</t>
  </si>
  <si>
    <t>D4G-JULY25</t>
  </si>
  <si>
    <t>D4H</t>
  </si>
  <si>
    <t>D4H-AUG9</t>
  </si>
  <si>
    <t>D5-AUG26</t>
  </si>
  <si>
    <t>D5-JUNE27</t>
  </si>
  <si>
    <t>D51</t>
  </si>
  <si>
    <t>D51-JULY22</t>
  </si>
  <si>
    <t>D52-JULY23</t>
  </si>
  <si>
    <t>D52-JUNE20</t>
  </si>
  <si>
    <t>D53A</t>
  </si>
  <si>
    <t>D53A-JULY23</t>
  </si>
  <si>
    <t>D54A</t>
  </si>
  <si>
    <t>D54A-JULY23</t>
  </si>
  <si>
    <t>D54B</t>
  </si>
  <si>
    <t>D54B-JULY22</t>
  </si>
  <si>
    <t>D55B</t>
  </si>
  <si>
    <t>D55B-JULY23</t>
  </si>
  <si>
    <t>D56A-AUG1</t>
  </si>
  <si>
    <t>D56A-JUNE19</t>
  </si>
  <si>
    <t>D56B</t>
  </si>
  <si>
    <t>D56B-AUG1</t>
  </si>
  <si>
    <t>D56C-AUG1</t>
  </si>
  <si>
    <t>D56C-JUNE19</t>
  </si>
  <si>
    <t>D56D-JULY15</t>
  </si>
  <si>
    <t>D57A-AUG23</t>
  </si>
  <si>
    <t>D57A-JULY9</t>
  </si>
  <si>
    <t>D57B-AUG23</t>
  </si>
  <si>
    <t>D57B-JULY9</t>
  </si>
  <si>
    <t>D57C</t>
  </si>
  <si>
    <t>D57C-AUG23</t>
  </si>
  <si>
    <t>D57D</t>
  </si>
  <si>
    <t>D57D-AUG23</t>
  </si>
  <si>
    <t>D58A</t>
  </si>
  <si>
    <t>D58A-AUG22</t>
  </si>
  <si>
    <t>D58B</t>
  </si>
  <si>
    <t>D58B-AUG22</t>
  </si>
  <si>
    <t>D58C</t>
  </si>
  <si>
    <t>D58C-AUG22</t>
  </si>
  <si>
    <t>D59A</t>
  </si>
  <si>
    <t>D59A-AUG23</t>
  </si>
  <si>
    <t>D59B</t>
  </si>
  <si>
    <t>D59B-AUG23</t>
  </si>
  <si>
    <t>D59D</t>
  </si>
  <si>
    <t>D59D-AUG23</t>
  </si>
  <si>
    <t>D60A</t>
  </si>
  <si>
    <t>D60A-AUG20</t>
  </si>
  <si>
    <t>D60B</t>
  </si>
  <si>
    <t>D60B-AUG20</t>
  </si>
  <si>
    <t>D60C</t>
  </si>
  <si>
    <t>D60C-AUG20</t>
  </si>
  <si>
    <t>D61A</t>
  </si>
  <si>
    <t>D61A-JULY30</t>
  </si>
  <si>
    <t>D61B-JULY30</t>
  </si>
  <si>
    <t>D61B-JUNE25</t>
  </si>
  <si>
    <t>D61C</t>
  </si>
  <si>
    <t>D61C-JULY30</t>
  </si>
  <si>
    <t>D62B</t>
  </si>
  <si>
    <t>D62B-AUG1</t>
  </si>
  <si>
    <t>D62C</t>
  </si>
  <si>
    <t>D62C-AUG1</t>
  </si>
  <si>
    <t>D62E</t>
  </si>
  <si>
    <t>D62E-AUG1</t>
  </si>
  <si>
    <t>D63A</t>
  </si>
  <si>
    <t>D63A-AUG12</t>
  </si>
  <si>
    <t>D63B</t>
  </si>
  <si>
    <t>D63B-AUG12</t>
  </si>
  <si>
    <t>D64A</t>
  </si>
  <si>
    <t>D64A-AUG19</t>
  </si>
  <si>
    <t>D64B</t>
  </si>
  <si>
    <t>D64B-AUG19</t>
  </si>
  <si>
    <t>D64C</t>
  </si>
  <si>
    <t>D64C-AUG19</t>
  </si>
  <si>
    <t>D65-AUG13</t>
  </si>
  <si>
    <t>D65-JULY12</t>
  </si>
  <si>
    <t>D66A</t>
  </si>
  <si>
    <t>D66A-AUG2</t>
  </si>
  <si>
    <t>D66B</t>
  </si>
  <si>
    <t>D66B-AUG2</t>
  </si>
  <si>
    <t>D66C</t>
  </si>
  <si>
    <t>D66C-AUG2</t>
  </si>
  <si>
    <t>D67A</t>
  </si>
  <si>
    <t>D67A-AUG7</t>
  </si>
  <si>
    <t>D67B</t>
  </si>
  <si>
    <t>D67B-AUG7</t>
  </si>
  <si>
    <t>D69A</t>
  </si>
  <si>
    <t>D69A-AUG16</t>
  </si>
  <si>
    <t>D69B</t>
  </si>
  <si>
    <t>D69B-AUG16</t>
  </si>
  <si>
    <t>D69C</t>
  </si>
  <si>
    <t>D69C-AUG16</t>
  </si>
  <si>
    <t>D70A</t>
  </si>
  <si>
    <t>D70A-AUG16</t>
  </si>
  <si>
    <t>D70B</t>
  </si>
  <si>
    <t>D70B-AUG16</t>
  </si>
  <si>
    <t>D70C</t>
  </si>
  <si>
    <t>D70C-AUG16</t>
  </si>
  <si>
    <t>D74A</t>
  </si>
  <si>
    <t>D74A-AUG26</t>
  </si>
  <si>
    <t>D74B</t>
  </si>
  <si>
    <t>D74B-AUG26</t>
  </si>
  <si>
    <t>D74C</t>
  </si>
  <si>
    <t>D74C-AUG26</t>
  </si>
  <si>
    <t>D75-AUG9</t>
  </si>
  <si>
    <t>D75-JUNE24</t>
  </si>
  <si>
    <t>D76-JULY5</t>
  </si>
  <si>
    <t>D7A</t>
  </si>
  <si>
    <t>D7A-AUG20</t>
  </si>
  <si>
    <t>D7B</t>
  </si>
  <si>
    <t>D7B-AUG20</t>
  </si>
  <si>
    <t>D7I</t>
  </si>
  <si>
    <t>D7I-AUG20</t>
  </si>
  <si>
    <t>D8C</t>
  </si>
  <si>
    <t>D8C-AUG12</t>
  </si>
  <si>
    <t>D8E-JULY11</t>
  </si>
  <si>
    <t>D8F</t>
  </si>
  <si>
    <t>D8F-AUG12</t>
  </si>
  <si>
    <t>D8G-AUG13</t>
  </si>
  <si>
    <t>D8G-JULY11</t>
  </si>
  <si>
    <t>W10E-JUNE28</t>
  </si>
  <si>
    <t>W14A-JUNE24</t>
  </si>
  <si>
    <t>W20-JUNE20</t>
  </si>
  <si>
    <t>W31A-JULY3</t>
  </si>
  <si>
    <t>W31B-JULY2</t>
  </si>
  <si>
    <t>W31C-JULY2</t>
  </si>
  <si>
    <t>W44B-JULY8</t>
  </si>
  <si>
    <t>W5-JUNE27</t>
  </si>
  <si>
    <t>W52-JUNE20</t>
  </si>
  <si>
    <t>W56A-JUNE19</t>
  </si>
  <si>
    <t>W56C-JUNE19</t>
  </si>
  <si>
    <t>W56D-JULY15</t>
  </si>
  <si>
    <t>W57A-JULY9</t>
  </si>
  <si>
    <t>W57B-JULY9</t>
  </si>
  <si>
    <t>W61B-JUNE25</t>
  </si>
  <si>
    <t>W65-JULY12</t>
  </si>
  <si>
    <t>W75-JUNE24</t>
  </si>
  <si>
    <t>W76-JULY5</t>
  </si>
  <si>
    <t>W8E-JULY11</t>
  </si>
  <si>
    <t>W8G-JULY11</t>
  </si>
  <si>
    <t>CHLA (ug/L)</t>
  </si>
  <si>
    <t>CHLB</t>
  </si>
  <si>
    <t>CHLC</t>
  </si>
  <si>
    <t>Total_chl</t>
  </si>
  <si>
    <t>D020</t>
  </si>
  <si>
    <t>W020</t>
  </si>
  <si>
    <t>D052</t>
  </si>
  <si>
    <t>W052</t>
  </si>
  <si>
    <t>D075</t>
  </si>
  <si>
    <t>W075</t>
  </si>
  <si>
    <t>D005</t>
  </si>
  <si>
    <t>W005</t>
  </si>
  <si>
    <t>D076</t>
  </si>
  <si>
    <t>W076</t>
  </si>
  <si>
    <t>D08G</t>
  </si>
  <si>
    <t>W08G</t>
  </si>
  <si>
    <t>D08E</t>
  </si>
  <si>
    <t>W08E</t>
  </si>
  <si>
    <t>D065</t>
  </si>
  <si>
    <t>W065</t>
  </si>
  <si>
    <t>Reservoir</t>
  </si>
  <si>
    <t>Calculated_SO4.mg.L</t>
  </si>
  <si>
    <t>CO2flux</t>
  </si>
  <si>
    <t>CH4flux</t>
  </si>
  <si>
    <t>N2Oflux</t>
  </si>
  <si>
    <t>flux_CO2_CC</t>
  </si>
  <si>
    <t>std_error1</t>
  </si>
  <si>
    <t>flux_CO2_VP</t>
  </si>
  <si>
    <t>std_error2</t>
  </si>
  <si>
    <t>flux_CO2_H</t>
  </si>
  <si>
    <t>std_error3</t>
  </si>
  <si>
    <t>flux_CO2_dugouts</t>
  </si>
  <si>
    <t>std_error4</t>
  </si>
  <si>
    <t>flux_CH4_CC</t>
  </si>
  <si>
    <t>std_error5</t>
  </si>
  <si>
    <t>flux_CH4_VP</t>
  </si>
  <si>
    <t>std_error6</t>
  </si>
  <si>
    <t>flux_CH4_H</t>
  </si>
  <si>
    <t>std_error7</t>
  </si>
  <si>
    <t>flux_CH4_dugouts</t>
  </si>
  <si>
    <t>std_error8</t>
  </si>
  <si>
    <t>flux_N2O_CC</t>
  </si>
  <si>
    <t>std_error9</t>
  </si>
  <si>
    <t>flux_N2O_VP</t>
  </si>
  <si>
    <t>std_error10</t>
  </si>
  <si>
    <t>flux_N2O_H</t>
  </si>
  <si>
    <t>std_error11</t>
  </si>
  <si>
    <t>flux_N2O_dugouts</t>
  </si>
  <si>
    <t>std_error12</t>
  </si>
  <si>
    <t>Sample</t>
  </si>
  <si>
    <t>Ammonia (mg NH3-N/L)</t>
  </si>
  <si>
    <t>SRP (mg P/L)</t>
  </si>
  <si>
    <t>Nitrate/Nitrite (ug N/L)</t>
  </si>
  <si>
    <t>D15B-AUG6</t>
  </si>
  <si>
    <t>D57A-JULY19</t>
  </si>
  <si>
    <t>TP (mg P/L)</t>
  </si>
  <si>
    <t>TN (ug N/L)</t>
  </si>
  <si>
    <t>TP (ug P/L)</t>
  </si>
  <si>
    <t>Ammonia (ug Nh3-N/L)</t>
  </si>
  <si>
    <t>SRP (ug P/L)</t>
  </si>
  <si>
    <t>NH3.ug.N.L</t>
  </si>
  <si>
    <t>SRP.ug.P.L</t>
  </si>
  <si>
    <t>TP.ug.P.L</t>
  </si>
  <si>
    <t>DIN.ug.N.L</t>
  </si>
  <si>
    <t>relative.depth.percent</t>
  </si>
  <si>
    <t>DOC_NOx</t>
  </si>
  <si>
    <t>ALKALINITY (mg/L)</t>
  </si>
  <si>
    <t>CHLORIDE (mg/L)</t>
  </si>
  <si>
    <t>SO4 (mg/L)</t>
  </si>
  <si>
    <t>D63BAUG12</t>
  </si>
  <si>
    <t>W31B-JULY12</t>
  </si>
  <si>
    <t>W57A-JULY19</t>
  </si>
  <si>
    <t>D48N</t>
  </si>
  <si>
    <t>Meas_Alk.mg.L</t>
  </si>
  <si>
    <t>Meas_SO4.mg.L</t>
  </si>
  <si>
    <t>Meas_Chloride.mg.L</t>
  </si>
  <si>
    <t>Waterbody</t>
  </si>
  <si>
    <t>SiteID</t>
  </si>
  <si>
    <t>CO2mmol.m2.d</t>
  </si>
  <si>
    <t>CH4mmol.m2.d</t>
  </si>
  <si>
    <t>N2Oumol.m2.d</t>
  </si>
  <si>
    <t>CH4_Ebullition</t>
  </si>
  <si>
    <t>CH4_PercentComp</t>
  </si>
  <si>
    <t>CH4percentComp</t>
  </si>
  <si>
    <t>Rate</t>
  </si>
  <si>
    <t>Ebullition_Rate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</si>
</sst>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"/>
    <numFmt numFmtId="166" formatCode="0.0000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name val="MS Sans Serif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5" fontId="0" fillId="0" borderId="0" xfId="0" applyNumberFormat="1"/>
    <xf numFmtId="20" fontId="0" fillId="0" borderId="0" xfId="0" applyNumberForma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166" fontId="0" fillId="0" borderId="0" xfId="0" applyNumberFormat="1"/>
    <xf numFmtId="0" fontId="7" fillId="0" borderId="1" xfId="0" applyFont="1" applyBorder="1" applyAlignment="1">
      <alignment horizontal="center"/>
    </xf>
    <xf numFmtId="49" fontId="8" fillId="0" borderId="0" xfId="9" applyNumberFormat="1" applyFont="1"/>
    <xf numFmtId="0" fontId="8" fillId="0" borderId="0" xfId="9" applyNumberFormat="1" applyFont="1"/>
    <xf numFmtId="0" fontId="8" fillId="0" borderId="0" xfId="9"/>
    <xf numFmtId="0" fontId="8" fillId="0" borderId="0" xfId="9" applyFont="1"/>
    <xf numFmtId="11" fontId="0" fillId="0" borderId="0" xfId="0" applyNumberFormat="1"/>
    <xf numFmtId="2" fontId="7" fillId="0" borderId="1" xfId="0" applyNumberFormat="1" applyFont="1" applyBorder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right" wrapText="1"/>
    </xf>
    <xf numFmtId="1" fontId="0" fillId="0" borderId="0" xfId="0" applyNumberFormat="1" applyAlignment="1">
      <alignment horizontal="right"/>
    </xf>
    <xf numFmtId="0" fontId="11" fillId="0" borderId="1" xfId="0" quotePrefix="1" applyFont="1" applyBorder="1" applyAlignment="1">
      <alignment horizontal="center"/>
    </xf>
    <xf numFmtId="2" fontId="11" fillId="0" borderId="1" xfId="0" quotePrefix="1" applyNumberFormat="1" applyFont="1" applyBorder="1" applyAlignment="1">
      <alignment horizontal="center"/>
    </xf>
    <xf numFmtId="2" fontId="11" fillId="0" borderId="1" xfId="0" quotePrefix="1" applyNumberFormat="1" applyFont="1" applyBorder="1" applyAlignment="1">
      <alignment horizontal="center" vertical="center"/>
    </xf>
    <xf numFmtId="0" fontId="0" fillId="0" borderId="0" xfId="0" quotePrefix="1"/>
    <xf numFmtId="2" fontId="0" fillId="0" borderId="0" xfId="0" quotePrefix="1" applyNumberFormat="1"/>
    <xf numFmtId="15" fontId="0" fillId="0" borderId="0" xfId="0" quotePrefix="1" applyNumberFormat="1"/>
    <xf numFmtId="0" fontId="14" fillId="0" borderId="0" xfId="0" applyFont="1"/>
    <xf numFmtId="0" fontId="15" fillId="0" borderId="0" xfId="0" applyFont="1"/>
  </cellXfs>
  <cellStyles count="10">
    <cellStyle name="Followed Hyperlink" xfId="8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Hyperlink" xfId="7" builtinId="8" hidden="1"/>
    <cellStyle name="Hyperlink" xfId="5" builtinId="8" hidden="1"/>
    <cellStyle name="Hyperlink" xfId="3" builtinId="8" hidden="1"/>
    <cellStyle name="Hyperlink" xfId="1" builtinId="8" hidden="1"/>
    <cellStyle name="Normal" xfId="0" builtinId="0"/>
    <cellStyle name="Normal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oyancy_max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oyancy_mi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Users/limno/Documents/RAD7/RAD7%20Test%20Inform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19BubbleTra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oyancy_max"/>
    </sheetNames>
    <sheetDataSet>
      <sheetData sheetId="0">
        <row r="1">
          <cell r="A1" t="str">
            <v>Site_ID</v>
          </cell>
          <cell r="B1" t="str">
            <v>X1</v>
          </cell>
          <cell r="C1" t="str">
            <v>Depth.m</v>
          </cell>
          <cell r="D1" t="str">
            <v>b.f</v>
          </cell>
        </row>
        <row r="2">
          <cell r="A2" t="str">
            <v>D10E</v>
          </cell>
          <cell r="B2" t="str">
            <v>D10E.5</v>
          </cell>
          <cell r="C2">
            <v>2.25</v>
          </cell>
          <cell r="D2">
            <v>1.1910831E-2</v>
          </cell>
        </row>
        <row r="3">
          <cell r="A3" t="str">
            <v>D14A</v>
          </cell>
          <cell r="B3" t="str">
            <v>D14A.5</v>
          </cell>
          <cell r="C3">
            <v>2.25</v>
          </cell>
          <cell r="D3">
            <v>3.770111E-3</v>
          </cell>
        </row>
        <row r="4">
          <cell r="A4" t="str">
            <v>D20</v>
          </cell>
          <cell r="B4" t="str">
            <v>D20.6</v>
          </cell>
          <cell r="C4">
            <v>2.75</v>
          </cell>
          <cell r="D4">
            <v>5.7285770000000003E-3</v>
          </cell>
        </row>
        <row r="5">
          <cell r="A5" t="str">
            <v>D31A</v>
          </cell>
          <cell r="B5" t="str">
            <v>D31A.5</v>
          </cell>
          <cell r="C5">
            <v>2.25</v>
          </cell>
          <cell r="D5">
            <v>1.6482541999999999E-2</v>
          </cell>
        </row>
        <row r="6">
          <cell r="A6" t="str">
            <v>D31B</v>
          </cell>
          <cell r="B6" t="str">
            <v>D31B.2</v>
          </cell>
          <cell r="C6">
            <v>0.75</v>
          </cell>
          <cell r="D6">
            <v>8.8294879999999999E-3</v>
          </cell>
        </row>
        <row r="7">
          <cell r="A7" t="str">
            <v>D31C</v>
          </cell>
          <cell r="B7" t="str">
            <v>D31C.3</v>
          </cell>
          <cell r="C7">
            <v>1.25</v>
          </cell>
          <cell r="D7">
            <v>6.5019420000000001E-3</v>
          </cell>
        </row>
        <row r="8">
          <cell r="A8" t="str">
            <v>D44B</v>
          </cell>
          <cell r="B8" t="str">
            <v>D44B.3</v>
          </cell>
          <cell r="C8">
            <v>1.25</v>
          </cell>
          <cell r="D8">
            <v>1.5187506E-2</v>
          </cell>
        </row>
        <row r="9">
          <cell r="A9" t="str">
            <v>D5</v>
          </cell>
          <cell r="B9" t="str">
            <v>D5.1</v>
          </cell>
          <cell r="C9">
            <v>0.25</v>
          </cell>
          <cell r="D9">
            <v>1.0333036E-2</v>
          </cell>
        </row>
        <row r="10">
          <cell r="A10" t="str">
            <v>D52</v>
          </cell>
          <cell r="B10" t="str">
            <v>D52.1</v>
          </cell>
          <cell r="C10">
            <v>0.25</v>
          </cell>
          <cell r="D10">
            <v>0</v>
          </cell>
        </row>
        <row r="11">
          <cell r="A11" t="str">
            <v>D56A</v>
          </cell>
          <cell r="B11" t="str">
            <v>D56A.5</v>
          </cell>
          <cell r="C11">
            <v>2.25</v>
          </cell>
          <cell r="D11">
            <v>7.6882840000000001E-3</v>
          </cell>
        </row>
        <row r="12">
          <cell r="A12" t="str">
            <v>D56C</v>
          </cell>
          <cell r="B12" t="str">
            <v>D56C.4</v>
          </cell>
          <cell r="C12">
            <v>1.75</v>
          </cell>
          <cell r="D12">
            <v>8.8578349999999997E-3</v>
          </cell>
        </row>
        <row r="13">
          <cell r="A13" t="str">
            <v>D56D</v>
          </cell>
          <cell r="B13" t="str">
            <v>D56D.4</v>
          </cell>
          <cell r="C13">
            <v>1.75</v>
          </cell>
          <cell r="D13">
            <v>9.1379170000000006E-3</v>
          </cell>
        </row>
        <row r="14">
          <cell r="A14" t="str">
            <v>D57A</v>
          </cell>
          <cell r="B14" t="str">
            <v>D57A.3</v>
          </cell>
          <cell r="C14">
            <v>1.25</v>
          </cell>
          <cell r="D14">
            <v>1.7202248999999999E-2</v>
          </cell>
        </row>
        <row r="15">
          <cell r="A15" t="str">
            <v>D57B</v>
          </cell>
          <cell r="B15" t="str">
            <v>D57B.4</v>
          </cell>
          <cell r="C15">
            <v>1.75</v>
          </cell>
          <cell r="D15">
            <v>7.0929579999999999E-3</v>
          </cell>
        </row>
        <row r="16">
          <cell r="A16" t="str">
            <v>D61B</v>
          </cell>
          <cell r="B16" t="str">
            <v>D61B.4</v>
          </cell>
          <cell r="C16">
            <v>1.75</v>
          </cell>
          <cell r="D16">
            <v>4.8433779999999997E-3</v>
          </cell>
        </row>
        <row r="17">
          <cell r="A17" t="str">
            <v>D65</v>
          </cell>
          <cell r="B17" t="str">
            <v>D65.7</v>
          </cell>
          <cell r="C17">
            <v>3.25</v>
          </cell>
          <cell r="D17">
            <v>9.42167E-3</v>
          </cell>
        </row>
        <row r="18">
          <cell r="A18" t="str">
            <v>D75</v>
          </cell>
          <cell r="B18" t="str">
            <v>D75.1</v>
          </cell>
          <cell r="C18">
            <v>0.25</v>
          </cell>
          <cell r="D18">
            <v>1.3865323000000001E-2</v>
          </cell>
        </row>
        <row r="19">
          <cell r="A19" t="str">
            <v>D76</v>
          </cell>
          <cell r="B19" t="str">
            <v>D76.6</v>
          </cell>
          <cell r="C19">
            <v>2.75</v>
          </cell>
          <cell r="D19">
            <v>7.2509180000000003E-3</v>
          </cell>
        </row>
        <row r="20">
          <cell r="A20" t="str">
            <v>D8E</v>
          </cell>
          <cell r="B20" t="str">
            <v>D8E.2</v>
          </cell>
          <cell r="C20">
            <v>0.75</v>
          </cell>
          <cell r="D20">
            <v>4.7166776000000001E-2</v>
          </cell>
        </row>
        <row r="21">
          <cell r="A21" t="str">
            <v>D8G</v>
          </cell>
          <cell r="B21" t="str">
            <v>D8G.2</v>
          </cell>
          <cell r="C21">
            <v>0.75</v>
          </cell>
          <cell r="D21">
            <v>9.9616170000000007E-3</v>
          </cell>
        </row>
        <row r="22">
          <cell r="A22" t="str">
            <v>W20</v>
          </cell>
          <cell r="B22" t="str">
            <v>W20</v>
          </cell>
          <cell r="C22">
            <v>0.25</v>
          </cell>
          <cell r="D22">
            <v>0</v>
          </cell>
        </row>
        <row r="23">
          <cell r="A23" t="str">
            <v>W44B</v>
          </cell>
          <cell r="B23" t="str">
            <v>W44B</v>
          </cell>
          <cell r="C23">
            <v>0.25</v>
          </cell>
          <cell r="D23">
            <v>9.4157099999999999E-4</v>
          </cell>
        </row>
        <row r="24">
          <cell r="A24" t="str">
            <v>W5</v>
          </cell>
          <cell r="B24" t="str">
            <v>W5</v>
          </cell>
          <cell r="C24">
            <v>0.25</v>
          </cell>
          <cell r="D24">
            <v>2.7913947000000001E-2</v>
          </cell>
        </row>
        <row r="25">
          <cell r="A25" t="str">
            <v>W52</v>
          </cell>
          <cell r="B25" t="str">
            <v>W52</v>
          </cell>
          <cell r="C25">
            <v>0.25</v>
          </cell>
          <cell r="D25">
            <v>0</v>
          </cell>
        </row>
        <row r="26">
          <cell r="A26" t="str">
            <v>W56A</v>
          </cell>
          <cell r="B26" t="str">
            <v>W56A.1</v>
          </cell>
          <cell r="C26">
            <v>0.25</v>
          </cell>
          <cell r="D26">
            <v>3.6410899999999999E-4</v>
          </cell>
        </row>
        <row r="27">
          <cell r="A27" t="str">
            <v>W56C</v>
          </cell>
          <cell r="B27" t="str">
            <v>W56C</v>
          </cell>
          <cell r="C27">
            <v>0.25</v>
          </cell>
          <cell r="D27">
            <v>0</v>
          </cell>
        </row>
        <row r="28">
          <cell r="A28" t="str">
            <v>W56D</v>
          </cell>
          <cell r="B28" t="str">
            <v>W56D.2</v>
          </cell>
          <cell r="C28">
            <v>0.75</v>
          </cell>
          <cell r="D28">
            <v>9.4157099999999999E-4</v>
          </cell>
        </row>
        <row r="29">
          <cell r="A29" t="str">
            <v>W75</v>
          </cell>
          <cell r="B29" t="str">
            <v>W75</v>
          </cell>
          <cell r="C29">
            <v>0.25</v>
          </cell>
          <cell r="D29">
            <v>0</v>
          </cell>
        </row>
        <row r="30">
          <cell r="A30" t="str">
            <v>W76</v>
          </cell>
          <cell r="B30" t="str">
            <v>W76</v>
          </cell>
          <cell r="C30">
            <v>0.25</v>
          </cell>
          <cell r="D30">
            <v>1.2359838999999999E-2</v>
          </cell>
        </row>
        <row r="31">
          <cell r="A31" t="str">
            <v>W8E</v>
          </cell>
          <cell r="B31" t="str">
            <v>W8E</v>
          </cell>
          <cell r="C31">
            <v>0.25</v>
          </cell>
          <cell r="D31">
            <v>6.1198800000000003E-3</v>
          </cell>
        </row>
        <row r="32">
          <cell r="A32" t="str">
            <v>W8G</v>
          </cell>
          <cell r="B32" t="str">
            <v>W8G</v>
          </cell>
          <cell r="C32">
            <v>0.25</v>
          </cell>
          <cell r="D32">
            <v>1.383032E-3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oyancy_min"/>
    </sheetNames>
    <sheetDataSet>
      <sheetData sheetId="0">
        <row r="1">
          <cell r="A1" t="str">
            <v>Site_ID</v>
          </cell>
          <cell r="B1" t="str">
            <v>X1</v>
          </cell>
          <cell r="C1" t="str">
            <v>Depth.m</v>
          </cell>
          <cell r="D1" t="str">
            <v>b.f</v>
          </cell>
        </row>
        <row r="2">
          <cell r="A2" t="str">
            <v>D10E</v>
          </cell>
          <cell r="B2" t="str">
            <v>D10E.1</v>
          </cell>
          <cell r="C2">
            <v>0.25</v>
          </cell>
          <cell r="D2">
            <v>0</v>
          </cell>
        </row>
        <row r="3">
          <cell r="A3" t="str">
            <v>D14A</v>
          </cell>
          <cell r="B3" t="str">
            <v>D14A.1</v>
          </cell>
          <cell r="C3">
            <v>0.25</v>
          </cell>
          <cell r="D3">
            <v>0</v>
          </cell>
        </row>
        <row r="4">
          <cell r="A4" t="str">
            <v>D20</v>
          </cell>
          <cell r="B4" t="str">
            <v>D20.2</v>
          </cell>
          <cell r="C4">
            <v>0.75</v>
          </cell>
          <cell r="D4">
            <v>-3.4222199999999999E-4</v>
          </cell>
        </row>
        <row r="5">
          <cell r="A5" t="str">
            <v>D31A</v>
          </cell>
          <cell r="B5" t="str">
            <v>D31A.1</v>
          </cell>
          <cell r="C5">
            <v>0.25</v>
          </cell>
          <cell r="D5">
            <v>0</v>
          </cell>
        </row>
        <row r="6">
          <cell r="A6" t="str">
            <v>D31B</v>
          </cell>
          <cell r="B6" t="str">
            <v>D31B.1</v>
          </cell>
          <cell r="C6">
            <v>0.25</v>
          </cell>
          <cell r="D6">
            <v>0</v>
          </cell>
        </row>
        <row r="7">
          <cell r="A7" t="str">
            <v>D31C</v>
          </cell>
          <cell r="B7" t="str">
            <v>D31C.1</v>
          </cell>
          <cell r="C7">
            <v>0.25</v>
          </cell>
          <cell r="D7">
            <v>0</v>
          </cell>
        </row>
        <row r="8">
          <cell r="A8" t="str">
            <v>D44B</v>
          </cell>
          <cell r="B8" t="str">
            <v>D44B.1</v>
          </cell>
          <cell r="C8">
            <v>0.25</v>
          </cell>
          <cell r="D8">
            <v>4.1846189999999997E-3</v>
          </cell>
        </row>
        <row r="9">
          <cell r="A9" t="str">
            <v>D5</v>
          </cell>
          <cell r="B9" t="str">
            <v>D5.3</v>
          </cell>
          <cell r="C9">
            <v>1.25</v>
          </cell>
          <cell r="D9">
            <v>2.215833E-3</v>
          </cell>
        </row>
        <row r="10">
          <cell r="A10" t="str">
            <v>D52</v>
          </cell>
          <cell r="B10" t="str">
            <v>D52.1</v>
          </cell>
          <cell r="C10">
            <v>0.25</v>
          </cell>
          <cell r="D10">
            <v>0</v>
          </cell>
        </row>
        <row r="11">
          <cell r="A11" t="str">
            <v>D56A</v>
          </cell>
          <cell r="B11" t="str">
            <v>D56A.1</v>
          </cell>
          <cell r="C11">
            <v>0.25</v>
          </cell>
          <cell r="D11">
            <v>0</v>
          </cell>
        </row>
        <row r="12">
          <cell r="A12" t="str">
            <v>D56C</v>
          </cell>
          <cell r="B12" t="str">
            <v>D56C.1</v>
          </cell>
          <cell r="C12">
            <v>0.25</v>
          </cell>
          <cell r="D12">
            <v>0</v>
          </cell>
        </row>
        <row r="13">
          <cell r="A13" t="str">
            <v>D56D</v>
          </cell>
          <cell r="B13" t="str">
            <v>D56D.1</v>
          </cell>
          <cell r="C13">
            <v>0.25</v>
          </cell>
          <cell r="D13">
            <v>0</v>
          </cell>
        </row>
        <row r="14">
          <cell r="A14" t="str">
            <v>D57A</v>
          </cell>
          <cell r="B14" t="str">
            <v>D57A.1</v>
          </cell>
          <cell r="C14">
            <v>0.25</v>
          </cell>
          <cell r="D14">
            <v>4.72731E-4</v>
          </cell>
        </row>
        <row r="15">
          <cell r="A15" t="str">
            <v>D57B</v>
          </cell>
          <cell r="B15" t="str">
            <v>D57B.1</v>
          </cell>
          <cell r="C15">
            <v>0.25</v>
          </cell>
          <cell r="D15">
            <v>0</v>
          </cell>
        </row>
        <row r="16">
          <cell r="A16" t="str">
            <v>D61B</v>
          </cell>
          <cell r="B16" t="str">
            <v>D61B.2</v>
          </cell>
          <cell r="C16">
            <v>0.75</v>
          </cell>
          <cell r="D16">
            <v>3.3556800000000001E-4</v>
          </cell>
        </row>
        <row r="17">
          <cell r="A17" t="str">
            <v>D65</v>
          </cell>
          <cell r="B17" t="str">
            <v>D65.1</v>
          </cell>
          <cell r="C17">
            <v>0.25</v>
          </cell>
          <cell r="D17">
            <v>0</v>
          </cell>
        </row>
        <row r="18">
          <cell r="A18" t="str">
            <v>D75</v>
          </cell>
          <cell r="B18" t="str">
            <v>D75.3</v>
          </cell>
          <cell r="C18">
            <v>1.25</v>
          </cell>
          <cell r="D18">
            <v>4.9234270000000002E-3</v>
          </cell>
        </row>
        <row r="19">
          <cell r="A19" t="str">
            <v>D76</v>
          </cell>
          <cell r="B19" t="str">
            <v>D76.3</v>
          </cell>
          <cell r="C19">
            <v>1.25</v>
          </cell>
          <cell r="D19">
            <v>1.9487899999999999E-3</v>
          </cell>
        </row>
        <row r="20">
          <cell r="A20" t="str">
            <v>D8E</v>
          </cell>
          <cell r="B20" t="str">
            <v>D8E.1</v>
          </cell>
          <cell r="C20">
            <v>0.25</v>
          </cell>
          <cell r="D20">
            <v>7.4663250000000002E-3</v>
          </cell>
        </row>
        <row r="21">
          <cell r="A21" t="str">
            <v>D8G</v>
          </cell>
          <cell r="B21" t="str">
            <v>D8G.1</v>
          </cell>
          <cell r="C21">
            <v>0.25</v>
          </cell>
          <cell r="D21">
            <v>9.1610499999999996E-4</v>
          </cell>
        </row>
        <row r="22">
          <cell r="A22" t="str">
            <v>W20</v>
          </cell>
          <cell r="B22" t="str">
            <v>W20</v>
          </cell>
          <cell r="C22">
            <v>0.25</v>
          </cell>
          <cell r="D22">
            <v>0</v>
          </cell>
        </row>
        <row r="23">
          <cell r="A23" t="str">
            <v>W44B</v>
          </cell>
          <cell r="B23" t="str">
            <v>W44B</v>
          </cell>
          <cell r="C23">
            <v>0.25</v>
          </cell>
          <cell r="D23">
            <v>9.4157099999999999E-4</v>
          </cell>
        </row>
        <row r="24">
          <cell r="A24" t="str">
            <v>W5</v>
          </cell>
          <cell r="B24" t="str">
            <v>W5</v>
          </cell>
          <cell r="C24">
            <v>0.25</v>
          </cell>
          <cell r="D24">
            <v>2.7913947000000001E-2</v>
          </cell>
        </row>
        <row r="25">
          <cell r="A25" t="str">
            <v>W52</v>
          </cell>
          <cell r="B25" t="str">
            <v>W52</v>
          </cell>
          <cell r="C25">
            <v>0.25</v>
          </cell>
          <cell r="D25">
            <v>0</v>
          </cell>
        </row>
        <row r="26">
          <cell r="A26" t="str">
            <v>W56A</v>
          </cell>
          <cell r="B26" t="str">
            <v>W56A.2</v>
          </cell>
          <cell r="C26">
            <v>0.75</v>
          </cell>
          <cell r="D26">
            <v>-7.3035899999999998E-4</v>
          </cell>
        </row>
        <row r="27">
          <cell r="A27" t="str">
            <v>W56C</v>
          </cell>
          <cell r="B27" t="str">
            <v>W56C</v>
          </cell>
          <cell r="C27">
            <v>0.25</v>
          </cell>
          <cell r="D27">
            <v>0</v>
          </cell>
        </row>
        <row r="28">
          <cell r="A28" t="str">
            <v>W56D</v>
          </cell>
          <cell r="B28" t="str">
            <v>W56D.1</v>
          </cell>
          <cell r="C28">
            <v>0.25</v>
          </cell>
          <cell r="D28">
            <v>-4.7077399999999998E-4</v>
          </cell>
        </row>
        <row r="29">
          <cell r="A29" t="str">
            <v>W75</v>
          </cell>
          <cell r="B29" t="str">
            <v>W75</v>
          </cell>
          <cell r="C29">
            <v>0.25</v>
          </cell>
          <cell r="D29">
            <v>0</v>
          </cell>
        </row>
        <row r="30">
          <cell r="A30" t="str">
            <v>W76</v>
          </cell>
          <cell r="B30" t="str">
            <v>W76</v>
          </cell>
          <cell r="C30">
            <v>0.25</v>
          </cell>
          <cell r="D30">
            <v>1.2359838999999999E-2</v>
          </cell>
        </row>
        <row r="31">
          <cell r="A31" t="str">
            <v>W8E</v>
          </cell>
          <cell r="B31" t="str">
            <v>W8E</v>
          </cell>
          <cell r="C31">
            <v>0.25</v>
          </cell>
          <cell r="D31">
            <v>6.1198800000000003E-3</v>
          </cell>
        </row>
        <row r="32">
          <cell r="A32" t="str">
            <v>W8G</v>
          </cell>
          <cell r="B32" t="str">
            <v>W8G</v>
          </cell>
          <cell r="C32">
            <v>0.25</v>
          </cell>
          <cell r="D32">
            <v>1.383032E-3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Site_ID</v>
          </cell>
          <cell r="B1" t="str">
            <v>Collection Date</v>
          </cell>
          <cell r="C1" t="str">
            <v>Collection Time</v>
          </cell>
          <cell r="D1" t="str">
            <v>Start Date</v>
          </cell>
          <cell r="E1" t="str">
            <v>Start Time</v>
          </cell>
          <cell r="F1" t="str">
            <v>Finish Time</v>
          </cell>
          <cell r="G1" t="str">
            <v>File#</v>
          </cell>
          <cell r="H1" t="str">
            <v>Volume (L)</v>
          </cell>
          <cell r="I1" t="str">
            <v>Temp (C) </v>
          </cell>
          <cell r="J1" t="str">
            <v>Analysis Date &amp; Time</v>
          </cell>
          <cell r="K1" t="str">
            <v>Rn.dpm.L</v>
          </cell>
          <cell r="L1" t="str">
            <v>error.dpm.L</v>
          </cell>
        </row>
        <row r="2">
          <cell r="A2" t="str">
            <v>RAD7 4770 07 06 2019.xlsx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 t="str">
            <v>D56C</v>
          </cell>
          <cell r="B3">
            <v>43620</v>
          </cell>
          <cell r="C3">
            <v>0.5</v>
          </cell>
          <cell r="D3">
            <v>43621</v>
          </cell>
          <cell r="E3">
            <v>0.43611111111111112</v>
          </cell>
          <cell r="F3">
            <v>0.61458333333333337</v>
          </cell>
          <cell r="G3">
            <v>2601</v>
          </cell>
          <cell r="H3">
            <v>6.31</v>
          </cell>
          <cell r="I3">
            <v>24.2</v>
          </cell>
          <cell r="J3">
            <v>43621.436111111114</v>
          </cell>
          <cell r="K3">
            <v>4.3730999120372624</v>
          </cell>
          <cell r="L3">
            <v>0.748325642390823</v>
          </cell>
        </row>
        <row r="4">
          <cell r="A4" t="str">
            <v>W56C</v>
          </cell>
          <cell r="B4">
            <v>43620</v>
          </cell>
          <cell r="C4">
            <v>0.54166666666666663</v>
          </cell>
          <cell r="D4">
            <v>43621</v>
          </cell>
          <cell r="E4">
            <v>0.62916666666666665</v>
          </cell>
          <cell r="F4">
            <v>0.76736111111111116</v>
          </cell>
          <cell r="G4" t="str">
            <v>2801-2821</v>
          </cell>
          <cell r="H4">
            <v>6.51</v>
          </cell>
          <cell r="I4">
            <v>23.7</v>
          </cell>
          <cell r="J4">
            <v>43621.629166666666</v>
          </cell>
          <cell r="K4">
            <v>0.33472890503559211</v>
          </cell>
          <cell r="L4">
            <v>0.22826894856057714</v>
          </cell>
        </row>
        <row r="5">
          <cell r="A5" t="str">
            <v>D56A</v>
          </cell>
          <cell r="B5">
            <v>43620</v>
          </cell>
          <cell r="C5">
            <v>0.4375</v>
          </cell>
          <cell r="D5">
            <v>43621</v>
          </cell>
          <cell r="E5">
            <v>0.79305555555555562</v>
          </cell>
          <cell r="F5">
            <v>43622.388194444444</v>
          </cell>
          <cell r="G5" t="str">
            <v>2901-2986</v>
          </cell>
          <cell r="H5">
            <v>6.05</v>
          </cell>
          <cell r="I5">
            <v>23.5</v>
          </cell>
          <cell r="J5">
            <v>43621.793055555558</v>
          </cell>
          <cell r="K5">
            <v>3.6802305655311787</v>
          </cell>
          <cell r="L5">
            <v>0.39801566333654698</v>
          </cell>
        </row>
        <row r="6">
          <cell r="A6" t="str">
            <v>W56A</v>
          </cell>
          <cell r="B6">
            <v>43620</v>
          </cell>
          <cell r="C6">
            <v>0.47916666666666669</v>
          </cell>
          <cell r="D6">
            <v>43622</v>
          </cell>
          <cell r="E6">
            <v>0.43124999999999997</v>
          </cell>
          <cell r="F6">
            <v>0.61319444444444449</v>
          </cell>
          <cell r="G6" t="str">
            <v>3001-3027</v>
          </cell>
          <cell r="H6">
            <v>6.06</v>
          </cell>
          <cell r="I6">
            <v>23.7</v>
          </cell>
          <cell r="J6">
            <v>43622.431250000001</v>
          </cell>
          <cell r="K6">
            <v>4.6201305324417605</v>
          </cell>
          <cell r="L6">
            <v>0.86142489680088941</v>
          </cell>
        </row>
        <row r="7">
          <cell r="A7" t="str">
            <v>D20</v>
          </cell>
          <cell r="B7">
            <v>43621</v>
          </cell>
          <cell r="C7">
            <v>0.5</v>
          </cell>
          <cell r="D7">
            <v>43622</v>
          </cell>
          <cell r="E7">
            <v>0.62777777777777777</v>
          </cell>
          <cell r="F7">
            <v>0.72152777777777777</v>
          </cell>
          <cell r="G7" t="str">
            <v>3101-3114</v>
          </cell>
          <cell r="H7">
            <v>6.97</v>
          </cell>
          <cell r="I7">
            <v>23.6</v>
          </cell>
          <cell r="J7">
            <v>43622.62777777778</v>
          </cell>
          <cell r="K7">
            <v>3.1414257554135752</v>
          </cell>
          <cell r="L7">
            <v>0.81689381070371736</v>
          </cell>
        </row>
        <row r="8">
          <cell r="A8" t="str">
            <v>W20</v>
          </cell>
          <cell r="B8">
            <v>43621</v>
          </cell>
          <cell r="C8">
            <v>4.1666666666666664E-2</v>
          </cell>
          <cell r="D8">
            <v>43622</v>
          </cell>
          <cell r="E8">
            <v>0.7270833333333333</v>
          </cell>
          <cell r="F8">
            <v>0.96527777777777779</v>
          </cell>
          <cell r="G8" t="str">
            <v>3201-3235</v>
          </cell>
          <cell r="H8">
            <v>6.4</v>
          </cell>
          <cell r="I8">
            <v>23.6</v>
          </cell>
          <cell r="J8">
            <v>43622.727083333331</v>
          </cell>
          <cell r="K8">
            <v>2.7711021271869805</v>
          </cell>
          <cell r="L8">
            <v>0.51185037906498954</v>
          </cell>
        </row>
        <row r="9">
          <cell r="A9" t="str">
            <v>BQ NE Baseline</v>
          </cell>
          <cell r="B9">
            <v>43628</v>
          </cell>
          <cell r="C9">
            <v>0.41666666666666669</v>
          </cell>
          <cell r="D9">
            <v>43629</v>
          </cell>
          <cell r="E9">
            <v>0.47083333333333338</v>
          </cell>
          <cell r="F9">
            <v>0.57222222222222219</v>
          </cell>
          <cell r="G9">
            <v>3401</v>
          </cell>
          <cell r="H9">
            <v>6.16</v>
          </cell>
          <cell r="I9">
            <v>22.4</v>
          </cell>
          <cell r="J9">
            <v>43629.470833333333</v>
          </cell>
          <cell r="K9">
            <v>1.2795906694901911</v>
          </cell>
          <cell r="L9">
            <v>0.56920057512124933</v>
          </cell>
        </row>
        <row r="10">
          <cell r="A10" t="str">
            <v>H52</v>
          </cell>
          <cell r="B10">
            <v>43628</v>
          </cell>
          <cell r="C10">
            <v>0.41666666666666669</v>
          </cell>
          <cell r="D10">
            <v>43629</v>
          </cell>
          <cell r="E10">
            <v>0.59722222222222221</v>
          </cell>
          <cell r="F10">
            <v>43630.340277777781</v>
          </cell>
          <cell r="G10" t="str">
            <v>3501-3608</v>
          </cell>
          <cell r="H10">
            <v>5.95</v>
          </cell>
          <cell r="I10">
            <v>24.8</v>
          </cell>
          <cell r="J10">
            <v>43629.597222222219</v>
          </cell>
          <cell r="K10">
            <v>1.1649464693067852</v>
          </cell>
          <cell r="L10">
            <v>0.20017003288457608</v>
          </cell>
        </row>
        <row r="11">
          <cell r="A11" t="str">
            <v>BQ Baseline</v>
          </cell>
          <cell r="B11">
            <v>43628</v>
          </cell>
          <cell r="C11">
            <v>0.41666666666666669</v>
          </cell>
          <cell r="D11">
            <v>43630</v>
          </cell>
          <cell r="E11">
            <v>0.3527777777777778</v>
          </cell>
          <cell r="F11">
            <v>0.48680555555555555</v>
          </cell>
          <cell r="G11" t="str">
            <v>3701-3720</v>
          </cell>
          <cell r="H11">
            <v>6.02</v>
          </cell>
          <cell r="I11">
            <v>24.8</v>
          </cell>
          <cell r="J11">
            <v>43630.352777777778</v>
          </cell>
          <cell r="K11">
            <v>1.2644617633684498</v>
          </cell>
          <cell r="L11">
            <v>0.53217832654040764</v>
          </cell>
        </row>
        <row r="12">
          <cell r="A12" t="str">
            <v>HS1</v>
          </cell>
          <cell r="B12">
            <v>43628</v>
          </cell>
          <cell r="C12">
            <v>0.41666666666666669</v>
          </cell>
          <cell r="D12">
            <v>43630</v>
          </cell>
          <cell r="E12">
            <v>0.50208333333333333</v>
          </cell>
          <cell r="F12">
            <v>0.63472222222222219</v>
          </cell>
          <cell r="G12">
            <v>3901</v>
          </cell>
          <cell r="H12">
            <v>6.13</v>
          </cell>
          <cell r="I12">
            <v>24.6</v>
          </cell>
          <cell r="J12">
            <v>43630.502083333333</v>
          </cell>
          <cell r="K12">
            <v>1.1389616351153489</v>
          </cell>
          <cell r="L12">
            <v>0.5177069587683234</v>
          </cell>
        </row>
        <row r="13">
          <cell r="A13" t="str">
            <v>SW Outlet</v>
          </cell>
          <cell r="B13">
            <v>43628</v>
          </cell>
          <cell r="C13">
            <v>0.41666666666666669</v>
          </cell>
          <cell r="D13">
            <v>43631</v>
          </cell>
          <cell r="E13">
            <v>0.45069444444444445</v>
          </cell>
          <cell r="F13">
            <v>0.63541666666666663</v>
          </cell>
          <cell r="G13" t="str">
            <v>4001-4027</v>
          </cell>
          <cell r="H13">
            <v>6.1</v>
          </cell>
          <cell r="I13">
            <v>24.4</v>
          </cell>
          <cell r="J13">
            <v>43631.450694444444</v>
          </cell>
          <cell r="K13">
            <v>1.188899625979716</v>
          </cell>
          <cell r="L13">
            <v>0.47814782406686468</v>
          </cell>
        </row>
        <row r="14">
          <cell r="A14" t="str">
            <v>W52</v>
          </cell>
          <cell r="B14">
            <v>43636</v>
          </cell>
          <cell r="C14">
            <v>0.45277777777777778</v>
          </cell>
          <cell r="D14">
            <v>43637</v>
          </cell>
          <cell r="E14">
            <v>0.38194444444444442</v>
          </cell>
          <cell r="F14">
            <v>0.50069444444444444</v>
          </cell>
          <cell r="G14" t="str">
            <v>4101-4118</v>
          </cell>
          <cell r="H14">
            <v>5.84</v>
          </cell>
          <cell r="I14">
            <v>23.8</v>
          </cell>
          <cell r="J14">
            <v>43637.381944444445</v>
          </cell>
          <cell r="K14">
            <v>4.7111634900959567</v>
          </cell>
          <cell r="L14">
            <v>1.0288704551057186</v>
          </cell>
        </row>
        <row r="15">
          <cell r="A15" t="str">
            <v>D52</v>
          </cell>
          <cell r="B15">
            <v>43636</v>
          </cell>
          <cell r="C15">
            <v>0.47569444444444442</v>
          </cell>
          <cell r="D15">
            <v>43637</v>
          </cell>
          <cell r="E15">
            <v>0.52083333333333337</v>
          </cell>
          <cell r="F15">
            <v>0.62986111111111109</v>
          </cell>
          <cell r="G15" t="str">
            <v>4201-4216</v>
          </cell>
          <cell r="H15">
            <v>5.95</v>
          </cell>
          <cell r="I15">
            <v>24</v>
          </cell>
          <cell r="J15">
            <v>43637.520833333336</v>
          </cell>
          <cell r="K15">
            <v>7.5489155201080926</v>
          </cell>
          <cell r="L15">
            <v>1.3816956728307517</v>
          </cell>
        </row>
        <row r="16">
          <cell r="A16" t="str">
            <v>W14A</v>
          </cell>
          <cell r="B16">
            <v>43640</v>
          </cell>
          <cell r="C16">
            <v>0.46319444444444446</v>
          </cell>
          <cell r="D16">
            <v>43641</v>
          </cell>
          <cell r="E16">
            <v>0.38819444444444445</v>
          </cell>
          <cell r="F16">
            <v>0.47152777777777777</v>
          </cell>
          <cell r="G16" t="str">
            <v>4301-4506</v>
          </cell>
          <cell r="H16">
            <v>5.95</v>
          </cell>
          <cell r="I16">
            <v>22.8</v>
          </cell>
          <cell r="J16">
            <v>43641.388194444444</v>
          </cell>
          <cell r="K16">
            <v>2.7241379902695662</v>
          </cell>
          <cell r="L16">
            <v>0.97566690505398923</v>
          </cell>
        </row>
        <row r="17">
          <cell r="A17" t="str">
            <v>D14A</v>
          </cell>
          <cell r="B17">
            <v>43640</v>
          </cell>
          <cell r="C17">
            <v>0.45694444444444443</v>
          </cell>
          <cell r="D17">
            <v>43641</v>
          </cell>
          <cell r="E17">
            <v>0.4770833333333333</v>
          </cell>
          <cell r="F17">
            <v>0.56041666666666667</v>
          </cell>
          <cell r="G17" t="str">
            <v>4601-4613</v>
          </cell>
          <cell r="H17">
            <v>6</v>
          </cell>
          <cell r="I17">
            <v>22.7</v>
          </cell>
          <cell r="J17">
            <v>43641.477083333331</v>
          </cell>
          <cell r="K17">
            <v>5.9864232026186137</v>
          </cell>
          <cell r="L17">
            <v>1.3796401248948691</v>
          </cell>
        </row>
        <row r="18">
          <cell r="A18" t="str">
            <v>W75</v>
          </cell>
          <cell r="B18">
            <v>43640</v>
          </cell>
          <cell r="C18">
            <v>0.61319444444444449</v>
          </cell>
          <cell r="D18">
            <v>43641</v>
          </cell>
          <cell r="E18">
            <v>0.56736111111111109</v>
          </cell>
          <cell r="F18">
            <v>0.67569444444444438</v>
          </cell>
          <cell r="G18" t="str">
            <v>4701-4717</v>
          </cell>
          <cell r="H18">
            <v>6.1</v>
          </cell>
          <cell r="I18">
            <v>22.7</v>
          </cell>
          <cell r="J18">
            <v>43641.567361111112</v>
          </cell>
          <cell r="K18">
            <v>5.314155765956615</v>
          </cell>
          <cell r="L18">
            <v>1.2161349946145934</v>
          </cell>
        </row>
        <row r="19">
          <cell r="A19" t="str">
            <v>D75</v>
          </cell>
          <cell r="B19">
            <v>43640</v>
          </cell>
          <cell r="C19">
            <v>0.55902777777777779</v>
          </cell>
          <cell r="D19">
            <v>43642</v>
          </cell>
          <cell r="E19">
            <v>0.57986111111111105</v>
          </cell>
          <cell r="F19">
            <v>43643.381249999999</v>
          </cell>
          <cell r="G19" t="str">
            <v>4807-4917</v>
          </cell>
          <cell r="H19">
            <v>6</v>
          </cell>
          <cell r="I19">
            <v>23</v>
          </cell>
          <cell r="J19">
            <v>43642.579861111109</v>
          </cell>
          <cell r="K19">
            <v>6.3269123832003586</v>
          </cell>
          <cell r="L19">
            <v>0.4822880185119226</v>
          </cell>
        </row>
        <row r="20">
          <cell r="A20" t="str">
            <v>D31B</v>
          </cell>
          <cell r="B20">
            <v>43648</v>
          </cell>
          <cell r="C20">
            <v>0.62638888888888888</v>
          </cell>
          <cell r="D20">
            <v>43650</v>
          </cell>
          <cell r="E20">
            <v>0.36180555555555555</v>
          </cell>
          <cell r="F20">
            <v>0.45902777777777781</v>
          </cell>
          <cell r="G20" t="str">
            <v>5001-5014</v>
          </cell>
          <cell r="H20">
            <v>6.05</v>
          </cell>
          <cell r="I20">
            <v>23.2</v>
          </cell>
          <cell r="J20">
            <v>43650.361805555556</v>
          </cell>
          <cell r="K20">
            <v>3.8895599011921407</v>
          </cell>
          <cell r="L20">
            <v>1.1242278870156257</v>
          </cell>
        </row>
        <row r="21">
          <cell r="A21" t="str">
            <v>W31B</v>
          </cell>
          <cell r="B21">
            <v>43648</v>
          </cell>
          <cell r="C21">
            <v>0.65972222222222221</v>
          </cell>
          <cell r="D21">
            <v>43650</v>
          </cell>
          <cell r="E21">
            <v>0.47152777777777777</v>
          </cell>
          <cell r="F21">
            <v>0.60347222222222219</v>
          </cell>
          <cell r="G21" t="str">
            <v>5101-5119</v>
          </cell>
          <cell r="H21">
            <v>5.89</v>
          </cell>
          <cell r="I21">
            <v>23.4</v>
          </cell>
          <cell r="J21">
            <v>43650.47152777778</v>
          </cell>
          <cell r="K21">
            <v>2.932695915021827</v>
          </cell>
          <cell r="L21">
            <v>0.84756435127885754</v>
          </cell>
        </row>
        <row r="22">
          <cell r="A22" t="str">
            <v>W31A</v>
          </cell>
          <cell r="B22">
            <v>43649</v>
          </cell>
          <cell r="C22">
            <v>0.44027777777777777</v>
          </cell>
          <cell r="D22">
            <v>43651</v>
          </cell>
          <cell r="E22">
            <v>0.375</v>
          </cell>
          <cell r="F22">
            <v>0.46597222222222223</v>
          </cell>
          <cell r="G22" t="str">
            <v>5201-5214</v>
          </cell>
          <cell r="H22">
            <v>5.77</v>
          </cell>
          <cell r="I22">
            <v>23.7</v>
          </cell>
          <cell r="J22">
            <v>43651.375</v>
          </cell>
          <cell r="K22">
            <v>1.7854384730407544</v>
          </cell>
          <cell r="L22">
            <v>0.81155843484778611</v>
          </cell>
        </row>
        <row r="23">
          <cell r="A23" t="str">
            <v>D31A</v>
          </cell>
          <cell r="B23">
            <v>43649</v>
          </cell>
          <cell r="C23">
            <v>0.3923611111111111</v>
          </cell>
          <cell r="D23">
            <v>43651</v>
          </cell>
          <cell r="E23">
            <v>0.4777777777777778</v>
          </cell>
          <cell r="F23">
            <v>0.55902777777777779</v>
          </cell>
          <cell r="G23" t="str">
            <v>5301-5312</v>
          </cell>
          <cell r="H23">
            <v>5.98</v>
          </cell>
          <cell r="I23">
            <v>23.6</v>
          </cell>
          <cell r="J23">
            <v>43651.477777777778</v>
          </cell>
          <cell r="K23">
            <v>2.3964117325606349</v>
          </cell>
          <cell r="L23">
            <v>1.0085619512489965</v>
          </cell>
        </row>
        <row r="24">
          <cell r="A24" t="str">
            <v>D76</v>
          </cell>
          <cell r="B24">
            <v>43651</v>
          </cell>
          <cell r="C24">
            <v>0.45763888888888887</v>
          </cell>
          <cell r="D24">
            <v>43651</v>
          </cell>
          <cell r="E24">
            <v>0.64583333333333337</v>
          </cell>
          <cell r="F24">
            <v>0.85555555555555562</v>
          </cell>
          <cell r="G24" t="str">
            <v>5401-5407</v>
          </cell>
          <cell r="H24">
            <v>6.1</v>
          </cell>
          <cell r="I24">
            <v>22.7</v>
          </cell>
          <cell r="J24">
            <v>43651.645833333336</v>
          </cell>
          <cell r="K24">
            <v>0.61801674787649385</v>
          </cell>
          <cell r="L24">
            <v>0.5991894680453651</v>
          </cell>
        </row>
        <row r="25">
          <cell r="A25" t="str">
            <v>RAD7 4770 07 19 2019.xlsx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A26" t="str">
            <v>W76</v>
          </cell>
          <cell r="B26">
            <v>43651</v>
          </cell>
          <cell r="C26">
            <v>0.49722222222222223</v>
          </cell>
          <cell r="D26">
            <v>43652</v>
          </cell>
          <cell r="E26">
            <v>0.55138888888888882</v>
          </cell>
          <cell r="F26">
            <v>0.68263888888888891</v>
          </cell>
          <cell r="G26" t="str">
            <v>0101-0119</v>
          </cell>
          <cell r="H26">
            <v>6</v>
          </cell>
          <cell r="I26">
            <v>23.6</v>
          </cell>
          <cell r="J26">
            <v>43652.551388888889</v>
          </cell>
          <cell r="K26">
            <v>10.629768115578839</v>
          </cell>
          <cell r="L26">
            <v>1.4798051555041472</v>
          </cell>
        </row>
        <row r="27">
          <cell r="A27" t="str">
            <v>RAD7 4770 2010 08 14.xlsx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A28" t="str">
            <v>54B</v>
          </cell>
          <cell r="B28">
            <v>43668</v>
          </cell>
          <cell r="C28">
            <v>0.58472222222222225</v>
          </cell>
          <cell r="D28">
            <v>43668</v>
          </cell>
          <cell r="E28">
            <v>0.6972222222222223</v>
          </cell>
          <cell r="F28">
            <v>0.78680555555555554</v>
          </cell>
          <cell r="G28" t="str">
            <v>0501-0514</v>
          </cell>
          <cell r="H28">
            <v>6</v>
          </cell>
          <cell r="I28">
            <v>21.6</v>
          </cell>
          <cell r="J28">
            <v>43668.697222222225</v>
          </cell>
          <cell r="K28" t="str">
            <v>Can't use - RH too high</v>
          </cell>
        </row>
        <row r="29">
          <cell r="A29">
            <v>51</v>
          </cell>
          <cell r="B29">
            <v>43668</v>
          </cell>
          <cell r="C29">
            <v>0.48958333333333331</v>
          </cell>
          <cell r="D29">
            <v>43668</v>
          </cell>
          <cell r="E29">
            <v>0.81874999999999998</v>
          </cell>
          <cell r="F29">
            <v>0.90833333333333333</v>
          </cell>
          <cell r="G29" t="str">
            <v>0701-0713</v>
          </cell>
          <cell r="H29">
            <v>5.85</v>
          </cell>
          <cell r="I29">
            <v>21.4</v>
          </cell>
          <cell r="J29">
            <v>43668.818749999999</v>
          </cell>
          <cell r="K29">
            <v>3.5077541254856377</v>
          </cell>
          <cell r="L29">
            <v>1.0315508717130144</v>
          </cell>
        </row>
        <row r="30">
          <cell r="A30" t="str">
            <v>48A</v>
          </cell>
          <cell r="B30">
            <v>43668</v>
          </cell>
          <cell r="C30">
            <v>0.55833333333333335</v>
          </cell>
          <cell r="D30">
            <v>43668</v>
          </cell>
          <cell r="E30">
            <v>0.90972222222222221</v>
          </cell>
          <cell r="F30">
            <v>0.99791666666666667</v>
          </cell>
          <cell r="G30" t="str">
            <v>0801-0813</v>
          </cell>
          <cell r="H30">
            <v>5.9</v>
          </cell>
          <cell r="I30">
            <v>22.1</v>
          </cell>
          <cell r="J30">
            <v>43668.909722222219</v>
          </cell>
          <cell r="K30">
            <v>6.295773199050247</v>
          </cell>
          <cell r="L30">
            <v>1.3488140230971859</v>
          </cell>
        </row>
        <row r="31">
          <cell r="A31">
            <v>52</v>
          </cell>
          <cell r="B31">
            <v>43669</v>
          </cell>
          <cell r="C31">
            <v>0.42708333333333331</v>
          </cell>
          <cell r="D31">
            <v>43669</v>
          </cell>
          <cell r="E31">
            <v>0.60902777777777783</v>
          </cell>
          <cell r="F31">
            <v>0.71319444444444446</v>
          </cell>
          <cell r="G31">
            <v>901</v>
          </cell>
          <cell r="H31">
            <v>5.95</v>
          </cell>
          <cell r="I31">
            <v>24.2</v>
          </cell>
          <cell r="J31">
            <v>43669.609027777777</v>
          </cell>
          <cell r="K31">
            <v>14.079035251076244</v>
          </cell>
          <cell r="L31">
            <v>1.8102824937769559</v>
          </cell>
        </row>
        <row r="32">
          <cell r="A32" t="str">
            <v>55B</v>
          </cell>
          <cell r="B32">
            <v>43669</v>
          </cell>
          <cell r="C32">
            <v>0.3756944444444445</v>
          </cell>
          <cell r="D32">
            <v>43670</v>
          </cell>
          <cell r="E32">
            <v>0.35000000000000003</v>
          </cell>
          <cell r="F32">
            <v>0.44791666666666669</v>
          </cell>
          <cell r="G32" t="str">
            <v>1001-1014</v>
          </cell>
          <cell r="H32">
            <v>5.9</v>
          </cell>
          <cell r="I32">
            <v>24.7</v>
          </cell>
          <cell r="J32">
            <v>43670.35</v>
          </cell>
          <cell r="K32">
            <v>3.7795926250409919</v>
          </cell>
          <cell r="L32">
            <v>1.0156939945689445</v>
          </cell>
        </row>
        <row r="33">
          <cell r="A33" t="str">
            <v>54A</v>
          </cell>
          <cell r="B33">
            <v>43669</v>
          </cell>
          <cell r="C33">
            <v>0.37986111111111115</v>
          </cell>
          <cell r="D33">
            <v>43670</v>
          </cell>
          <cell r="E33">
            <v>0.46111111111111108</v>
          </cell>
          <cell r="F33">
            <v>0.55277777777777781</v>
          </cell>
          <cell r="G33">
            <v>1101</v>
          </cell>
          <cell r="H33">
            <v>5.84</v>
          </cell>
          <cell r="I33">
            <v>24.7</v>
          </cell>
          <cell r="J33">
            <v>43670.461111111108</v>
          </cell>
          <cell r="K33">
            <v>7.1199690998412857</v>
          </cell>
          <cell r="L33">
            <v>1.422461049880674</v>
          </cell>
        </row>
        <row r="34">
          <cell r="A34" t="str">
            <v>53A</v>
          </cell>
          <cell r="B34">
            <v>43669</v>
          </cell>
          <cell r="C34">
            <v>0.43055555555555558</v>
          </cell>
          <cell r="D34">
            <v>43670</v>
          </cell>
          <cell r="E34">
            <v>0.59166666666666667</v>
          </cell>
          <cell r="F34">
            <v>0.96944444444444444</v>
          </cell>
          <cell r="G34">
            <v>1401</v>
          </cell>
          <cell r="H34">
            <v>5.95</v>
          </cell>
          <cell r="I34">
            <v>24.8</v>
          </cell>
          <cell r="J34">
            <v>43670.591666666667</v>
          </cell>
          <cell r="K34">
            <v>2.8730100122252158</v>
          </cell>
          <cell r="L34">
            <v>0.44175134290331269</v>
          </cell>
        </row>
        <row r="35">
          <cell r="A35" t="str">
            <v>4G</v>
          </cell>
          <cell r="B35">
            <v>43671</v>
          </cell>
          <cell r="C35">
            <v>0.52013888888888882</v>
          </cell>
          <cell r="D35">
            <v>43671</v>
          </cell>
          <cell r="E35">
            <v>0.57777777777777783</v>
          </cell>
          <cell r="F35">
            <v>0.67708333333333337</v>
          </cell>
          <cell r="G35">
            <v>1501</v>
          </cell>
          <cell r="H35">
            <v>6.45</v>
          </cell>
          <cell r="I35">
            <v>22.4</v>
          </cell>
          <cell r="J35">
            <v>43671.577777777777</v>
          </cell>
          <cell r="K35">
            <v>3.7582905605445514</v>
          </cell>
          <cell r="L35">
            <v>0.85286095213074464</v>
          </cell>
        </row>
        <row r="36">
          <cell r="A36" t="str">
            <v>4E</v>
          </cell>
          <cell r="B36">
            <v>43671</v>
          </cell>
          <cell r="C36">
            <v>0.45</v>
          </cell>
          <cell r="D36">
            <v>43671</v>
          </cell>
          <cell r="E36">
            <v>0.68263888888888891</v>
          </cell>
          <cell r="F36">
            <v>0.84861111111111109</v>
          </cell>
          <cell r="G36" t="str">
            <v>1601-1636</v>
          </cell>
          <cell r="H36">
            <v>6.85</v>
          </cell>
          <cell r="I36">
            <v>22.8</v>
          </cell>
          <cell r="J36">
            <v>43671.682638888888</v>
          </cell>
          <cell r="K36">
            <v>27.173242078325238</v>
          </cell>
          <cell r="L36">
            <v>1.3453681344458459</v>
          </cell>
        </row>
        <row r="37">
          <cell r="A37" t="str">
            <v>4D</v>
          </cell>
          <cell r="B37">
            <v>43671</v>
          </cell>
          <cell r="C37">
            <v>0.38611111111111113</v>
          </cell>
          <cell r="D37">
            <v>43671</v>
          </cell>
          <cell r="E37">
            <v>0.85416666666666663</v>
          </cell>
          <cell r="F37">
            <v>43672.334722222222</v>
          </cell>
          <cell r="G37" t="str">
            <v>1701-1757</v>
          </cell>
          <cell r="H37">
            <v>5.77</v>
          </cell>
          <cell r="I37">
            <v>24.3</v>
          </cell>
          <cell r="J37">
            <v>43671.854166666664</v>
          </cell>
          <cell r="K37">
            <v>8.9294319174297012</v>
          </cell>
          <cell r="L37">
            <v>0.73421418842856456</v>
          </cell>
        </row>
        <row r="38">
          <cell r="A38" t="str">
            <v>4C</v>
          </cell>
          <cell r="B38">
            <v>43672</v>
          </cell>
          <cell r="C38">
            <v>0.4770833333333333</v>
          </cell>
          <cell r="D38">
            <v>43672</v>
          </cell>
          <cell r="E38">
            <v>0.60625000000000007</v>
          </cell>
          <cell r="F38">
            <v>0.70833333333333337</v>
          </cell>
          <cell r="G38">
            <v>1801</v>
          </cell>
          <cell r="H38">
            <v>6.6</v>
          </cell>
          <cell r="I38">
            <v>23.7</v>
          </cell>
          <cell r="J38">
            <v>43672.606249999997</v>
          </cell>
          <cell r="K38">
            <v>5.5503990309646829</v>
          </cell>
          <cell r="L38">
            <v>1.016931427705045</v>
          </cell>
        </row>
        <row r="39">
          <cell r="A39" t="str">
            <v>14B</v>
          </cell>
          <cell r="B39">
            <v>43675</v>
          </cell>
          <cell r="C39">
            <v>0.50138888888888888</v>
          </cell>
          <cell r="D39">
            <v>43675</v>
          </cell>
          <cell r="E39">
            <v>0.60555555555555551</v>
          </cell>
          <cell r="F39">
            <v>43676.338888888888</v>
          </cell>
          <cell r="G39">
            <v>1901</v>
          </cell>
          <cell r="H39">
            <v>5.66</v>
          </cell>
          <cell r="I39">
            <v>23.8</v>
          </cell>
          <cell r="J39">
            <v>43675.605555555558</v>
          </cell>
          <cell r="K39">
            <v>4.8663896849918471</v>
          </cell>
          <cell r="L39">
            <v>0.39241068140076885</v>
          </cell>
        </row>
        <row r="40">
          <cell r="A40" t="str">
            <v>61C</v>
          </cell>
          <cell r="B40">
            <v>43676</v>
          </cell>
          <cell r="C40">
            <v>0.62083333333333335</v>
          </cell>
          <cell r="D40">
            <v>43677</v>
          </cell>
          <cell r="E40">
            <v>0.44166666666666665</v>
          </cell>
          <cell r="F40">
            <v>0.56041666666666667</v>
          </cell>
          <cell r="G40">
            <v>2101</v>
          </cell>
          <cell r="H40">
            <v>5.89</v>
          </cell>
          <cell r="I40">
            <v>24.6</v>
          </cell>
          <cell r="J40">
            <v>43677.441666666666</v>
          </cell>
          <cell r="K40">
            <v>5.0066692218781927</v>
          </cell>
          <cell r="L40">
            <v>1.0412160318257671</v>
          </cell>
        </row>
        <row r="41">
          <cell r="A41" t="str">
            <v>61C</v>
          </cell>
          <cell r="B41">
            <v>43676</v>
          </cell>
          <cell r="C41">
            <v>0.66249999999999998</v>
          </cell>
          <cell r="D41">
            <v>43677</v>
          </cell>
          <cell r="E41">
            <v>0.56666666666666665</v>
          </cell>
          <cell r="F41">
            <v>0.65069444444444446</v>
          </cell>
          <cell r="G41" t="str">
            <v>2201-2212</v>
          </cell>
          <cell r="H41">
            <v>5.76</v>
          </cell>
          <cell r="I41">
            <v>24.7</v>
          </cell>
          <cell r="J41">
            <v>43677.566666666666</v>
          </cell>
          <cell r="K41">
            <v>7.4317345523689688</v>
          </cell>
          <cell r="L41">
            <v>1.5731600537489063</v>
          </cell>
        </row>
        <row r="42">
          <cell r="A42" t="str">
            <v>61B</v>
          </cell>
          <cell r="B42">
            <v>43676</v>
          </cell>
          <cell r="C42">
            <v>0.55972222222222223</v>
          </cell>
          <cell r="D42">
            <v>43677</v>
          </cell>
          <cell r="E42">
            <v>0.65486111111111112</v>
          </cell>
          <cell r="F42">
            <v>43678.309027777781</v>
          </cell>
          <cell r="G42" t="str">
            <v>2301-2394</v>
          </cell>
          <cell r="H42">
            <v>5.85</v>
          </cell>
          <cell r="I42">
            <v>24.5</v>
          </cell>
          <cell r="J42">
            <v>43677.654861111114</v>
          </cell>
          <cell r="K42">
            <v>2.109954505929986</v>
          </cell>
          <cell r="L42">
            <v>0.29074588868620549</v>
          </cell>
        </row>
        <row r="43">
          <cell r="A43" t="str">
            <v>56A</v>
          </cell>
          <cell r="B43">
            <v>43678</v>
          </cell>
          <cell r="C43">
            <v>0.42430555555555555</v>
          </cell>
          <cell r="D43">
            <v>43678</v>
          </cell>
          <cell r="E43">
            <v>0.65347222222222223</v>
          </cell>
          <cell r="F43">
            <v>43679.309027777781</v>
          </cell>
          <cell r="G43" t="str">
            <v>2401-2495</v>
          </cell>
          <cell r="H43">
            <v>6.25</v>
          </cell>
          <cell r="I43">
            <v>24.8</v>
          </cell>
          <cell r="J43">
            <v>43678.65347222222</v>
          </cell>
          <cell r="K43">
            <v>2.4579966862755454</v>
          </cell>
          <cell r="L43">
            <v>0.26889056636229292</v>
          </cell>
        </row>
        <row r="44">
          <cell r="A44" t="str">
            <v>62B</v>
          </cell>
          <cell r="B44">
            <v>43678</v>
          </cell>
          <cell r="C44">
            <v>0.4680555555555555</v>
          </cell>
          <cell r="D44">
            <v>43679</v>
          </cell>
          <cell r="E44">
            <v>0.31736111111111115</v>
          </cell>
          <cell r="F44">
            <v>0.40138888888888885</v>
          </cell>
          <cell r="G44">
            <v>2501</v>
          </cell>
          <cell r="H44">
            <v>5.96</v>
          </cell>
          <cell r="I44">
            <v>25.4</v>
          </cell>
          <cell r="J44">
            <v>43679.317361111112</v>
          </cell>
          <cell r="K44">
            <v>2.8207739985362199</v>
          </cell>
          <cell r="L44">
            <v>0.93298520717507782</v>
          </cell>
        </row>
        <row r="45">
          <cell r="A45" t="str">
            <v>62C</v>
          </cell>
          <cell r="B45">
            <v>43678</v>
          </cell>
          <cell r="C45">
            <v>0.50972222222222219</v>
          </cell>
          <cell r="D45">
            <v>43679</v>
          </cell>
          <cell r="E45">
            <v>0.41319444444444442</v>
          </cell>
          <cell r="F45">
            <v>0.49722222222222223</v>
          </cell>
          <cell r="G45">
            <v>2601</v>
          </cell>
          <cell r="H45">
            <v>6.06</v>
          </cell>
          <cell r="I45">
            <v>25.5</v>
          </cell>
          <cell r="J45">
            <v>43679.413194444445</v>
          </cell>
          <cell r="K45">
            <v>15.241861676380635</v>
          </cell>
          <cell r="L45">
            <v>2.1436123962122982</v>
          </cell>
        </row>
        <row r="46">
          <cell r="A46" t="str">
            <v>66A</v>
          </cell>
          <cell r="B46">
            <v>43679</v>
          </cell>
          <cell r="C46">
            <v>0.48819444444444443</v>
          </cell>
          <cell r="D46">
            <v>43679</v>
          </cell>
          <cell r="E46">
            <v>0.73749999999999993</v>
          </cell>
          <cell r="F46">
            <v>0.89513888888888893</v>
          </cell>
          <cell r="G46" t="str">
            <v>2701-2723</v>
          </cell>
          <cell r="H46">
            <v>5.95</v>
          </cell>
          <cell r="I46">
            <v>24.7</v>
          </cell>
          <cell r="J46">
            <v>43679.737500000003</v>
          </cell>
          <cell r="K46">
            <v>3.6431013981814573</v>
          </cell>
          <cell r="L46">
            <v>0.72843819284608424</v>
          </cell>
        </row>
        <row r="47">
          <cell r="A47" t="str">
            <v>45D</v>
          </cell>
          <cell r="B47">
            <v>43683</v>
          </cell>
          <cell r="C47">
            <v>0.48194444444444445</v>
          </cell>
          <cell r="D47">
            <v>43683</v>
          </cell>
          <cell r="E47">
            <v>0.67361111111111116</v>
          </cell>
          <cell r="F47">
            <v>0.7680555555555556</v>
          </cell>
          <cell r="G47">
            <v>2801</v>
          </cell>
          <cell r="H47">
            <v>6.32</v>
          </cell>
          <cell r="I47">
            <v>23.7</v>
          </cell>
          <cell r="J47">
            <v>43683.673611111109</v>
          </cell>
          <cell r="K47">
            <v>2.1167310596149926</v>
          </cell>
          <cell r="L47">
            <v>0.70328671846146884</v>
          </cell>
        </row>
        <row r="48">
          <cell r="A48" t="str">
            <v>45A</v>
          </cell>
          <cell r="B48">
            <v>43683</v>
          </cell>
          <cell r="C48">
            <v>0.57013888888888886</v>
          </cell>
          <cell r="D48">
            <v>43683</v>
          </cell>
          <cell r="E48">
            <v>0.78402777777777777</v>
          </cell>
          <cell r="F48">
            <v>0.875</v>
          </cell>
          <cell r="G48">
            <v>2901</v>
          </cell>
          <cell r="H48">
            <v>5.9</v>
          </cell>
          <cell r="I48">
            <v>22.2</v>
          </cell>
          <cell r="J48">
            <v>43683.78402777778</v>
          </cell>
          <cell r="K48" t="str">
            <v>Can't use - RH too high</v>
          </cell>
        </row>
        <row r="49">
          <cell r="A49" t="str">
            <v>15A</v>
          </cell>
          <cell r="B49">
            <v>43683</v>
          </cell>
          <cell r="C49">
            <v>0.56597222222222221</v>
          </cell>
          <cell r="D49">
            <v>43683</v>
          </cell>
          <cell r="E49">
            <v>0.8847222222222223</v>
          </cell>
          <cell r="F49">
            <v>0.96875</v>
          </cell>
          <cell r="G49" t="str">
            <v>3001-3013</v>
          </cell>
          <cell r="H49">
            <v>6.01</v>
          </cell>
          <cell r="I49">
            <v>22.5</v>
          </cell>
          <cell r="J49">
            <v>43683.884722222225</v>
          </cell>
          <cell r="K49">
            <v>2.2350923291535323</v>
          </cell>
          <cell r="L49">
            <v>0.78697853224737691</v>
          </cell>
        </row>
        <row r="50">
          <cell r="A50" t="str">
            <v>15B</v>
          </cell>
          <cell r="B50">
            <v>43683</v>
          </cell>
          <cell r="C50">
            <v>0.63402777777777775</v>
          </cell>
          <cell r="D50">
            <v>43683</v>
          </cell>
          <cell r="E50">
            <v>0.97986111111111107</v>
          </cell>
          <cell r="F50">
            <v>43684.06527777778</v>
          </cell>
          <cell r="G50" t="str">
            <v>3201-3212</v>
          </cell>
          <cell r="H50">
            <v>5.7</v>
          </cell>
          <cell r="I50">
            <v>21.5</v>
          </cell>
          <cell r="J50">
            <v>43683.979861111111</v>
          </cell>
          <cell r="K50">
            <v>1.9458162684850593</v>
          </cell>
          <cell r="L50">
            <v>0.81884484533378121</v>
          </cell>
        </row>
        <row r="51">
          <cell r="A51" t="str">
            <v>67B</v>
          </cell>
          <cell r="B51">
            <v>43684</v>
          </cell>
          <cell r="C51">
            <v>0.43055555555555558</v>
          </cell>
          <cell r="D51">
            <v>43684</v>
          </cell>
          <cell r="E51">
            <v>0.58472222222222225</v>
          </cell>
          <cell r="F51">
            <v>0.67083333333333339</v>
          </cell>
          <cell r="G51">
            <v>3301</v>
          </cell>
          <cell r="H51">
            <v>5.67</v>
          </cell>
          <cell r="I51">
            <v>22.1</v>
          </cell>
          <cell r="J51">
            <v>43684.584722222222</v>
          </cell>
          <cell r="K51">
            <v>4.2188135544651635</v>
          </cell>
          <cell r="L51">
            <v>1.1283272498993626</v>
          </cell>
        </row>
        <row r="52">
          <cell r="A52" t="str">
            <v>27B</v>
          </cell>
          <cell r="B52">
            <v>43684</v>
          </cell>
          <cell r="C52">
            <v>0.47916666666666669</v>
          </cell>
          <cell r="D52">
            <v>43684</v>
          </cell>
          <cell r="E52">
            <v>0.68055555555555547</v>
          </cell>
          <cell r="F52">
            <v>43685.320833333331</v>
          </cell>
          <cell r="G52" t="str">
            <v>3401-3492</v>
          </cell>
          <cell r="H52">
            <v>6.26</v>
          </cell>
          <cell r="I52">
            <v>24.1</v>
          </cell>
          <cell r="J52">
            <v>43684.680555555555</v>
          </cell>
          <cell r="K52">
            <v>2.2267031428845869</v>
          </cell>
          <cell r="L52">
            <v>0.25895906919203637</v>
          </cell>
        </row>
        <row r="53">
          <cell r="A53" t="str">
            <v>27A</v>
          </cell>
          <cell r="B53">
            <v>43684</v>
          </cell>
          <cell r="C53">
            <v>0.44513888888888892</v>
          </cell>
          <cell r="D53">
            <v>43685</v>
          </cell>
          <cell r="E53">
            <v>0.32500000000000001</v>
          </cell>
          <cell r="F53">
            <v>0.41597222222222219</v>
          </cell>
          <cell r="G53" t="str">
            <v>3501-3512</v>
          </cell>
          <cell r="H53">
            <v>6.13</v>
          </cell>
          <cell r="I53">
            <v>24.3</v>
          </cell>
          <cell r="J53">
            <v>43685.324999999997</v>
          </cell>
          <cell r="K53">
            <v>3.041860845871617</v>
          </cell>
          <cell r="L53">
            <v>0.905297534786907</v>
          </cell>
        </row>
        <row r="54">
          <cell r="A54">
            <v>75</v>
          </cell>
          <cell r="B54">
            <v>43686</v>
          </cell>
          <cell r="C54">
            <v>0.40625</v>
          </cell>
          <cell r="D54">
            <v>43686</v>
          </cell>
          <cell r="E54">
            <v>0.52430555555555558</v>
          </cell>
          <cell r="F54">
            <v>0.61319444444444449</v>
          </cell>
          <cell r="G54" t="str">
            <v>3601-3613</v>
          </cell>
          <cell r="H54">
            <v>5.99</v>
          </cell>
          <cell r="I54">
            <v>23.2</v>
          </cell>
          <cell r="J54">
            <v>43686.524305555555</v>
          </cell>
          <cell r="K54">
            <v>10.676588926572032</v>
          </cell>
          <cell r="L54">
            <v>1.6924388523386951</v>
          </cell>
        </row>
        <row r="55">
          <cell r="A55" t="str">
            <v>22C</v>
          </cell>
          <cell r="B55">
            <v>43686</v>
          </cell>
          <cell r="C55">
            <v>0.43263888888888885</v>
          </cell>
          <cell r="D55">
            <v>43686</v>
          </cell>
          <cell r="E55">
            <v>0.61944444444444446</v>
          </cell>
          <cell r="F55">
            <v>0.7416666666666667</v>
          </cell>
          <cell r="G55" t="str">
            <v>3701-3718</v>
          </cell>
          <cell r="H55">
            <v>5.75</v>
          </cell>
          <cell r="I55">
            <v>22.6</v>
          </cell>
          <cell r="J55">
            <v>43686.619444444441</v>
          </cell>
          <cell r="K55">
            <v>15.732650326892603</v>
          </cell>
          <cell r="L55">
            <v>1.7819339726587711</v>
          </cell>
        </row>
        <row r="56">
          <cell r="A56" t="str">
            <v>4H</v>
          </cell>
          <cell r="B56">
            <v>43686</v>
          </cell>
          <cell r="C56">
            <v>0.54999999999999993</v>
          </cell>
          <cell r="D56">
            <v>43686</v>
          </cell>
          <cell r="E56">
            <v>0.75138888888888899</v>
          </cell>
          <cell r="F56">
            <v>43687.433333333334</v>
          </cell>
          <cell r="G56" t="str">
            <v>3801-3899</v>
          </cell>
          <cell r="H56">
            <v>5.72</v>
          </cell>
          <cell r="I56">
            <v>24.5</v>
          </cell>
          <cell r="J56">
            <v>43686.751388888886</v>
          </cell>
          <cell r="K56">
            <v>4.4052899667973575</v>
          </cell>
          <cell r="L56">
            <v>0.38734589283248816</v>
          </cell>
        </row>
        <row r="57">
          <cell r="A57" t="str">
            <v>8C</v>
          </cell>
          <cell r="B57">
            <v>43689</v>
          </cell>
          <cell r="C57">
            <v>0.53819444444444442</v>
          </cell>
          <cell r="D57">
            <v>43689</v>
          </cell>
          <cell r="E57">
            <v>0.71250000000000002</v>
          </cell>
          <cell r="F57">
            <v>0.8041666666666667</v>
          </cell>
          <cell r="G57" t="str">
            <v>3901-3914</v>
          </cell>
          <cell r="H57">
            <v>5.63</v>
          </cell>
          <cell r="I57">
            <v>19.899999999999999</v>
          </cell>
          <cell r="J57">
            <v>43689.712500000001</v>
          </cell>
          <cell r="K57">
            <v>6.240783463309346</v>
          </cell>
          <cell r="L57">
            <v>1.1959810841991725</v>
          </cell>
        </row>
        <row r="58">
          <cell r="A58" t="str">
            <v>63A</v>
          </cell>
          <cell r="B58">
            <v>43689</v>
          </cell>
          <cell r="C58">
            <v>0.51388888888888895</v>
          </cell>
          <cell r="D58">
            <v>43689</v>
          </cell>
          <cell r="E58">
            <v>0.80972222222222223</v>
          </cell>
          <cell r="F58">
            <v>0.90138888888888891</v>
          </cell>
          <cell r="G58">
            <v>4001</v>
          </cell>
          <cell r="H58">
            <v>6.35</v>
          </cell>
          <cell r="I58">
            <v>21.3</v>
          </cell>
          <cell r="J58">
            <v>43689.80972222222</v>
          </cell>
          <cell r="K58" t="str">
            <v>Data not on RAD7</v>
          </cell>
        </row>
        <row r="59">
          <cell r="A59">
            <v>36</v>
          </cell>
          <cell r="B59">
            <v>43689</v>
          </cell>
          <cell r="C59">
            <v>0.67152777777777783</v>
          </cell>
          <cell r="D59">
            <v>43689</v>
          </cell>
          <cell r="E59">
            <v>0.91111111111111109</v>
          </cell>
          <cell r="F59">
            <v>0.99583333333333324</v>
          </cell>
          <cell r="G59">
            <v>4101</v>
          </cell>
          <cell r="H59">
            <v>6.19</v>
          </cell>
          <cell r="I59">
            <v>20.3</v>
          </cell>
          <cell r="J59">
            <v>43689.911111111112</v>
          </cell>
          <cell r="K59" t="str">
            <v>Data not on RAD7</v>
          </cell>
        </row>
        <row r="60">
          <cell r="A60">
            <v>65</v>
          </cell>
          <cell r="B60">
            <v>43690</v>
          </cell>
          <cell r="C60">
            <v>0.39513888888888887</v>
          </cell>
          <cell r="D60">
            <v>43691</v>
          </cell>
          <cell r="E60">
            <v>0.35902777777777778</v>
          </cell>
          <cell r="F60">
            <v>0.42430555555555555</v>
          </cell>
          <cell r="G60">
            <v>0</v>
          </cell>
          <cell r="H60">
            <v>6.1</v>
          </cell>
          <cell r="I60">
            <v>23.7</v>
          </cell>
          <cell r="J60">
            <v>43691.359027777777</v>
          </cell>
          <cell r="K60" t="str">
            <v>Data not on RAD7</v>
          </cell>
        </row>
        <row r="61">
          <cell r="A61" t="str">
            <v>RAD7 4770 2019 08 28.xlsx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 t="str">
            <v>8G</v>
          </cell>
          <cell r="B62">
            <v>43690</v>
          </cell>
          <cell r="C62">
            <v>0.40625</v>
          </cell>
          <cell r="D62">
            <v>43691</v>
          </cell>
          <cell r="E62">
            <v>0.49236111111111108</v>
          </cell>
          <cell r="F62">
            <v>0.59652777777777777</v>
          </cell>
          <cell r="G62" t="str">
            <v>0101-0116</v>
          </cell>
          <cell r="H62">
            <v>6</v>
          </cell>
          <cell r="I62">
            <v>23.7</v>
          </cell>
          <cell r="J62">
            <v>43691.492361111108</v>
          </cell>
          <cell r="K62">
            <v>6.4453628158448186</v>
          </cell>
          <cell r="L62">
            <v>1.2686850414288406</v>
          </cell>
        </row>
        <row r="63">
          <cell r="A63" t="str">
            <v>24B</v>
          </cell>
          <cell r="B63">
            <v>43692</v>
          </cell>
          <cell r="C63">
            <v>0.53819444444444442</v>
          </cell>
          <cell r="D63">
            <v>43692</v>
          </cell>
          <cell r="E63">
            <v>0.61736111111111114</v>
          </cell>
          <cell r="F63">
            <v>0.71180555555555547</v>
          </cell>
          <cell r="G63" t="str">
            <v>0201</v>
          </cell>
          <cell r="H63">
            <v>5.85</v>
          </cell>
          <cell r="I63">
            <v>23.9</v>
          </cell>
          <cell r="J63">
            <v>43692.617361111108</v>
          </cell>
          <cell r="K63">
            <v>4.5569908662909935</v>
          </cell>
          <cell r="L63">
            <v>1.1849746766419278</v>
          </cell>
        </row>
        <row r="64">
          <cell r="A64" t="str">
            <v>26C</v>
          </cell>
          <cell r="B64">
            <v>43692</v>
          </cell>
          <cell r="C64">
            <v>0.51874999999999993</v>
          </cell>
          <cell r="D64">
            <v>43692</v>
          </cell>
          <cell r="E64">
            <v>0.72291666666666676</v>
          </cell>
          <cell r="F64">
            <v>0.84583333333333333</v>
          </cell>
          <cell r="G64" t="str">
            <v>0301-0319</v>
          </cell>
          <cell r="H64">
            <v>2.89</v>
          </cell>
          <cell r="I64">
            <v>23.9</v>
          </cell>
          <cell r="J64">
            <v>43692.722916666666</v>
          </cell>
          <cell r="K64">
            <v>26.60324624797812</v>
          </cell>
          <cell r="L64">
            <v>3.8240115033347939</v>
          </cell>
        </row>
        <row r="65">
          <cell r="A65" t="str">
            <v>26A</v>
          </cell>
          <cell r="B65">
            <v>43692</v>
          </cell>
          <cell r="C65">
            <v>0.57222222222222219</v>
          </cell>
          <cell r="D65">
            <v>43692</v>
          </cell>
          <cell r="E65">
            <v>0.86388888888888893</v>
          </cell>
          <cell r="F65">
            <v>0.9472222222222223</v>
          </cell>
          <cell r="G65" t="str">
            <v>0401-0413</v>
          </cell>
          <cell r="H65">
            <v>5.89</v>
          </cell>
          <cell r="I65">
            <v>24.1</v>
          </cell>
          <cell r="J65">
            <v>43692.863888888889</v>
          </cell>
          <cell r="K65">
            <v>4.7559110259709616</v>
          </cell>
          <cell r="L65">
            <v>1.1648240226041287</v>
          </cell>
        </row>
        <row r="66">
          <cell r="A66" t="str">
            <v>69B</v>
          </cell>
          <cell r="B66">
            <v>43693</v>
          </cell>
          <cell r="C66">
            <v>0.42222222222222222</v>
          </cell>
          <cell r="D66">
            <v>43693</v>
          </cell>
          <cell r="E66">
            <v>0.71458333333333324</v>
          </cell>
          <cell r="F66">
            <v>0.80763888888888891</v>
          </cell>
          <cell r="G66" t="str">
            <v>0501-0514</v>
          </cell>
          <cell r="H66">
            <v>5.95</v>
          </cell>
          <cell r="I66">
            <v>22.1</v>
          </cell>
          <cell r="J66">
            <v>43693.714583333334</v>
          </cell>
          <cell r="K66">
            <v>4.7815593299715289</v>
          </cell>
          <cell r="L66">
            <v>1.112160606333831</v>
          </cell>
        </row>
        <row r="67">
          <cell r="A67" t="str">
            <v>70C</v>
          </cell>
          <cell r="B67">
            <v>43693</v>
          </cell>
          <cell r="C67">
            <v>0.38541666666666669</v>
          </cell>
          <cell r="D67">
            <v>43693</v>
          </cell>
          <cell r="E67">
            <v>0.81319444444444444</v>
          </cell>
          <cell r="F67">
            <v>43694.49722222222</v>
          </cell>
          <cell r="G67" t="str">
            <v>0601-0699</v>
          </cell>
          <cell r="H67">
            <v>5.94</v>
          </cell>
          <cell r="I67">
            <v>24.2</v>
          </cell>
          <cell r="J67">
            <v>43693.813194444447</v>
          </cell>
          <cell r="K67">
            <v>132.95728127995793</v>
          </cell>
          <cell r="L67">
            <v>2.0855907610991609</v>
          </cell>
        </row>
        <row r="68">
          <cell r="A68" t="str">
            <v>69C</v>
          </cell>
          <cell r="B68">
            <v>43693</v>
          </cell>
          <cell r="C68">
            <v>0.38194444444444442</v>
          </cell>
          <cell r="D68">
            <v>43694</v>
          </cell>
          <cell r="E68">
            <v>0.51527777777777783</v>
          </cell>
          <cell r="F68">
            <v>0.61736111111111114</v>
          </cell>
          <cell r="G68" t="str">
            <v>0701-0715</v>
          </cell>
          <cell r="H68">
            <v>5.9</v>
          </cell>
          <cell r="I68">
            <v>24.3</v>
          </cell>
          <cell r="J68">
            <v>43694.515277777777</v>
          </cell>
          <cell r="K68">
            <v>5.6658182149572376</v>
          </cell>
          <cell r="L68">
            <v>1.2615517104199745</v>
          </cell>
        </row>
        <row r="69">
          <cell r="A69" t="str">
            <v>64A</v>
          </cell>
          <cell r="B69">
            <v>43696</v>
          </cell>
          <cell r="C69">
            <v>0.47916666666666669</v>
          </cell>
          <cell r="D69">
            <v>43696</v>
          </cell>
          <cell r="E69">
            <v>0.70833333333333337</v>
          </cell>
          <cell r="F69">
            <v>0.7944444444444444</v>
          </cell>
          <cell r="G69" t="str">
            <v>0801-0813</v>
          </cell>
          <cell r="H69">
            <v>5.9</v>
          </cell>
          <cell r="I69">
            <v>22.3</v>
          </cell>
          <cell r="J69">
            <v>43696.708333333336</v>
          </cell>
          <cell r="K69">
            <v>13.372197405534367</v>
          </cell>
          <cell r="L69">
            <v>1.9328673078058853</v>
          </cell>
        </row>
        <row r="70">
          <cell r="A70" t="str">
            <v>64B</v>
          </cell>
          <cell r="B70">
            <v>43696</v>
          </cell>
          <cell r="C70">
            <v>0.53819444444444442</v>
          </cell>
          <cell r="D70">
            <v>43696</v>
          </cell>
          <cell r="E70">
            <v>0.7993055555555556</v>
          </cell>
          <cell r="F70">
            <v>0.89236111111111116</v>
          </cell>
          <cell r="G70" t="str">
            <v>0901-0914</v>
          </cell>
          <cell r="H70">
            <v>6.13</v>
          </cell>
          <cell r="I70">
            <v>22.4</v>
          </cell>
          <cell r="J70">
            <v>43696.799305555556</v>
          </cell>
          <cell r="K70">
            <v>3.1909076771090565</v>
          </cell>
          <cell r="L70">
            <v>0.87930765544976852</v>
          </cell>
        </row>
        <row r="71">
          <cell r="A71" t="str">
            <v>31B</v>
          </cell>
          <cell r="B71">
            <v>43696</v>
          </cell>
          <cell r="C71">
            <v>0.52916666666666667</v>
          </cell>
          <cell r="D71">
            <v>43696</v>
          </cell>
          <cell r="E71">
            <v>0.89722222222222225</v>
          </cell>
          <cell r="F71">
            <v>0.98819444444444438</v>
          </cell>
          <cell r="G71" t="str">
            <v>1001-1014</v>
          </cell>
          <cell r="H71">
            <v>5.67</v>
          </cell>
          <cell r="I71">
            <v>22.6</v>
          </cell>
          <cell r="J71">
            <v>43696.897222222222</v>
          </cell>
          <cell r="K71">
            <v>5.5196650307056574</v>
          </cell>
          <cell r="L71">
            <v>1.263014289537318</v>
          </cell>
        </row>
        <row r="72">
          <cell r="A72" t="str">
            <v>7B</v>
          </cell>
          <cell r="B72">
            <v>43697</v>
          </cell>
          <cell r="C72">
            <v>0.3576388888888889</v>
          </cell>
          <cell r="D72">
            <v>43698</v>
          </cell>
          <cell r="E72">
            <v>0.32916666666666666</v>
          </cell>
          <cell r="F72">
            <v>0.41944444444444445</v>
          </cell>
          <cell r="G72" t="str">
            <v>1101-1113</v>
          </cell>
          <cell r="H72">
            <v>5.56</v>
          </cell>
          <cell r="I72">
            <v>24.6</v>
          </cell>
          <cell r="J72">
            <v>43698.32916666667</v>
          </cell>
          <cell r="K72">
            <v>3.2012381555222449</v>
          </cell>
          <cell r="L72">
            <v>1.0289683486975103</v>
          </cell>
        </row>
        <row r="73">
          <cell r="A73" t="str">
            <v>60A</v>
          </cell>
          <cell r="B73">
            <v>43697</v>
          </cell>
          <cell r="C73">
            <v>0.37222222222222223</v>
          </cell>
          <cell r="D73">
            <v>43698</v>
          </cell>
          <cell r="E73">
            <v>0.42499999999999999</v>
          </cell>
          <cell r="F73">
            <v>0.51874999999999993</v>
          </cell>
          <cell r="G73" t="str">
            <v>1201-1214</v>
          </cell>
          <cell r="H73">
            <v>6.28</v>
          </cell>
          <cell r="I73">
            <v>24.5</v>
          </cell>
          <cell r="J73">
            <v>43698.425000000003</v>
          </cell>
          <cell r="K73">
            <v>51.118196363295148</v>
          </cell>
          <cell r="L73">
            <v>3.6713293664015865</v>
          </cell>
        </row>
        <row r="74">
          <cell r="A74" t="str">
            <v>60B</v>
          </cell>
          <cell r="B74">
            <v>43697</v>
          </cell>
          <cell r="C74">
            <v>0.4055555555555555</v>
          </cell>
          <cell r="D74">
            <v>43698</v>
          </cell>
          <cell r="E74">
            <v>0.52916666666666667</v>
          </cell>
          <cell r="F74">
            <v>0.63263888888888886</v>
          </cell>
          <cell r="G74" t="str">
            <v>1301-1314</v>
          </cell>
          <cell r="H74">
            <v>5.9</v>
          </cell>
          <cell r="I74">
            <v>24.6</v>
          </cell>
          <cell r="J74">
            <v>43698.529166666667</v>
          </cell>
          <cell r="K74">
            <v>6.5361432132751665</v>
          </cell>
          <cell r="L74">
            <v>1.3032254571399486</v>
          </cell>
        </row>
        <row r="75">
          <cell r="A75" t="str">
            <v>44A</v>
          </cell>
          <cell r="B75">
            <v>43699</v>
          </cell>
          <cell r="C75">
            <v>0.59652777777777777</v>
          </cell>
          <cell r="D75">
            <v>43699</v>
          </cell>
          <cell r="E75">
            <v>0.66875000000000007</v>
          </cell>
          <cell r="F75">
            <v>0.76180555555555562</v>
          </cell>
          <cell r="G75" t="str">
            <v>1501-1514</v>
          </cell>
          <cell r="H75">
            <v>5.66</v>
          </cell>
          <cell r="I75">
            <v>18.8</v>
          </cell>
          <cell r="J75">
            <v>43699.668749999997</v>
          </cell>
          <cell r="K75">
            <v>2.866583502919418</v>
          </cell>
          <cell r="L75">
            <v>0.89681790773564418</v>
          </cell>
        </row>
        <row r="76">
          <cell r="A76" t="str">
            <v>58A</v>
          </cell>
          <cell r="B76">
            <v>43699</v>
          </cell>
          <cell r="C76">
            <v>0.51041666666666663</v>
          </cell>
          <cell r="D76">
            <v>43699</v>
          </cell>
          <cell r="E76">
            <v>0.76736111111111116</v>
          </cell>
          <cell r="F76">
            <v>0.87777777777777777</v>
          </cell>
          <cell r="G76" t="str">
            <v>1601-1616</v>
          </cell>
          <cell r="H76">
            <v>6.06</v>
          </cell>
          <cell r="I76">
            <v>20</v>
          </cell>
          <cell r="J76">
            <v>43699.767361111109</v>
          </cell>
          <cell r="K76">
            <v>0.87973114444880518</v>
          </cell>
          <cell r="L76">
            <v>0.43894016406536179</v>
          </cell>
        </row>
        <row r="77">
          <cell r="A77" t="str">
            <v>44B</v>
          </cell>
          <cell r="B77">
            <v>43699</v>
          </cell>
          <cell r="C77">
            <v>0.56319444444444444</v>
          </cell>
          <cell r="D77">
            <v>43699</v>
          </cell>
          <cell r="E77">
            <v>0.8881944444444444</v>
          </cell>
          <cell r="F77">
            <v>0.97916666666666663</v>
          </cell>
          <cell r="G77" t="str">
            <v>1701-1714</v>
          </cell>
          <cell r="H77">
            <v>6.15</v>
          </cell>
          <cell r="I77">
            <v>19.7</v>
          </cell>
          <cell r="J77">
            <v>43699.888194444444</v>
          </cell>
          <cell r="K77">
            <v>4.7543873535572772</v>
          </cell>
          <cell r="L77">
            <v>1.0880636363797151</v>
          </cell>
        </row>
        <row r="78">
          <cell r="A78" t="str">
            <v>57A</v>
          </cell>
          <cell r="B78">
            <v>43700</v>
          </cell>
          <cell r="C78">
            <v>0.3756944444444445</v>
          </cell>
          <cell r="D78">
            <v>43700</v>
          </cell>
          <cell r="E78">
            <v>0.73749999999999993</v>
          </cell>
          <cell r="F78">
            <v>43701.349305555559</v>
          </cell>
          <cell r="G78" t="str">
            <v>1801-1888</v>
          </cell>
          <cell r="H78">
            <v>5.73</v>
          </cell>
          <cell r="I78">
            <v>24.7</v>
          </cell>
          <cell r="J78">
            <v>43700.737500000003</v>
          </cell>
          <cell r="K78">
            <v>4.2453418683800299</v>
          </cell>
          <cell r="L78">
            <v>0.40681264228397201</v>
          </cell>
        </row>
        <row r="79">
          <cell r="A79" t="str">
            <v>59D</v>
          </cell>
          <cell r="B79">
            <v>43700</v>
          </cell>
          <cell r="C79">
            <v>0.37986111111111115</v>
          </cell>
          <cell r="D79">
            <v>43701</v>
          </cell>
          <cell r="E79">
            <v>0.35625000000000001</v>
          </cell>
          <cell r="F79">
            <v>0.44722222222222219</v>
          </cell>
          <cell r="G79" t="str">
            <v>1901-1914</v>
          </cell>
          <cell r="H79">
            <v>5.91</v>
          </cell>
          <cell r="I79">
            <v>24.6</v>
          </cell>
          <cell r="J79">
            <v>43701.356249999997</v>
          </cell>
          <cell r="K79">
            <v>6.872235937743886</v>
          </cell>
          <cell r="L79">
            <v>1.4207333818736285</v>
          </cell>
        </row>
        <row r="80">
          <cell r="A80" t="str">
            <v>74A</v>
          </cell>
          <cell r="B80">
            <v>43703</v>
          </cell>
          <cell r="C80">
            <v>0.52083333333333337</v>
          </cell>
          <cell r="D80">
            <v>43703</v>
          </cell>
          <cell r="E80">
            <v>0.70208333333333339</v>
          </cell>
          <cell r="F80">
            <v>0.79583333333333339</v>
          </cell>
          <cell r="G80" t="str">
            <v>2001-2014</v>
          </cell>
          <cell r="H80">
            <v>5.87</v>
          </cell>
          <cell r="I80">
            <v>21.6</v>
          </cell>
          <cell r="J80">
            <v>43703.70208333333</v>
          </cell>
          <cell r="K80">
            <v>2.9764982938434681</v>
          </cell>
          <cell r="L80">
            <v>0.88573934383647446</v>
          </cell>
        </row>
        <row r="81">
          <cell r="A81" t="str">
            <v>74B</v>
          </cell>
          <cell r="B81">
            <v>43703</v>
          </cell>
          <cell r="C81">
            <v>0.5708333333333333</v>
          </cell>
          <cell r="D81">
            <v>43703</v>
          </cell>
          <cell r="E81">
            <v>0.88124999999999998</v>
          </cell>
          <cell r="F81">
            <v>0.97222222222222221</v>
          </cell>
          <cell r="G81" t="str">
            <v>2101-2113</v>
          </cell>
          <cell r="H81">
            <v>5.65</v>
          </cell>
          <cell r="I81">
            <v>20.3</v>
          </cell>
          <cell r="J81">
            <v>43703.881249999999</v>
          </cell>
          <cell r="K81">
            <v>3.3973690668241403</v>
          </cell>
          <cell r="L81">
            <v>0.99905429343410612</v>
          </cell>
        </row>
        <row r="82">
          <cell r="A82" t="str">
            <v>74C</v>
          </cell>
          <cell r="B82">
            <v>43703</v>
          </cell>
          <cell r="C82">
            <v>0.55138888888888882</v>
          </cell>
          <cell r="D82">
            <v>43704</v>
          </cell>
          <cell r="E82">
            <v>0.57916666666666672</v>
          </cell>
          <cell r="F82">
            <v>43705.338888888888</v>
          </cell>
          <cell r="G82" t="str">
            <v>2201-2311</v>
          </cell>
          <cell r="H82">
            <v>5.86</v>
          </cell>
          <cell r="I82">
            <v>24.5</v>
          </cell>
          <cell r="J82">
            <v>43704.57916666667</v>
          </cell>
          <cell r="K82">
            <v>3.3046156441680852</v>
          </cell>
          <cell r="L82">
            <v>0.33307889898974602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bble Rates"/>
      <sheetName val="Bubble Gases Mol"/>
      <sheetName val="Summary"/>
      <sheetName val="Bubble Gases"/>
    </sheetNames>
    <sheetDataSet>
      <sheetData sheetId="0"/>
      <sheetData sheetId="1">
        <row r="2">
          <cell r="L2">
            <v>7.7239677856445602E-2</v>
          </cell>
          <cell r="O2">
            <v>0.1700800138161522</v>
          </cell>
          <cell r="R2">
            <v>4.616935921347062E-3</v>
          </cell>
        </row>
        <row r="3">
          <cell r="L3">
            <v>7.7967324730490867E-2</v>
          </cell>
          <cell r="O3">
            <v>0.13372550139576553</v>
          </cell>
          <cell r="R3">
            <v>4.3328981957251453E-3</v>
          </cell>
        </row>
        <row r="4">
          <cell r="L4">
            <v>0.28879046161643163</v>
          </cell>
          <cell r="O4">
            <v>2.9376894800728062</v>
          </cell>
          <cell r="R4">
            <v>2.1511646920481706E-3</v>
          </cell>
        </row>
        <row r="5">
          <cell r="L5">
            <v>0.14488339998797484</v>
          </cell>
          <cell r="O5">
            <v>3.3258572986625592</v>
          </cell>
          <cell r="R5">
            <v>3.3608070018680131E-3</v>
          </cell>
        </row>
        <row r="6">
          <cell r="L6">
            <v>6.5336855236953573E-4</v>
          </cell>
          <cell r="O6">
            <v>3.1882857480030089E-4</v>
          </cell>
          <cell r="R6">
            <v>2.5460697809454925E-4</v>
          </cell>
        </row>
        <row r="7">
          <cell r="L7">
            <v>8.1248567720352096E-4</v>
          </cell>
          <cell r="O7">
            <v>3.6095275069712013E-4</v>
          </cell>
          <cell r="R7">
            <v>2.3578936521106387E-4</v>
          </cell>
        </row>
        <row r="8">
          <cell r="L8">
            <v>2.8165624474136387E-2</v>
          </cell>
          <cell r="O8">
            <v>4.3258659591336728E-2</v>
          </cell>
          <cell r="R8">
            <v>2.4164455671901149E-3</v>
          </cell>
        </row>
        <row r="9">
          <cell r="L9">
            <v>6.7979461890221804E-2</v>
          </cell>
          <cell r="O9">
            <v>5.8233619961324055E-2</v>
          </cell>
          <cell r="R9">
            <v>2.2868229807204827E-3</v>
          </cell>
        </row>
        <row r="10">
          <cell r="L10">
            <v>9.415906185342977E-3</v>
          </cell>
          <cell r="O10">
            <v>9.3351413706456755E-3</v>
          </cell>
          <cell r="R10">
            <v>4.7054993723971001E-4</v>
          </cell>
        </row>
        <row r="11">
          <cell r="L11">
            <v>1.0056107284843232E-2</v>
          </cell>
          <cell r="O11">
            <v>1.6734027465574713E-2</v>
          </cell>
          <cell r="R11">
            <v>4.3319180649670414E-4</v>
          </cell>
        </row>
        <row r="12">
          <cell r="L12">
            <v>0.11287978972084317</v>
          </cell>
          <cell r="O12">
            <v>1.0913639577904712</v>
          </cell>
          <cell r="R12">
            <v>3.4394688182004616E-3</v>
          </cell>
        </row>
        <row r="13">
          <cell r="L13">
            <v>4.3265029246626195E-2</v>
          </cell>
          <cell r="O13">
            <v>0.72241806821794086</v>
          </cell>
          <cell r="R13">
            <v>3.8506851666238046E-3</v>
          </cell>
        </row>
        <row r="14">
          <cell r="L14">
            <v>4.871437005907478E-2</v>
          </cell>
          <cell r="O14">
            <v>4.5690020227479167</v>
          </cell>
          <cell r="R14">
            <v>1.2638212990285121E-3</v>
          </cell>
        </row>
        <row r="15">
          <cell r="L15">
            <v>0.19811440539322489</v>
          </cell>
          <cell r="O15">
            <v>4.741600386532026</v>
          </cell>
          <cell r="R15">
            <v>7.8652669913901682E-4</v>
          </cell>
        </row>
        <row r="18">
          <cell r="L18">
            <v>5.668677353145165E-4</v>
          </cell>
          <cell r="O18">
            <v>1.1944250456318855E-3</v>
          </cell>
          <cell r="R18">
            <v>2.0107443063999928E-4</v>
          </cell>
        </row>
        <row r="19">
          <cell r="L19">
            <v>1.1327949284297577E-3</v>
          </cell>
          <cell r="O19">
            <v>1.3700740332854555E-3</v>
          </cell>
          <cell r="R19">
            <v>1.7632787897791497E-4</v>
          </cell>
        </row>
        <row r="20">
          <cell r="L20">
            <v>0.14759799846155164</v>
          </cell>
          <cell r="O20">
            <v>1.480288997177088E-2</v>
          </cell>
          <cell r="R20">
            <v>2.0055571943142386E-3</v>
          </cell>
        </row>
        <row r="21">
          <cell r="L21">
            <v>9.9972223319244699E-2</v>
          </cell>
          <cell r="O21">
            <v>1.4886846456634297E-2</v>
          </cell>
          <cell r="R21">
            <v>1.9269871835574694E-3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41"/>
  <sheetViews>
    <sheetView tabSelected="1" workbookViewId="0">
      <pane xSplit="1" topLeftCell="CV1" activePane="topRight" state="frozen"/>
      <selection pane="topRight" activeCell="DB35" sqref="DB35"/>
    </sheetView>
  </sheetViews>
  <sheetFormatPr defaultColWidth="8.7109375" defaultRowHeight="15" x14ac:dyDescent="0.25"/>
  <cols>
    <col min="1" max="2" width="8.7109375" style="7"/>
    <col min="3" max="3" width="11.28515625" bestFit="1" customWidth="1"/>
    <col min="4" max="5" width="9.140625" customWidth="1"/>
    <col min="6" max="6" width="9.7109375" bestFit="1" customWidth="1"/>
    <col min="7" max="7" width="5.7109375" bestFit="1" customWidth="1"/>
    <col min="8" max="8" width="10" bestFit="1" customWidth="1"/>
    <col min="9" max="9" width="11" bestFit="1" customWidth="1"/>
    <col min="10" max="10" width="8.42578125" bestFit="1" customWidth="1"/>
    <col min="11" max="12" width="8.7109375" bestFit="1" customWidth="1"/>
    <col min="13" max="13" width="9.42578125" bestFit="1" customWidth="1"/>
    <col min="14" max="14" width="8.140625" bestFit="1" customWidth="1"/>
    <col min="15" max="15" width="8" style="25" bestFit="1" customWidth="1"/>
    <col min="16" max="16" width="8.42578125" bestFit="1" customWidth="1"/>
    <col min="17" max="18" width="8.7109375" bestFit="1" customWidth="1"/>
    <col min="19" max="19" width="8.42578125" bestFit="1" customWidth="1"/>
    <col min="20" max="26" width="8.140625" bestFit="1" customWidth="1"/>
    <col min="27" max="28" width="8.7109375" bestFit="1" customWidth="1"/>
    <col min="29" max="31" width="8.42578125" bestFit="1" customWidth="1"/>
    <col min="32" max="32" width="12" bestFit="1" customWidth="1"/>
    <col min="33" max="33" width="7.7109375" bestFit="1" customWidth="1"/>
    <col min="34" max="34" width="9" bestFit="1" customWidth="1"/>
    <col min="35" max="35" width="8" bestFit="1" customWidth="1"/>
    <col min="36" max="36" width="8.7109375" bestFit="1" customWidth="1"/>
    <col min="37" max="37" width="5.28515625" bestFit="1" customWidth="1"/>
    <col min="38" max="38" width="113.85546875" bestFit="1" customWidth="1"/>
    <col min="39" max="39" width="8.140625" bestFit="1" customWidth="1"/>
    <col min="40" max="40" width="8.42578125" bestFit="1" customWidth="1"/>
    <col min="41" max="41" width="4.85546875" bestFit="1" customWidth="1"/>
    <col min="42" max="42" width="7.85546875" customWidth="1"/>
    <col min="43" max="44" width="12.7109375" bestFit="1" customWidth="1"/>
    <col min="45" max="45" width="12" bestFit="1" customWidth="1"/>
    <col min="46" max="46" width="8" bestFit="1" customWidth="1"/>
    <col min="47" max="47" width="8.140625" bestFit="1" customWidth="1"/>
    <col min="48" max="48" width="8.42578125" bestFit="1" customWidth="1"/>
    <col min="49" max="49" width="8.42578125" customWidth="1"/>
    <col min="50" max="51" width="9.42578125" bestFit="1" customWidth="1"/>
    <col min="52" max="52" width="8.7109375" bestFit="1" customWidth="1"/>
    <col min="53" max="53" width="7.85546875" bestFit="1" customWidth="1"/>
    <col min="54" max="54" width="5.7109375" bestFit="1" customWidth="1"/>
    <col min="55" max="55" width="8.140625" bestFit="1" customWidth="1"/>
    <col min="56" max="56" width="8.28515625" bestFit="1" customWidth="1"/>
    <col min="57" max="57" width="8" bestFit="1" customWidth="1"/>
    <col min="58" max="59" width="12" bestFit="1" customWidth="1"/>
    <col min="60" max="60" width="6" bestFit="1" customWidth="1"/>
    <col min="61" max="61" width="7.85546875" bestFit="1" customWidth="1"/>
    <col min="62" max="62" width="12" bestFit="1" customWidth="1"/>
    <col min="63" max="63" width="8" bestFit="1" customWidth="1"/>
    <col min="64" max="65" width="12" bestFit="1" customWidth="1"/>
    <col min="66" max="66" width="9.85546875" hidden="1" customWidth="1"/>
    <col min="67" max="67" width="9.42578125" hidden="1" customWidth="1"/>
    <col min="68" max="68" width="10" hidden="1" customWidth="1"/>
    <col min="69" max="69" width="9.7109375" hidden="1" customWidth="1"/>
    <col min="70" max="70" width="14.28515625" hidden="1" customWidth="1"/>
    <col min="71" max="71" width="14" hidden="1" customWidth="1"/>
    <col min="72" max="72" width="14.140625" hidden="1" customWidth="1"/>
    <col min="73" max="73" width="8.85546875" hidden="1" customWidth="1"/>
    <col min="74" max="74" width="8.42578125" hidden="1" customWidth="1"/>
    <col min="75" max="75" width="9" hidden="1" customWidth="1"/>
    <col min="76" max="76" width="8.7109375" hidden="1" customWidth="1"/>
    <col min="77" max="77" width="13.28515625" hidden="1" customWidth="1"/>
    <col min="78" max="78" width="12.85546875" hidden="1" customWidth="1"/>
    <col min="79" max="79" width="4.42578125" hidden="1" customWidth="1"/>
    <col min="80" max="80" width="5.42578125" hidden="1" customWidth="1"/>
    <col min="81" max="81" width="4.42578125" hidden="1" customWidth="1"/>
    <col min="82" max="82" width="7.7109375" hidden="1" customWidth="1"/>
    <col min="83" max="83" width="12.85546875" hidden="1" customWidth="1"/>
    <col min="84" max="84" width="15.7109375" hidden="1" customWidth="1"/>
    <col min="85" max="85" width="8.28515625" hidden="1" customWidth="1"/>
    <col min="86" max="86" width="7.140625" hidden="1" customWidth="1"/>
    <col min="87" max="87" width="8.140625" hidden="1" customWidth="1"/>
    <col min="88" max="88" width="8.28515625" hidden="1" customWidth="1"/>
    <col min="89" max="90" width="7.85546875" hidden="1" customWidth="1"/>
    <col min="92" max="92" width="8.7109375" style="27"/>
    <col min="96" max="98" width="12" bestFit="1" customWidth="1"/>
    <col min="99" max="100" width="12.42578125" bestFit="1" customWidth="1"/>
  </cols>
  <sheetData>
    <row r="1" spans="1:103" s="1" customFormat="1" ht="45" x14ac:dyDescent="0.25">
      <c r="A1" s="8" t="s">
        <v>0</v>
      </c>
      <c r="B1" s="8" t="s">
        <v>167</v>
      </c>
      <c r="C1" s="1" t="s">
        <v>1</v>
      </c>
      <c r="D1" s="1" t="s">
        <v>477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2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2" t="s">
        <v>29</v>
      </c>
      <c r="AG1" s="1" t="s">
        <v>30</v>
      </c>
      <c r="AH1" s="1" t="s">
        <v>422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2" t="s">
        <v>36</v>
      </c>
      <c r="AO1" s="2" t="s">
        <v>37</v>
      </c>
      <c r="AP1" s="2" t="s">
        <v>183</v>
      </c>
      <c r="AQ1" s="1" t="s">
        <v>79</v>
      </c>
      <c r="AR1" s="1" t="s">
        <v>80</v>
      </c>
      <c r="AS1" s="1" t="s">
        <v>81</v>
      </c>
      <c r="AT1" s="5" t="s">
        <v>461</v>
      </c>
      <c r="AU1" s="6" t="s">
        <v>462</v>
      </c>
      <c r="AV1" s="5" t="s">
        <v>38</v>
      </c>
      <c r="AW1" s="5" t="s">
        <v>464</v>
      </c>
      <c r="AX1" t="s">
        <v>463</v>
      </c>
      <c r="AY1" t="s">
        <v>39</v>
      </c>
      <c r="AZ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53</v>
      </c>
      <c r="BN1" s="3" t="s">
        <v>54</v>
      </c>
      <c r="BO1" s="3" t="s">
        <v>55</v>
      </c>
      <c r="BP1" s="4" t="s">
        <v>56</v>
      </c>
      <c r="BQ1" s="3" t="s">
        <v>57</v>
      </c>
      <c r="BR1" s="4" t="s">
        <v>58</v>
      </c>
      <c r="BS1" s="4" t="s">
        <v>59</v>
      </c>
      <c r="BT1" s="3" t="s">
        <v>60</v>
      </c>
      <c r="BU1" s="3" t="s">
        <v>61</v>
      </c>
      <c r="BV1" s="3" t="s">
        <v>62</v>
      </c>
      <c r="BW1" s="4" t="s">
        <v>63</v>
      </c>
      <c r="BX1" s="3" t="s">
        <v>64</v>
      </c>
      <c r="BY1" s="4" t="s">
        <v>65</v>
      </c>
      <c r="BZ1" s="4" t="s">
        <v>66</v>
      </c>
      <c r="CA1" s="4" t="s">
        <v>67</v>
      </c>
      <c r="CB1" s="4" t="s">
        <v>68</v>
      </c>
      <c r="CC1" s="4" t="s">
        <v>69</v>
      </c>
      <c r="CD1" s="4" t="s">
        <v>70</v>
      </c>
      <c r="CE1" s="4" t="s">
        <v>71</v>
      </c>
      <c r="CF1" s="4" t="s">
        <v>72</v>
      </c>
      <c r="CG1" s="1" t="s">
        <v>73</v>
      </c>
      <c r="CH1" s="1" t="s">
        <v>74</v>
      </c>
      <c r="CI1" s="1" t="s">
        <v>75</v>
      </c>
      <c r="CJ1" t="s">
        <v>76</v>
      </c>
      <c r="CK1" s="1" t="s">
        <v>77</v>
      </c>
      <c r="CL1" s="1" t="s">
        <v>78</v>
      </c>
      <c r="CM1" s="1" t="s">
        <v>184</v>
      </c>
      <c r="CN1" s="26" t="s">
        <v>185</v>
      </c>
      <c r="CO1" s="1" t="s">
        <v>423</v>
      </c>
      <c r="CP1" s="1" t="s">
        <v>424</v>
      </c>
      <c r="CQ1" s="1" t="s">
        <v>425</v>
      </c>
      <c r="CR1" s="1" t="s">
        <v>465</v>
      </c>
      <c r="CS1" s="1" t="s">
        <v>466</v>
      </c>
      <c r="CT1" s="1" t="s">
        <v>474</v>
      </c>
      <c r="CU1" s="1" t="s">
        <v>475</v>
      </c>
      <c r="CV1" s="1" t="s">
        <v>476</v>
      </c>
      <c r="CW1" s="1" t="s">
        <v>482</v>
      </c>
      <c r="CX1" s="1" t="s">
        <v>483</v>
      </c>
      <c r="CY1" s="1" t="s">
        <v>486</v>
      </c>
    </row>
    <row r="2" spans="1:103" x14ac:dyDescent="0.25">
      <c r="A2" s="7" t="s">
        <v>125</v>
      </c>
      <c r="B2" s="7">
        <v>76</v>
      </c>
      <c r="C2" s="15" t="str">
        <f t="shared" ref="C2:C41" si="0">A2&amp;F2</f>
        <v>D7643651</v>
      </c>
      <c r="D2" s="15" t="s">
        <v>421</v>
      </c>
      <c r="E2" t="s">
        <v>114</v>
      </c>
      <c r="F2" s="9">
        <v>43651</v>
      </c>
      <c r="G2" s="10">
        <v>0.45763888888888887</v>
      </c>
      <c r="H2">
        <v>51.942889999999998</v>
      </c>
      <c r="I2">
        <v>-104.95506</v>
      </c>
      <c r="J2">
        <v>17.8</v>
      </c>
      <c r="K2">
        <v>30</v>
      </c>
      <c r="L2">
        <v>8.6999999999999993</v>
      </c>
      <c r="M2" t="s">
        <v>84</v>
      </c>
      <c r="N2">
        <v>0.32</v>
      </c>
      <c r="O2" s="25">
        <v>3.7</v>
      </c>
      <c r="Q2">
        <v>94.2</v>
      </c>
      <c r="R2" s="15">
        <v>0</v>
      </c>
      <c r="S2" s="15">
        <v>0</v>
      </c>
      <c r="T2" s="15">
        <v>20.7</v>
      </c>
      <c r="U2">
        <v>161.6</v>
      </c>
      <c r="V2">
        <v>13.93</v>
      </c>
      <c r="W2">
        <v>288</v>
      </c>
      <c r="X2">
        <v>0.15</v>
      </c>
      <c r="Y2">
        <v>10.5</v>
      </c>
      <c r="Z2">
        <v>12.9</v>
      </c>
      <c r="AA2">
        <v>1.4</v>
      </c>
      <c r="AB2">
        <v>0.15</v>
      </c>
      <c r="AC2">
        <v>298.5</v>
      </c>
      <c r="AD2">
        <v>0.19</v>
      </c>
      <c r="AE2">
        <v>7.4</v>
      </c>
      <c r="AF2" s="15">
        <f t="shared" ref="AF2:AF41" si="1">IF(W2&gt;717.5,(-0.000000000005886729*W2^3)+(0.000001573823009374*W2^2)+( 0.564100864596031*W2)-32.0598990943585, (- 0.00000003351240016*W2^3)+(0.000049948901244919*W2^2)+( 0.500944688449521*W2)-0.00823364899058809)</f>
        <v>147.60625836389517</v>
      </c>
      <c r="AG2" s="15">
        <v>720.4</v>
      </c>
      <c r="AH2">
        <f>W2*0.5891</f>
        <v>169.66079999999999</v>
      </c>
      <c r="AI2">
        <v>20.7</v>
      </c>
      <c r="AJ2">
        <v>19.600000000000001</v>
      </c>
      <c r="AK2">
        <v>1</v>
      </c>
      <c r="AM2" t="s">
        <v>166</v>
      </c>
      <c r="AN2">
        <v>344.50777366666676</v>
      </c>
      <c r="AO2">
        <v>348.1061288333334</v>
      </c>
      <c r="AP2">
        <f t="shared" ref="AP2:AP41" si="2">LOG10(AO2)</f>
        <v>2.5417116696361002</v>
      </c>
      <c r="AQ2">
        <f>VLOOKUP(A2, [1]buoyancy_max!$1:$1048576, 4, FALSE)</f>
        <v>7.2509180000000003E-3</v>
      </c>
      <c r="AR2">
        <f>VLOOKUP(A2, [2]buoyancy_min!$1:$1048576, 4, FALSE)</f>
        <v>1.9487899999999999E-3</v>
      </c>
      <c r="AS2">
        <f>VLOOKUP(A2,[3]Sheet1!$1:$1048576, 11, FALSE)</f>
        <v>0.61801674787649385</v>
      </c>
      <c r="AT2">
        <f>VLOOKUP($C2, Triplex!$1:$1048576, 6, FALSE)</f>
        <v>150</v>
      </c>
      <c r="AU2">
        <f>VLOOKUP($C2, Triplex!$1:$1048576, 8, FALSE)</f>
        <v>10</v>
      </c>
      <c r="AV2">
        <f>VLOOKUP($C2, Triplex!$1:$1048576, 9, FALSE)</f>
        <v>4.53</v>
      </c>
      <c r="AW2">
        <f>AT2+AV2</f>
        <v>154.53</v>
      </c>
      <c r="AX2">
        <f>VLOOKUP($C2, TP!$1:$1048576, 6, FALSE)</f>
        <v>30</v>
      </c>
      <c r="AY2">
        <f>VLOOKUP($C2, TN!$1:$1048576,5, FALSE)</f>
        <v>1000</v>
      </c>
      <c r="AZ2">
        <f>AY2/AU2</f>
        <v>100</v>
      </c>
      <c r="BA2">
        <f>VLOOKUP($C2, TICTOC!$1:$1048576, 5, FALSE)</f>
        <v>14.497999999999999</v>
      </c>
      <c r="BB2">
        <f t="shared" ref="BB2:BB41" si="3">(BA2/12.01)*1000</f>
        <v>1207.1606994171525</v>
      </c>
      <c r="BC2">
        <f>VLOOKUP($C2, TICTOC!$1:$1048576, 6, FALSE)</f>
        <v>14.531000000000001</v>
      </c>
      <c r="BD2">
        <f t="shared" ref="BD2:BD41" si="4">(BC2/12.01)*1000</f>
        <v>1209.908409658618</v>
      </c>
      <c r="BE2">
        <f>VLOOKUP(A2, GHG!$1:$1048576, 4, FALSE)</f>
        <v>133.61873499999999</v>
      </c>
      <c r="BF2">
        <f>VLOOKUP(A2, GHG!$1:$1048576, 6, FALSE)</f>
        <v>4.8488612570000003</v>
      </c>
      <c r="BG2">
        <f>VLOOKUP(A2, GHG!$1:$1048576, 7, FALSE)</f>
        <v>2.8461841859999999</v>
      </c>
      <c r="BH2">
        <f>VLOOKUP(A2, GHG!$1:$1048576, 8, FALSE)</f>
        <v>536.49914620000004</v>
      </c>
      <c r="BI2">
        <f>VLOOKUP(A2, GHG!$1:$1048576, 10, FALSE)</f>
        <v>0.77502884299999997</v>
      </c>
      <c r="BJ2">
        <f>VLOOKUP(A2, GHG!$1:$1048576, 11, FALSE)</f>
        <v>0.22459426699999999</v>
      </c>
      <c r="BK2">
        <f>VLOOKUP(A2, GHG!$1:$1048576, 12, FALSE)</f>
        <v>0.293619401</v>
      </c>
      <c r="BL2">
        <f>VLOOKUP(Master!A19, GHG!$1:$1048576, 14, FALSE)</f>
        <v>7.5758871670000003</v>
      </c>
      <c r="BM2">
        <f>VLOOKUP(A2, GHG!$1:$1048576, 15, FALSE)</f>
        <v>0.136037567</v>
      </c>
      <c r="CM2">
        <v>550</v>
      </c>
      <c r="CN2" s="27">
        <v>1721</v>
      </c>
      <c r="CO2">
        <f>VLOOKUP($A2, Flux!$1:$1048576, 2, FALSE)</f>
        <v>-24.623932539999998</v>
      </c>
      <c r="CP2">
        <f>VLOOKUP($A2, Flux!$1:$1048576, 10, FALSE)</f>
        <v>1.8405952699999999</v>
      </c>
      <c r="CQ2">
        <f>VLOOKUP($A2, Flux!$1:$1048576, 18, FALSE)</f>
        <v>-2.4628998229999999</v>
      </c>
      <c r="CR2">
        <f>50*O2*1.77245385091*(SQRT(CN2)^-1)</f>
        <v>7.9041692221376119</v>
      </c>
      <c r="CS2">
        <f>(BC2*1000)/AV2</f>
        <v>3207.7262693156731</v>
      </c>
      <c r="CT2">
        <f>VLOOKUP($C2, SO4_ALK_CL!$1:$1048576, 5, FALSE)</f>
        <v>95.449996948242188</v>
      </c>
      <c r="CU2">
        <f>VLOOKUP($C2, SO4_ALK_CL!$1:$1048576, 7, FALSE)</f>
        <v>256.71148681640625</v>
      </c>
      <c r="CV2">
        <f>VLOOKUP($C2, SO4_ALK_CL!$1:$1048576, 6, FALSE)</f>
        <v>14.890000343322754</v>
      </c>
    </row>
    <row r="3" spans="1:103" x14ac:dyDescent="0.25">
      <c r="A3" s="7" t="s">
        <v>140</v>
      </c>
      <c r="B3" s="7">
        <v>65</v>
      </c>
      <c r="C3" s="15" t="str">
        <f t="shared" si="0"/>
        <v>D6543658</v>
      </c>
      <c r="D3" s="15" t="s">
        <v>421</v>
      </c>
      <c r="E3" t="s">
        <v>114</v>
      </c>
      <c r="F3" s="9">
        <v>43658</v>
      </c>
      <c r="G3" s="10">
        <v>0.40833333333333338</v>
      </c>
      <c r="H3">
        <v>52.551699999999997</v>
      </c>
      <c r="I3">
        <v>-103.89577</v>
      </c>
      <c r="J3">
        <v>18.100000000000001</v>
      </c>
      <c r="K3">
        <v>20</v>
      </c>
      <c r="L3">
        <v>4.3</v>
      </c>
      <c r="M3" t="s">
        <v>84</v>
      </c>
      <c r="N3">
        <v>3.28</v>
      </c>
      <c r="O3" s="25">
        <v>4.0999999999999996</v>
      </c>
      <c r="Q3">
        <v>93</v>
      </c>
      <c r="R3" s="15">
        <v>0</v>
      </c>
      <c r="S3" s="15">
        <v>0</v>
      </c>
      <c r="T3" s="15">
        <v>22</v>
      </c>
      <c r="U3">
        <v>79.099999999999994</v>
      </c>
      <c r="V3">
        <v>6.9</v>
      </c>
      <c r="W3">
        <v>304.5</v>
      </c>
      <c r="X3">
        <v>0.15</v>
      </c>
      <c r="Y3">
        <v>8.15</v>
      </c>
      <c r="AF3" s="15">
        <f t="shared" si="1"/>
        <v>156.21453240671795</v>
      </c>
      <c r="AG3" s="15">
        <v>713.4</v>
      </c>
      <c r="AH3">
        <f t="shared" ref="AH3:AH41" si="5">W3*0.5891</f>
        <v>179.38094999999998</v>
      </c>
      <c r="AI3">
        <v>15.6</v>
      </c>
      <c r="AJ3">
        <v>16.2</v>
      </c>
      <c r="AK3">
        <v>0</v>
      </c>
      <c r="AL3" t="s">
        <v>141</v>
      </c>
      <c r="AM3" t="s">
        <v>166</v>
      </c>
      <c r="AN3">
        <v>2.1250248842105264</v>
      </c>
      <c r="AO3">
        <v>1.5788015105263158</v>
      </c>
      <c r="AP3">
        <f t="shared" si="2"/>
        <v>0.19832753323711461</v>
      </c>
      <c r="AQ3">
        <f>VLOOKUP(A3, [1]buoyancy_max!$1:$1048576, 4, FALSE)</f>
        <v>9.42167E-3</v>
      </c>
      <c r="AR3">
        <f>VLOOKUP(A3, [2]buoyancy_min!$1:$1048576, 4, FALSE)</f>
        <v>0</v>
      </c>
      <c r="AS3" t="e">
        <f>VLOOKUP(A3,[3]Sheet1!$1:$1048576, 11, FALSE)</f>
        <v>#N/A</v>
      </c>
      <c r="AT3">
        <f>VLOOKUP(C3, Triplex!$1:$1048576, 6, FALSE)</f>
        <v>1.7799999999999998</v>
      </c>
      <c r="AU3">
        <f>VLOOKUP($C3, Triplex!$1:$1048576, 8, FALSE)</f>
        <v>5.8900000000000006</v>
      </c>
      <c r="AV3">
        <f>VLOOKUP($C3, Triplex!$1:$1048576, 9, FALSE)</f>
        <v>503.97</v>
      </c>
      <c r="AW3">
        <f t="shared" ref="AW3:AW41" si="6">AT3+AV3</f>
        <v>505.75</v>
      </c>
      <c r="AX3">
        <f>VLOOKUP($C3, TP!$1:$1048576, 6, FALSE)</f>
        <v>10</v>
      </c>
      <c r="AY3">
        <f>VLOOKUP($C3, TN!$1:$1048576,5, FALSE)</f>
        <v>1320</v>
      </c>
      <c r="AZ3">
        <f t="shared" ref="AZ3:AZ41" si="7">AY3/AU3</f>
        <v>224.10865874363324</v>
      </c>
      <c r="BA3">
        <f>VLOOKUP($C3, TICTOC!$1:$1048576, 5, FALSE)</f>
        <v>36.426000000000002</v>
      </c>
      <c r="BB3">
        <f t="shared" si="3"/>
        <v>3032.9725228975858</v>
      </c>
      <c r="BC3">
        <f>VLOOKUP($C3, TICTOC!$1:$1048576, 6, FALSE)</f>
        <v>14.631</v>
      </c>
      <c r="BD3">
        <f t="shared" si="4"/>
        <v>1218.2348043297252</v>
      </c>
      <c r="BE3">
        <f>VLOOKUP(A3, GHG!$1:$1048576, 4, FALSE)</f>
        <v>1085.780624</v>
      </c>
      <c r="BF3">
        <f>VLOOKUP(A3, GHG!$1:$1048576, 6, FALSE)</f>
        <v>37.592379979999997</v>
      </c>
      <c r="BG3">
        <f>VLOOKUP(A3, GHG!$1:$1048576, 7, FALSE)</f>
        <v>0.31890711500000002</v>
      </c>
      <c r="BH3">
        <f>VLOOKUP(A3, GHG!$1:$1048576, 8, FALSE)</f>
        <v>1326.203677</v>
      </c>
      <c r="BI3">
        <f>VLOOKUP(A3, GHG!$1:$1048576, 10, FALSE)</f>
        <v>1.849523282</v>
      </c>
      <c r="BJ3">
        <f>VLOOKUP(A3, GHG!$1:$1048576, 11, FALSE)</f>
        <v>1.7476420999999999E-2</v>
      </c>
      <c r="BK3">
        <f>VLOOKUP(A3, GHG!$1:$1048576, 12, FALSE)</f>
        <v>0.51807945899999996</v>
      </c>
      <c r="BL3">
        <f>VLOOKUP(Master!A17, GHG!$1:$1048576, 14, FALSE)</f>
        <v>7.909646253</v>
      </c>
      <c r="BM3">
        <f>VLOOKUP(A3, GHG!$1:$1048576, 15, FALSE)</f>
        <v>6.5104352000000004E-2</v>
      </c>
      <c r="CM3">
        <v>542</v>
      </c>
      <c r="CN3" s="27">
        <v>824</v>
      </c>
      <c r="CO3">
        <f>VLOOKUP($A3, Flux!$1:$1048576, 2, FALSE)</f>
        <v>59.057063200000002</v>
      </c>
      <c r="CP3">
        <f>VLOOKUP($A3, Flux!$1:$1048576, 10, FALSE)</f>
        <v>4.590899093</v>
      </c>
      <c r="CQ3">
        <f>VLOOKUP($A3, Flux!$1:$1048576, 18, FALSE)</f>
        <v>11.616245859999999</v>
      </c>
      <c r="CR3">
        <f t="shared" ref="CR3:CR41" si="8">50*O3*1.77245385091*(SQRT(CN3)^-1)</f>
        <v>12.658002920932425</v>
      </c>
      <c r="CS3">
        <f t="shared" ref="CS3:CS41" si="9">(BC3*1000)/AV3</f>
        <v>29.031489969641047</v>
      </c>
      <c r="CT3">
        <f>VLOOKUP($C3, SO4_ALK_CL!$1:$1048576, 5, FALSE)</f>
        <v>138.3699951171875</v>
      </c>
      <c r="CU3">
        <f>VLOOKUP($C3, SO4_ALK_CL!$1:$1048576, 7, FALSE)</f>
        <v>3.5552999973297119</v>
      </c>
      <c r="CV3">
        <f>VLOOKUP($C3, SO4_ALK_CL!$1:$1048576, 6, FALSE)</f>
        <v>6.9600000381469727</v>
      </c>
    </row>
    <row r="4" spans="1:103" x14ac:dyDescent="0.25">
      <c r="A4" s="7" t="s">
        <v>143</v>
      </c>
      <c r="B4" s="7" t="s">
        <v>180</v>
      </c>
      <c r="C4" s="15" t="str">
        <f t="shared" si="0"/>
        <v>D8E43657</v>
      </c>
      <c r="D4" s="15" t="s">
        <v>421</v>
      </c>
      <c r="E4" t="s">
        <v>114</v>
      </c>
      <c r="F4" s="9">
        <v>43657</v>
      </c>
      <c r="G4" s="10">
        <v>0.62708333333333333</v>
      </c>
      <c r="H4">
        <v>52.633299999999998</v>
      </c>
      <c r="I4">
        <v>-104.66039000000001</v>
      </c>
      <c r="J4">
        <v>23.1</v>
      </c>
      <c r="K4">
        <v>15</v>
      </c>
      <c r="L4">
        <v>1.1000000000000001</v>
      </c>
      <c r="M4" t="s">
        <v>84</v>
      </c>
      <c r="N4">
        <v>0.22</v>
      </c>
      <c r="O4" s="25">
        <v>0.91</v>
      </c>
      <c r="Q4">
        <v>93</v>
      </c>
      <c r="R4" s="15">
        <v>0</v>
      </c>
      <c r="S4" s="15">
        <v>0</v>
      </c>
      <c r="T4" s="15">
        <v>25.4</v>
      </c>
      <c r="U4">
        <v>153.80000000000001</v>
      </c>
      <c r="V4">
        <v>12.87</v>
      </c>
      <c r="W4">
        <v>631</v>
      </c>
      <c r="X4">
        <v>0.31</v>
      </c>
      <c r="Y4">
        <v>9.14</v>
      </c>
      <c r="Z4">
        <v>18.399999999999999</v>
      </c>
      <c r="AA4">
        <v>2</v>
      </c>
      <c r="AB4">
        <v>0.19</v>
      </c>
      <c r="AC4">
        <v>634</v>
      </c>
      <c r="AD4">
        <v>0.36</v>
      </c>
      <c r="AE4">
        <v>7.05</v>
      </c>
      <c r="AF4" s="15">
        <f t="shared" si="1"/>
        <v>327.55592752160862</v>
      </c>
      <c r="AG4" s="15">
        <v>710.7</v>
      </c>
      <c r="AH4">
        <f t="shared" si="5"/>
        <v>371.72209999999995</v>
      </c>
      <c r="AI4">
        <v>25.4</v>
      </c>
      <c r="AJ4">
        <v>20.100000000000001</v>
      </c>
      <c r="AK4">
        <v>2</v>
      </c>
      <c r="AM4" t="s">
        <v>166</v>
      </c>
      <c r="AN4">
        <v>114.50149500000001</v>
      </c>
      <c r="AO4">
        <v>94.387055000000004</v>
      </c>
      <c r="AP4">
        <f t="shared" si="2"/>
        <v>1.9749124357433043</v>
      </c>
      <c r="AQ4">
        <f>VLOOKUP(A4, [1]buoyancy_max!$1:$1048576, 4, FALSE)</f>
        <v>4.7166776000000001E-2</v>
      </c>
      <c r="AR4">
        <f>VLOOKUP(A4, [2]buoyancy_min!$1:$1048576, 4, FALSE)</f>
        <v>7.4663250000000002E-3</v>
      </c>
      <c r="AS4" t="e">
        <f>VLOOKUP(A4,[3]Sheet1!$1:$1048576, 11, FALSE)</f>
        <v>#N/A</v>
      </c>
      <c r="AT4">
        <f>VLOOKUP(C4, Triplex!$1:$1048576, 6, FALSE)</f>
        <v>140</v>
      </c>
      <c r="AU4">
        <f>VLOOKUP($C4, Triplex!$1:$1048576, 8, FALSE)</f>
        <v>4.1900000000000004</v>
      </c>
      <c r="AV4">
        <f>VLOOKUP($C4, Triplex!$1:$1048576, 9, FALSE)</f>
        <v>91.64</v>
      </c>
      <c r="AW4">
        <f t="shared" si="6"/>
        <v>231.64</v>
      </c>
      <c r="AX4">
        <f>VLOOKUP($C4, TP!$1:$1048576, 6, FALSE)</f>
        <v>20</v>
      </c>
      <c r="AY4">
        <f>VLOOKUP($C4, TN!$1:$1048576,5, FALSE)</f>
        <v>1100</v>
      </c>
      <c r="AZ4">
        <f t="shared" si="7"/>
        <v>262.52983293556082</v>
      </c>
      <c r="BA4">
        <f>VLOOKUP($C4, TICTOC!$1:$1048576, 5, FALSE)</f>
        <v>33.712000000000003</v>
      </c>
      <c r="BB4">
        <f t="shared" si="3"/>
        <v>2806.994171523731</v>
      </c>
      <c r="BC4">
        <f>VLOOKUP($C4, TICTOC!$1:$1048576, 6, FALSE)</f>
        <v>16.279</v>
      </c>
      <c r="BD4">
        <f t="shared" si="4"/>
        <v>1355.4537885095754</v>
      </c>
      <c r="BE4">
        <f>VLOOKUP(A4, GHG!$1:$1048576, 4, FALSE)</f>
        <v>418.14168549999999</v>
      </c>
      <c r="BF4">
        <f>VLOOKUP(A4, GHG!$1:$1048576, 6, FALSE)</f>
        <v>13.12400081</v>
      </c>
      <c r="BG4">
        <f>VLOOKUP(A4, GHG!$1:$1048576, 7, FALSE)</f>
        <v>0.19840476400000001</v>
      </c>
      <c r="BH4">
        <f>VLOOKUP(A4, GHG!$1:$1048576, 8, FALSE)</f>
        <v>1.567474203</v>
      </c>
      <c r="BI4">
        <f>VLOOKUP(A4, GHG!$1:$1048576, 10, FALSE)</f>
        <v>2.0433729999999998E-3</v>
      </c>
      <c r="BJ4">
        <f>VLOOKUP(A4, GHG!$1:$1048576, 11, FALSE)</f>
        <v>6.9900000000000005E-5</v>
      </c>
      <c r="BK4">
        <f>VLOOKUP(A4, GHG!$1:$1048576, 12, FALSE)</f>
        <v>0.30123502499999999</v>
      </c>
      <c r="BL4">
        <f>VLOOKUP(Master!A20, GHG!$1:$1048576, 14, FALSE)</f>
        <v>9.9051242819999992</v>
      </c>
      <c r="BM4">
        <f>VLOOKUP(A4, GHG!$1:$1048576, 15, FALSE)</f>
        <v>7.5678552999999996E-2</v>
      </c>
      <c r="CM4">
        <v>531</v>
      </c>
      <c r="CN4" s="27">
        <v>62.3</v>
      </c>
      <c r="CO4">
        <f>VLOOKUP($A4, Flux!$1:$1048576, 2, FALSE)</f>
        <v>0.449353742</v>
      </c>
      <c r="CP4">
        <f>VLOOKUP($A4, Flux!$1:$1048576, 10, FALSE)</f>
        <v>-1.0872360000000001E-3</v>
      </c>
      <c r="CQ4">
        <f>VLOOKUP($A4, Flux!$1:$1048576, 18, FALSE)</f>
        <v>-1.9890332850000001</v>
      </c>
      <c r="CR4">
        <f t="shared" si="8"/>
        <v>10.217445025207274</v>
      </c>
      <c r="CS4">
        <f t="shared" si="9"/>
        <v>177.64076822348321</v>
      </c>
      <c r="CT4">
        <f>VLOOKUP($C4, SO4_ALK_CL!$1:$1048576, 5, FALSE)</f>
        <v>123.48770141601563</v>
      </c>
      <c r="CU4">
        <f>VLOOKUP($C4, SO4_ALK_CL!$1:$1048576, 7, FALSE)</f>
        <v>264.10031127929688</v>
      </c>
      <c r="CV4">
        <f>VLOOKUP($C4, SO4_ALK_CL!$1:$1048576, 6, FALSE)</f>
        <v>12.279899597167969</v>
      </c>
    </row>
    <row r="5" spans="1:103" x14ac:dyDescent="0.25">
      <c r="A5" s="7" t="s">
        <v>96</v>
      </c>
      <c r="B5" s="7">
        <v>75</v>
      </c>
      <c r="C5" s="15" t="str">
        <f t="shared" si="0"/>
        <v>D7543640</v>
      </c>
      <c r="D5" s="15" t="s">
        <v>421</v>
      </c>
      <c r="E5" t="s">
        <v>83</v>
      </c>
      <c r="F5" s="9">
        <v>43640</v>
      </c>
      <c r="G5" s="10">
        <v>0.55902777777777779</v>
      </c>
      <c r="H5">
        <v>50.573300000000003</v>
      </c>
      <c r="I5">
        <v>-104.47169</v>
      </c>
      <c r="J5">
        <v>21.8</v>
      </c>
      <c r="K5">
        <v>100</v>
      </c>
      <c r="L5">
        <v>2.5</v>
      </c>
      <c r="M5" t="s">
        <v>84</v>
      </c>
      <c r="N5">
        <v>0.73</v>
      </c>
      <c r="O5" s="25">
        <v>2.2999999999999998</v>
      </c>
      <c r="Q5">
        <v>102.1</v>
      </c>
      <c r="R5" s="15">
        <v>0</v>
      </c>
      <c r="S5" s="15">
        <v>0</v>
      </c>
      <c r="T5" s="15">
        <v>20.399999999999999</v>
      </c>
      <c r="U5" s="12">
        <v>44</v>
      </c>
      <c r="V5">
        <v>3.97</v>
      </c>
      <c r="W5">
        <v>240</v>
      </c>
      <c r="X5">
        <v>0.13</v>
      </c>
      <c r="Y5">
        <v>7.97</v>
      </c>
      <c r="Z5">
        <v>9</v>
      </c>
      <c r="AA5">
        <v>1.9</v>
      </c>
      <c r="AB5">
        <v>0.22</v>
      </c>
      <c r="AC5">
        <v>248.2</v>
      </c>
      <c r="AD5">
        <v>0.17</v>
      </c>
      <c r="AE5">
        <v>6.62</v>
      </c>
      <c r="AF5" s="15">
        <f t="shared" si="1"/>
        <v>122.63227287078995</v>
      </c>
      <c r="AG5" s="15">
        <v>697.7</v>
      </c>
      <c r="AH5">
        <f t="shared" si="5"/>
        <v>141.38399999999999</v>
      </c>
      <c r="AI5">
        <v>20.399999999999999</v>
      </c>
      <c r="AJ5">
        <v>16.600000000000001</v>
      </c>
      <c r="AK5">
        <v>1</v>
      </c>
      <c r="AM5" t="s">
        <v>166</v>
      </c>
      <c r="AN5">
        <v>16.232070516666671</v>
      </c>
      <c r="AO5">
        <v>11.4984079</v>
      </c>
      <c r="AP5">
        <f t="shared" si="2"/>
        <v>1.0606377109525897</v>
      </c>
      <c r="AQ5">
        <f>VLOOKUP(A5, [1]buoyancy_max!$1:$1048576, 4, FALSE)</f>
        <v>1.3865323000000001E-2</v>
      </c>
      <c r="AR5">
        <f>VLOOKUP(A5, [2]buoyancy_min!$1:$1048576, 4, FALSE)</f>
        <v>4.9234270000000002E-3</v>
      </c>
      <c r="AS5">
        <f>VLOOKUP(A5,[3]Sheet1!$1:$1048576, 11, FALSE)</f>
        <v>6.3269123832003586</v>
      </c>
      <c r="AT5">
        <f>VLOOKUP(C5, Triplex!$1:$1048576, 6, FALSE)</f>
        <v>10</v>
      </c>
      <c r="AU5">
        <f>VLOOKUP($C5, Triplex!$1:$1048576, 8, FALSE)</f>
        <v>370</v>
      </c>
      <c r="AV5">
        <f>VLOOKUP($C5, Triplex!$1:$1048576, 9, FALSE)</f>
        <v>731.22</v>
      </c>
      <c r="AW5">
        <f t="shared" si="6"/>
        <v>741.22</v>
      </c>
      <c r="AX5">
        <f>VLOOKUP($C5, TP!$1:$1048576, 6, FALSE)</f>
        <v>470</v>
      </c>
      <c r="AY5">
        <f>VLOOKUP($C5, TN!$1:$1048576,5, FALSE)</f>
        <v>1630</v>
      </c>
      <c r="AZ5">
        <f t="shared" si="7"/>
        <v>4.4054054054054053</v>
      </c>
      <c r="BA5">
        <f>VLOOKUP($C5, TICTOC!$1:$1048576, 5, FALSE)</f>
        <v>34.837000000000003</v>
      </c>
      <c r="BB5">
        <f t="shared" si="3"/>
        <v>2900.6661115736888</v>
      </c>
      <c r="BC5">
        <f>VLOOKUP($C5, TICTOC!$1:$1048576, 6, FALSE)</f>
        <v>16.812000000000001</v>
      </c>
      <c r="BD5">
        <f t="shared" si="4"/>
        <v>1399.833472106578</v>
      </c>
      <c r="BE5">
        <f>VLOOKUP(A5, GHG!$1:$1048576, 4, FALSE)</f>
        <v>5853.4782160000004</v>
      </c>
      <c r="BF5">
        <f>VLOOKUP(A5, GHG!$1:$1048576, 6, FALSE)</f>
        <v>207.5398587</v>
      </c>
      <c r="BG5">
        <f>VLOOKUP(A5, GHG!$1:$1048576, 7, FALSE)</f>
        <v>4.9583880149999997</v>
      </c>
      <c r="BH5">
        <f>VLOOKUP(A5, GHG!$1:$1048576, 8, FALSE)</f>
        <v>1906.662112</v>
      </c>
      <c r="BI5">
        <f>VLOOKUP(A5, GHG!$1:$1048576, 10, FALSE)</f>
        <v>2.683931276</v>
      </c>
      <c r="BJ5">
        <f>VLOOKUP(A5, GHG!$1:$1048576, 11, FALSE)</f>
        <v>0.15320619899999999</v>
      </c>
      <c r="BK5">
        <f>VLOOKUP(A5, GHG!$1:$1048576, 12, FALSE)</f>
        <v>0.48876588999999998</v>
      </c>
      <c r="BL5">
        <f>VLOOKUP(Master!A18, GHG!$1:$1048576, 14, FALSE)</f>
        <v>4.8632329649999999</v>
      </c>
      <c r="BM5">
        <f>VLOOKUP(A5, GHG!$1:$1048576, 15, FALSE)</f>
        <v>0.108675835</v>
      </c>
      <c r="CM5">
        <v>637</v>
      </c>
      <c r="CN5" s="27">
        <v>730</v>
      </c>
      <c r="CO5">
        <f>VLOOKUP($A5, Flux!$1:$1048576, 2, FALSE)</f>
        <v>463.64375100000001</v>
      </c>
      <c r="CP5">
        <f>VLOOKUP($A5, Flux!$1:$1048576, 10, FALSE)</f>
        <v>6.3277446480000004</v>
      </c>
      <c r="CQ5">
        <f>VLOOKUP($A5, Flux!$1:$1048576, 18, FALSE)</f>
        <v>9.5162094929999999</v>
      </c>
      <c r="CR5">
        <f t="shared" si="8"/>
        <v>7.5441679229207468</v>
      </c>
      <c r="CS5">
        <f t="shared" si="9"/>
        <v>22.991712480512021</v>
      </c>
      <c r="CT5">
        <f>VLOOKUP($C5, SO4_ALK_CL!$1:$1048576, 5, FALSE)</f>
        <v>141.58999633789063</v>
      </c>
      <c r="CU5">
        <f>VLOOKUP($C5, SO4_ALK_CL!$1:$1048576, 7, FALSE)</f>
        <v>0.9878000020980835</v>
      </c>
      <c r="CV5">
        <f>VLOOKUP($C5, SO4_ALK_CL!$1:$1048576, 6, FALSE)</f>
        <v>4.5300002098083496</v>
      </c>
      <c r="CW5">
        <f>VLOOKUP(A5, Ebullition!$1:$1048576, 5, FALSE)</f>
        <v>3.1317733893676829</v>
      </c>
      <c r="CX5">
        <f>VLOOKUP(A5, Ebullition!$1:$1048576, 7, FALSE)</f>
        <v>22.170073916412864</v>
      </c>
      <c r="CY5">
        <f>VLOOKUP(A5, Ebullition!$1:$1048576, 8, FALSE)</f>
        <v>366.78205128205127</v>
      </c>
    </row>
    <row r="6" spans="1:103" x14ac:dyDescent="0.25">
      <c r="A6" s="7" t="s">
        <v>106</v>
      </c>
      <c r="B6" s="7">
        <v>5</v>
      </c>
      <c r="C6" s="15" t="str">
        <f t="shared" si="0"/>
        <v>D543643</v>
      </c>
      <c r="D6" s="15" t="s">
        <v>421</v>
      </c>
      <c r="E6" t="s">
        <v>83</v>
      </c>
      <c r="F6" s="9">
        <v>43643</v>
      </c>
      <c r="G6" s="10">
        <v>0.64722222222222225</v>
      </c>
      <c r="H6">
        <v>51.371380000000002</v>
      </c>
      <c r="I6">
        <v>-102.58302</v>
      </c>
      <c r="J6">
        <v>24.8</v>
      </c>
      <c r="K6">
        <v>90</v>
      </c>
      <c r="L6">
        <v>2.1</v>
      </c>
      <c r="M6" t="s">
        <v>84</v>
      </c>
      <c r="N6">
        <v>2.2999999999999998</v>
      </c>
      <c r="O6" s="25">
        <v>2.2999999999999998</v>
      </c>
      <c r="Q6">
        <v>102.6</v>
      </c>
      <c r="R6" s="15">
        <v>0</v>
      </c>
      <c r="S6" s="15">
        <v>0</v>
      </c>
      <c r="T6" s="15">
        <v>25.4</v>
      </c>
      <c r="U6">
        <v>130.9</v>
      </c>
      <c r="V6">
        <v>10.56</v>
      </c>
      <c r="W6">
        <v>3401</v>
      </c>
      <c r="X6">
        <v>1.78</v>
      </c>
      <c r="Y6">
        <v>9.9</v>
      </c>
      <c r="Z6">
        <v>21</v>
      </c>
      <c r="AA6">
        <v>109.4</v>
      </c>
      <c r="AB6">
        <v>9.6300000000000008</v>
      </c>
      <c r="AC6">
        <v>3098</v>
      </c>
      <c r="AD6">
        <v>1.77</v>
      </c>
      <c r="AE6">
        <v>9.91</v>
      </c>
      <c r="AF6" s="15">
        <f t="shared" si="1"/>
        <v>1904.4196627469651</v>
      </c>
      <c r="AG6" s="15">
        <v>721.6</v>
      </c>
      <c r="AH6">
        <f t="shared" si="5"/>
        <v>2003.5290999999997</v>
      </c>
      <c r="AI6">
        <v>25.4</v>
      </c>
      <c r="AJ6">
        <v>23.5</v>
      </c>
      <c r="AK6">
        <v>2</v>
      </c>
      <c r="AM6" t="s">
        <v>166</v>
      </c>
      <c r="AN6">
        <v>2.3532572222222221</v>
      </c>
      <c r="AO6">
        <v>0.8839272222222222</v>
      </c>
      <c r="AP6">
        <f t="shared" si="2"/>
        <v>-5.3583490969316513E-2</v>
      </c>
      <c r="AQ6">
        <f>VLOOKUP(A6, [1]buoyancy_max!$1:$1048576, 4, FALSE)</f>
        <v>1.0333036E-2</v>
      </c>
      <c r="AR6">
        <f>VLOOKUP(A6, [2]buoyancy_min!$1:$1048576, 4, FALSE)</f>
        <v>2.215833E-3</v>
      </c>
      <c r="AS6" t="e">
        <f>VLOOKUP(A6,[3]Sheet1!$1:$1048576, 11, FALSE)</f>
        <v>#N/A</v>
      </c>
      <c r="AT6">
        <f>VLOOKUP(C6, Triplex!$1:$1048576, 6, FALSE)</f>
        <v>60</v>
      </c>
      <c r="AU6">
        <f>VLOOKUP($C6, Triplex!$1:$1048576, 8, FALSE)</f>
        <v>8.5</v>
      </c>
      <c r="AV6">
        <f>VLOOKUP($C6, Triplex!$1:$1048576, 9, FALSE)</f>
        <v>3.31</v>
      </c>
      <c r="AW6">
        <f t="shared" si="6"/>
        <v>63.31</v>
      </c>
      <c r="AX6">
        <f>VLOOKUP($C6, TP!$1:$1048576, 6, FALSE)</f>
        <v>10</v>
      </c>
      <c r="AY6">
        <f>VLOOKUP($C6, TN!$1:$1048576,5, FALSE)</f>
        <v>1070</v>
      </c>
      <c r="AZ6">
        <f t="shared" si="7"/>
        <v>125.88235294117646</v>
      </c>
      <c r="BA6">
        <f>VLOOKUP($C6, TICTOC!$1:$1048576, 5, FALSE)</f>
        <v>27.113</v>
      </c>
      <c r="BB6">
        <f t="shared" si="3"/>
        <v>2257.5353871773523</v>
      </c>
      <c r="BC6">
        <f>VLOOKUP($C6, TICTOC!$1:$1048576, 6, FALSE)</f>
        <v>18.509</v>
      </c>
      <c r="BD6">
        <f t="shared" si="4"/>
        <v>1541.1323896752706</v>
      </c>
      <c r="BE6">
        <f>VLOOKUP(A6, GHG!$1:$1048576, 4, FALSE)</f>
        <v>429.06282040000002</v>
      </c>
      <c r="BF6">
        <f>VLOOKUP(A6, GHG!$1:$1048576, 6, FALSE)</f>
        <v>13.58122779</v>
      </c>
      <c r="BG6">
        <f>VLOOKUP(A6, GHG!$1:$1048576, 7, FALSE)</f>
        <v>7.5973487000000006E-2</v>
      </c>
      <c r="BH6">
        <f>VLOOKUP(A6, GHG!$1:$1048576, 8, FALSE)</f>
        <v>1.696779928</v>
      </c>
      <c r="BI6">
        <f>VLOOKUP(A6, GHG!$1:$1048576, 10, FALSE)</f>
        <v>2.225192E-3</v>
      </c>
      <c r="BJ6">
        <f>VLOOKUP(A6, GHG!$1:$1048576, 11, FALSE)</f>
        <v>3.3699999999999999E-5</v>
      </c>
      <c r="BK6">
        <f>VLOOKUP(A6, GHG!$1:$1048576, 12, FALSE)</f>
        <v>0.30669016500000001</v>
      </c>
      <c r="BL6">
        <f>VLOOKUP(Master!A9, GHG!$1:$1048576, 14, FALSE)</f>
        <v>8.1094537310000003</v>
      </c>
      <c r="BM6">
        <f>VLOOKUP(A6, GHG!$1:$1048576, 15, FALSE)</f>
        <v>1.3018584999999999E-2</v>
      </c>
      <c r="CM6">
        <v>485</v>
      </c>
      <c r="CN6" s="27">
        <v>1689</v>
      </c>
      <c r="CO6">
        <f>VLOOKUP($A6, Flux!$1:$1048576, 2, FALSE)</f>
        <v>1.4338983460000001</v>
      </c>
      <c r="CP6">
        <f>VLOOKUP($A6, Flux!$1:$1048576, 10, FALSE)</f>
        <v>-6.2386500000000003E-4</v>
      </c>
      <c r="CQ6">
        <f>VLOOKUP($A6, Flux!$1:$1048576, 18, FALSE)</f>
        <v>-1.655290822</v>
      </c>
      <c r="CR6">
        <f t="shared" si="8"/>
        <v>4.9597290532634153</v>
      </c>
      <c r="CS6">
        <f t="shared" si="9"/>
        <v>5591.8429003021147</v>
      </c>
      <c r="CT6">
        <f>VLOOKUP($C6, SO4_ALK_CL!$1:$1048576, 5, FALSE)</f>
        <v>183.07000732421875</v>
      </c>
      <c r="CU6">
        <f>VLOOKUP($C6, SO4_ALK_CL!$1:$1048576, 7, FALSE)</f>
        <v>1615.68603515625</v>
      </c>
      <c r="CV6">
        <f>VLOOKUP($C6, SO4_ALK_CL!$1:$1048576, 6, FALSE)</f>
        <v>15.180000305175781</v>
      </c>
    </row>
    <row r="7" spans="1:103" x14ac:dyDescent="0.25">
      <c r="A7" s="7" t="s">
        <v>109</v>
      </c>
      <c r="B7" s="7" t="s">
        <v>168</v>
      </c>
      <c r="C7" s="15" t="str">
        <f t="shared" si="0"/>
        <v>D10E43644</v>
      </c>
      <c r="D7" s="15" t="s">
        <v>421</v>
      </c>
      <c r="E7" t="s">
        <v>83</v>
      </c>
      <c r="F7" s="9">
        <v>43644</v>
      </c>
      <c r="G7" s="10">
        <v>0.43333333333333335</v>
      </c>
      <c r="H7">
        <v>51.798569999999998</v>
      </c>
      <c r="I7">
        <v>-103.40477</v>
      </c>
      <c r="J7">
        <v>21.7</v>
      </c>
      <c r="K7">
        <v>90</v>
      </c>
      <c r="L7">
        <v>9.1999999999999993</v>
      </c>
      <c r="M7" t="s">
        <v>84</v>
      </c>
      <c r="N7">
        <v>2.13</v>
      </c>
      <c r="O7" s="25">
        <v>3.3</v>
      </c>
      <c r="Q7">
        <v>96</v>
      </c>
      <c r="R7" s="15">
        <v>0</v>
      </c>
      <c r="S7" s="15">
        <v>0</v>
      </c>
      <c r="T7" s="15">
        <v>21.1</v>
      </c>
      <c r="U7" s="12">
        <v>99</v>
      </c>
      <c r="V7">
        <v>8.74</v>
      </c>
      <c r="W7">
        <v>1224</v>
      </c>
      <c r="X7">
        <v>0.66</v>
      </c>
      <c r="Y7">
        <v>8.4499999999999993</v>
      </c>
      <c r="Z7">
        <v>10.9</v>
      </c>
      <c r="AA7">
        <v>99</v>
      </c>
      <c r="AB7">
        <v>11.23</v>
      </c>
      <c r="AC7">
        <v>1839</v>
      </c>
      <c r="AD7">
        <v>1.31</v>
      </c>
      <c r="AE7">
        <v>7.45</v>
      </c>
      <c r="AF7" s="15">
        <f t="shared" si="1"/>
        <v>660.74662814020132</v>
      </c>
      <c r="AG7" s="15">
        <v>717.2</v>
      </c>
      <c r="AH7">
        <f t="shared" si="5"/>
        <v>721.05839999999989</v>
      </c>
      <c r="AI7">
        <v>21.1</v>
      </c>
      <c r="AJ7">
        <v>21</v>
      </c>
      <c r="AK7">
        <v>3</v>
      </c>
      <c r="AL7" t="s">
        <v>110</v>
      </c>
      <c r="AM7" t="s">
        <v>166</v>
      </c>
      <c r="AN7">
        <v>1.5750172500000001</v>
      </c>
      <c r="AO7">
        <v>0.89547302777777782</v>
      </c>
      <c r="AP7">
        <f t="shared" si="2"/>
        <v>-4.7947490846428055E-2</v>
      </c>
      <c r="AQ7">
        <f>VLOOKUP(A7, [1]buoyancy_max!$1:$1048576, 4, FALSE)</f>
        <v>1.1910831E-2</v>
      </c>
      <c r="AR7">
        <f>VLOOKUP(A7, [2]buoyancy_min!$1:$1048576, 4, FALSE)</f>
        <v>0</v>
      </c>
      <c r="AS7" t="e">
        <f>VLOOKUP(A7,[3]Sheet1!$1:$1048576, 11, FALSE)</f>
        <v>#N/A</v>
      </c>
      <c r="AT7">
        <f>VLOOKUP(C7, Triplex!$1:$1048576, 6, FALSE)</f>
        <v>50</v>
      </c>
      <c r="AU7">
        <f>VLOOKUP($C7, Triplex!$1:$1048576, 8, FALSE)</f>
        <v>3.65</v>
      </c>
      <c r="AV7">
        <f>VLOOKUP($C7, Triplex!$1:$1048576, 9, FALSE)</f>
        <v>7.05</v>
      </c>
      <c r="AW7">
        <f t="shared" si="6"/>
        <v>57.05</v>
      </c>
      <c r="AX7">
        <f>VLOOKUP($C7, TP!$1:$1048576, 6, FALSE)</f>
        <v>10</v>
      </c>
      <c r="AY7">
        <f>VLOOKUP($C7, TN!$1:$1048576,5, FALSE)</f>
        <v>1040</v>
      </c>
      <c r="AZ7">
        <f t="shared" si="7"/>
        <v>284.9315068493151</v>
      </c>
      <c r="BA7">
        <f>VLOOKUP($C7, TICTOC!$1:$1048576, 5, FALSE)</f>
        <v>33.543999999999997</v>
      </c>
      <c r="BB7">
        <f t="shared" si="3"/>
        <v>2793.0058284762699</v>
      </c>
      <c r="BC7">
        <f>VLOOKUP($C7, TICTOC!$1:$1048576, 6, FALSE)</f>
        <v>18.606999999999999</v>
      </c>
      <c r="BD7">
        <f t="shared" si="4"/>
        <v>1549.2922564529558</v>
      </c>
      <c r="BE7">
        <f>VLOOKUP(A7, GHG!$1:$1048576, 4, FALSE)</f>
        <v>472.03684140000001</v>
      </c>
      <c r="BF7">
        <f>VLOOKUP(A7, GHG!$1:$1048576, 6, FALSE)</f>
        <v>16.81822515</v>
      </c>
      <c r="BG7">
        <f>VLOOKUP(A7, GHG!$1:$1048576, 7, FALSE)</f>
        <v>0.70720752899999995</v>
      </c>
      <c r="BH7">
        <f>VLOOKUP(A7, GHG!$1:$1048576, 8, FALSE)</f>
        <v>34.431787970000002</v>
      </c>
      <c r="BI7">
        <f>VLOOKUP(A7, GHG!$1:$1048576, 10, FALSE)</f>
        <v>4.8973304000000002E-2</v>
      </c>
      <c r="BJ7">
        <f>VLOOKUP(A7, GHG!$1:$1048576, 11, FALSE)</f>
        <v>3.2079100000000001E-4</v>
      </c>
      <c r="BK7">
        <f>VLOOKUP(A7, GHG!$1:$1048576, 12, FALSE)</f>
        <v>0.30457672400000002</v>
      </c>
      <c r="BL7">
        <f>VLOOKUP(Master!A2, GHG!$1:$1048576, 14, FALSE)</f>
        <v>7.8385264479999996</v>
      </c>
      <c r="BM7">
        <f>VLOOKUP(A7, GHG!$1:$1048576, 15, FALSE)</f>
        <v>3.3510788999999999E-2</v>
      </c>
      <c r="CM7">
        <v>532</v>
      </c>
      <c r="CN7" s="27">
        <v>327</v>
      </c>
      <c r="CO7">
        <f>VLOOKUP($A7, Flux!$1:$1048576, 2, FALSE)</f>
        <v>5.1681465360000001</v>
      </c>
      <c r="CP7">
        <f>VLOOKUP($A7, Flux!$1:$1048576, 10, FALSE)</f>
        <v>0.111823982</v>
      </c>
      <c r="CQ7">
        <f>VLOOKUP($A7, Flux!$1:$1048576, 18, FALSE)</f>
        <v>-1.7614755040000001</v>
      </c>
      <c r="CR7">
        <f t="shared" si="8"/>
        <v>16.172792117500506</v>
      </c>
      <c r="CS7">
        <f t="shared" si="9"/>
        <v>2639.2907801418442</v>
      </c>
      <c r="CT7">
        <f>VLOOKUP($C7, SO4_ALK_CL!$1:$1048576, 5, FALSE)</f>
        <v>136.46000671386719</v>
      </c>
      <c r="CU7">
        <f>VLOOKUP($C7, SO4_ALK_CL!$1:$1048576, 7, FALSE)</f>
        <v>608.6876220703125</v>
      </c>
      <c r="CV7">
        <f>VLOOKUP($C7, SO4_ALK_CL!$1:$1048576, 6, FALSE)</f>
        <v>13.149999618530273</v>
      </c>
    </row>
    <row r="8" spans="1:103" x14ac:dyDescent="0.25">
      <c r="A8" s="7" t="s">
        <v>146</v>
      </c>
      <c r="B8" s="7" t="s">
        <v>176</v>
      </c>
      <c r="C8" s="15" t="str">
        <f t="shared" si="0"/>
        <v>D56D43661</v>
      </c>
      <c r="D8" s="15" t="s">
        <v>421</v>
      </c>
      <c r="E8" t="s">
        <v>114</v>
      </c>
      <c r="F8" s="9">
        <v>43661</v>
      </c>
      <c r="G8" s="10">
        <v>0.43541666666666662</v>
      </c>
      <c r="H8">
        <v>49.914059999999999</v>
      </c>
      <c r="I8">
        <v>-105.30029999999999</v>
      </c>
      <c r="J8">
        <v>22.7</v>
      </c>
      <c r="K8">
        <v>0</v>
      </c>
      <c r="L8">
        <v>14.4</v>
      </c>
      <c r="M8" t="s">
        <v>147</v>
      </c>
      <c r="N8">
        <v>1.32</v>
      </c>
      <c r="O8" s="25">
        <v>3.8</v>
      </c>
      <c r="Q8">
        <v>93.7</v>
      </c>
      <c r="R8" s="15">
        <v>0</v>
      </c>
      <c r="S8" s="15">
        <v>0</v>
      </c>
      <c r="T8" s="15">
        <v>22.6</v>
      </c>
      <c r="U8">
        <v>105.4</v>
      </c>
      <c r="V8">
        <v>9.0500000000000007</v>
      </c>
      <c r="W8">
        <v>1905</v>
      </c>
      <c r="X8">
        <v>1.02</v>
      </c>
      <c r="Y8">
        <v>8.31</v>
      </c>
      <c r="Z8">
        <v>18.3</v>
      </c>
      <c r="AA8">
        <v>1.3</v>
      </c>
      <c r="AB8">
        <v>0.11</v>
      </c>
      <c r="AC8">
        <v>1753</v>
      </c>
      <c r="AD8">
        <v>1.04</v>
      </c>
      <c r="AE8">
        <v>7.59</v>
      </c>
      <c r="AF8" s="15">
        <f t="shared" si="1"/>
        <v>1048.2229943274931</v>
      </c>
      <c r="AG8" s="15">
        <v>688</v>
      </c>
      <c r="AH8">
        <f t="shared" si="5"/>
        <v>1122.2355</v>
      </c>
      <c r="AI8">
        <v>22.6</v>
      </c>
      <c r="AJ8">
        <v>21.7</v>
      </c>
      <c r="AK8">
        <v>1</v>
      </c>
      <c r="AL8" t="s">
        <v>148</v>
      </c>
      <c r="AM8" t="s">
        <v>166</v>
      </c>
      <c r="AN8">
        <v>40.061274166666671</v>
      </c>
      <c r="AO8">
        <v>40.48476625</v>
      </c>
      <c r="AP8">
        <f t="shared" si="2"/>
        <v>1.6072916361000771</v>
      </c>
      <c r="AQ8">
        <f>VLOOKUP(A8, [1]buoyancy_max!$1:$1048576, 4, FALSE)</f>
        <v>9.1379170000000006E-3</v>
      </c>
      <c r="AR8">
        <f>VLOOKUP(A8, [2]buoyancy_min!$1:$1048576, 4, FALSE)</f>
        <v>0</v>
      </c>
      <c r="AS8" t="e">
        <f>VLOOKUP(A8,[3]Sheet1!$1:$1048576, 11, FALSE)</f>
        <v>#N/A</v>
      </c>
      <c r="AT8">
        <f>VLOOKUP(C8, Triplex!$1:$1048576, 6, FALSE)</f>
        <v>0.75700000000000001</v>
      </c>
      <c r="AU8">
        <f>VLOOKUP($C8, Triplex!$1:$1048576, 8, FALSE)</f>
        <v>30</v>
      </c>
      <c r="AV8">
        <f>VLOOKUP($C8, Triplex!$1:$1048576, 9, FALSE)</f>
        <v>165.02</v>
      </c>
      <c r="AW8">
        <f t="shared" si="6"/>
        <v>165.77700000000002</v>
      </c>
      <c r="AX8">
        <f>VLOOKUP($C8, TP!$1:$1048576, 6, FALSE)</f>
        <v>50</v>
      </c>
      <c r="AY8">
        <f>VLOOKUP($C8, TN!$1:$1048576,5, FALSE)</f>
        <v>1270</v>
      </c>
      <c r="AZ8">
        <f t="shared" si="7"/>
        <v>42.333333333333336</v>
      </c>
      <c r="BA8">
        <f>VLOOKUP($C8, TICTOC!$1:$1048576, 5, FALSE)</f>
        <v>53.883000000000003</v>
      </c>
      <c r="BB8">
        <f t="shared" si="3"/>
        <v>4486.5112406328062</v>
      </c>
      <c r="BC8">
        <f>VLOOKUP($C8, TICTOC!$1:$1048576, 6, FALSE)</f>
        <v>23.015999999999998</v>
      </c>
      <c r="BD8">
        <f t="shared" si="4"/>
        <v>1916.4029975020815</v>
      </c>
      <c r="BE8">
        <f>VLOOKUP(A8, GHG!$1:$1048576, 4, FALSE)</f>
        <v>829.4872173</v>
      </c>
      <c r="BF8">
        <f>VLOOKUP(A8, GHG!$1:$1048576, 6, FALSE)</f>
        <v>27.123569979999999</v>
      </c>
      <c r="BG8">
        <f>VLOOKUP(A8, GHG!$1:$1048576, 7, FALSE)</f>
        <v>0.35329474900000002</v>
      </c>
      <c r="BH8">
        <f>VLOOKUP(A8, GHG!$1:$1048576, 8, FALSE)</f>
        <v>163.9279118</v>
      </c>
      <c r="BI8">
        <f>VLOOKUP(A8, GHG!$1:$1048576, 10, FALSE)</f>
        <v>0.21678855299999999</v>
      </c>
      <c r="BJ8">
        <f>VLOOKUP(A8, GHG!$1:$1048576, 11, FALSE)</f>
        <v>1.4397279999999999E-3</v>
      </c>
      <c r="BK8">
        <f>VLOOKUP(A8, GHG!$1:$1048576, 12, FALSE)</f>
        <v>0.263281926</v>
      </c>
      <c r="BL8">
        <f>VLOOKUP(Master!A13, GHG!$1:$1048576, 14, FALSE)</f>
        <v>7.9686732039999999</v>
      </c>
      <c r="BM8">
        <f>VLOOKUP(A8, GHG!$1:$1048576, 15, FALSE)</f>
        <v>6.4675397999999995E-2</v>
      </c>
      <c r="CM8">
        <v>833</v>
      </c>
      <c r="CN8" s="27">
        <v>2181</v>
      </c>
      <c r="CO8">
        <f>VLOOKUP($A8, Flux!$1:$1048576, 2, FALSE)</f>
        <v>35.219419209999998</v>
      </c>
      <c r="CP8">
        <f>VLOOKUP($A8, Flux!$1:$1048576, 10, FALSE)</f>
        <v>0.54311190899999995</v>
      </c>
      <c r="CQ8">
        <f>VLOOKUP($A8, Flux!$1:$1048576, 18, FALSE)</f>
        <v>-4.1826202229999998</v>
      </c>
      <c r="CR8">
        <f t="shared" si="8"/>
        <v>7.2110864896296638</v>
      </c>
      <c r="CS8">
        <f t="shared" si="9"/>
        <v>139.47400315113319</v>
      </c>
      <c r="CT8">
        <f>VLOOKUP($C8, SO4_ALK_CL!$1:$1048576, 5, FALSE)</f>
        <v>213.75450134277344</v>
      </c>
      <c r="CU8">
        <f>VLOOKUP($C8, SO4_ALK_CL!$1:$1048576, 7, FALSE)</f>
        <v>1079.7779541015625</v>
      </c>
      <c r="CV8">
        <f>VLOOKUP($C8, SO4_ALK_CL!$1:$1048576, 6, FALSE)</f>
        <v>12.052599906921387</v>
      </c>
    </row>
    <row r="9" spans="1:103" x14ac:dyDescent="0.25">
      <c r="A9" s="7" t="s">
        <v>82</v>
      </c>
      <c r="B9" s="7" t="s">
        <v>174</v>
      </c>
      <c r="C9" s="15" t="str">
        <f t="shared" si="0"/>
        <v>D56A43635</v>
      </c>
      <c r="D9" s="15" t="s">
        <v>421</v>
      </c>
      <c r="E9" t="s">
        <v>83</v>
      </c>
      <c r="F9" s="9">
        <v>43635</v>
      </c>
      <c r="G9" s="10">
        <v>0.41597222222222219</v>
      </c>
      <c r="H9">
        <v>49.983620000000002</v>
      </c>
      <c r="I9">
        <v>-105.28654</v>
      </c>
      <c r="J9">
        <v>17.899999999999999</v>
      </c>
      <c r="K9">
        <v>100</v>
      </c>
      <c r="L9">
        <v>9.8000000000000007</v>
      </c>
      <c r="M9" t="s">
        <v>84</v>
      </c>
      <c r="N9">
        <v>1.64</v>
      </c>
      <c r="O9" s="25">
        <v>3</v>
      </c>
      <c r="Q9">
        <v>92.1</v>
      </c>
      <c r="R9" s="15">
        <v>0</v>
      </c>
      <c r="S9" s="15">
        <v>0</v>
      </c>
      <c r="T9" s="15">
        <v>18.399999999999999</v>
      </c>
      <c r="U9">
        <v>91.7</v>
      </c>
      <c r="V9">
        <v>8.5</v>
      </c>
      <c r="W9">
        <v>2572</v>
      </c>
      <c r="X9">
        <v>1.54</v>
      </c>
      <c r="Y9">
        <v>8.7799999999999994</v>
      </c>
      <c r="Z9">
        <v>13.7</v>
      </c>
      <c r="AA9">
        <v>2.2999999999999998</v>
      </c>
      <c r="AB9">
        <v>0.24</v>
      </c>
      <c r="AC9">
        <v>6678</v>
      </c>
      <c r="AD9">
        <v>4.92</v>
      </c>
      <c r="AE9">
        <v>7.76</v>
      </c>
      <c r="AF9" s="15">
        <f t="shared" si="1"/>
        <v>1429.1184951390676</v>
      </c>
      <c r="AG9" s="15">
        <v>693.7</v>
      </c>
      <c r="AH9">
        <f t="shared" si="5"/>
        <v>1515.1651999999999</v>
      </c>
      <c r="AI9" s="15">
        <v>18.399999999999999</v>
      </c>
      <c r="AJ9" s="15">
        <v>17.600000000000001</v>
      </c>
      <c r="AK9">
        <v>1</v>
      </c>
      <c r="AM9" t="s">
        <v>166</v>
      </c>
      <c r="AN9">
        <v>23.454831066666671</v>
      </c>
      <c r="AO9">
        <v>7.2328306000000016</v>
      </c>
      <c r="AP9">
        <f t="shared" si="2"/>
        <v>0.85930829361270278</v>
      </c>
      <c r="AQ9">
        <f>VLOOKUP(A9, [1]buoyancy_max!$1:$1048576, 4, FALSE)</f>
        <v>7.6882840000000001E-3</v>
      </c>
      <c r="AR9">
        <f>VLOOKUP(A9, [2]buoyancy_min!$1:$1048576, 4, FALSE)</f>
        <v>0</v>
      </c>
      <c r="AS9">
        <f>VLOOKUP(A9,[3]Sheet1!$1:$1048576, 11, FALSE)</f>
        <v>3.6802305655311787</v>
      </c>
      <c r="AT9">
        <f>VLOOKUP(C9, Triplex!$1:$1048576, 6, FALSE)</f>
        <v>10</v>
      </c>
      <c r="AU9">
        <f>VLOOKUP($C9, Triplex!$1:$1048576, 8, FALSE)</f>
        <v>10</v>
      </c>
      <c r="AV9">
        <f>VLOOKUP($C9, Triplex!$1:$1048576, 9, FALSE)</f>
        <v>124.54</v>
      </c>
      <c r="AW9">
        <f t="shared" si="6"/>
        <v>134.54000000000002</v>
      </c>
      <c r="AX9">
        <f>VLOOKUP($C9, TP!$1:$1048576, 6, FALSE)</f>
        <v>40</v>
      </c>
      <c r="AY9">
        <f>VLOOKUP($C9, TN!$1:$1048576,5, FALSE)</f>
        <v>1570</v>
      </c>
      <c r="AZ9">
        <f t="shared" si="7"/>
        <v>157</v>
      </c>
      <c r="BA9">
        <f>VLOOKUP($C9, TICTOC!$1:$1048576, 5, FALSE)</f>
        <v>43.646000000000001</v>
      </c>
      <c r="BB9">
        <f t="shared" si="3"/>
        <v>3634.1382181515405</v>
      </c>
      <c r="BC9">
        <f>VLOOKUP($C9, TICTOC!$1:$1048576, 6, FALSE)</f>
        <v>23.288</v>
      </c>
      <c r="BD9">
        <f t="shared" si="4"/>
        <v>1939.0507910074939</v>
      </c>
      <c r="BE9">
        <f>VLOOKUP(A9, GHG!$1:$1048576, 4, FALSE)</f>
        <v>241.7546414</v>
      </c>
      <c r="BF9">
        <f>VLOOKUP(A9, GHG!$1:$1048576, 6, FALSE)</f>
        <v>8.9812044879999995</v>
      </c>
      <c r="BG9">
        <f>VLOOKUP(A9, GHG!$1:$1048576, 7, FALSE)</f>
        <v>0.67270686599999996</v>
      </c>
      <c r="BH9">
        <f>VLOOKUP(A9, GHG!$1:$1048576, 8, FALSE)</f>
        <v>92.998156019999996</v>
      </c>
      <c r="BI9">
        <f>VLOOKUP(A9, GHG!$1:$1048576, 10, FALSE)</f>
        <v>0.134399505</v>
      </c>
      <c r="BJ9">
        <f>VLOOKUP(A9, GHG!$1:$1048576, 11, FALSE)</f>
        <v>6.5679599999999996E-4</v>
      </c>
      <c r="BK9">
        <f>VLOOKUP(A9, GHG!$1:$1048576, 12, FALSE)</f>
        <v>0.296283674</v>
      </c>
      <c r="BL9">
        <f>VLOOKUP(Master!A11, GHG!$1:$1048576, 14, FALSE)</f>
        <v>8.4682952240000002</v>
      </c>
      <c r="BM9">
        <f>VLOOKUP(A9, GHG!$1:$1048576, 15, FALSE)</f>
        <v>6.5308359999999996E-2</v>
      </c>
      <c r="CM9">
        <v>708</v>
      </c>
      <c r="CN9" s="27">
        <v>646</v>
      </c>
      <c r="CO9">
        <f>VLOOKUP($A9, Flux!$1:$1048576, 2, FALSE)</f>
        <v>-14.29238994</v>
      </c>
      <c r="CP9">
        <f>VLOOKUP($A9, Flux!$1:$1048576, 10, FALSE)</f>
        <v>0.29092652800000002</v>
      </c>
      <c r="CQ9">
        <f>VLOOKUP($A9, Flux!$1:$1048576, 18, FALSE)</f>
        <v>-2.1760500569999999</v>
      </c>
      <c r="CR9">
        <f t="shared" si="8"/>
        <v>10.46043960637946</v>
      </c>
      <c r="CS9">
        <f t="shared" si="9"/>
        <v>186.99213104223543</v>
      </c>
      <c r="CT9">
        <f>VLOOKUP($C9, SO4_ALK_CL!$1:$1048576, 5, FALSE)</f>
        <v>213.47000122070313</v>
      </c>
      <c r="CU9">
        <f>VLOOKUP($C9, SO4_ALK_CL!$1:$1048576, 7, FALSE)</f>
        <v>1510.699951171875</v>
      </c>
      <c r="CV9">
        <f>VLOOKUP($C9, SO4_ALK_CL!$1:$1048576, 6, FALSE)</f>
        <v>102</v>
      </c>
      <c r="CW9">
        <f>VLOOKUP(A9, Ebullition!$1:$1048576, 5, FALSE)</f>
        <v>5.0746139776330391E-2</v>
      </c>
      <c r="CX9">
        <f>VLOOKUP(A9, Ebullition!$1:$1048576, 7, FALSE)</f>
        <v>0.52457663659649723</v>
      </c>
      <c r="CY9">
        <f>VLOOKUP(A9, Ebullition!$1:$1048576, 8, FALSE)</f>
        <v>251.17647058823525</v>
      </c>
    </row>
    <row r="10" spans="1:103" x14ac:dyDescent="0.25">
      <c r="A10" s="7" t="s">
        <v>127</v>
      </c>
      <c r="B10" s="7" t="s">
        <v>177</v>
      </c>
      <c r="C10" s="15" t="str">
        <f t="shared" si="0"/>
        <v>D57A43655</v>
      </c>
      <c r="D10" s="15" t="s">
        <v>421</v>
      </c>
      <c r="E10" t="s">
        <v>114</v>
      </c>
      <c r="F10" s="9">
        <v>43655</v>
      </c>
      <c r="G10" s="10">
        <v>0.54999999999999993</v>
      </c>
      <c r="H10">
        <v>52.415909999999997</v>
      </c>
      <c r="I10">
        <v>-107.93133</v>
      </c>
      <c r="J10">
        <v>19.3</v>
      </c>
      <c r="K10">
        <v>0</v>
      </c>
      <c r="L10">
        <v>7.5</v>
      </c>
      <c r="M10" t="s">
        <v>84</v>
      </c>
      <c r="N10">
        <v>0.15</v>
      </c>
      <c r="O10" s="25">
        <v>3.7</v>
      </c>
      <c r="Q10">
        <v>89.4</v>
      </c>
      <c r="R10" s="15">
        <v>0</v>
      </c>
      <c r="S10" s="15">
        <v>0</v>
      </c>
      <c r="T10" s="15">
        <v>23.4</v>
      </c>
      <c r="U10">
        <v>152</v>
      </c>
      <c r="V10">
        <v>13.09</v>
      </c>
      <c r="W10">
        <v>193.2</v>
      </c>
      <c r="X10">
        <v>0.09</v>
      </c>
      <c r="Y10">
        <v>10.4</v>
      </c>
      <c r="Z10">
        <v>9.6999999999999993</v>
      </c>
      <c r="AA10">
        <v>1.5</v>
      </c>
      <c r="AB10">
        <v>0.16</v>
      </c>
      <c r="AC10">
        <v>180.4</v>
      </c>
      <c r="AD10">
        <v>0.13</v>
      </c>
      <c r="AE10">
        <v>6.72</v>
      </c>
      <c r="AF10" s="15">
        <f t="shared" si="1"/>
        <v>98.397012521652542</v>
      </c>
      <c r="AG10" s="15">
        <v>698.7</v>
      </c>
      <c r="AH10">
        <f t="shared" si="5"/>
        <v>113.81411999999999</v>
      </c>
      <c r="AI10">
        <v>23.4</v>
      </c>
      <c r="AJ10">
        <v>20.5</v>
      </c>
      <c r="AK10">
        <v>2</v>
      </c>
      <c r="AM10" t="s">
        <v>166</v>
      </c>
      <c r="AN10">
        <v>202.04018939999997</v>
      </c>
      <c r="AO10">
        <v>204.93258234999996</v>
      </c>
      <c r="AP10">
        <f t="shared" si="2"/>
        <v>2.3116110126221217</v>
      </c>
      <c r="AQ10">
        <f>VLOOKUP(A10, [1]buoyancy_max!$1:$1048576, 4, FALSE)</f>
        <v>1.7202248999999999E-2</v>
      </c>
      <c r="AR10">
        <f>VLOOKUP(A10, [2]buoyancy_min!$1:$1048576, 4, FALSE)</f>
        <v>4.72731E-4</v>
      </c>
      <c r="AS10" t="e">
        <f>VLOOKUP(A10,[3]Sheet1!$1:$1048576, 11, FALSE)</f>
        <v>#N/A</v>
      </c>
      <c r="AT10">
        <f>VLOOKUP(C10, Triplex!$1:$1048576, 6, FALSE)</f>
        <v>260</v>
      </c>
      <c r="AU10">
        <f>VLOOKUP($C10, Triplex!$1:$1048576, 8, FALSE)</f>
        <v>30</v>
      </c>
      <c r="AV10">
        <f>VLOOKUP($C10, Triplex!$1:$1048576, 9, FALSE)</f>
        <v>6.89</v>
      </c>
      <c r="AW10">
        <f t="shared" si="6"/>
        <v>266.89</v>
      </c>
      <c r="AX10">
        <f>VLOOKUP($C10, TP!$1:$1048576, 6, FALSE)</f>
        <v>60</v>
      </c>
      <c r="AY10">
        <f>VLOOKUP($C10, TN!$1:$1048576,5, FALSE)</f>
        <v>1590</v>
      </c>
      <c r="AZ10">
        <f t="shared" si="7"/>
        <v>53</v>
      </c>
      <c r="BA10">
        <f>VLOOKUP($C10, TICTOC!$1:$1048576, 5, FALSE)</f>
        <v>16.218</v>
      </c>
      <c r="BB10">
        <f t="shared" si="3"/>
        <v>1350.3746877601998</v>
      </c>
      <c r="BC10">
        <f>VLOOKUP($C10, TICTOC!$1:$1048576, 6, FALSE)</f>
        <v>23.689</v>
      </c>
      <c r="BD10">
        <f t="shared" si="4"/>
        <v>1972.4396336386344</v>
      </c>
      <c r="BE10">
        <f>VLOOKUP(A10, GHG!$1:$1048576, 4, FALSE)</f>
        <v>62.707006380000003</v>
      </c>
      <c r="BF10">
        <f>VLOOKUP(A10, GHG!$1:$1048576, 6, FALSE)</f>
        <v>2.0450264680000001</v>
      </c>
      <c r="BG10">
        <f>VLOOKUP(A10, GHG!$1:$1048576, 7, FALSE)</f>
        <v>0.52634546000000004</v>
      </c>
      <c r="BH10">
        <f>VLOOKUP(A10, GHG!$1:$1048576, 8, FALSE)</f>
        <v>3910.3388570000002</v>
      </c>
      <c r="BI10">
        <f>VLOOKUP(A10, GHG!$1:$1048576, 10, FALSE)</f>
        <v>5.2028601610000003</v>
      </c>
      <c r="BJ10">
        <f>VLOOKUP(A10, GHG!$1:$1048576, 11, FALSE)</f>
        <v>3.6701409999999997E-2</v>
      </c>
      <c r="BK10">
        <f>VLOOKUP(A10, GHG!$1:$1048576, 12, FALSE)</f>
        <v>0.27061196799999998</v>
      </c>
      <c r="BL10">
        <f>VLOOKUP(Master!A14, GHG!$1:$1048576, 14, FALSE)</f>
        <v>6.99170377</v>
      </c>
      <c r="BM10">
        <f>VLOOKUP(A10, GHG!$1:$1048576, 15, FALSE)</f>
        <v>8.1757967000000001E-2</v>
      </c>
      <c r="CM10">
        <v>730</v>
      </c>
      <c r="CN10" s="27">
        <v>1262</v>
      </c>
      <c r="CO10">
        <f>VLOOKUP($A10, Flux!$1:$1048576, 2, FALSE)</f>
        <v>-30.348215939999999</v>
      </c>
      <c r="CP10">
        <f>VLOOKUP($A10, Flux!$1:$1048576, 10, FALSE)</f>
        <v>13.52046517</v>
      </c>
      <c r="CQ10">
        <f>VLOOKUP($A10, Flux!$1:$1048576, 18, FALSE)</f>
        <v>-3.8311292360000002</v>
      </c>
      <c r="CR10">
        <f t="shared" si="8"/>
        <v>9.2303248827057498</v>
      </c>
      <c r="CS10">
        <f t="shared" si="9"/>
        <v>3438.1712626995645</v>
      </c>
      <c r="CT10">
        <f>VLOOKUP($C10, SO4_ALK_CL!$1:$1048576, 5, FALSE)</f>
        <v>70.389602661132813</v>
      </c>
      <c r="CU10">
        <f>VLOOKUP($C10, SO4_ALK_CL!$1:$1048576, 7, FALSE)</f>
        <v>9.0783863067626953</v>
      </c>
      <c r="CV10">
        <f>VLOOKUP($C10, SO4_ALK_CL!$1:$1048576, 6, FALSE)</f>
        <v>5.9854998588562012</v>
      </c>
    </row>
    <row r="11" spans="1:103" x14ac:dyDescent="0.25">
      <c r="A11" s="7" t="s">
        <v>93</v>
      </c>
      <c r="B11" s="7">
        <v>20</v>
      </c>
      <c r="C11" s="15" t="str">
        <f t="shared" si="0"/>
        <v>D2043636</v>
      </c>
      <c r="D11" s="15" t="s">
        <v>421</v>
      </c>
      <c r="E11" t="s">
        <v>83</v>
      </c>
      <c r="F11" s="9">
        <v>43636</v>
      </c>
      <c r="G11" s="10">
        <v>0.58888888888888891</v>
      </c>
      <c r="H11">
        <v>50.108409999999999</v>
      </c>
      <c r="I11">
        <v>-102.04151</v>
      </c>
      <c r="J11">
        <v>13.2</v>
      </c>
      <c r="K11">
        <v>100</v>
      </c>
      <c r="L11">
        <v>1.5</v>
      </c>
      <c r="M11" t="s">
        <v>84</v>
      </c>
      <c r="N11">
        <v>1.53</v>
      </c>
      <c r="O11" s="25">
        <v>3.6</v>
      </c>
      <c r="Q11">
        <v>93.2</v>
      </c>
      <c r="R11" s="15">
        <v>0</v>
      </c>
      <c r="S11" s="15">
        <v>0</v>
      </c>
      <c r="T11" s="16">
        <v>17</v>
      </c>
      <c r="U11">
        <v>84.6</v>
      </c>
      <c r="V11">
        <v>8.16</v>
      </c>
      <c r="W11">
        <v>992</v>
      </c>
      <c r="X11">
        <v>0.59</v>
      </c>
      <c r="Y11">
        <v>8.51</v>
      </c>
      <c r="Z11">
        <v>13.6</v>
      </c>
      <c r="AA11">
        <v>19.399999999999999</v>
      </c>
      <c r="AB11">
        <v>2.02</v>
      </c>
      <c r="AC11">
        <v>956</v>
      </c>
      <c r="AD11">
        <v>0.61</v>
      </c>
      <c r="AE11">
        <v>8.1199999999999992</v>
      </c>
      <c r="AF11" s="15">
        <f t="shared" si="1"/>
        <v>529.07115457605892</v>
      </c>
      <c r="AG11" s="15">
        <v>701.2</v>
      </c>
      <c r="AH11">
        <f t="shared" si="5"/>
        <v>584.38720000000001</v>
      </c>
      <c r="AI11">
        <v>17</v>
      </c>
      <c r="AJ11">
        <v>15.4</v>
      </c>
      <c r="AK11">
        <v>3</v>
      </c>
      <c r="AM11" t="s">
        <v>166</v>
      </c>
      <c r="AN11">
        <v>4.3116832688888884</v>
      </c>
      <c r="AO11">
        <v>3.1172534033333337</v>
      </c>
      <c r="AP11">
        <f t="shared" si="2"/>
        <v>0.49377210776165203</v>
      </c>
      <c r="AQ11">
        <f>VLOOKUP(A11, [1]buoyancy_max!$1:$1048576, 4, FALSE)</f>
        <v>5.7285770000000003E-3</v>
      </c>
      <c r="AR11">
        <f>VLOOKUP(A11, [2]buoyancy_min!$1:$1048576, 4, FALSE)</f>
        <v>-3.4222199999999999E-4</v>
      </c>
      <c r="AS11">
        <f>VLOOKUP(A11,[3]Sheet1!$1:$1048576, 11, FALSE)</f>
        <v>3.1414257554135752</v>
      </c>
      <c r="AT11">
        <f>VLOOKUP(C11, Triplex!$1:$1048576, 6, FALSE)</f>
        <v>10</v>
      </c>
      <c r="AU11">
        <f>VLOOKUP($C11, Triplex!$1:$1048576, 8, FALSE)</f>
        <v>8.8000000000000007</v>
      </c>
      <c r="AV11">
        <f>VLOOKUP($C11, Triplex!$1:$1048576, 9, FALSE)</f>
        <v>73.489999999999995</v>
      </c>
      <c r="AW11">
        <f t="shared" si="6"/>
        <v>83.49</v>
      </c>
      <c r="AX11">
        <f>VLOOKUP($C11, TP!$1:$1048576, 6, FALSE)</f>
        <v>30</v>
      </c>
      <c r="AY11">
        <f>VLOOKUP($C11, TN!$1:$1048576,5, FALSE)</f>
        <v>1380</v>
      </c>
      <c r="AZ11">
        <f t="shared" si="7"/>
        <v>156.81818181818181</v>
      </c>
      <c r="BA11">
        <f>VLOOKUP($C11, TICTOC!$1:$1048576, 5, FALSE)</f>
        <v>57.883000000000003</v>
      </c>
      <c r="BB11">
        <f t="shared" si="3"/>
        <v>4819.5670274771028</v>
      </c>
      <c r="BC11">
        <f>VLOOKUP($C11, TICTOC!$1:$1048576, 6, FALSE)</f>
        <v>24.146999999999998</v>
      </c>
      <c r="BD11">
        <f t="shared" si="4"/>
        <v>2010.5745212323063</v>
      </c>
      <c r="BE11">
        <f>VLOOKUP(A11, GHG!$1:$1048576, 4, FALSE)</f>
        <v>838.38427449999995</v>
      </c>
      <c r="BF11">
        <f>VLOOKUP(A11, GHG!$1:$1048576, 6, FALSE)</f>
        <v>32.995436069999997</v>
      </c>
      <c r="BG11">
        <f>VLOOKUP(A11, GHG!$1:$1048576, 7, FALSE)</f>
        <v>5.5170014209999998</v>
      </c>
      <c r="BH11">
        <f>VLOOKUP(A11, GHG!$1:$1048576, 8, FALSE)</f>
        <v>235.33840670000001</v>
      </c>
      <c r="BI11">
        <f>VLOOKUP(A11, GHG!$1:$1048576, 10, FALSE)</f>
        <v>0.356307918</v>
      </c>
      <c r="BJ11">
        <f>VLOOKUP(A11, GHG!$1:$1048576, 11, FALSE)</f>
        <v>4.6457888000000003E-2</v>
      </c>
      <c r="BK11">
        <f>VLOOKUP(A11, GHG!$1:$1048576, 12, FALSE)</f>
        <v>0.29107672600000001</v>
      </c>
      <c r="BL11">
        <f>VLOOKUP(Master!A4, GHG!$1:$1048576, 14, FALSE)</f>
        <v>6.910579867</v>
      </c>
      <c r="BM11">
        <f>VLOOKUP(A11, GHG!$1:$1048576, 15, FALSE)</f>
        <v>5.2702692000000002E-2</v>
      </c>
      <c r="CM11">
        <v>620</v>
      </c>
      <c r="CN11" s="27">
        <v>1142</v>
      </c>
      <c r="CO11">
        <f>VLOOKUP($A11, Flux!$1:$1048576, 2, FALSE)</f>
        <v>35.797746629999999</v>
      </c>
      <c r="CP11">
        <f>VLOOKUP($A11, Flux!$1:$1048576, 10, FALSE)</f>
        <v>0.74480274899999999</v>
      </c>
      <c r="CQ11">
        <f>VLOOKUP($A11, Flux!$1:$1048576, 18, FALSE)</f>
        <v>-2.5170823339999999</v>
      </c>
      <c r="CR11">
        <f t="shared" si="8"/>
        <v>9.4409215641115267</v>
      </c>
      <c r="CS11">
        <f t="shared" si="9"/>
        <v>328.57531636957413</v>
      </c>
      <c r="CT11">
        <f>VLOOKUP($C11, SO4_ALK_CL!$1:$1048576, 5, FALSE)</f>
        <v>255.44000244140625</v>
      </c>
      <c r="CU11">
        <f>VLOOKUP($C11, SO4_ALK_CL!$1:$1048576, 7, FALSE)</f>
        <v>421.581787109375</v>
      </c>
      <c r="CV11">
        <f>VLOOKUP($C11, SO4_ALK_CL!$1:$1048576, 6, FALSE)</f>
        <v>11.550000190734863</v>
      </c>
      <c r="CW11">
        <f>VLOOKUP(A11, Ebullition!$1:$1048576, 5, FALSE)</f>
        <v>0.15190275760595887</v>
      </c>
      <c r="CX11">
        <f>VLOOKUP(A11, Ebullition!$1:$1048576, 7, FALSE)</f>
        <v>0.97045113118179915</v>
      </c>
      <c r="CY11">
        <f>VLOOKUP(A11, Ebullition!$1:$1048576, 8, FALSE)</f>
        <v>406.42168674698792</v>
      </c>
    </row>
    <row r="12" spans="1:103" x14ac:dyDescent="0.25">
      <c r="A12" s="7" t="s">
        <v>86</v>
      </c>
      <c r="B12" s="7" t="s">
        <v>175</v>
      </c>
      <c r="C12" s="15" t="str">
        <f t="shared" si="0"/>
        <v>D56C43635</v>
      </c>
      <c r="D12" s="15" t="s">
        <v>421</v>
      </c>
      <c r="E12" t="s">
        <v>83</v>
      </c>
      <c r="F12" s="9">
        <v>43635</v>
      </c>
      <c r="G12" s="10">
        <v>0.50347222222222221</v>
      </c>
      <c r="H12">
        <v>49.934260000000002</v>
      </c>
      <c r="I12">
        <v>-105.29499</v>
      </c>
      <c r="J12">
        <v>16.100000000000001</v>
      </c>
      <c r="K12">
        <v>100</v>
      </c>
      <c r="L12">
        <v>10.7</v>
      </c>
      <c r="M12" t="s">
        <v>84</v>
      </c>
      <c r="N12">
        <v>0.99</v>
      </c>
      <c r="O12" s="25">
        <v>3.5</v>
      </c>
      <c r="Q12">
        <v>88.4</v>
      </c>
      <c r="R12" s="15">
        <v>0</v>
      </c>
      <c r="S12" s="15">
        <v>0</v>
      </c>
      <c r="T12" s="15">
        <v>17.3</v>
      </c>
      <c r="U12">
        <v>81.599999999999994</v>
      </c>
      <c r="V12">
        <v>7.84</v>
      </c>
      <c r="W12">
        <v>778</v>
      </c>
      <c r="X12">
        <v>0.45</v>
      </c>
      <c r="Y12">
        <v>8.48</v>
      </c>
      <c r="Z12">
        <v>10.3</v>
      </c>
      <c r="AA12">
        <v>2</v>
      </c>
      <c r="AB12">
        <v>0.22</v>
      </c>
      <c r="AC12">
        <v>649</v>
      </c>
      <c r="AD12">
        <v>0.44</v>
      </c>
      <c r="AE12">
        <v>7.49</v>
      </c>
      <c r="AF12" s="15">
        <f t="shared" si="1"/>
        <v>407.76041132260201</v>
      </c>
      <c r="AG12" s="15">
        <v>687</v>
      </c>
      <c r="AH12">
        <f t="shared" si="5"/>
        <v>458.31979999999999</v>
      </c>
      <c r="AI12">
        <v>17.3</v>
      </c>
      <c r="AJ12">
        <v>16.899999999999999</v>
      </c>
      <c r="AK12" s="11"/>
      <c r="AM12" t="s">
        <v>166</v>
      </c>
      <c r="AN12">
        <v>40.155635555555556</v>
      </c>
      <c r="AO12">
        <v>9.7718505555555559</v>
      </c>
      <c r="AP12">
        <f t="shared" si="2"/>
        <v>0.98997681652961622</v>
      </c>
      <c r="AQ12">
        <f>VLOOKUP(A12, [1]buoyancy_max!$1:$1048576, 4, FALSE)</f>
        <v>8.8578349999999997E-3</v>
      </c>
      <c r="AR12">
        <f>VLOOKUP(A12, [2]buoyancy_min!$1:$1048576, 4, FALSE)</f>
        <v>0</v>
      </c>
      <c r="AS12">
        <f>VLOOKUP(A12,[3]Sheet1!$1:$1048576, 11, FALSE)</f>
        <v>4.3730999120372624</v>
      </c>
      <c r="AT12">
        <f>VLOOKUP(C12, Triplex!$1:$1048576, 6, FALSE)</f>
        <v>20</v>
      </c>
      <c r="AU12">
        <f>VLOOKUP($C12, Triplex!$1:$1048576, 8, FALSE)</f>
        <v>310</v>
      </c>
      <c r="AV12">
        <f>VLOOKUP($C12, Triplex!$1:$1048576, 9, FALSE)</f>
        <v>171.78</v>
      </c>
      <c r="AW12">
        <f t="shared" si="6"/>
        <v>191.78</v>
      </c>
      <c r="AX12">
        <f>VLOOKUP($C12, TP!$1:$1048576, 6, FALSE)</f>
        <v>370</v>
      </c>
      <c r="AY12">
        <f>VLOOKUP($C12, TN!$1:$1048576,5, FALSE)</f>
        <v>1720</v>
      </c>
      <c r="AZ12">
        <f t="shared" si="7"/>
        <v>5.5483870967741939</v>
      </c>
      <c r="BA12">
        <f>VLOOKUP($C12, TICTOC!$1:$1048576, 5, FALSE)</f>
        <v>52.122</v>
      </c>
      <c r="BB12">
        <f t="shared" si="3"/>
        <v>4339.8834304746051</v>
      </c>
      <c r="BC12">
        <f>VLOOKUP($C12, TICTOC!$1:$1048576, 6, FALSE)</f>
        <v>25.396999999999998</v>
      </c>
      <c r="BD12">
        <f t="shared" si="4"/>
        <v>2114.6544546211489</v>
      </c>
      <c r="BE12">
        <f>VLOOKUP(A12, GHG!$1:$1048576, 4, FALSE)</f>
        <v>697.33740339999997</v>
      </c>
      <c r="BF12">
        <f>VLOOKUP(A12, GHG!$1:$1048576, 6, FALSE)</f>
        <v>26.660833140000001</v>
      </c>
      <c r="BG12">
        <f>VLOOKUP(A12, GHG!$1:$1048576, 7, FALSE)</f>
        <v>8.1772820999999996E-2</v>
      </c>
      <c r="BH12">
        <f>VLOOKUP(A12, GHG!$1:$1048576, 8, FALSE)</f>
        <v>146.6691088</v>
      </c>
      <c r="BI12">
        <f>VLOOKUP(A12, GHG!$1:$1048576, 10, FALSE)</f>
        <v>0.21635564500000001</v>
      </c>
      <c r="BJ12">
        <f>VLOOKUP(A12, GHG!$1:$1048576, 11, FALSE)</f>
        <v>2.4358309999999998E-3</v>
      </c>
      <c r="BK12">
        <f>VLOOKUP(A12, GHG!$1:$1048576, 12, FALSE)</f>
        <v>0.27545199999999997</v>
      </c>
      <c r="BL12">
        <f>VLOOKUP(Master!A12, GHG!$1:$1048576, 14, FALSE)</f>
        <v>7.7827501159999999</v>
      </c>
      <c r="BM12">
        <f>VLOOKUP(A12, GHG!$1:$1048576, 15, FALSE)</f>
        <v>5.3707260999999999E-2</v>
      </c>
      <c r="CM12">
        <v>791</v>
      </c>
      <c r="CN12" s="27">
        <v>331</v>
      </c>
      <c r="CO12">
        <f>VLOOKUP($A12, Flux!$1:$1048576, 2, FALSE)</f>
        <v>23.488090939999999</v>
      </c>
      <c r="CP12">
        <f>VLOOKUP($A12, Flux!$1:$1048576, 10, FALSE)</f>
        <v>0.45468285899999999</v>
      </c>
      <c r="CQ12">
        <f>VLOOKUP($A12, Flux!$1:$1048576, 18, FALSE)</f>
        <v>-3.3979726170000002</v>
      </c>
      <c r="CR12">
        <f t="shared" si="8"/>
        <v>17.04900303777606</v>
      </c>
      <c r="CS12">
        <f t="shared" si="9"/>
        <v>147.84608219816045</v>
      </c>
      <c r="CT12">
        <f>VLOOKUP($C12, SO4_ALK_CL!$1:$1048576, 5, FALSE)</f>
        <v>229.80999755859375</v>
      </c>
      <c r="CU12">
        <f>VLOOKUP($C12, SO4_ALK_CL!$1:$1048576, 7, FALSE)</f>
        <v>318.698486328125</v>
      </c>
      <c r="CV12">
        <f>VLOOKUP($C12, SO4_ALK_CL!$1:$1048576, 6, FALSE)</f>
        <v>8.9799995422363281</v>
      </c>
      <c r="CW12">
        <f>VLOOKUP(A12, Ebullition!$1:$1048576, 5, FALSE)</f>
        <v>1.3034584418110194E-2</v>
      </c>
      <c r="CX12">
        <f>VLOOKUP(A12, Ebullition!$1:$1048576, 7, FALSE)</f>
        <v>0.67371020570461659</v>
      </c>
      <c r="CY12">
        <f>VLOOKUP(A12, Ebullition!$1:$1048576, 8, FALSE)</f>
        <v>50.235294117647058</v>
      </c>
    </row>
    <row r="13" spans="1:103" x14ac:dyDescent="0.25">
      <c r="A13" s="7" t="s">
        <v>89</v>
      </c>
      <c r="B13" s="7">
        <v>52</v>
      </c>
      <c r="C13" s="15" t="str">
        <f t="shared" si="0"/>
        <v>D5243636</v>
      </c>
      <c r="D13" s="15" t="s">
        <v>421</v>
      </c>
      <c r="E13" t="s">
        <v>83</v>
      </c>
      <c r="F13" s="9">
        <v>43636</v>
      </c>
      <c r="G13" s="10">
        <v>0.47569444444444442</v>
      </c>
      <c r="H13">
        <v>49.987430000000003</v>
      </c>
      <c r="I13">
        <v>-101.73838000000001</v>
      </c>
      <c r="J13">
        <v>13.8</v>
      </c>
      <c r="K13">
        <v>100</v>
      </c>
      <c r="L13">
        <v>1.4</v>
      </c>
      <c r="M13" t="s">
        <v>84</v>
      </c>
      <c r="N13">
        <v>0.62</v>
      </c>
      <c r="O13" s="25">
        <v>1</v>
      </c>
      <c r="Q13">
        <v>87.9</v>
      </c>
      <c r="R13" s="15">
        <v>0</v>
      </c>
      <c r="S13" s="15">
        <v>0</v>
      </c>
      <c r="T13" s="15">
        <v>16.3</v>
      </c>
      <c r="U13">
        <v>86.1</v>
      </c>
      <c r="V13">
        <v>8.43</v>
      </c>
      <c r="W13">
        <v>917</v>
      </c>
      <c r="X13">
        <v>0.55000000000000004</v>
      </c>
      <c r="Y13">
        <v>8.98</v>
      </c>
      <c r="Z13">
        <v>16.3</v>
      </c>
      <c r="AA13">
        <v>84.2</v>
      </c>
      <c r="AB13">
        <v>8.23</v>
      </c>
      <c r="AC13">
        <v>917</v>
      </c>
      <c r="AD13">
        <v>0.55000000000000004</v>
      </c>
      <c r="AE13">
        <v>9.01</v>
      </c>
      <c r="AF13" s="15">
        <f t="shared" si="1"/>
        <v>486.5394649681794</v>
      </c>
      <c r="AG13" s="16">
        <v>703</v>
      </c>
      <c r="AH13">
        <f t="shared" si="5"/>
        <v>540.2047</v>
      </c>
      <c r="AI13">
        <v>16.3</v>
      </c>
      <c r="AJ13">
        <v>15.2</v>
      </c>
      <c r="AK13">
        <v>3</v>
      </c>
      <c r="AL13" t="s">
        <v>90</v>
      </c>
      <c r="AM13" t="s">
        <v>166</v>
      </c>
      <c r="AN13">
        <v>18.954386277777779</v>
      </c>
      <c r="AO13">
        <v>17.431189555555555</v>
      </c>
      <c r="AP13">
        <f t="shared" si="2"/>
        <v>1.2413270256519064</v>
      </c>
      <c r="AQ13">
        <f>VLOOKUP(A13, [1]buoyancy_max!$1:$1048576, 4, FALSE)</f>
        <v>0</v>
      </c>
      <c r="AR13">
        <f>VLOOKUP(A13, [2]buoyancy_min!$1:$1048576, 4, FALSE)</f>
        <v>0</v>
      </c>
      <c r="AS13">
        <f>VLOOKUP(A13,[3]Sheet1!$1:$1048576, 11, FALSE)</f>
        <v>7.5489155201080926</v>
      </c>
      <c r="AT13">
        <f>VLOOKUP(C13, Triplex!$1:$1048576, 6, FALSE)</f>
        <v>20</v>
      </c>
      <c r="AU13">
        <f>VLOOKUP($C13, Triplex!$1:$1048576, 8, FALSE)</f>
        <v>110</v>
      </c>
      <c r="AV13">
        <f>VLOOKUP($C13, Triplex!$1:$1048576, 9, FALSE)</f>
        <v>192.09</v>
      </c>
      <c r="AW13">
        <f t="shared" si="6"/>
        <v>212.09</v>
      </c>
      <c r="AX13">
        <f>VLOOKUP($C13, TP!$1:$1048576, 6, FALSE)</f>
        <v>150</v>
      </c>
      <c r="AY13">
        <f>VLOOKUP($C13, TN!$1:$1048576,5, FALSE)</f>
        <v>1750</v>
      </c>
      <c r="AZ13">
        <f t="shared" si="7"/>
        <v>15.909090909090908</v>
      </c>
      <c r="BA13">
        <f>VLOOKUP($C13, TICTOC!$1:$1048576, 5, FALSE)</f>
        <v>61.76</v>
      </c>
      <c r="BB13">
        <f t="shared" si="3"/>
        <v>5142.3813488759361</v>
      </c>
      <c r="BC13">
        <f>VLOOKUP($C13, TICTOC!$1:$1048576, 6, FALSE)</f>
        <v>29.087</v>
      </c>
      <c r="BD13">
        <f t="shared" si="4"/>
        <v>2421.8984179850127</v>
      </c>
      <c r="BE13">
        <f>VLOOKUP(A13, GHG!$1:$1048576, 4, FALSE)</f>
        <v>270.08859769999998</v>
      </c>
      <c r="BF13">
        <f>VLOOKUP(A13, GHG!$1:$1048576, 6, FALSE)</f>
        <v>10.891368480000001</v>
      </c>
      <c r="BG13">
        <f>VLOOKUP(A13, GHG!$1:$1048576, 7, FALSE)</f>
        <v>0.26616973399999999</v>
      </c>
      <c r="BH13">
        <f>VLOOKUP(A13, GHG!$1:$1048576, 8, FALSE)</f>
        <v>1083.830451</v>
      </c>
      <c r="BI13">
        <f>VLOOKUP(A13, GHG!$1:$1048576, 10, FALSE)</f>
        <v>1.6708476779999999</v>
      </c>
      <c r="BJ13">
        <f>VLOOKUP(A13, GHG!$1:$1048576, 11, FALSE)</f>
        <v>4.9168040000000003E-2</v>
      </c>
      <c r="BK13">
        <f>VLOOKUP(A13, GHG!$1:$1048576, 12, FALSE)</f>
        <v>0.26701517899999999</v>
      </c>
      <c r="BL13">
        <f>VLOOKUP(Master!A10, GHG!$1:$1048576, 14, FALSE)</f>
        <v>6.46978235</v>
      </c>
      <c r="BM13">
        <f>VLOOKUP(A13, GHG!$1:$1048576, 15, FALSE)</f>
        <v>8.4042906000000001E-2</v>
      </c>
      <c r="CM13">
        <v>593</v>
      </c>
      <c r="CN13" s="27">
        <v>3989</v>
      </c>
      <c r="CO13">
        <f>VLOOKUP($A13, Flux!$1:$1048576, 2, FALSE)</f>
        <v>-12.03212658</v>
      </c>
      <c r="CP13">
        <f>VLOOKUP($A13, Flux!$1:$1048576, 10, FALSE)</f>
        <v>3.431244559</v>
      </c>
      <c r="CQ13">
        <f>VLOOKUP($A13, Flux!$1:$1048576, 18, FALSE)</f>
        <v>-3.9736853490000001</v>
      </c>
      <c r="CR13">
        <f t="shared" si="8"/>
        <v>1.403178502813573</v>
      </c>
      <c r="CS13">
        <f t="shared" si="9"/>
        <v>151.42381175490655</v>
      </c>
      <c r="CT13">
        <f>VLOOKUP($C13, SO4_ALK_CL!$1:$1048576, 5, FALSE)</f>
        <v>294.89999389648438</v>
      </c>
      <c r="CU13">
        <f>VLOOKUP($C13, SO4_ALK_CL!$1:$1048576, 7, FALSE)</f>
        <v>321.17010498046875</v>
      </c>
      <c r="CV13">
        <f>VLOOKUP($C13, SO4_ALK_CL!$1:$1048576, 6, FALSE)</f>
        <v>20.860000610351563</v>
      </c>
    </row>
    <row r="14" spans="1:103" x14ac:dyDescent="0.25">
      <c r="A14" s="7" t="s">
        <v>133</v>
      </c>
      <c r="B14" s="7" t="s">
        <v>173</v>
      </c>
      <c r="C14" s="15" t="str">
        <f t="shared" si="0"/>
        <v>D44B43654</v>
      </c>
      <c r="D14" s="15" t="s">
        <v>421</v>
      </c>
      <c r="E14" s="14" t="s">
        <v>114</v>
      </c>
      <c r="F14" s="9">
        <v>43654</v>
      </c>
      <c r="G14" s="10">
        <v>0.68611111111111101</v>
      </c>
      <c r="H14">
        <v>52.679040000000001</v>
      </c>
      <c r="I14">
        <v>-108.90733</v>
      </c>
      <c r="J14">
        <v>24.7</v>
      </c>
      <c r="K14">
        <v>50</v>
      </c>
      <c r="L14">
        <v>4.3</v>
      </c>
      <c r="M14" t="s">
        <v>84</v>
      </c>
      <c r="N14">
        <v>0.43</v>
      </c>
      <c r="O14" s="25">
        <v>2.1</v>
      </c>
      <c r="Q14">
        <v>89</v>
      </c>
      <c r="R14" s="15">
        <v>0</v>
      </c>
      <c r="S14" s="15">
        <v>0</v>
      </c>
      <c r="T14" s="15">
        <v>23.4</v>
      </c>
      <c r="U14">
        <v>91.9</v>
      </c>
      <c r="V14">
        <v>7.87</v>
      </c>
      <c r="W14">
        <v>586</v>
      </c>
      <c r="X14">
        <v>0.28999999999999998</v>
      </c>
      <c r="Y14">
        <v>8.75</v>
      </c>
      <c r="Z14">
        <v>14.6</v>
      </c>
      <c r="AA14">
        <v>1.3</v>
      </c>
      <c r="AB14">
        <v>0.13</v>
      </c>
      <c r="AC14">
        <v>510</v>
      </c>
      <c r="AD14">
        <v>0.31</v>
      </c>
      <c r="AE14">
        <v>6.99</v>
      </c>
      <c r="AF14" s="15">
        <f t="shared" si="1"/>
        <v>303.95390451343769</v>
      </c>
      <c r="AG14" s="15">
        <v>703.4</v>
      </c>
      <c r="AH14">
        <f t="shared" si="5"/>
        <v>345.21259999999995</v>
      </c>
      <c r="AI14">
        <v>23.4</v>
      </c>
      <c r="AJ14">
        <v>21.8</v>
      </c>
      <c r="AK14">
        <v>2</v>
      </c>
      <c r="AM14" t="s">
        <v>166</v>
      </c>
      <c r="AN14">
        <v>51.35319650000001</v>
      </c>
      <c r="AO14">
        <v>38.883555166666667</v>
      </c>
      <c r="AP14">
        <f t="shared" si="2"/>
        <v>1.5897659660968064</v>
      </c>
      <c r="AQ14">
        <f>VLOOKUP(A14, [1]buoyancy_max!$1:$1048576, 4, FALSE)</f>
        <v>1.5187506E-2</v>
      </c>
      <c r="AR14">
        <f>VLOOKUP(A14, [2]buoyancy_min!$1:$1048576, 4, FALSE)</f>
        <v>4.1846189999999997E-3</v>
      </c>
      <c r="AS14" t="e">
        <f>VLOOKUP(A14,[3]Sheet1!$1:$1048576, 11, FALSE)</f>
        <v>#N/A</v>
      </c>
      <c r="AT14">
        <f>VLOOKUP(C14, Triplex!$1:$1048576, 6, FALSE)</f>
        <v>50</v>
      </c>
      <c r="AU14">
        <f>VLOOKUP($C14, Triplex!$1:$1048576, 8, FALSE)</f>
        <v>50</v>
      </c>
      <c r="AV14">
        <f>VLOOKUP($C14, Triplex!$1:$1048576, 9, FALSE)</f>
        <v>69.13</v>
      </c>
      <c r="AW14">
        <f t="shared" si="6"/>
        <v>119.13</v>
      </c>
      <c r="AX14">
        <f>VLOOKUP($C14, TP!$1:$1048576, 6, FALSE)</f>
        <v>70</v>
      </c>
      <c r="AY14">
        <f>VLOOKUP($C14, TN!$1:$1048576,5, FALSE)</f>
        <v>1560</v>
      </c>
      <c r="AZ14">
        <f t="shared" si="7"/>
        <v>31.2</v>
      </c>
      <c r="BA14">
        <f>VLOOKUP($C14, TICTOC!$1:$1048576, 5, FALSE)</f>
        <v>38.063000000000002</v>
      </c>
      <c r="BB14">
        <f t="shared" si="3"/>
        <v>3169.2756036636142</v>
      </c>
      <c r="BC14">
        <f>VLOOKUP($C14, TICTOC!$1:$1048576, 6, FALSE)</f>
        <v>29.294</v>
      </c>
      <c r="BD14">
        <f t="shared" si="4"/>
        <v>2439.1340549542047</v>
      </c>
      <c r="BE14">
        <f>VLOOKUP(A14, GHG!$1:$1048576, 4, FALSE)</f>
        <v>292.91955519999999</v>
      </c>
      <c r="BF14">
        <f>VLOOKUP(A14, GHG!$1:$1048576, 6, FALSE)</f>
        <v>9.6083709699999993</v>
      </c>
      <c r="BG14">
        <f>VLOOKUP(A14, GHG!$1:$1048576, 7, FALSE)</f>
        <v>0.44782623900000001</v>
      </c>
      <c r="BH14">
        <f>VLOOKUP(A14, GHG!$1:$1048576, 8, FALSE)</f>
        <v>574.27054450000003</v>
      </c>
      <c r="BI14">
        <f>VLOOKUP(A14, GHG!$1:$1048576, 10, FALSE)</f>
        <v>0.76828577799999997</v>
      </c>
      <c r="BJ14">
        <f>VLOOKUP(A14, GHG!$1:$1048576, 11, FALSE)</f>
        <v>7.2199598000000004E-2</v>
      </c>
      <c r="BK14">
        <f>VLOOKUP(A14, GHG!$1:$1048576, 12, FALSE)</f>
        <v>0.29082874399999997</v>
      </c>
      <c r="BL14">
        <f>VLOOKUP(Master!A8, GHG!$1:$1048576, 14, FALSE)</f>
        <v>6.3100143070000003</v>
      </c>
      <c r="BM14">
        <f>VLOOKUP(A14, GHG!$1:$1048576, 15, FALSE)</f>
        <v>7.5281288000000002E-2</v>
      </c>
      <c r="CM14">
        <v>632</v>
      </c>
      <c r="CN14" s="27">
        <v>469</v>
      </c>
      <c r="CO14">
        <f>VLOOKUP($A14, Flux!$1:$1048576, 2, FALSE)</f>
        <v>-10.46902764</v>
      </c>
      <c r="CP14">
        <f>VLOOKUP($A14, Flux!$1:$1048576, 10, FALSE)</f>
        <v>1.9909689939999999</v>
      </c>
      <c r="CQ14">
        <f>VLOOKUP($A14, Flux!$1:$1048576, 18, FALSE)</f>
        <v>-2.5980936840000002</v>
      </c>
      <c r="CR14">
        <f t="shared" si="8"/>
        <v>8.5936530114398533</v>
      </c>
      <c r="CS14">
        <f t="shared" si="9"/>
        <v>423.75235064371475</v>
      </c>
      <c r="CT14">
        <f>VLOOKUP($C14, SO4_ALK_CL!$1:$1048576, 5, FALSE)</f>
        <v>143.42449951171875</v>
      </c>
      <c r="CU14">
        <f>VLOOKUP($C14, SO4_ALK_CL!$1:$1048576, 7, FALSE)</f>
        <v>189.93170166015625</v>
      </c>
      <c r="CV14">
        <f>VLOOKUP($C14, SO4_ALK_CL!$1:$1048576, 6, FALSE)</f>
        <v>6.4724001884460449</v>
      </c>
    </row>
    <row r="15" spans="1:103" x14ac:dyDescent="0.25">
      <c r="A15" s="7" t="s">
        <v>129</v>
      </c>
      <c r="B15" s="7" t="s">
        <v>178</v>
      </c>
      <c r="C15" s="15" t="str">
        <f t="shared" si="0"/>
        <v>D57B43655</v>
      </c>
      <c r="D15" s="15" t="s">
        <v>421</v>
      </c>
      <c r="E15" t="s">
        <v>114</v>
      </c>
      <c r="F15" s="9">
        <v>43655</v>
      </c>
      <c r="G15" s="10">
        <v>0.3979166666666667</v>
      </c>
      <c r="H15">
        <v>52.414670000000001</v>
      </c>
      <c r="I15">
        <v>-107.92751</v>
      </c>
      <c r="J15">
        <v>16.100000000000001</v>
      </c>
      <c r="K15">
        <v>5</v>
      </c>
      <c r="L15">
        <v>6.5</v>
      </c>
      <c r="M15" t="s">
        <v>84</v>
      </c>
      <c r="N15">
        <v>0.68</v>
      </c>
      <c r="O15" s="25">
        <v>2.7</v>
      </c>
      <c r="Q15">
        <v>78.099999999999994</v>
      </c>
      <c r="R15" s="15">
        <v>0</v>
      </c>
      <c r="S15" s="15">
        <v>0</v>
      </c>
      <c r="T15" s="15">
        <v>20.9</v>
      </c>
      <c r="U15">
        <v>91.7</v>
      </c>
      <c r="V15">
        <v>8.2100000000000009</v>
      </c>
      <c r="W15">
        <v>389.3</v>
      </c>
      <c r="X15">
        <v>0.2</v>
      </c>
      <c r="Y15">
        <v>9.07</v>
      </c>
      <c r="Z15">
        <v>13.6</v>
      </c>
      <c r="AA15">
        <v>1.2</v>
      </c>
      <c r="AB15">
        <v>0.13</v>
      </c>
      <c r="AC15">
        <v>365.9</v>
      </c>
      <c r="AD15">
        <v>0.23</v>
      </c>
      <c r="AE15">
        <v>7.92</v>
      </c>
      <c r="AF15" s="15">
        <f t="shared" si="1"/>
        <v>200.60227674812182</v>
      </c>
      <c r="AG15" s="15">
        <v>698.6</v>
      </c>
      <c r="AH15">
        <f t="shared" si="5"/>
        <v>229.33662999999999</v>
      </c>
      <c r="AI15">
        <v>20.9</v>
      </c>
      <c r="AJ15">
        <v>20</v>
      </c>
      <c r="AL15" t="s">
        <v>130</v>
      </c>
      <c r="AM15" t="s">
        <v>166</v>
      </c>
      <c r="AN15">
        <v>23.709592666666669</v>
      </c>
      <c r="AO15">
        <v>22.400713250000003</v>
      </c>
      <c r="AP15">
        <f t="shared" si="2"/>
        <v>1.3502618467095067</v>
      </c>
      <c r="AQ15">
        <f>VLOOKUP(A15, [1]buoyancy_max!$1:$1048576, 4, FALSE)</f>
        <v>7.0929579999999999E-3</v>
      </c>
      <c r="AR15">
        <f>VLOOKUP(A15, [2]buoyancy_min!$1:$1048576, 4, FALSE)</f>
        <v>0</v>
      </c>
      <c r="AS15" t="e">
        <f>VLOOKUP(A15,[3]Sheet1!$1:$1048576, 11, FALSE)</f>
        <v>#N/A</v>
      </c>
      <c r="AT15">
        <f>VLOOKUP(C15, Triplex!$1:$1048576, 6, FALSE)</f>
        <v>9.74</v>
      </c>
      <c r="AU15">
        <f>VLOOKUP($C15, Triplex!$1:$1048576, 8, FALSE)</f>
        <v>10</v>
      </c>
      <c r="AV15">
        <f>VLOOKUP($C15, Triplex!$1:$1048576, 9, FALSE)</f>
        <v>80.17</v>
      </c>
      <c r="AW15">
        <f t="shared" si="6"/>
        <v>89.91</v>
      </c>
      <c r="AX15">
        <f>VLOOKUP($C15, TP!$1:$1048576, 6, FALSE)</f>
        <v>30</v>
      </c>
      <c r="AY15">
        <f>VLOOKUP($C15, TN!$1:$1048576,5, FALSE)</f>
        <v>1770</v>
      </c>
      <c r="AZ15">
        <f t="shared" si="7"/>
        <v>177</v>
      </c>
      <c r="BA15">
        <f>VLOOKUP($C15, TICTOC!$1:$1048576, 5, FALSE)</f>
        <v>56.448999999999998</v>
      </c>
      <c r="BB15">
        <f t="shared" si="3"/>
        <v>4700.1665278934215</v>
      </c>
      <c r="BC15">
        <f>VLOOKUP($C15, TICTOC!$1:$1048576, 6, FALSE)</f>
        <v>29.908999999999999</v>
      </c>
      <c r="BD15">
        <f t="shared" si="4"/>
        <v>2490.3413821815152</v>
      </c>
      <c r="BE15">
        <f>VLOOKUP(A15, GHG!$1:$1048576, 4, FALSE)</f>
        <v>184.6511118</v>
      </c>
      <c r="BF15">
        <f>VLOOKUP(A15, GHG!$1:$1048576, 6, FALSE)</f>
        <v>6.4590527350000002</v>
      </c>
      <c r="BG15">
        <f>VLOOKUP(A15, GHG!$1:$1048576, 7, FALSE)</f>
        <v>0.26622681599999998</v>
      </c>
      <c r="BH15">
        <f>VLOOKUP(A15, GHG!$1:$1048576, 8, FALSE)</f>
        <v>1227.37418</v>
      </c>
      <c r="BI15">
        <f>VLOOKUP(A15, GHG!$1:$1048576, 10, FALSE)</f>
        <v>1.712073516</v>
      </c>
      <c r="BJ15">
        <f>VLOOKUP(A15, GHG!$1:$1048576, 11, FALSE)</f>
        <v>2.3887162999999999E-2</v>
      </c>
      <c r="BK15">
        <f>VLOOKUP(A15, GHG!$1:$1048576, 12, FALSE)</f>
        <v>0.27035982400000003</v>
      </c>
      <c r="BL15">
        <f>VLOOKUP(Master!A15, GHG!$1:$1048576, 14, FALSE)</f>
        <v>6.9548603890000003</v>
      </c>
      <c r="BM15">
        <f>VLOOKUP(A15, GHG!$1:$1048576, 15, FALSE)</f>
        <v>5.7730699000000003E-2</v>
      </c>
      <c r="CM15">
        <v>729</v>
      </c>
      <c r="CN15" s="27">
        <v>341</v>
      </c>
      <c r="CO15">
        <f>VLOOKUP($A15, Flux!$1:$1048576, 2, FALSE)</f>
        <v>-19.532080059999998</v>
      </c>
      <c r="CP15">
        <f>VLOOKUP($A15, Flux!$1:$1048576, 10, FALSE)</f>
        <v>4.1005718770000001</v>
      </c>
      <c r="CQ15">
        <f>VLOOKUP($A15, Flux!$1:$1048576, 18, FALSE)</f>
        <v>-3.8109426420000001</v>
      </c>
      <c r="CR15">
        <f t="shared" si="8"/>
        <v>12.957807247246155</v>
      </c>
      <c r="CS15">
        <f t="shared" si="9"/>
        <v>373.06972683048519</v>
      </c>
      <c r="CT15">
        <f>VLOOKUP($C15, SO4_ALK_CL!$1:$1048576, 5, FALSE)</f>
        <v>223.87319946289063</v>
      </c>
      <c r="CU15">
        <f>VLOOKUP($C15, SO4_ALK_CL!$1:$1048576, 7, FALSE)</f>
        <v>94.86932373046875</v>
      </c>
      <c r="CV15">
        <f>VLOOKUP($C15, SO4_ALK_CL!$1:$1048576, 6, FALSE)</f>
        <v>6.5767998695373535</v>
      </c>
    </row>
    <row r="16" spans="1:103" x14ac:dyDescent="0.25">
      <c r="A16" s="7" t="s">
        <v>103</v>
      </c>
      <c r="B16" s="7" t="s">
        <v>179</v>
      </c>
      <c r="C16" s="15" t="str">
        <f t="shared" si="0"/>
        <v>D61B43641</v>
      </c>
      <c r="D16" s="15" t="s">
        <v>421</v>
      </c>
      <c r="E16" t="s">
        <v>83</v>
      </c>
      <c r="F16" s="9">
        <v>43641</v>
      </c>
      <c r="G16" s="10">
        <v>0.43333333333333335</v>
      </c>
      <c r="H16">
        <v>50.240139999999997</v>
      </c>
      <c r="I16">
        <v>-105.99799</v>
      </c>
      <c r="J16">
        <v>18.3</v>
      </c>
      <c r="K16">
        <v>50</v>
      </c>
      <c r="L16">
        <v>14.1</v>
      </c>
      <c r="M16" t="s">
        <v>84</v>
      </c>
      <c r="N16">
        <v>0.18</v>
      </c>
      <c r="O16" s="25">
        <v>2.1</v>
      </c>
      <c r="Q16">
        <v>94.5</v>
      </c>
      <c r="R16" s="15">
        <v>0</v>
      </c>
      <c r="S16" s="15">
        <v>0</v>
      </c>
      <c r="T16" s="16">
        <v>17</v>
      </c>
      <c r="U16">
        <v>75.599999999999994</v>
      </c>
      <c r="V16">
        <v>7.38</v>
      </c>
      <c r="W16">
        <v>3535</v>
      </c>
      <c r="X16">
        <v>2.23</v>
      </c>
      <c r="Y16">
        <v>7.98</v>
      </c>
      <c r="Z16">
        <v>14.5</v>
      </c>
      <c r="AA16">
        <v>2.9</v>
      </c>
      <c r="AB16">
        <v>0.27</v>
      </c>
      <c r="AC16">
        <v>3344</v>
      </c>
      <c r="AD16">
        <v>2.25</v>
      </c>
      <c r="AE16">
        <v>7.62</v>
      </c>
      <c r="AF16" s="15">
        <f t="shared" si="1"/>
        <v>1981.4434624064293</v>
      </c>
      <c r="AG16" s="15">
        <v>696.2</v>
      </c>
      <c r="AH16">
        <f t="shared" si="5"/>
        <v>2082.4684999999999</v>
      </c>
      <c r="AI16">
        <v>17</v>
      </c>
      <c r="AJ16">
        <v>16.5</v>
      </c>
      <c r="AK16">
        <v>1</v>
      </c>
      <c r="AM16" t="s">
        <v>166</v>
      </c>
      <c r="AN16">
        <v>46.515173466666667</v>
      </c>
      <c r="AO16">
        <v>38.589315866666666</v>
      </c>
      <c r="AP16">
        <f t="shared" si="2"/>
        <v>1.5864670792201334</v>
      </c>
      <c r="AQ16">
        <f>VLOOKUP(A16, [1]buoyancy_max!$1:$1048576, 4, FALSE)</f>
        <v>4.8433779999999997E-3</v>
      </c>
      <c r="AR16">
        <f>VLOOKUP(A16, [2]buoyancy_min!$1:$1048576, 4, FALSE)</f>
        <v>3.3556800000000001E-4</v>
      </c>
      <c r="AS16" t="e">
        <f>VLOOKUP(A16,[3]Sheet1!$1:$1048576, 11, FALSE)</f>
        <v>#N/A</v>
      </c>
      <c r="AT16">
        <f>VLOOKUP(C16, Triplex!$1:$1048576, 6, FALSE)</f>
        <v>400</v>
      </c>
      <c r="AU16">
        <f>VLOOKUP($C16, Triplex!$1:$1048576, 8, FALSE)</f>
        <v>5.36</v>
      </c>
      <c r="AV16">
        <f>VLOOKUP($C16, Triplex!$1:$1048576, 9, FALSE)</f>
        <v>1490</v>
      </c>
      <c r="AW16">
        <f t="shared" si="6"/>
        <v>1890</v>
      </c>
      <c r="AX16">
        <f>VLOOKUP($C16, TP!$1:$1048576, 6, FALSE)</f>
        <v>20</v>
      </c>
      <c r="AY16">
        <f>VLOOKUP($C16, TN!$1:$1048576,5, FALSE)</f>
        <v>4536.8</v>
      </c>
      <c r="AZ16">
        <f t="shared" si="7"/>
        <v>846.41791044776119</v>
      </c>
      <c r="BA16">
        <f>VLOOKUP($C16, TICTOC!$1:$1048576, 5, FALSE)</f>
        <v>42.752000000000002</v>
      </c>
      <c r="BB16">
        <f t="shared" si="3"/>
        <v>3559.7002497918406</v>
      </c>
      <c r="BC16">
        <f>VLOOKUP($C16, TICTOC!$1:$1048576, 6, FALSE)</f>
        <v>31.384</v>
      </c>
      <c r="BD16">
        <f t="shared" si="4"/>
        <v>2613.1557035803498</v>
      </c>
      <c r="BE16">
        <f>VLOOKUP(A16, GHG!$1:$1048576, 4, FALSE)</f>
        <v>1231.329937</v>
      </c>
      <c r="BF16">
        <f>VLOOKUP(A16, GHG!$1:$1048576, 6, FALSE)</f>
        <v>47.739886439999999</v>
      </c>
      <c r="BG16">
        <f>VLOOKUP(A16, GHG!$1:$1048576, 7, FALSE)</f>
        <v>0.51401978299999995</v>
      </c>
      <c r="BH16">
        <f>VLOOKUP(A16, GHG!$1:$1048576, 8, FALSE)</f>
        <v>124.51703879999999</v>
      </c>
      <c r="BI16">
        <f>VLOOKUP(A16, GHG!$1:$1048576, 10, FALSE)</f>
        <v>0.185229433</v>
      </c>
      <c r="BJ16">
        <f>VLOOKUP(A16, GHG!$1:$1048576, 11, FALSE)</f>
        <v>1.514144E-3</v>
      </c>
      <c r="BK16">
        <f>VLOOKUP(A16, GHG!$1:$1048576, 12, FALSE)</f>
        <v>0.454841092</v>
      </c>
      <c r="BL16">
        <f>VLOOKUP(Master!A16, GHG!$1:$1048576, 14, FALSE)</f>
        <v>13.008339879999999</v>
      </c>
      <c r="BM16">
        <f>VLOOKUP(A16, GHG!$1:$1048576, 15, FALSE)</f>
        <v>7.6178966000000001E-2</v>
      </c>
      <c r="CM16">
        <v>716</v>
      </c>
      <c r="CN16" s="27">
        <v>1070</v>
      </c>
      <c r="CO16">
        <f>VLOOKUP($A16, Flux!$1:$1048576, 2, FALSE)</f>
        <v>67.848932820000002</v>
      </c>
      <c r="CP16">
        <f>VLOOKUP($A16, Flux!$1:$1048576, 10, FALSE)</f>
        <v>0.38443359300000002</v>
      </c>
      <c r="CQ16">
        <f>VLOOKUP($A16, Flux!$1:$1048576, 18, FALSE)</f>
        <v>7.2598343300000003</v>
      </c>
      <c r="CR16">
        <f t="shared" si="8"/>
        <v>5.6894770061703266</v>
      </c>
      <c r="CS16">
        <f t="shared" si="9"/>
        <v>21.063087248322148</v>
      </c>
      <c r="CT16">
        <f>VLOOKUP($C16, SO4_ALK_CL!$1:$1048576, 5, FALSE)</f>
        <v>185.82000732421875</v>
      </c>
      <c r="CU16">
        <f>VLOOKUP($C16, SO4_ALK_CL!$1:$1048576, 7, FALSE)</f>
        <v>2968.762939453125</v>
      </c>
      <c r="CV16">
        <f>VLOOKUP($C16, SO4_ALK_CL!$1:$1048576, 6, FALSE)</f>
        <v>115.48999786376953</v>
      </c>
    </row>
    <row r="17" spans="1:103" x14ac:dyDescent="0.25">
      <c r="A17" s="7" t="s">
        <v>113</v>
      </c>
      <c r="B17" s="7" t="s">
        <v>171</v>
      </c>
      <c r="C17" s="15" t="str">
        <f t="shared" si="0"/>
        <v>D31B43648</v>
      </c>
      <c r="D17" s="15" t="s">
        <v>421</v>
      </c>
      <c r="E17" t="s">
        <v>114</v>
      </c>
      <c r="F17" s="9">
        <v>43648</v>
      </c>
      <c r="G17" s="10">
        <v>0.62638888888888888</v>
      </c>
      <c r="H17">
        <v>51.138489999999997</v>
      </c>
      <c r="I17">
        <v>-107.53655000000001</v>
      </c>
      <c r="J17">
        <v>20.7</v>
      </c>
      <c r="K17">
        <v>5</v>
      </c>
      <c r="L17">
        <v>10</v>
      </c>
      <c r="M17" t="s">
        <v>115</v>
      </c>
      <c r="N17">
        <v>0.6</v>
      </c>
      <c r="O17" s="25">
        <v>1.2</v>
      </c>
      <c r="Q17">
        <v>87.3</v>
      </c>
      <c r="R17" s="15">
        <v>0</v>
      </c>
      <c r="S17" s="15">
        <v>0</v>
      </c>
      <c r="T17" s="15">
        <v>18.8</v>
      </c>
      <c r="U17">
        <v>117.4</v>
      </c>
      <c r="V17">
        <v>10.85</v>
      </c>
      <c r="W17">
        <v>1527</v>
      </c>
      <c r="X17">
        <v>0.88</v>
      </c>
      <c r="Y17">
        <v>9.3699999999999992</v>
      </c>
      <c r="Z17">
        <v>16.3</v>
      </c>
      <c r="AA17">
        <v>90.1</v>
      </c>
      <c r="AB17">
        <v>8.8000000000000007</v>
      </c>
      <c r="AC17">
        <v>1439</v>
      </c>
      <c r="AD17">
        <v>0.88</v>
      </c>
      <c r="AE17">
        <v>9.33</v>
      </c>
      <c r="AF17" s="15">
        <f t="shared" si="1"/>
        <v>832.97088990158727</v>
      </c>
      <c r="AG17" s="15">
        <v>700.4</v>
      </c>
      <c r="AH17">
        <f t="shared" si="5"/>
        <v>899.55569999999989</v>
      </c>
      <c r="AI17">
        <v>18.8</v>
      </c>
      <c r="AJ17">
        <v>18.600000000000001</v>
      </c>
      <c r="AK17">
        <v>1</v>
      </c>
      <c r="AM17" t="s">
        <v>166</v>
      </c>
      <c r="AN17">
        <v>10.615818370000001</v>
      </c>
      <c r="AO17">
        <v>8.7386904300000001</v>
      </c>
      <c r="AP17">
        <f t="shared" si="2"/>
        <v>0.94144635464380555</v>
      </c>
      <c r="AQ17">
        <f>VLOOKUP(A17, [1]buoyancy_max!$1:$1048576, 4, FALSE)</f>
        <v>8.8294879999999999E-3</v>
      </c>
      <c r="AR17">
        <f>VLOOKUP(A17, [2]buoyancy_min!$1:$1048576, 4, FALSE)</f>
        <v>0</v>
      </c>
      <c r="AS17">
        <f>VLOOKUP(A17,[3]Sheet1!$1:$1048576, 11, FALSE)</f>
        <v>3.8895599011921407</v>
      </c>
      <c r="AT17">
        <f>VLOOKUP(C17, Triplex!$1:$1048576, 6, FALSE)</f>
        <v>150</v>
      </c>
      <c r="AU17">
        <f>VLOOKUP($C17, Triplex!$1:$1048576, 8, FALSE)</f>
        <v>130</v>
      </c>
      <c r="AV17">
        <f>VLOOKUP($C17, Triplex!$1:$1048576, 9, FALSE)</f>
        <v>4.1900000000000004</v>
      </c>
      <c r="AW17">
        <f t="shared" si="6"/>
        <v>154.19</v>
      </c>
      <c r="AX17">
        <f>VLOOKUP($C17, TP!$1:$1048576, 6, FALSE)</f>
        <v>220</v>
      </c>
      <c r="AY17">
        <f>VLOOKUP($C17, TN!$1:$1048576,5, FALSE)</f>
        <v>2400</v>
      </c>
      <c r="AZ17">
        <f t="shared" si="7"/>
        <v>18.46153846153846</v>
      </c>
      <c r="BA17">
        <f>VLOOKUP($C17, TICTOC!$1:$1048576, 5, FALSE)</f>
        <v>57.927</v>
      </c>
      <c r="BB17">
        <f t="shared" si="3"/>
        <v>4823.2306411323898</v>
      </c>
      <c r="BC17">
        <f>VLOOKUP($C17, TICTOC!$1:$1048576, 6, FALSE)</f>
        <v>36.026000000000003</v>
      </c>
      <c r="BD17">
        <f t="shared" si="4"/>
        <v>2999.6669442131561</v>
      </c>
      <c r="BE17">
        <f>VLOOKUP(A17, GHG!$1:$1048576, 4, FALSE)</f>
        <v>129.59199269999999</v>
      </c>
      <c r="BF17">
        <f>VLOOKUP(A17, GHG!$1:$1048576, 6, FALSE)</f>
        <v>4.818073161</v>
      </c>
      <c r="BG17">
        <f>VLOOKUP(A17, GHG!$1:$1048576, 7, FALSE)</f>
        <v>0.39896262700000001</v>
      </c>
      <c r="BH17">
        <f>VLOOKUP(A17, GHG!$1:$1048576, 8, FALSE)</f>
        <v>815.09120610000002</v>
      </c>
      <c r="BI17">
        <f>VLOOKUP(A17, GHG!$1:$1048576, 10, FALSE)</f>
        <v>1.1843976409999999</v>
      </c>
      <c r="BJ17">
        <f>VLOOKUP(A17, GHG!$1:$1048576, 11, FALSE)</f>
        <v>7.2830079999999997E-3</v>
      </c>
      <c r="BK17">
        <f>VLOOKUP(A17, GHG!$1:$1048576, 12, FALSE)</f>
        <v>0.28868375899999998</v>
      </c>
      <c r="BL17">
        <f>VLOOKUP(Master!A6, GHG!$1:$1048576, 14, FALSE)</f>
        <v>7.0829869739999998</v>
      </c>
      <c r="BM17">
        <f>VLOOKUP(A17, GHG!$1:$1048576, 15, FALSE)</f>
        <v>1.8386632999999999E-2</v>
      </c>
      <c r="CM17">
        <v>687</v>
      </c>
      <c r="CN17" s="27">
        <v>675</v>
      </c>
      <c r="CO17">
        <f>VLOOKUP($A17, Flux!$1:$1048576, 2, FALSE)</f>
        <v>-23.994547799999999</v>
      </c>
      <c r="CP17">
        <f>VLOOKUP($A17, Flux!$1:$1048576, 10, FALSE)</f>
        <v>2.6454253159999999</v>
      </c>
      <c r="CQ17">
        <f>VLOOKUP($A17, Flux!$1:$1048576, 18, FALSE)</f>
        <v>-2.6694171199999999</v>
      </c>
      <c r="CR17">
        <f t="shared" si="8"/>
        <v>4.0933068317963093</v>
      </c>
      <c r="CS17">
        <f t="shared" si="9"/>
        <v>8598.090692124104</v>
      </c>
      <c r="CT17">
        <f>VLOOKUP($C17, SO4_ALK_CL!$1:$1048576, 5, FALSE)</f>
        <v>303.3599853515625</v>
      </c>
      <c r="CU17">
        <f>VLOOKUP($C17, SO4_ALK_CL!$1:$1048576, 7, FALSE)</f>
        <v>747.161376953125</v>
      </c>
      <c r="CV17">
        <f>VLOOKUP($C17, SO4_ALK_CL!$1:$1048576, 6, FALSE)</f>
        <v>61.740001678466797</v>
      </c>
    </row>
    <row r="18" spans="1:103" x14ac:dyDescent="0.25">
      <c r="A18" s="7" t="s">
        <v>118</v>
      </c>
      <c r="B18" s="7" t="s">
        <v>172</v>
      </c>
      <c r="C18" s="15" t="str">
        <f t="shared" si="0"/>
        <v>D31C43648</v>
      </c>
      <c r="D18" s="15" t="s">
        <v>421</v>
      </c>
      <c r="E18" t="s">
        <v>114</v>
      </c>
      <c r="F18" s="9">
        <v>43648</v>
      </c>
      <c r="G18" s="10">
        <v>0.56041666666666667</v>
      </c>
      <c r="H18">
        <v>51.160359999999997</v>
      </c>
      <c r="I18">
        <v>-107.53691999999999</v>
      </c>
      <c r="J18">
        <v>20.9</v>
      </c>
      <c r="K18">
        <v>50</v>
      </c>
      <c r="L18">
        <v>9</v>
      </c>
      <c r="M18" t="s">
        <v>115</v>
      </c>
      <c r="N18">
        <v>0.57999999999999996</v>
      </c>
      <c r="O18" s="25">
        <v>3.4</v>
      </c>
      <c r="Q18">
        <v>98.1</v>
      </c>
      <c r="R18" s="15">
        <v>0</v>
      </c>
      <c r="S18" s="15">
        <v>0</v>
      </c>
      <c r="T18" s="15">
        <v>18.3</v>
      </c>
      <c r="U18">
        <v>48.7</v>
      </c>
      <c r="V18">
        <v>4.54</v>
      </c>
      <c r="W18">
        <v>488.3</v>
      </c>
      <c r="X18">
        <v>0.27</v>
      </c>
      <c r="Y18">
        <v>8.41</v>
      </c>
      <c r="Z18">
        <v>12.6</v>
      </c>
      <c r="AA18">
        <v>1.8</v>
      </c>
      <c r="AB18">
        <v>0.19</v>
      </c>
      <c r="AC18">
        <v>465.1</v>
      </c>
      <c r="AD18">
        <v>0.3</v>
      </c>
      <c r="AE18">
        <v>7.33</v>
      </c>
      <c r="AF18" s="15">
        <f t="shared" si="1"/>
        <v>252.61091208927905</v>
      </c>
      <c r="AG18" s="15">
        <v>701.1</v>
      </c>
      <c r="AH18">
        <f t="shared" si="5"/>
        <v>287.65753000000001</v>
      </c>
      <c r="AI18">
        <v>18.3</v>
      </c>
      <c r="AJ18">
        <v>17.5</v>
      </c>
      <c r="AK18">
        <v>1</v>
      </c>
      <c r="AL18" t="s">
        <v>119</v>
      </c>
      <c r="AM18" t="s">
        <v>166</v>
      </c>
      <c r="AN18">
        <v>14.218549103750002</v>
      </c>
      <c r="AO18">
        <v>12.3736833275</v>
      </c>
      <c r="AP18">
        <f t="shared" si="2"/>
        <v>1.0924989971794437</v>
      </c>
      <c r="AQ18">
        <f>VLOOKUP(A18, [1]buoyancy_max!$1:$1048576, 4, FALSE)</f>
        <v>6.5019420000000001E-3</v>
      </c>
      <c r="AR18">
        <f>VLOOKUP(A18, [2]buoyancy_min!$1:$1048576, 4, FALSE)</f>
        <v>0</v>
      </c>
      <c r="AS18" t="e">
        <f>VLOOKUP(A18,[3]Sheet1!$1:$1048576, 11, FALSE)</f>
        <v>#N/A</v>
      </c>
      <c r="AT18">
        <f>VLOOKUP(C18, Triplex!$1:$1048576, 6, FALSE)</f>
        <v>9.7000000000000011</v>
      </c>
      <c r="AU18">
        <f>VLOOKUP($C18, Triplex!$1:$1048576, 8, FALSE)</f>
        <v>660</v>
      </c>
      <c r="AV18">
        <f>VLOOKUP($C18, Triplex!$1:$1048576, 9, FALSE)</f>
        <v>736.65</v>
      </c>
      <c r="AW18">
        <f t="shared" si="6"/>
        <v>746.35</v>
      </c>
      <c r="AX18">
        <f>VLOOKUP($C18, TP!$1:$1048576, 6, FALSE)</f>
        <v>730</v>
      </c>
      <c r="AY18">
        <f>VLOOKUP($C18, TN!$1:$1048576,5, FALSE)</f>
        <v>3570</v>
      </c>
      <c r="AZ18">
        <f t="shared" si="7"/>
        <v>5.4090909090909092</v>
      </c>
      <c r="BA18">
        <f>VLOOKUP($C18, TICTOC!$1:$1048576, 5, FALSE)</f>
        <v>70.084999999999994</v>
      </c>
      <c r="BB18">
        <f t="shared" si="3"/>
        <v>5835.5537052456284</v>
      </c>
      <c r="BC18">
        <f>VLOOKUP($C18, TICTOC!$1:$1048576, 6, FALSE)</f>
        <v>41.097999999999999</v>
      </c>
      <c r="BD18">
        <f t="shared" si="4"/>
        <v>3421.9816819317239</v>
      </c>
      <c r="BE18">
        <f>VLOOKUP(A18, GHG!$1:$1048576, 4, FALSE)</f>
        <v>807.33933260000003</v>
      </c>
      <c r="BF18">
        <f>VLOOKUP(A18, GHG!$1:$1048576, 6, FALSE)</f>
        <v>30.58655284</v>
      </c>
      <c r="BG18">
        <f>VLOOKUP(A18, GHG!$1:$1048576, 7, FALSE)</f>
        <v>0.35521606999999999</v>
      </c>
      <c r="BH18">
        <f>VLOOKUP(A18, GHG!$1:$1048576, 8, FALSE)</f>
        <v>3998.3268069999999</v>
      </c>
      <c r="BI18">
        <f>VLOOKUP(A18, GHG!$1:$1048576, 10, FALSE)</f>
        <v>5.8993962370000004</v>
      </c>
      <c r="BJ18">
        <f>VLOOKUP(A18, GHG!$1:$1048576, 11, FALSE)</f>
        <v>1.2540258E-2</v>
      </c>
      <c r="BK18">
        <f>VLOOKUP(A18, GHG!$1:$1048576, 12, FALSE)</f>
        <v>0.173919238</v>
      </c>
      <c r="BL18">
        <f>VLOOKUP(Master!A7, GHG!$1:$1048576, 14, FALSE)</f>
        <v>7.9735235529999997</v>
      </c>
      <c r="BM18">
        <f>VLOOKUP(A18, GHG!$1:$1048576, 15, FALSE)</f>
        <v>7.1979099000000005E-2</v>
      </c>
      <c r="CM18">
        <v>676</v>
      </c>
      <c r="CN18" s="27">
        <v>11695</v>
      </c>
      <c r="CO18">
        <f>VLOOKUP($A18, Flux!$1:$1048576, 2, FALSE)</f>
        <v>33.423077489999997</v>
      </c>
      <c r="CP18">
        <f>VLOOKUP($A18, Flux!$1:$1048576, 10, FALSE)</f>
        <v>12.982295669999999</v>
      </c>
      <c r="CQ18">
        <f>VLOOKUP($A18, Flux!$1:$1048576, 18, FALSE)</f>
        <v>-9.6586023910000005</v>
      </c>
      <c r="CR18">
        <f t="shared" si="8"/>
        <v>2.7862735014224453</v>
      </c>
      <c r="CS18">
        <f t="shared" si="9"/>
        <v>55.790402497794069</v>
      </c>
      <c r="CT18">
        <f>VLOOKUP($C18, SO4_ALK_CL!$1:$1048576, 5, FALSE)</f>
        <v>288.49261474609375</v>
      </c>
      <c r="CU18">
        <f>VLOOKUP($C18, SO4_ALK_CL!$1:$1048576, 7, FALSE)</f>
        <v>33.440471649169922</v>
      </c>
      <c r="CV18">
        <f>VLOOKUP($C18, SO4_ALK_CL!$1:$1048576, 6, FALSE)</f>
        <v>15.010700225830078</v>
      </c>
    </row>
    <row r="19" spans="1:103" x14ac:dyDescent="0.25">
      <c r="A19" s="7" t="s">
        <v>122</v>
      </c>
      <c r="B19" s="7" t="s">
        <v>170</v>
      </c>
      <c r="C19" s="15" t="str">
        <f t="shared" si="0"/>
        <v>D31A43649</v>
      </c>
      <c r="D19" s="15" t="s">
        <v>421</v>
      </c>
      <c r="E19" t="s">
        <v>114</v>
      </c>
      <c r="F19" s="9">
        <v>43649</v>
      </c>
      <c r="G19" s="10">
        <v>0.3923611111111111</v>
      </c>
      <c r="H19">
        <v>51.145919999999997</v>
      </c>
      <c r="I19" s="13">
        <v>-107.536</v>
      </c>
      <c r="J19">
        <v>24</v>
      </c>
      <c r="K19">
        <v>0</v>
      </c>
      <c r="L19">
        <v>7.5</v>
      </c>
      <c r="M19" t="s">
        <v>115</v>
      </c>
      <c r="N19">
        <v>1.85</v>
      </c>
      <c r="O19" s="25">
        <v>3.1</v>
      </c>
      <c r="Q19">
        <v>109.3</v>
      </c>
      <c r="R19" s="15">
        <v>0</v>
      </c>
      <c r="S19" s="15">
        <v>0</v>
      </c>
      <c r="T19" s="15">
        <v>19</v>
      </c>
      <c r="U19">
        <v>80.099999999999994</v>
      </c>
      <c r="V19">
        <v>7.11</v>
      </c>
      <c r="W19">
        <v>5164</v>
      </c>
      <c r="X19">
        <v>3.18</v>
      </c>
      <c r="Y19">
        <v>8.61</v>
      </c>
      <c r="Z19">
        <v>9.8000000000000007</v>
      </c>
      <c r="AA19">
        <v>2</v>
      </c>
      <c r="AB19">
        <v>0.21</v>
      </c>
      <c r="AC19">
        <v>13233</v>
      </c>
      <c r="AD19">
        <v>11.07</v>
      </c>
      <c r="AE19">
        <v>7.38</v>
      </c>
      <c r="AF19" s="15">
        <f t="shared" si="1"/>
        <v>2922.1152913932492</v>
      </c>
      <c r="AG19" s="15">
        <v>702.5</v>
      </c>
      <c r="AH19">
        <f t="shared" si="5"/>
        <v>3042.1124</v>
      </c>
      <c r="AI19">
        <v>19</v>
      </c>
      <c r="AJ19">
        <v>18.399999999999999</v>
      </c>
      <c r="AK19">
        <v>1</v>
      </c>
      <c r="AM19" t="s">
        <v>166</v>
      </c>
      <c r="AN19">
        <v>3.6390402233333332</v>
      </c>
      <c r="AO19">
        <v>1.8139019466666668</v>
      </c>
      <c r="AP19">
        <f t="shared" si="2"/>
        <v>0.25861380688474273</v>
      </c>
      <c r="AQ19">
        <f>VLOOKUP(A19, [1]buoyancy_max!$1:$1048576, 4, FALSE)</f>
        <v>1.6482541999999999E-2</v>
      </c>
      <c r="AR19">
        <f>VLOOKUP(A19, [2]buoyancy_min!$1:$1048576, 4, FALSE)</f>
        <v>0</v>
      </c>
      <c r="AS19">
        <f>VLOOKUP(A19,[3]Sheet1!$1:$1048576, 11, FALSE)</f>
        <v>2.3964117325606349</v>
      </c>
      <c r="AT19">
        <f>VLOOKUP(C19, Triplex!$1:$1048576, 6, FALSE)</f>
        <v>20</v>
      </c>
      <c r="AU19">
        <f>VLOOKUP($C19, Triplex!$1:$1048576, 8, FALSE)</f>
        <v>840</v>
      </c>
      <c r="AV19">
        <f>VLOOKUP($C19, Triplex!$1:$1048576, 9, FALSE)</f>
        <v>188.35</v>
      </c>
      <c r="AW19">
        <f t="shared" si="6"/>
        <v>208.35</v>
      </c>
      <c r="AX19">
        <f>VLOOKUP($C19, TP!$1:$1048576, 6, FALSE)</f>
        <v>940</v>
      </c>
      <c r="AY19">
        <f>VLOOKUP($C19, TN!$1:$1048576,5, FALSE)</f>
        <v>3320</v>
      </c>
      <c r="AZ19">
        <f t="shared" si="7"/>
        <v>3.9523809523809526</v>
      </c>
      <c r="BA19">
        <f>VLOOKUP($C19, TICTOC!$1:$1048576, 5, FALSE)</f>
        <v>117.476</v>
      </c>
      <c r="BB19">
        <f t="shared" si="3"/>
        <v>9781.5154038301407</v>
      </c>
      <c r="BC19">
        <f>VLOOKUP($C19, TICTOC!$1:$1048576, 6, FALSE)</f>
        <v>53.209000000000003</v>
      </c>
      <c r="BD19">
        <f t="shared" si="4"/>
        <v>4430.3913405495423</v>
      </c>
      <c r="BE19">
        <f>VLOOKUP(A19, GHG!$1:$1048576, 4, FALSE)</f>
        <v>865.10347839999997</v>
      </c>
      <c r="BF19">
        <f>VLOOKUP(A19, GHG!$1:$1048576, 6, FALSE)</f>
        <v>31.7240438</v>
      </c>
      <c r="BG19">
        <f>VLOOKUP(A19, GHG!$1:$1048576, 7, FALSE)</f>
        <v>0.222083476</v>
      </c>
      <c r="BH19">
        <f>VLOOKUP(A19, GHG!$1:$1048576, 8, FALSE)</f>
        <v>487.1281482</v>
      </c>
      <c r="BI19">
        <f>VLOOKUP(A19, GHG!$1:$1048576, 10, FALSE)</f>
        <v>0.69686179000000004</v>
      </c>
      <c r="BJ19">
        <f>VLOOKUP(A19, GHG!$1:$1048576, 11, FALSE)</f>
        <v>7.0826739999999997E-3</v>
      </c>
      <c r="BK19">
        <f>VLOOKUP(A19, GHG!$1:$1048576, 12, FALSE)</f>
        <v>0.28125207299999999</v>
      </c>
      <c r="BL19">
        <f>VLOOKUP(Master!A5, GHG!$1:$1048576, 14, FALSE)</f>
        <v>12.754332359999999</v>
      </c>
      <c r="BM19">
        <f>VLOOKUP(A19, GHG!$1:$1048576, 15, FALSE)</f>
        <v>1.8430504E-2</v>
      </c>
      <c r="CM19">
        <v>667</v>
      </c>
      <c r="CN19" s="27">
        <v>6017</v>
      </c>
      <c r="CO19">
        <f>VLOOKUP($A19, Flux!$1:$1048576, 2, FALSE)</f>
        <v>37.993803200000002</v>
      </c>
      <c r="CP19">
        <f>VLOOKUP($A19, Flux!$1:$1048576, 10, FALSE)</f>
        <v>1.56443979</v>
      </c>
      <c r="CQ19">
        <f>VLOOKUP($A19, Flux!$1:$1048576, 18, FALSE)</f>
        <v>-3.0884994890000002</v>
      </c>
      <c r="CR19">
        <f t="shared" si="8"/>
        <v>3.5417396119171931</v>
      </c>
      <c r="CS19">
        <f t="shared" si="9"/>
        <v>282.50066365808334</v>
      </c>
      <c r="CT19">
        <f>VLOOKUP($C19, SO4_ALK_CL!$1:$1048576, 5, FALSE)</f>
        <v>459.40850830078125</v>
      </c>
      <c r="CU19">
        <f>VLOOKUP($C19, SO4_ALK_CL!$1:$1048576, 7, FALSE)</f>
        <v>3883.14892578125</v>
      </c>
      <c r="CV19">
        <f>VLOOKUP($C19, SO4_ALK_CL!$1:$1048576, 6, FALSE)</f>
        <v>133.87969970703125</v>
      </c>
    </row>
    <row r="20" spans="1:103" x14ac:dyDescent="0.25">
      <c r="A20" s="7" t="s">
        <v>99</v>
      </c>
      <c r="B20" s="7" t="s">
        <v>169</v>
      </c>
      <c r="C20" s="15" t="str">
        <f t="shared" si="0"/>
        <v>D14A43640</v>
      </c>
      <c r="D20" s="15" t="s">
        <v>421</v>
      </c>
      <c r="E20" t="s">
        <v>83</v>
      </c>
      <c r="F20" s="9">
        <v>43640</v>
      </c>
      <c r="G20" s="10">
        <v>0.45694444444444443</v>
      </c>
      <c r="H20">
        <v>51.046289999999999</v>
      </c>
      <c r="I20">
        <v>-104.65116999999999</v>
      </c>
      <c r="J20">
        <v>19.899999999999999</v>
      </c>
      <c r="K20">
        <v>90</v>
      </c>
      <c r="L20">
        <v>5.6</v>
      </c>
      <c r="M20" t="s">
        <v>84</v>
      </c>
      <c r="N20">
        <v>1.17</v>
      </c>
      <c r="O20" s="25">
        <v>3</v>
      </c>
      <c r="Q20">
        <v>104.3</v>
      </c>
      <c r="R20" s="15">
        <v>0</v>
      </c>
      <c r="S20" s="15">
        <v>0</v>
      </c>
      <c r="T20" s="15">
        <v>17.7</v>
      </c>
      <c r="U20">
        <v>75.5</v>
      </c>
      <c r="V20">
        <v>7.12</v>
      </c>
      <c r="W20">
        <v>4000</v>
      </c>
      <c r="X20">
        <v>2.5</v>
      </c>
      <c r="Y20">
        <v>8.81</v>
      </c>
      <c r="Z20">
        <v>15.2</v>
      </c>
      <c r="AA20">
        <v>2.1</v>
      </c>
      <c r="AB20">
        <v>0.2</v>
      </c>
      <c r="AC20">
        <v>6007</v>
      </c>
      <c r="AD20">
        <v>4.13</v>
      </c>
      <c r="AE20">
        <v>8.16</v>
      </c>
      <c r="AF20" s="15">
        <f t="shared" si="1"/>
        <v>2249.1479767837495</v>
      </c>
      <c r="AG20" s="15">
        <v>705.3</v>
      </c>
      <c r="AH20">
        <f t="shared" si="5"/>
        <v>2356.3999999999996</v>
      </c>
      <c r="AI20">
        <v>17.7</v>
      </c>
      <c r="AJ20">
        <v>17.3</v>
      </c>
      <c r="AK20">
        <v>2</v>
      </c>
      <c r="AM20" t="s">
        <v>166</v>
      </c>
      <c r="AN20">
        <v>1.551507729166667</v>
      </c>
      <c r="AO20">
        <v>1.0029474791666668</v>
      </c>
      <c r="AP20">
        <f t="shared" si="2"/>
        <v>1.2781911407391479E-3</v>
      </c>
      <c r="AQ20">
        <f>VLOOKUP(A20, [1]buoyancy_max!$1:$1048576, 4, FALSE)</f>
        <v>3.770111E-3</v>
      </c>
      <c r="AR20">
        <f>VLOOKUP(A20, [2]buoyancy_min!$1:$1048576, 4, FALSE)</f>
        <v>0</v>
      </c>
      <c r="AS20">
        <f>VLOOKUP(A20,[3]Sheet1!$1:$1048576, 11, FALSE)</f>
        <v>5.9864232026186137</v>
      </c>
      <c r="AT20">
        <f>VLOOKUP(C20, Triplex!$1:$1048576, 6, FALSE)</f>
        <v>20</v>
      </c>
      <c r="AU20">
        <f>VLOOKUP($C20, Triplex!$1:$1048576, 8, FALSE)</f>
        <v>1280</v>
      </c>
      <c r="AV20">
        <f>VLOOKUP($C20, Triplex!$1:$1048576, 9, FALSE)</f>
        <v>462.56</v>
      </c>
      <c r="AW20">
        <f t="shared" si="6"/>
        <v>482.56</v>
      </c>
      <c r="AX20">
        <f>VLOOKUP($C20, TP!$1:$1048576, 6, FALSE)</f>
        <v>1460</v>
      </c>
      <c r="AY20">
        <f>VLOOKUP($C20, TN!$1:$1048576,5, FALSE)</f>
        <v>4390</v>
      </c>
      <c r="AZ20">
        <f t="shared" si="7"/>
        <v>3.4296875</v>
      </c>
      <c r="BA20">
        <f>VLOOKUP($C20, TICTOC!$1:$1048576, 5, FALSE)</f>
        <v>87.397000000000006</v>
      </c>
      <c r="BB20">
        <f t="shared" si="3"/>
        <v>7277.0191507077443</v>
      </c>
      <c r="BC20">
        <f>VLOOKUP($C20, TICTOC!$1:$1048576, 6, FALSE)</f>
        <v>53.726999999999997</v>
      </c>
      <c r="BD20">
        <f t="shared" si="4"/>
        <v>4473.5220649458779</v>
      </c>
      <c r="BE20">
        <f>VLOOKUP(A20, GHG!$1:$1048576, 4, FALSE)</f>
        <v>384.07984629999999</v>
      </c>
      <c r="BF20">
        <f>VLOOKUP(A20, GHG!$1:$1048576, 6, FALSE)</f>
        <v>14.748988389999999</v>
      </c>
      <c r="BG20">
        <f>VLOOKUP(A20, GHG!$1:$1048576, 7, FALSE)</f>
        <v>0.16455985300000001</v>
      </c>
      <c r="BH20">
        <f>VLOOKUP(A20, GHG!$1:$1048576, 8, FALSE)</f>
        <v>61.050888399999998</v>
      </c>
      <c r="BI20">
        <f>VLOOKUP(A20, GHG!$1:$1048576, 10, FALSE)</f>
        <v>9.0484266999999993E-2</v>
      </c>
      <c r="BJ20">
        <f>VLOOKUP(A20, GHG!$1:$1048576, 11, FALSE)</f>
        <v>5.5503099999999999E-4</v>
      </c>
      <c r="BK20">
        <f>VLOOKUP(A20, GHG!$1:$1048576, 12, FALSE)</f>
        <v>0.350170643</v>
      </c>
      <c r="BL20">
        <f>VLOOKUP(Master!A3, GHG!$1:$1048576, 14, FALSE)</f>
        <v>13.17247691</v>
      </c>
      <c r="BM20">
        <f>VLOOKUP(A20, GHG!$1:$1048576, 15, FALSE)</f>
        <v>2.2533291E-2</v>
      </c>
      <c r="CM20">
        <v>548</v>
      </c>
      <c r="CN20" s="27">
        <v>996</v>
      </c>
      <c r="CO20">
        <f>VLOOKUP($A20, Flux!$1:$1048576, 2, FALSE)</f>
        <v>-2.4415635849999999</v>
      </c>
      <c r="CP20">
        <f>VLOOKUP($A20, Flux!$1:$1048576, 10, FALSE)</f>
        <v>0.18926110400000001</v>
      </c>
      <c r="CQ20">
        <f>VLOOKUP($A20, Flux!$1:$1048576, 18, FALSE)</f>
        <v>1.0524695019999999</v>
      </c>
      <c r="CR20">
        <f t="shared" si="8"/>
        <v>8.4243524119287336</v>
      </c>
      <c r="CS20">
        <f t="shared" si="9"/>
        <v>116.1514181943964</v>
      </c>
      <c r="CT20">
        <f>VLOOKUP($C20, SO4_ALK_CL!$1:$1048576, 5, FALSE)</f>
        <v>439.6300048828125</v>
      </c>
      <c r="CU20">
        <f>VLOOKUP($C20, SO4_ALK_CL!$1:$1048576, 7, FALSE)</f>
        <v>3355.4560546875</v>
      </c>
      <c r="CV20">
        <f>VLOOKUP($C20, SO4_ALK_CL!$1:$1048576, 6, FALSE)</f>
        <v>97.419998168945313</v>
      </c>
      <c r="CW20">
        <f>VLOOKUP(A20, Ebullition!$1:$1048576, 5, FALSE)</f>
        <v>3.3989066274871054E-4</v>
      </c>
      <c r="CX20">
        <f>VLOOKUP(A20, Ebullition!$1:$1048576, 7, FALSE)</f>
        <v>3.5045561012529758E-2</v>
      </c>
      <c r="CY20">
        <f>VLOOKUP(A20, Ebullition!$1:$1048576, 8, FALSE)</f>
        <v>25.18205128205128</v>
      </c>
    </row>
    <row r="21" spans="1:103" x14ac:dyDescent="0.25">
      <c r="A21" s="7" t="s">
        <v>136</v>
      </c>
      <c r="B21" s="7" t="s">
        <v>181</v>
      </c>
      <c r="C21" s="15" t="str">
        <f t="shared" si="0"/>
        <v>D8G43657</v>
      </c>
      <c r="D21" s="15" t="s">
        <v>421</v>
      </c>
      <c r="E21" t="s">
        <v>114</v>
      </c>
      <c r="F21" s="9">
        <v>43657</v>
      </c>
      <c r="G21" s="10">
        <v>0.51180555555555551</v>
      </c>
      <c r="H21">
        <v>52.625599999999999</v>
      </c>
      <c r="I21">
        <v>-104.65647</v>
      </c>
      <c r="J21">
        <v>21.8</v>
      </c>
      <c r="K21">
        <v>95</v>
      </c>
      <c r="L21">
        <v>10.8</v>
      </c>
      <c r="M21" t="s">
        <v>84</v>
      </c>
      <c r="N21">
        <v>0.32</v>
      </c>
      <c r="O21" s="25">
        <v>1.2</v>
      </c>
      <c r="Q21">
        <v>93.2</v>
      </c>
      <c r="R21" s="15">
        <v>0</v>
      </c>
      <c r="S21" s="15">
        <v>0</v>
      </c>
      <c r="T21" s="15">
        <v>22.7</v>
      </c>
      <c r="U21">
        <v>64</v>
      </c>
      <c r="V21">
        <v>5.53</v>
      </c>
      <c r="W21">
        <v>772</v>
      </c>
      <c r="X21">
        <v>0.4</v>
      </c>
      <c r="Y21">
        <v>8</v>
      </c>
      <c r="Z21">
        <v>20.2</v>
      </c>
      <c r="AA21">
        <v>40.299999999999997</v>
      </c>
      <c r="AB21">
        <v>3.65</v>
      </c>
      <c r="AC21">
        <v>735</v>
      </c>
      <c r="AD21">
        <v>0.4</v>
      </c>
      <c r="AE21">
        <v>7.88</v>
      </c>
      <c r="AF21" s="15">
        <f t="shared" si="1"/>
        <v>404.36123322425544</v>
      </c>
      <c r="AG21" s="15">
        <v>710.4</v>
      </c>
      <c r="AH21">
        <f t="shared" si="5"/>
        <v>454.78519999999997</v>
      </c>
      <c r="AI21">
        <v>22.7</v>
      </c>
      <c r="AJ21">
        <v>21.8</v>
      </c>
      <c r="AK21">
        <v>1</v>
      </c>
      <c r="AL21" t="s">
        <v>137</v>
      </c>
      <c r="AM21" t="s">
        <v>166</v>
      </c>
      <c r="AN21">
        <v>14.982442833333334</v>
      </c>
      <c r="AO21">
        <v>9.6466325833333322</v>
      </c>
      <c r="AP21">
        <f t="shared" si="2"/>
        <v>0.98437573762350739</v>
      </c>
      <c r="AQ21">
        <f>VLOOKUP(A21, [1]buoyancy_max!$1:$1048576, 4, FALSE)</f>
        <v>9.9616170000000007E-3</v>
      </c>
      <c r="AR21">
        <f>VLOOKUP(A21, [2]buoyancy_min!$1:$1048576, 4, FALSE)</f>
        <v>9.1610499999999996E-4</v>
      </c>
      <c r="AS21" t="e">
        <f>VLOOKUP(A21,[3]Sheet1!$1:$1048576, 11, FALSE)</f>
        <v>#N/A</v>
      </c>
      <c r="AT21">
        <f>VLOOKUP(C21, Triplex!$1:$1048576, 6, FALSE)</f>
        <v>30</v>
      </c>
      <c r="AU21">
        <f>VLOOKUP($C21, Triplex!$1:$1048576, 8, FALSE)</f>
        <v>220</v>
      </c>
      <c r="AV21">
        <f>VLOOKUP($C21, Triplex!$1:$1048576, 9, FALSE)</f>
        <v>339.07</v>
      </c>
      <c r="AW21">
        <f t="shared" si="6"/>
        <v>369.07</v>
      </c>
      <c r="AX21">
        <f>VLOOKUP($C21, TP!$1:$1048576, 6, FALSE)</f>
        <v>250</v>
      </c>
      <c r="AY21">
        <f>VLOOKUP($C21, TN!$1:$1048576,5, FALSE)</f>
        <v>2990</v>
      </c>
      <c r="AZ21">
        <f t="shared" si="7"/>
        <v>13.590909090909092</v>
      </c>
      <c r="BA21">
        <f>VLOOKUP($C21, TICTOC!$1:$1048576, 5, FALSE)</f>
        <v>93.263999999999996</v>
      </c>
      <c r="BB21">
        <f t="shared" si="3"/>
        <v>7765.5287260616151</v>
      </c>
      <c r="BC21">
        <f>VLOOKUP($C21, TICTOC!$1:$1048576, 6, FALSE)</f>
        <v>55.598999999999997</v>
      </c>
      <c r="BD21">
        <f t="shared" si="4"/>
        <v>4629.3921731890086</v>
      </c>
      <c r="BE21">
        <f>VLOOKUP(A21, GHG!$1:$1048576, 4, FALSE)</f>
        <v>1603.8696179999999</v>
      </c>
      <c r="BF21">
        <f>VLOOKUP(A21, GHG!$1:$1048576, 6, FALSE)</f>
        <v>54.213114019999999</v>
      </c>
      <c r="BG21">
        <f>VLOOKUP(A21, GHG!$1:$1048576, 7, FALSE)</f>
        <v>23.26447246</v>
      </c>
      <c r="BH21">
        <f>VLOOKUP(A21, GHG!$1:$1048576, 8, FALSE)</f>
        <v>1833.029348</v>
      </c>
      <c r="BI21">
        <f>VLOOKUP(A21, GHG!$1:$1048576, 10, FALSE)</f>
        <v>2.511567372</v>
      </c>
      <c r="BJ21">
        <f>VLOOKUP(A21, GHG!$1:$1048576, 11, FALSE)</f>
        <v>1.4488458150000001</v>
      </c>
      <c r="BK21">
        <f>VLOOKUP(A21, GHG!$1:$1048576, 12, FALSE)</f>
        <v>0.31280507000000002</v>
      </c>
      <c r="BL21">
        <f>VLOOKUP(Master!A21, GHG!$1:$1048576, 14, FALSE)</f>
        <v>7.746502854</v>
      </c>
      <c r="BM21">
        <f>VLOOKUP(A21, GHG!$1:$1048576, 15, FALSE)</f>
        <v>4.3968360999999997E-2</v>
      </c>
      <c r="CM21">
        <v>530</v>
      </c>
      <c r="CN21" s="27">
        <v>409</v>
      </c>
      <c r="CO21">
        <f>VLOOKUP($A21, Flux!$1:$1048576, 2, FALSE)</f>
        <v>104.45769799999999</v>
      </c>
      <c r="CP21">
        <f>VLOOKUP($A21, Flux!$1:$1048576, 10, FALSE)</f>
        <v>6.3786250449999997</v>
      </c>
      <c r="CQ21">
        <f>VLOOKUP($A21, Flux!$1:$1048576, 18, FALSE)</f>
        <v>-1.2429314250000001</v>
      </c>
      <c r="CR21">
        <f t="shared" si="8"/>
        <v>5.2585321408389136</v>
      </c>
      <c r="CS21">
        <f t="shared" si="9"/>
        <v>163.97499041495857</v>
      </c>
      <c r="CT21">
        <f>VLOOKUP($C21, SO4_ALK_CL!$1:$1048576, 5, FALSE)</f>
        <v>382.46630859375</v>
      </c>
      <c r="CU21">
        <f>VLOOKUP($C21, SO4_ALK_CL!$1:$1048576, 7, FALSE)</f>
        <v>151.90589904785156</v>
      </c>
      <c r="CV21">
        <f>VLOOKUP($C21, SO4_ALK_CL!$1:$1048576, 6, FALSE)</f>
        <v>6.0027999877929688</v>
      </c>
    </row>
    <row r="22" spans="1:103" x14ac:dyDescent="0.25">
      <c r="A22" s="7" t="s">
        <v>107</v>
      </c>
      <c r="B22" s="7">
        <v>5</v>
      </c>
      <c r="C22" s="15" t="str">
        <f t="shared" si="0"/>
        <v>W543643</v>
      </c>
      <c r="D22" s="15" t="s">
        <v>165</v>
      </c>
      <c r="E22" t="s">
        <v>83</v>
      </c>
      <c r="F22" s="9">
        <v>43643</v>
      </c>
      <c r="G22" s="10">
        <v>0.68055555555555547</v>
      </c>
      <c r="H22">
        <v>51.370489999999997</v>
      </c>
      <c r="I22">
        <v>-102.58306</v>
      </c>
      <c r="J22">
        <v>27.1</v>
      </c>
      <c r="K22">
        <v>80</v>
      </c>
      <c r="L22">
        <v>1.8</v>
      </c>
      <c r="M22" t="s">
        <v>84</v>
      </c>
      <c r="N22">
        <v>0.59</v>
      </c>
      <c r="O22" s="25">
        <v>0.81</v>
      </c>
      <c r="Q22">
        <v>89.2</v>
      </c>
      <c r="R22" s="15">
        <v>0</v>
      </c>
      <c r="S22" s="15">
        <v>0</v>
      </c>
      <c r="T22" s="15">
        <v>26.7</v>
      </c>
      <c r="U22">
        <v>140.69999999999999</v>
      </c>
      <c r="V22">
        <v>10.76</v>
      </c>
      <c r="W22">
        <v>989</v>
      </c>
      <c r="X22">
        <v>0.46</v>
      </c>
      <c r="Y22">
        <v>8.2899999999999991</v>
      </c>
      <c r="Z22">
        <v>20.9</v>
      </c>
      <c r="AA22">
        <v>87.7</v>
      </c>
      <c r="AB22">
        <v>7.85</v>
      </c>
      <c r="AC22">
        <v>885</v>
      </c>
      <c r="AD22">
        <v>0.48</v>
      </c>
      <c r="AE22">
        <v>8.0500000000000007</v>
      </c>
      <c r="AF22" s="15">
        <f t="shared" si="1"/>
        <v>527.36955073087768</v>
      </c>
      <c r="AG22" s="15">
        <v>721.4</v>
      </c>
      <c r="AH22">
        <f t="shared" si="5"/>
        <v>582.61989999999992</v>
      </c>
      <c r="AI22">
        <v>26.7</v>
      </c>
      <c r="AJ22">
        <v>24.9</v>
      </c>
      <c r="AK22">
        <v>2</v>
      </c>
      <c r="AL22" t="s">
        <v>108</v>
      </c>
      <c r="AM22" t="s">
        <v>166</v>
      </c>
      <c r="AN22">
        <v>2.5752742888888891</v>
      </c>
      <c r="AO22">
        <v>1.643739238888889</v>
      </c>
      <c r="AP22">
        <f t="shared" si="2"/>
        <v>0.215832922635979</v>
      </c>
      <c r="AQ22">
        <f>VLOOKUP(A22, [1]buoyancy_max!$1:$1048576, 4, FALSE)</f>
        <v>2.7913947000000001E-2</v>
      </c>
      <c r="AR22">
        <f>VLOOKUP(A22, [2]buoyancy_min!$1:$1048576, 4, FALSE)</f>
        <v>2.7913947000000001E-2</v>
      </c>
      <c r="AS22" t="e">
        <f>VLOOKUP(A22,[3]Sheet1!$1:$1048576, 11, FALSE)</f>
        <v>#N/A</v>
      </c>
      <c r="AT22">
        <f>VLOOKUP(C22, Triplex!$1:$1048576, 6, FALSE)</f>
        <v>260</v>
      </c>
      <c r="AU22">
        <f>VLOOKUP($C22, Triplex!$1:$1048576, 8, FALSE)</f>
        <v>7.96</v>
      </c>
      <c r="AV22">
        <f>VLOOKUP($C22, Triplex!$1:$1048576, 9, FALSE)</f>
        <v>36.479999999999997</v>
      </c>
      <c r="AW22">
        <f t="shared" si="6"/>
        <v>296.48</v>
      </c>
      <c r="AX22">
        <f>VLOOKUP($C22, TP!$1:$1048576, 6, FALSE)</f>
        <v>40</v>
      </c>
      <c r="AY22">
        <f>VLOOKUP($C22, TN!$1:$1048576,5, FALSE)</f>
        <v>2940</v>
      </c>
      <c r="AZ22">
        <f t="shared" si="7"/>
        <v>369.3467336683417</v>
      </c>
      <c r="BA22">
        <f>VLOOKUP($C22, TICTOC!$1:$1048576, 5, FALSE)</f>
        <v>83.787999999999997</v>
      </c>
      <c r="BB22">
        <f t="shared" si="3"/>
        <v>6976.519567027477</v>
      </c>
      <c r="BC22">
        <f>VLOOKUP($C22, TICTOC!$1:$1048576, 6, FALSE)</f>
        <v>46.012999999999998</v>
      </c>
      <c r="BD22">
        <f t="shared" si="4"/>
        <v>3831.2239800166526</v>
      </c>
      <c r="BE22">
        <f>VLOOKUP(A22, GHG!$1:$1048576, 4, FALSE)</f>
        <v>2125.9940190000002</v>
      </c>
      <c r="BF22">
        <f>VLOOKUP(A22, GHG!$1:$1048576, 6, FALSE)</f>
        <v>65.445229190000006</v>
      </c>
      <c r="BG22">
        <f>VLOOKUP(A22, GHG!$1:$1048576, 7, FALSE)</f>
        <v>0.54116384500000003</v>
      </c>
      <c r="BH22">
        <f>VLOOKUP(A22, GHG!$1:$1048576, 8, FALSE)</f>
        <v>2589.9803940000002</v>
      </c>
      <c r="BI22">
        <f>VLOOKUP(A22, GHG!$1:$1048576, 10, FALSE)</f>
        <v>3.3509553250000002</v>
      </c>
      <c r="BJ22">
        <f>VLOOKUP(A22, GHG!$1:$1048576, 11, FALSE)</f>
        <v>6.629032E-3</v>
      </c>
      <c r="BK22">
        <f>VLOOKUP(A22, GHG!$1:$1048576, 12, FALSE)</f>
        <v>0.21825691799999999</v>
      </c>
      <c r="BL22">
        <f>VLOOKUP(Master!A29, GHG!$1:$1048576, 14, FALSE)</f>
        <v>3.4759191610000002</v>
      </c>
      <c r="BM22">
        <f>VLOOKUP(A22, GHG!$1:$1048576, 15, FALSE)</f>
        <v>2.6723173999999999E-2</v>
      </c>
      <c r="CM22">
        <v>485</v>
      </c>
      <c r="CN22" s="27">
        <v>3385</v>
      </c>
      <c r="CO22">
        <f>VLOOKUP($A22, Flux!$1:$1048576, 2, FALSE)</f>
        <v>156.0390965</v>
      </c>
      <c r="CP22">
        <f>VLOOKUP($A22, Flux!$1:$1048576, 10, FALSE)</f>
        <v>9.6676934110000001</v>
      </c>
      <c r="CQ22">
        <f>VLOOKUP($A22, Flux!$1:$1048576, 18, FALSE)</f>
        <v>-7.3835435949999999</v>
      </c>
      <c r="CR22">
        <f t="shared" si="8"/>
        <v>1.2338166398461405</v>
      </c>
      <c r="CS22">
        <f t="shared" si="9"/>
        <v>1261.3212719298247</v>
      </c>
      <c r="CT22">
        <f>VLOOKUP($C22, SO4_ALK_CL!$1:$1048576, 5, FALSE)</f>
        <v>366.54998779296875</v>
      </c>
      <c r="CU22">
        <f>VLOOKUP($C22, SO4_ALK_CL!$1:$1048576, 7, FALSE)</f>
        <v>233.99819946289063</v>
      </c>
      <c r="CV22">
        <f>VLOOKUP($C22, SO4_ALK_CL!$1:$1048576, 6, FALSE)</f>
        <v>8.4099998474121094</v>
      </c>
    </row>
    <row r="23" spans="1:103" x14ac:dyDescent="0.25">
      <c r="A23" s="7" t="s">
        <v>149</v>
      </c>
      <c r="B23" s="7" t="s">
        <v>176</v>
      </c>
      <c r="C23" s="15" t="str">
        <f t="shared" si="0"/>
        <v>W56D43661</v>
      </c>
      <c r="D23" s="15" t="s">
        <v>165</v>
      </c>
      <c r="E23" t="s">
        <v>114</v>
      </c>
      <c r="F23" s="9">
        <v>43661</v>
      </c>
      <c r="G23" s="10">
        <v>0.4680555555555555</v>
      </c>
      <c r="H23">
        <v>49.914319999999996</v>
      </c>
      <c r="I23">
        <v>-105.30405</v>
      </c>
      <c r="J23">
        <v>24.4</v>
      </c>
      <c r="K23">
        <v>0</v>
      </c>
      <c r="L23">
        <v>10.199999999999999</v>
      </c>
      <c r="M23" t="s">
        <v>147</v>
      </c>
      <c r="N23">
        <v>1</v>
      </c>
      <c r="O23" s="25">
        <v>1</v>
      </c>
      <c r="Q23">
        <v>90.6</v>
      </c>
      <c r="R23" s="15">
        <v>0</v>
      </c>
      <c r="S23" s="15">
        <v>0</v>
      </c>
      <c r="T23" s="15">
        <v>23.2</v>
      </c>
      <c r="U23">
        <v>118.5</v>
      </c>
      <c r="V23">
        <v>9.77</v>
      </c>
      <c r="W23">
        <v>7057</v>
      </c>
      <c r="X23">
        <v>4.0199999999999996</v>
      </c>
      <c r="Y23">
        <v>9.3699999999999992</v>
      </c>
      <c r="Z23">
        <v>23.2</v>
      </c>
      <c r="AA23">
        <v>122.2</v>
      </c>
      <c r="AB23">
        <v>10.199999999999999</v>
      </c>
      <c r="AC23">
        <v>7030</v>
      </c>
      <c r="AD23">
        <v>4.0199999999999996</v>
      </c>
      <c r="AE23">
        <v>9.3800000000000008</v>
      </c>
      <c r="AF23" s="15">
        <f t="shared" si="1"/>
        <v>4025.1093782464918</v>
      </c>
      <c r="AG23" s="15">
        <v>688.6</v>
      </c>
      <c r="AH23">
        <f t="shared" si="5"/>
        <v>4157.2786999999998</v>
      </c>
      <c r="AI23">
        <v>23.2</v>
      </c>
      <c r="AJ23">
        <v>22.3</v>
      </c>
      <c r="AK23">
        <v>1</v>
      </c>
      <c r="AL23" t="s">
        <v>150</v>
      </c>
      <c r="AM23" t="s">
        <v>166</v>
      </c>
      <c r="AN23">
        <v>1.9886506444444438</v>
      </c>
      <c r="AO23">
        <v>1.7000962444444441</v>
      </c>
      <c r="AP23">
        <f t="shared" si="2"/>
        <v>0.23047350799473537</v>
      </c>
      <c r="AQ23">
        <f>VLOOKUP(A23, [1]buoyancy_max!$1:$1048576, 4, FALSE)</f>
        <v>9.4157099999999999E-4</v>
      </c>
      <c r="AR23">
        <f>VLOOKUP(A23, [2]buoyancy_min!$1:$1048576, 4, FALSE)</f>
        <v>-4.7077399999999998E-4</v>
      </c>
      <c r="AS23" t="e">
        <f>VLOOKUP(A23,[3]Sheet1!$1:$1048576, 11, FALSE)</f>
        <v>#N/A</v>
      </c>
      <c r="AT23">
        <f>VLOOKUP(C23, Triplex!$1:$1048576, 6, FALSE)</f>
        <v>130</v>
      </c>
      <c r="AU23">
        <f>VLOOKUP($C23, Triplex!$1:$1048576, 8, FALSE)</f>
        <v>20</v>
      </c>
      <c r="AV23">
        <f>VLOOKUP($C23, Triplex!$1:$1048576, 9, FALSE)</f>
        <v>12.34</v>
      </c>
      <c r="AW23">
        <f t="shared" si="6"/>
        <v>142.34</v>
      </c>
      <c r="AX23">
        <f>VLOOKUP($C23, TP!$1:$1048576, 6, FALSE)</f>
        <v>110</v>
      </c>
      <c r="AY23">
        <f>VLOOKUP($C23, TN!$1:$1048576,5, FALSE)</f>
        <v>4640</v>
      </c>
      <c r="AZ23">
        <f t="shared" si="7"/>
        <v>232</v>
      </c>
      <c r="BA23">
        <f>VLOOKUP($C23, TICTOC!$1:$1048576, 5, FALSE)</f>
        <v>52.890999999999998</v>
      </c>
      <c r="BB23">
        <f t="shared" si="3"/>
        <v>4403.9134054954202</v>
      </c>
      <c r="BC23">
        <f>VLOOKUP($C23, TICTOC!$1:$1048576, 6, FALSE)</f>
        <v>72.025999999999996</v>
      </c>
      <c r="BD23">
        <f t="shared" si="4"/>
        <v>5997.1690258118233</v>
      </c>
      <c r="BE23">
        <f>VLOOKUP(A23, GHG!$1:$1048576, 4, FALSE)</f>
        <v>97.446549020000006</v>
      </c>
      <c r="BF23">
        <f>VLOOKUP(A23, GHG!$1:$1048576, 6, FALSE)</f>
        <v>2.9281662700000002</v>
      </c>
      <c r="BG23">
        <f>VLOOKUP(A23, GHG!$1:$1048576, 7, FALSE)</f>
        <v>0.13714256799999999</v>
      </c>
      <c r="BH23">
        <f>VLOOKUP(A23, GHG!$1:$1048576, 8, FALSE)</f>
        <v>148.53908730000001</v>
      </c>
      <c r="BI23">
        <f>VLOOKUP(A23, GHG!$1:$1048576, 10, FALSE)</f>
        <v>0.17712720400000001</v>
      </c>
      <c r="BJ23">
        <f>VLOOKUP(A23, GHG!$1:$1048576, 11, FALSE)</f>
        <v>6.65578E-4</v>
      </c>
      <c r="BK23">
        <f>VLOOKUP(A23, GHG!$1:$1048576, 12, FALSE)</f>
        <v>0.2697329</v>
      </c>
      <c r="BL23">
        <f>VLOOKUP(Master!A33, GHG!$1:$1048576, 14, FALSE)</f>
        <v>5.3354088669999999</v>
      </c>
      <c r="BM23">
        <f>VLOOKUP(A23, GHG!$1:$1048576, 15, FALSE)</f>
        <v>3.4785682999999998E-2</v>
      </c>
      <c r="CM23">
        <v>828</v>
      </c>
      <c r="CN23" s="27">
        <v>23581</v>
      </c>
      <c r="CO23">
        <f>VLOOKUP($A23, Flux!$1:$1048576, 2, FALSE)</f>
        <v>-25.024784789999998</v>
      </c>
      <c r="CP23">
        <f>VLOOKUP($A23, Flux!$1:$1048576, 10, FALSE)</f>
        <v>0.45182272499999998</v>
      </c>
      <c r="CQ23">
        <f>VLOOKUP($A23, Flux!$1:$1048576, 18, FALSE)</f>
        <v>-3.7392148139999999</v>
      </c>
      <c r="CR23">
        <f t="shared" si="8"/>
        <v>0.57711695233872706</v>
      </c>
      <c r="CS23">
        <f t="shared" si="9"/>
        <v>5836.7909238249595</v>
      </c>
      <c r="CT23">
        <f>VLOOKUP($C23, SO4_ALK_CL!$1:$1048576, 5, FALSE)</f>
        <v>300.11410522460938</v>
      </c>
      <c r="CU23">
        <f>VLOOKUP($C23, SO4_ALK_CL!$1:$1048576, 7, FALSE)</f>
        <v>6686.666015625</v>
      </c>
      <c r="CV23">
        <f>VLOOKUP($C23, SO4_ALK_CL!$1:$1048576, 6, FALSE)</f>
        <v>122.85359954833984</v>
      </c>
    </row>
    <row r="24" spans="1:103" x14ac:dyDescent="0.25">
      <c r="A24" s="7" t="s">
        <v>144</v>
      </c>
      <c r="B24" s="7" t="s">
        <v>180</v>
      </c>
      <c r="C24" s="15" t="str">
        <f t="shared" si="0"/>
        <v>W8E43657</v>
      </c>
      <c r="D24" s="15" t="s">
        <v>165</v>
      </c>
      <c r="E24" t="s">
        <v>114</v>
      </c>
      <c r="F24" s="9">
        <v>43657</v>
      </c>
      <c r="G24" s="10">
        <v>0.6020833333333333</v>
      </c>
      <c r="H24">
        <v>52.633540000000004</v>
      </c>
      <c r="I24">
        <v>-104.66151000000001</v>
      </c>
      <c r="J24">
        <v>21.9</v>
      </c>
      <c r="K24">
        <v>5</v>
      </c>
      <c r="L24">
        <v>7</v>
      </c>
      <c r="M24" t="s">
        <v>84</v>
      </c>
      <c r="N24">
        <v>0.43</v>
      </c>
      <c r="O24" s="25">
        <v>0.90400000000000003</v>
      </c>
      <c r="Q24">
        <v>90.4</v>
      </c>
      <c r="R24" s="15">
        <v>0</v>
      </c>
      <c r="S24" s="15">
        <v>0</v>
      </c>
      <c r="T24" s="15">
        <v>25.6</v>
      </c>
      <c r="U24">
        <v>164</v>
      </c>
      <c r="V24">
        <v>13.96</v>
      </c>
      <c r="W24">
        <v>575</v>
      </c>
      <c r="X24">
        <v>0.27</v>
      </c>
      <c r="Y24">
        <v>9.86</v>
      </c>
      <c r="Z24">
        <v>25</v>
      </c>
      <c r="AA24">
        <v>149.69999999999999</v>
      </c>
      <c r="AB24">
        <v>12.31</v>
      </c>
      <c r="AC24">
        <v>568</v>
      </c>
      <c r="AD24">
        <v>0.27</v>
      </c>
      <c r="AE24">
        <v>9.74</v>
      </c>
      <c r="AF24" s="15">
        <f t="shared" si="1"/>
        <v>298.17829623441781</v>
      </c>
      <c r="AG24" s="15">
        <v>710.6</v>
      </c>
      <c r="AH24">
        <f t="shared" si="5"/>
        <v>338.73249999999996</v>
      </c>
      <c r="AI24">
        <v>25.6</v>
      </c>
      <c r="AJ24">
        <v>25.8</v>
      </c>
      <c r="AK24">
        <v>5</v>
      </c>
      <c r="AL24" t="s">
        <v>145</v>
      </c>
      <c r="AM24" t="s">
        <v>166</v>
      </c>
      <c r="AN24">
        <v>3.2776548888888892</v>
      </c>
      <c r="AO24">
        <v>2.8086996388888887</v>
      </c>
      <c r="AP24">
        <f t="shared" si="2"/>
        <v>0.44850529842273856</v>
      </c>
      <c r="AQ24">
        <f>VLOOKUP(A24, [1]buoyancy_max!$1:$1048576, 4, FALSE)</f>
        <v>6.1198800000000003E-3</v>
      </c>
      <c r="AR24">
        <f>VLOOKUP(A24, [2]buoyancy_min!$1:$1048576, 4, FALSE)</f>
        <v>6.1198800000000003E-3</v>
      </c>
      <c r="AS24" t="e">
        <f>VLOOKUP(A24,[3]Sheet1!$1:$1048576, 11, FALSE)</f>
        <v>#N/A</v>
      </c>
      <c r="AT24">
        <f>VLOOKUP(C24, Triplex!$1:$1048576, 6, FALSE)</f>
        <v>140</v>
      </c>
      <c r="AU24">
        <f>VLOOKUP($C24, Triplex!$1:$1048576, 8, FALSE)</f>
        <v>40</v>
      </c>
      <c r="AV24">
        <f>VLOOKUP($C24, Triplex!$1:$1048576, 9, FALSE)</f>
        <v>7.15</v>
      </c>
      <c r="AW24">
        <f t="shared" si="6"/>
        <v>147.15</v>
      </c>
      <c r="AX24">
        <f>VLOOKUP($C24, TP!$1:$1048576, 6, FALSE)</f>
        <v>90</v>
      </c>
      <c r="AY24">
        <f>VLOOKUP($C24, TN!$1:$1048576,5, FALSE)</f>
        <v>2110</v>
      </c>
      <c r="AZ24">
        <f t="shared" si="7"/>
        <v>52.75</v>
      </c>
      <c r="BA24">
        <f>VLOOKUP($C24, TICTOC!$1:$1048576, 5, FALSE)</f>
        <v>18.353000000000002</v>
      </c>
      <c r="BB24">
        <f t="shared" si="3"/>
        <v>1528.1432139883434</v>
      </c>
      <c r="BC24">
        <f>VLOOKUP($C24, TICTOC!$1:$1048576, 6, FALSE)</f>
        <v>31.241</v>
      </c>
      <c r="BD24">
        <f t="shared" si="4"/>
        <v>2601.2489592006659</v>
      </c>
      <c r="BE24">
        <f>VLOOKUP(A24, GHG!$1:$1048576, 4, FALSE)</f>
        <v>75.550339059999999</v>
      </c>
      <c r="BF24">
        <f>VLOOKUP(A24, GHG!$1:$1048576, 6, FALSE)</f>
        <v>2.3601863220000001</v>
      </c>
      <c r="BG24">
        <f>VLOOKUP(A24, GHG!$1:$1048576, 7, FALSE)</f>
        <v>0.54377650200000005</v>
      </c>
      <c r="BH24">
        <f>VLOOKUP(A24, GHG!$1:$1048576, 8, FALSE)</f>
        <v>729.67322149999995</v>
      </c>
      <c r="BI24">
        <f>VLOOKUP(A24, GHG!$1:$1048576, 10, FALSE)</f>
        <v>0.94876770499999996</v>
      </c>
      <c r="BJ24">
        <f>VLOOKUP(A24, GHG!$1:$1048576, 11, FALSE)</f>
        <v>1.8973844E-2</v>
      </c>
      <c r="BK24">
        <f>VLOOKUP(A24, GHG!$1:$1048576, 12, FALSE)</f>
        <v>0.22987237199999999</v>
      </c>
      <c r="BL24">
        <f>VLOOKUP(Master!A40, GHG!$1:$1048576, 14, FALSE)</f>
        <v>4.8944570880000002</v>
      </c>
      <c r="BM24">
        <f>VLOOKUP(A24, GHG!$1:$1048576, 15, FALSE)</f>
        <v>9.1884930000000004E-2</v>
      </c>
      <c r="CM24">
        <v>531</v>
      </c>
      <c r="CN24" s="27">
        <v>2401</v>
      </c>
      <c r="CO24">
        <f>VLOOKUP($A24, Flux!$1:$1048576, 2, FALSE)</f>
        <v>-30.102061190000001</v>
      </c>
      <c r="CP24">
        <f>VLOOKUP($A24, Flux!$1:$1048576, 10, FALSE)</f>
        <v>2.6387039080000001</v>
      </c>
      <c r="CQ24">
        <f>VLOOKUP($A24, Flux!$1:$1048576, 18, FALSE)</f>
        <v>-6.5061177819999996</v>
      </c>
      <c r="CR24">
        <f t="shared" si="8"/>
        <v>1.6349982461455512</v>
      </c>
      <c r="CS24">
        <f t="shared" si="9"/>
        <v>4369.3706293706291</v>
      </c>
      <c r="CT24">
        <f>VLOOKUP($C24, SO4_ALK_CL!$1:$1048576, 5, FALSE)</f>
        <v>112.01999664306641</v>
      </c>
      <c r="CU24">
        <f>VLOOKUP($C24, SO4_ALK_CL!$1:$1048576, 7, FALSE)</f>
        <v>226.23880004882813</v>
      </c>
      <c r="CV24">
        <f>VLOOKUP($C24, SO4_ALK_CL!$1:$1048576, 6, FALSE)</f>
        <v>3.8599998950958252</v>
      </c>
    </row>
    <row r="25" spans="1:103" x14ac:dyDescent="0.25">
      <c r="A25" s="7" t="s">
        <v>104</v>
      </c>
      <c r="B25" s="7" t="s">
        <v>179</v>
      </c>
      <c r="C25" s="15" t="str">
        <f t="shared" si="0"/>
        <v>W61B43641</v>
      </c>
      <c r="D25" s="15" t="s">
        <v>165</v>
      </c>
      <c r="E25" t="s">
        <v>83</v>
      </c>
      <c r="F25" s="9">
        <v>43641</v>
      </c>
      <c r="G25" s="10">
        <v>0.46736111111111112</v>
      </c>
      <c r="H25">
        <v>50.240409999999997</v>
      </c>
      <c r="I25">
        <v>-105.9939</v>
      </c>
      <c r="J25">
        <v>19.2</v>
      </c>
      <c r="K25">
        <v>40</v>
      </c>
      <c r="L25">
        <v>17.100000000000001</v>
      </c>
      <c r="M25" t="s">
        <v>84</v>
      </c>
      <c r="N25">
        <v>0.1</v>
      </c>
      <c r="O25" s="25">
        <v>0.1</v>
      </c>
      <c r="Q25">
        <v>83</v>
      </c>
      <c r="R25" s="15">
        <v>0</v>
      </c>
      <c r="S25" s="15">
        <v>0</v>
      </c>
      <c r="T25" s="15">
        <v>20.9</v>
      </c>
      <c r="U25">
        <v>113.8</v>
      </c>
      <c r="V25">
        <v>9.67</v>
      </c>
      <c r="W25">
        <v>14899</v>
      </c>
      <c r="X25">
        <v>9.4700000000000006</v>
      </c>
      <c r="Y25">
        <v>9.4</v>
      </c>
      <c r="AF25" s="15">
        <f t="shared" si="1"/>
        <v>8702.3673516473373</v>
      </c>
      <c r="AG25" s="15">
        <v>696.2</v>
      </c>
      <c r="AH25">
        <f t="shared" si="5"/>
        <v>8777.0008999999991</v>
      </c>
      <c r="AI25">
        <v>20.9</v>
      </c>
      <c r="AJ25">
        <v>20.8</v>
      </c>
      <c r="AK25" t="s">
        <v>101</v>
      </c>
      <c r="AL25" t="s">
        <v>105</v>
      </c>
      <c r="AM25" t="s">
        <v>166</v>
      </c>
      <c r="AN25">
        <v>4.9914899999999989</v>
      </c>
      <c r="AO25">
        <v>2.8765166666666664</v>
      </c>
      <c r="AP25">
        <f t="shared" si="2"/>
        <v>0.45886689469052749</v>
      </c>
      <c r="AQ25" t="e">
        <f>VLOOKUP(A25, [1]buoyancy_max!$1:$1048576, 4, FALSE)</f>
        <v>#N/A</v>
      </c>
      <c r="AR25" t="e">
        <f>VLOOKUP(A25, [2]buoyancy_min!$1:$1048576, 4, FALSE)</f>
        <v>#N/A</v>
      </c>
      <c r="AS25" t="e">
        <f>VLOOKUP(A25,[3]Sheet1!$1:$1048576, 11, FALSE)</f>
        <v>#N/A</v>
      </c>
      <c r="AT25">
        <f>VLOOKUP(C25, Triplex!$1:$1048576, 6, FALSE)</f>
        <v>180</v>
      </c>
      <c r="AU25">
        <f>VLOOKUP($C25, Triplex!$1:$1048576, 8, FALSE)</f>
        <v>20</v>
      </c>
      <c r="AV25">
        <f>VLOOKUP($C25, Triplex!$1:$1048576, 9, FALSE)</f>
        <v>10.85</v>
      </c>
      <c r="AW25">
        <f t="shared" si="6"/>
        <v>190.85</v>
      </c>
      <c r="AX25">
        <f>VLOOKUP($C25, TP!$1:$1048576, 6, FALSE)</f>
        <v>90</v>
      </c>
      <c r="AY25">
        <f>VLOOKUP($C25, TN!$1:$1048576,5, FALSE)</f>
        <v>3930</v>
      </c>
      <c r="AZ25">
        <f t="shared" si="7"/>
        <v>196.5</v>
      </c>
      <c r="BA25">
        <f>VLOOKUP($C25, TICTOC!$1:$1048576, 5, FALSE)</f>
        <v>28.535</v>
      </c>
      <c r="BB25">
        <f t="shared" si="3"/>
        <v>2375.9367194004994</v>
      </c>
      <c r="BC25">
        <f>VLOOKUP($C25, TICTOC!$1:$1048576, 6, FALSE)</f>
        <v>61.155999999999999</v>
      </c>
      <c r="BD25">
        <f t="shared" si="4"/>
        <v>5092.0899250624479</v>
      </c>
      <c r="BE25">
        <f>VLOOKUP(A25, GHG!$1:$1048576, 4, FALSE)</f>
        <v>64.512575040000002</v>
      </c>
      <c r="BF25">
        <f>VLOOKUP(A25, GHG!$1:$1048576, 6, FALSE)</f>
        <v>1.4867119120000001</v>
      </c>
      <c r="BG25">
        <f>VLOOKUP(A25, GHG!$1:$1048576, 7, FALSE)</f>
        <v>0.18481589400000001</v>
      </c>
      <c r="BH25">
        <f>VLOOKUP(A25, GHG!$1:$1048576, 8, FALSE)</f>
        <v>69.845750010000003</v>
      </c>
      <c r="BI25">
        <f>VLOOKUP(A25, GHG!$1:$1048576, 10, FALSE)</f>
        <v>5.5622156999999998E-2</v>
      </c>
      <c r="BJ25">
        <f>VLOOKUP(A25, GHG!$1:$1048576, 11, FALSE)</f>
        <v>2.9308099999999999E-4</v>
      </c>
      <c r="BK25">
        <f>VLOOKUP(A25, GHG!$1:$1048576, 12, FALSE)</f>
        <v>0.29945845900000001</v>
      </c>
      <c r="BL25">
        <f>VLOOKUP(Master!A36, GHG!$1:$1048576, 14, FALSE)</f>
        <v>5.2323768150000003</v>
      </c>
      <c r="BM25">
        <f>VLOOKUP(A25, GHG!$1:$1048576, 15, FALSE)</f>
        <v>3.3965215E-2</v>
      </c>
      <c r="CM25">
        <v>700</v>
      </c>
      <c r="CN25" s="27">
        <v>9243</v>
      </c>
      <c r="CO25">
        <f>VLOOKUP($A25, Flux!$1:$1048576, 2, FALSE)</f>
        <v>-19.635558369999998</v>
      </c>
      <c r="CP25">
        <f>VLOOKUP($A25, Flux!$1:$1048576, 10, FALSE)</f>
        <v>0.12985397900000001</v>
      </c>
      <c r="CQ25">
        <f>VLOOKUP($A25, Flux!$1:$1048576, 18, FALSE)</f>
        <v>-1.916914507</v>
      </c>
      <c r="CR25">
        <f>50*O25*1.77245385091*(SQRT(CN25)^-1)</f>
        <v>9.2180373644894537E-2</v>
      </c>
      <c r="CS25">
        <f t="shared" si="9"/>
        <v>5636.4976958525349</v>
      </c>
      <c r="CT25">
        <f>VLOOKUP($C25, SO4_ALK_CL!$1:$1048576, 5, FALSE)</f>
        <v>215.25999450683594</v>
      </c>
      <c r="CU25">
        <f>VLOOKUP($C25, SO4_ALK_CL!$1:$1048576, 7, FALSE)</f>
        <v>1907.5340576171875</v>
      </c>
      <c r="CV25">
        <f>VLOOKUP($C25, SO4_ALK_CL!$1:$1048576, 6, FALSE)</f>
        <v>1146.7900390625</v>
      </c>
    </row>
    <row r="26" spans="1:103" x14ac:dyDescent="0.25">
      <c r="A26" s="7" t="s">
        <v>97</v>
      </c>
      <c r="B26" s="7">
        <v>75</v>
      </c>
      <c r="C26" s="15" t="str">
        <f t="shared" si="0"/>
        <v>W7543640</v>
      </c>
      <c r="D26" s="15" t="s">
        <v>165</v>
      </c>
      <c r="E26" t="s">
        <v>83</v>
      </c>
      <c r="F26" s="9">
        <v>43640</v>
      </c>
      <c r="G26" s="10">
        <v>0.61319444444444449</v>
      </c>
      <c r="H26">
        <v>50.572189999999999</v>
      </c>
      <c r="I26">
        <v>-104.47797</v>
      </c>
      <c r="J26">
        <v>19.5</v>
      </c>
      <c r="K26">
        <v>90</v>
      </c>
      <c r="L26">
        <v>10.3</v>
      </c>
      <c r="M26" t="s">
        <v>84</v>
      </c>
      <c r="N26">
        <v>0.8</v>
      </c>
      <c r="O26" s="25">
        <v>0.8</v>
      </c>
      <c r="Q26">
        <v>85.7</v>
      </c>
      <c r="R26" s="15">
        <v>0</v>
      </c>
      <c r="S26" s="15">
        <v>0</v>
      </c>
      <c r="T26" s="15">
        <v>20.100000000000001</v>
      </c>
      <c r="U26">
        <v>140.69999999999999</v>
      </c>
      <c r="V26">
        <v>12.79</v>
      </c>
      <c r="W26">
        <v>407</v>
      </c>
      <c r="X26">
        <v>0.22</v>
      </c>
      <c r="Y26">
        <v>8.9600000000000009</v>
      </c>
      <c r="Z26">
        <v>20.100000000000001</v>
      </c>
      <c r="AA26">
        <v>137.69999999999999</v>
      </c>
      <c r="AB26">
        <v>12.33</v>
      </c>
      <c r="AC26">
        <v>406.6</v>
      </c>
      <c r="AD26">
        <v>0.22</v>
      </c>
      <c r="AE26">
        <v>8.9499999999999993</v>
      </c>
      <c r="AF26" s="15">
        <f t="shared" si="1"/>
        <v>209.89086279362377</v>
      </c>
      <c r="AG26" s="15">
        <v>697.9</v>
      </c>
      <c r="AH26">
        <f t="shared" si="5"/>
        <v>239.76369999999997</v>
      </c>
      <c r="AI26">
        <v>20.100000000000001</v>
      </c>
      <c r="AJ26">
        <v>19.3</v>
      </c>
      <c r="AK26">
        <v>1</v>
      </c>
      <c r="AL26" t="s">
        <v>98</v>
      </c>
      <c r="AM26" t="s">
        <v>166</v>
      </c>
      <c r="AN26">
        <v>5.0304946833333339</v>
      </c>
      <c r="AO26">
        <v>3.0521330249999998</v>
      </c>
      <c r="AP26">
        <f t="shared" si="2"/>
        <v>0.48460345810475014</v>
      </c>
      <c r="AQ26">
        <f>VLOOKUP(A26, [1]buoyancy_max!$1:$1048576, 4, FALSE)</f>
        <v>0</v>
      </c>
      <c r="AR26">
        <f>VLOOKUP(A26, [2]buoyancy_min!$1:$1048576, 4, FALSE)</f>
        <v>0</v>
      </c>
      <c r="AS26">
        <f>VLOOKUP(A26,[3]Sheet1!$1:$1048576, 11, FALSE)</f>
        <v>5.314155765956615</v>
      </c>
      <c r="AT26">
        <f>VLOOKUP(C26, Triplex!$1:$1048576, 6, FALSE)</f>
        <v>130</v>
      </c>
      <c r="AU26">
        <f>VLOOKUP($C26, Triplex!$1:$1048576, 8, FALSE)</f>
        <v>960</v>
      </c>
      <c r="AV26">
        <f>VLOOKUP($C26, Triplex!$1:$1048576, 9, FALSE)</f>
        <v>35.17</v>
      </c>
      <c r="AW26">
        <f t="shared" si="6"/>
        <v>165.17000000000002</v>
      </c>
      <c r="AX26">
        <f>VLOOKUP($C26, TP!$1:$1048576, 6, FALSE)</f>
        <v>1020</v>
      </c>
      <c r="AY26">
        <f>VLOOKUP($C26, TN!$1:$1048576,5, FALSE)</f>
        <v>1800</v>
      </c>
      <c r="AZ26">
        <f t="shared" si="7"/>
        <v>1.875</v>
      </c>
      <c r="BA26">
        <f>VLOOKUP($C26, TICTOC!$1:$1048576, 5, FALSE)</f>
        <v>56.526000000000003</v>
      </c>
      <c r="BB26">
        <f t="shared" si="3"/>
        <v>4706.5778517901754</v>
      </c>
      <c r="BC26">
        <f>VLOOKUP($C26, TICTOC!$1:$1048576, 6, FALSE)</f>
        <v>26.352</v>
      </c>
      <c r="BD26">
        <f t="shared" si="4"/>
        <v>2194.1715237302246</v>
      </c>
      <c r="BE26">
        <f>VLOOKUP(A26, GHG!$1:$1048576, 4, FALSE)</f>
        <v>226.229859</v>
      </c>
      <c r="BF26">
        <f>VLOOKUP(A26, GHG!$1:$1048576, 6, FALSE)</f>
        <v>8.0970088459999996</v>
      </c>
      <c r="BG26">
        <f>VLOOKUP(A26, GHG!$1:$1048576, 7, FALSE)</f>
        <v>1.7238415199999999</v>
      </c>
      <c r="BH26">
        <f>VLOOKUP(A26, GHG!$1:$1048576, 8, FALSE)</f>
        <v>622.82165410000005</v>
      </c>
      <c r="BI26">
        <f>VLOOKUP(A26, GHG!$1:$1048576, 10, FALSE)</f>
        <v>0.88272448400000003</v>
      </c>
      <c r="BJ26">
        <f>VLOOKUP(A26, GHG!$1:$1048576, 11, FALSE)</f>
        <v>1.7921201000000001E-2</v>
      </c>
      <c r="BK26">
        <f>VLOOKUP(A26, GHG!$1:$1048576, 12, FALSE)</f>
        <v>0.22861483799999999</v>
      </c>
      <c r="BL26">
        <f>VLOOKUP(Master!A38, GHG!$1:$1048576, 14, FALSE)</f>
        <v>4.5801804859999997</v>
      </c>
      <c r="BM26">
        <f>VLOOKUP(A26, GHG!$1:$1048576, 15, FALSE)</f>
        <v>6.0969554000000002E-2</v>
      </c>
      <c r="CM26">
        <v>632</v>
      </c>
      <c r="CN26" s="27">
        <v>13043</v>
      </c>
      <c r="CO26">
        <f>VLOOKUP($A26, Flux!$1:$1048576, 2, FALSE)</f>
        <v>-15.913458479999999</v>
      </c>
      <c r="CP26">
        <f>VLOOKUP($A26, Flux!$1:$1048576, 10, FALSE)</f>
        <v>2.0566420289999998</v>
      </c>
      <c r="CQ26">
        <f>VLOOKUP($A26, Flux!$1:$1048576, 18, FALSE)</f>
        <v>-6.3396877969999998</v>
      </c>
      <c r="CR26">
        <f t="shared" si="8"/>
        <v>0.6207920984887354</v>
      </c>
      <c r="CS26">
        <f t="shared" si="9"/>
        <v>749.2749502416832</v>
      </c>
      <c r="CT26">
        <f>VLOOKUP($C26, SO4_ALK_CL!$1:$1048576, 5, FALSE)</f>
        <v>267.1199951171875</v>
      </c>
      <c r="CU26">
        <f>VLOOKUP($C26, SO4_ALK_CL!$1:$1048576, 7, FALSE)</f>
        <v>0</v>
      </c>
      <c r="CV26">
        <f>VLOOKUP($C26, SO4_ALK_CL!$1:$1048576, 6, FALSE)</f>
        <v>9.4399995803833008</v>
      </c>
      <c r="CW26">
        <f>VLOOKUP(A26, Ebullition!$1:$1048576, 5, FALSE)</f>
        <v>4.6553012046399713</v>
      </c>
      <c r="CX26">
        <f>VLOOKUP(A26, Ebullition!$1:$1048576, 7, FALSE)</f>
        <v>55.200042049246377</v>
      </c>
      <c r="CY26">
        <f>VLOOKUP(A26, Ebullition!$1:$1048576, 8, FALSE)</f>
        <v>218.97435897435895</v>
      </c>
    </row>
    <row r="27" spans="1:103" x14ac:dyDescent="0.25">
      <c r="A27" s="7" t="s">
        <v>111</v>
      </c>
      <c r="B27" s="7" t="s">
        <v>168</v>
      </c>
      <c r="C27" s="15" t="str">
        <f t="shared" si="0"/>
        <v>W10E43644</v>
      </c>
      <c r="D27" s="15" t="s">
        <v>165</v>
      </c>
      <c r="E27" t="s">
        <v>83</v>
      </c>
      <c r="F27" s="9">
        <v>43644</v>
      </c>
      <c r="G27" s="10">
        <v>0.40069444444444446</v>
      </c>
      <c r="H27">
        <v>51.795119999999997</v>
      </c>
      <c r="I27">
        <v>-103.40433</v>
      </c>
      <c r="J27">
        <v>19.7</v>
      </c>
      <c r="K27">
        <v>60</v>
      </c>
      <c r="L27">
        <v>8.9</v>
      </c>
      <c r="M27" t="s">
        <v>84</v>
      </c>
      <c r="N27">
        <v>0.26</v>
      </c>
      <c r="O27" s="25">
        <v>0.26</v>
      </c>
      <c r="Q27">
        <v>96.5</v>
      </c>
      <c r="R27" s="15">
        <v>0</v>
      </c>
      <c r="S27" s="15">
        <v>0</v>
      </c>
      <c r="T27" s="15">
        <v>20.399999999999999</v>
      </c>
      <c r="U27">
        <v>60.5</v>
      </c>
      <c r="V27">
        <v>5.39</v>
      </c>
      <c r="W27">
        <v>1922</v>
      </c>
      <c r="X27">
        <v>1.08</v>
      </c>
      <c r="Y27">
        <v>8.93</v>
      </c>
      <c r="AF27" s="15">
        <f t="shared" si="1"/>
        <v>1057.9140011077211</v>
      </c>
      <c r="AG27" s="15">
        <v>717.1</v>
      </c>
      <c r="AH27">
        <f t="shared" si="5"/>
        <v>1132.2501999999999</v>
      </c>
      <c r="AI27">
        <v>20.399999999999999</v>
      </c>
      <c r="AJ27">
        <v>20.2</v>
      </c>
      <c r="AK27" t="s">
        <v>101</v>
      </c>
      <c r="AL27" t="s">
        <v>112</v>
      </c>
      <c r="AM27" t="s">
        <v>166</v>
      </c>
      <c r="AN27">
        <v>3.8206406666666668</v>
      </c>
      <c r="AO27">
        <v>3.7702711666666664</v>
      </c>
      <c r="AP27">
        <f t="shared" si="2"/>
        <v>0.57637258679780845</v>
      </c>
      <c r="AQ27" t="e">
        <f>VLOOKUP(A27, [1]buoyancy_max!$1:$1048576, 4, FALSE)</f>
        <v>#N/A</v>
      </c>
      <c r="AR27" t="e">
        <f>VLOOKUP(A27, [2]buoyancy_min!$1:$1048576, 4, FALSE)</f>
        <v>#N/A</v>
      </c>
      <c r="AS27" t="e">
        <f>VLOOKUP(A27,[3]Sheet1!$1:$1048576, 11, FALSE)</f>
        <v>#N/A</v>
      </c>
      <c r="AT27">
        <f>VLOOKUP(C27, Triplex!$1:$1048576, 6, FALSE)</f>
        <v>100</v>
      </c>
      <c r="AU27">
        <f>VLOOKUP($C27, Triplex!$1:$1048576, 8, FALSE)</f>
        <v>1.83</v>
      </c>
      <c r="AV27">
        <f>VLOOKUP($C27, Triplex!$1:$1048576, 9, FALSE)</f>
        <v>6.69</v>
      </c>
      <c r="AW27">
        <f t="shared" si="6"/>
        <v>106.69</v>
      </c>
      <c r="AX27">
        <f>VLOOKUP($C27, TP!$1:$1048576, 6, FALSE)</f>
        <v>30</v>
      </c>
      <c r="AY27">
        <f>VLOOKUP($C27, TN!$1:$1048576,5, FALSE)</f>
        <v>3580</v>
      </c>
      <c r="AZ27">
        <f t="shared" si="7"/>
        <v>1956.2841530054643</v>
      </c>
      <c r="BA27">
        <f>VLOOKUP($C27, TICTOC!$1:$1048576, 5, FALSE)</f>
        <v>33.113</v>
      </c>
      <c r="BB27">
        <f t="shared" si="3"/>
        <v>2757.1190674437967</v>
      </c>
      <c r="BC27">
        <f>VLOOKUP($C27, TICTOC!$1:$1048576, 6, FALSE)</f>
        <v>57.276000000000003</v>
      </c>
      <c r="BD27">
        <f t="shared" si="4"/>
        <v>4769.0258118234806</v>
      </c>
      <c r="BE27">
        <f>VLOOKUP(A27, GHG!$1:$1048576, 4, FALSE)</f>
        <v>209.4233351</v>
      </c>
      <c r="BF27">
        <f>VLOOKUP(A27, GHG!$1:$1048576, 6, FALSE)</f>
        <v>7.5950938749999999</v>
      </c>
      <c r="BG27">
        <f>VLOOKUP(A27, GHG!$1:$1048576, 7, FALSE)</f>
        <v>2.3929642420000001</v>
      </c>
      <c r="BH27">
        <f>VLOOKUP(A27, GHG!$1:$1048576, 8, FALSE)</f>
        <v>105.2165234</v>
      </c>
      <c r="BI27">
        <f>VLOOKUP(A27, GHG!$1:$1048576, 10, FALSE)</f>
        <v>0.15124533000000001</v>
      </c>
      <c r="BJ27">
        <f>VLOOKUP(A27, GHG!$1:$1048576, 11, FALSE)</f>
        <v>4.9763457999999997E-2</v>
      </c>
      <c r="BK27">
        <f>VLOOKUP(A27, GHG!$1:$1048576, 12, FALSE)</f>
        <v>0.272930491</v>
      </c>
      <c r="BL27">
        <f>VLOOKUP(Master!A22, GHG!$1:$1048576, 14, FALSE)</f>
        <v>4.8981302470000001</v>
      </c>
      <c r="BM27">
        <f>VLOOKUP(A27, GHG!$1:$1048576, 15, FALSE)</f>
        <v>0.34579182800000002</v>
      </c>
      <c r="CM27">
        <v>532</v>
      </c>
      <c r="CN27" s="27">
        <v>1090</v>
      </c>
      <c r="CO27">
        <f>VLOOKUP($A27, Flux!$1:$1048576, 2, FALSE)</f>
        <v>-17.753951749999999</v>
      </c>
      <c r="CP27">
        <f>VLOOKUP($A27, Flux!$1:$1048576, 10, FALSE)</f>
        <v>0.350593343</v>
      </c>
      <c r="CQ27">
        <f>VLOOKUP($A27, Flux!$1:$1048576, 18, FALSE)</f>
        <v>-3.725145318</v>
      </c>
      <c r="CR27">
        <f t="shared" si="8"/>
        <v>0.6979190290167151</v>
      </c>
      <c r="CS27">
        <f t="shared" si="9"/>
        <v>8561.434977578474</v>
      </c>
      <c r="CT27">
        <f>VLOOKUP($C27, SO4_ALK_CL!$1:$1048576, 5, FALSE)</f>
        <v>176.63999938964844</v>
      </c>
      <c r="CU27">
        <f>VLOOKUP($C27, SO4_ALK_CL!$1:$1048576, 7, FALSE)</f>
        <v>1288.833984375</v>
      </c>
      <c r="CV27">
        <f>VLOOKUP($C27, SO4_ALK_CL!$1:$1048576, 6, FALSE)</f>
        <v>48.049999237060547</v>
      </c>
    </row>
    <row r="28" spans="1:103" x14ac:dyDescent="0.25">
      <c r="A28" s="7" t="s">
        <v>134</v>
      </c>
      <c r="B28" s="7" t="s">
        <v>173</v>
      </c>
      <c r="C28" s="15" t="str">
        <f t="shared" si="0"/>
        <v>W44B43654</v>
      </c>
      <c r="D28" s="15" t="s">
        <v>165</v>
      </c>
      <c r="E28" t="s">
        <v>114</v>
      </c>
      <c r="F28" s="9">
        <v>43654</v>
      </c>
      <c r="G28" s="10">
        <v>0.59930555555555554</v>
      </c>
      <c r="H28">
        <v>52.685760000000002</v>
      </c>
      <c r="I28">
        <v>-108.90903</v>
      </c>
      <c r="J28">
        <v>20.5</v>
      </c>
      <c r="K28">
        <v>90</v>
      </c>
      <c r="L28">
        <v>6.7</v>
      </c>
      <c r="M28" t="s">
        <v>84</v>
      </c>
      <c r="N28">
        <v>0.36</v>
      </c>
      <c r="O28" s="25">
        <v>0.36</v>
      </c>
      <c r="Q28">
        <v>106.1</v>
      </c>
      <c r="R28" s="15">
        <v>0</v>
      </c>
      <c r="S28" s="15">
        <v>0</v>
      </c>
      <c r="T28" s="15">
        <v>23.3</v>
      </c>
      <c r="U28">
        <v>148.4</v>
      </c>
      <c r="V28">
        <v>12.4</v>
      </c>
      <c r="W28">
        <v>936</v>
      </c>
      <c r="X28">
        <v>0.36</v>
      </c>
      <c r="Y28">
        <v>9.9</v>
      </c>
      <c r="Z28">
        <v>23.2</v>
      </c>
      <c r="AA28">
        <v>127.5</v>
      </c>
      <c r="AB28">
        <v>11.08</v>
      </c>
      <c r="AC28">
        <v>922</v>
      </c>
      <c r="AD28">
        <v>0.48</v>
      </c>
      <c r="AE28">
        <v>9.74</v>
      </c>
      <c r="AF28" s="15">
        <f t="shared" si="1"/>
        <v>497.31250294075977</v>
      </c>
      <c r="AG28" s="15">
        <v>703.7</v>
      </c>
      <c r="AH28">
        <f t="shared" si="5"/>
        <v>551.39760000000001</v>
      </c>
      <c r="AI28">
        <v>23.3</v>
      </c>
      <c r="AJ28">
        <v>23.1</v>
      </c>
      <c r="AK28">
        <v>5</v>
      </c>
      <c r="AL28" t="s">
        <v>135</v>
      </c>
      <c r="AM28" t="s">
        <v>166</v>
      </c>
      <c r="AN28">
        <v>5.7457495266666658</v>
      </c>
      <c r="AO28">
        <v>4.2035712899999993</v>
      </c>
      <c r="AP28">
        <f t="shared" si="2"/>
        <v>0.62361841718462563</v>
      </c>
      <c r="AQ28">
        <f>VLOOKUP(A28, [1]buoyancy_max!$1:$1048576, 4, FALSE)</f>
        <v>9.4157099999999999E-4</v>
      </c>
      <c r="AR28">
        <f>VLOOKUP(A28, [2]buoyancy_min!$1:$1048576, 4, FALSE)</f>
        <v>9.4157099999999999E-4</v>
      </c>
      <c r="AS28" t="e">
        <f>VLOOKUP(A28,[3]Sheet1!$1:$1048576, 11, FALSE)</f>
        <v>#N/A</v>
      </c>
      <c r="AT28">
        <f>VLOOKUP(C28, Triplex!$1:$1048576, 6, FALSE)</f>
        <v>140</v>
      </c>
      <c r="AU28">
        <f>VLOOKUP($C28, Triplex!$1:$1048576, 8, FALSE)</f>
        <v>190</v>
      </c>
      <c r="AV28">
        <f>VLOOKUP($C28, Triplex!$1:$1048576, 9, FALSE)</f>
        <v>5.19</v>
      </c>
      <c r="AW28">
        <f t="shared" si="6"/>
        <v>145.19</v>
      </c>
      <c r="AX28">
        <f>VLOOKUP($C28, TP!$1:$1048576, 6, FALSE)</f>
        <v>240</v>
      </c>
      <c r="AY28">
        <f>VLOOKUP($C28, TN!$1:$1048576,5, FALSE)</f>
        <v>2500</v>
      </c>
      <c r="AZ28">
        <f t="shared" si="7"/>
        <v>13.157894736842104</v>
      </c>
      <c r="BA28">
        <f>VLOOKUP($C28, TICTOC!$1:$1048576, 5, FALSE)</f>
        <v>46.59</v>
      </c>
      <c r="BB28">
        <f t="shared" si="3"/>
        <v>3879.267277268943</v>
      </c>
      <c r="BC28">
        <f>VLOOKUP($C28, TICTOC!$1:$1048576, 6, FALSE)</f>
        <v>45.93</v>
      </c>
      <c r="BD28">
        <f t="shared" si="4"/>
        <v>3824.3130724396333</v>
      </c>
      <c r="BE28">
        <f>VLOOKUP(A28, GHG!$1:$1048576, 4, FALSE)</f>
        <v>60.095326450000002</v>
      </c>
      <c r="BF28">
        <f>VLOOKUP(A28, GHG!$1:$1048576, 6, FALSE)</f>
        <v>1.9790098119999999</v>
      </c>
      <c r="BG28">
        <f>VLOOKUP(A28, GHG!$1:$1048576, 7, FALSE)</f>
        <v>0.23585450599999999</v>
      </c>
      <c r="BH28">
        <f>VLOOKUP(A28, GHG!$1:$1048576, 8, FALSE)</f>
        <v>1742.0091930000001</v>
      </c>
      <c r="BI28">
        <f>VLOOKUP(A28, GHG!$1:$1048576, 10, FALSE)</f>
        <v>2.3381972119999999</v>
      </c>
      <c r="BJ28">
        <f>VLOOKUP(A28, GHG!$1:$1048576, 11, FALSE)</f>
        <v>0.14177484400000001</v>
      </c>
      <c r="BK28">
        <f>VLOOKUP(A28, GHG!$1:$1048576, 12, FALSE)</f>
        <v>0.236696978</v>
      </c>
      <c r="BL28">
        <f>VLOOKUP(Master!A28, GHG!$1:$1048576, 14, FALSE)</f>
        <v>5.706972951</v>
      </c>
      <c r="BM28">
        <f>VLOOKUP(A28, GHG!$1:$1048576, 15, FALSE)</f>
        <v>6.5878193000000002E-2</v>
      </c>
      <c r="CM28">
        <v>629</v>
      </c>
      <c r="CN28" s="27">
        <v>1569</v>
      </c>
      <c r="CO28">
        <f>VLOOKUP($A28, Flux!$1:$1048576, 2, FALSE)</f>
        <v>-30.771703550000002</v>
      </c>
      <c r="CP28">
        <f>VLOOKUP($A28, Flux!$1:$1048576, 10, FALSE)</f>
        <v>6.0531883190000002</v>
      </c>
      <c r="CQ28">
        <f>VLOOKUP($A28, Flux!$1:$1048576, 18, FALSE)</f>
        <v>-5.9544072410000002</v>
      </c>
      <c r="CR28">
        <f t="shared" si="8"/>
        <v>0.80544514797982003</v>
      </c>
      <c r="CS28">
        <f t="shared" si="9"/>
        <v>8849.7109826589585</v>
      </c>
      <c r="CT28">
        <f>VLOOKUP($C28, SO4_ALK_CL!$1:$1048576, 5, FALSE)</f>
        <v>217.86210632324219</v>
      </c>
      <c r="CU28">
        <f>VLOOKUP($C28, SO4_ALK_CL!$1:$1048576, 7, FALSE)</f>
        <v>293.0447998046875</v>
      </c>
      <c r="CV28">
        <f>VLOOKUP($C28, SO4_ALK_CL!$1:$1048576, 6, FALSE)</f>
        <v>7.2381000518798828</v>
      </c>
    </row>
    <row r="29" spans="1:103" x14ac:dyDescent="0.25">
      <c r="A29" s="7" t="s">
        <v>142</v>
      </c>
      <c r="B29" s="7">
        <v>65</v>
      </c>
      <c r="C29" s="15" t="str">
        <f t="shared" si="0"/>
        <v>W6543658</v>
      </c>
      <c r="D29" s="15" t="s">
        <v>165</v>
      </c>
      <c r="E29" t="s">
        <v>114</v>
      </c>
      <c r="F29" s="9">
        <v>43658</v>
      </c>
      <c r="G29" s="10">
        <v>0.36388888888888887</v>
      </c>
      <c r="H29">
        <v>52.551169999999999</v>
      </c>
      <c r="I29">
        <v>-103.89144</v>
      </c>
      <c r="J29">
        <v>16.600000000000001</v>
      </c>
      <c r="K29">
        <v>50</v>
      </c>
      <c r="L29">
        <v>0</v>
      </c>
      <c r="M29" t="s">
        <v>84</v>
      </c>
      <c r="N29">
        <v>0.4</v>
      </c>
      <c r="O29" s="25">
        <v>0.4</v>
      </c>
      <c r="Q29">
        <v>95.9</v>
      </c>
      <c r="R29" s="15">
        <v>0</v>
      </c>
      <c r="S29" s="15">
        <v>0</v>
      </c>
      <c r="T29" s="15">
        <v>15.6</v>
      </c>
      <c r="U29">
        <v>11.2</v>
      </c>
      <c r="V29">
        <v>1.1000000000000001</v>
      </c>
      <c r="W29">
        <v>711</v>
      </c>
      <c r="X29">
        <v>0.43</v>
      </c>
      <c r="Y29">
        <v>7.65</v>
      </c>
      <c r="Z29">
        <v>12.8</v>
      </c>
      <c r="AA29">
        <v>13.4</v>
      </c>
      <c r="AB29">
        <v>14.2</v>
      </c>
      <c r="AC29">
        <v>291.3</v>
      </c>
      <c r="AD29">
        <v>0.18</v>
      </c>
      <c r="AE29">
        <v>7.33</v>
      </c>
      <c r="AF29" s="15">
        <f t="shared" si="1"/>
        <v>369.36844947349908</v>
      </c>
      <c r="AG29" s="15">
        <v>713</v>
      </c>
      <c r="AH29">
        <f t="shared" si="5"/>
        <v>418.8501</v>
      </c>
      <c r="AI29">
        <v>22</v>
      </c>
      <c r="AJ29">
        <v>21.4</v>
      </c>
      <c r="AK29">
        <v>2</v>
      </c>
      <c r="AM29" t="s">
        <v>166</v>
      </c>
      <c r="AN29">
        <v>5.9074290416666688</v>
      </c>
      <c r="AO29">
        <v>4.716215458333334</v>
      </c>
      <c r="AP29">
        <f t="shared" si="2"/>
        <v>0.67359363743827783</v>
      </c>
      <c r="AQ29" t="e">
        <f>VLOOKUP(A29, [1]buoyancy_max!$1:$1048576, 4, FALSE)</f>
        <v>#N/A</v>
      </c>
      <c r="AR29" t="e">
        <f>VLOOKUP(A29, [2]buoyancy_min!$1:$1048576, 4, FALSE)</f>
        <v>#N/A</v>
      </c>
      <c r="AS29" t="e">
        <f>VLOOKUP(A29,[3]Sheet1!$1:$1048576, 11, FALSE)</f>
        <v>#N/A</v>
      </c>
      <c r="AT29">
        <f>VLOOKUP(C29, Triplex!$1:$1048576, 6, FALSE)</f>
        <v>30</v>
      </c>
      <c r="AU29">
        <f>VLOOKUP($C29, Triplex!$1:$1048576, 8, FALSE)</f>
        <v>220</v>
      </c>
      <c r="AV29">
        <f>VLOOKUP($C29, Triplex!$1:$1048576, 9, FALSE)</f>
        <v>286.19</v>
      </c>
      <c r="AW29">
        <f t="shared" si="6"/>
        <v>316.19</v>
      </c>
      <c r="AX29">
        <f>VLOOKUP($C29, TP!$1:$1048576, 6, FALSE)</f>
        <v>240</v>
      </c>
      <c r="AY29">
        <f>VLOOKUP($C29, TN!$1:$1048576,5, FALSE)</f>
        <v>1790</v>
      </c>
      <c r="AZ29">
        <f t="shared" si="7"/>
        <v>8.1363636363636367</v>
      </c>
      <c r="BA29">
        <f>VLOOKUP($C29, TICTOC!$1:$1048576, 5, FALSE)</f>
        <v>108.27500000000001</v>
      </c>
      <c r="BB29">
        <f t="shared" si="3"/>
        <v>9015.4038301415494</v>
      </c>
      <c r="BC29">
        <f>VLOOKUP($C29, TICTOC!$1:$1048576, 6, FALSE)</f>
        <v>37.725999999999999</v>
      </c>
      <c r="BD29">
        <f t="shared" si="4"/>
        <v>3141.2156536219818</v>
      </c>
      <c r="BE29">
        <f>VLOOKUP(A29, GHG!$1:$1048576, 4, FALSE)</f>
        <v>9612.1042240000006</v>
      </c>
      <c r="BF29">
        <f>VLOOKUP(A29, GHG!$1:$1048576, 6, FALSE)</f>
        <v>402.49821279999998</v>
      </c>
      <c r="BG29">
        <f>VLOOKUP(A29, GHG!$1:$1048576, 7, FALSE)</f>
        <v>2.93944151</v>
      </c>
      <c r="BH29">
        <f>VLOOKUP(A29, GHG!$1:$1048576, 8, FALSE)</f>
        <v>3037.265112</v>
      </c>
      <c r="BI29">
        <f>VLOOKUP(A29, GHG!$1:$1048576, 10, FALSE)</f>
        <v>4.8343159289999997</v>
      </c>
      <c r="BJ29">
        <f>VLOOKUP(A29, GHG!$1:$1048576, 11, FALSE)</f>
        <v>6.4366723000000001E-2</v>
      </c>
      <c r="BK29">
        <f>VLOOKUP(A29, GHG!$1:$1048576, 12, FALSE)</f>
        <v>0.112153317</v>
      </c>
      <c r="BL29">
        <f>VLOOKUP(Master!A37, GHG!$1:$1048576, 14, FALSE)</f>
        <v>5.6067236029999998</v>
      </c>
      <c r="BM29">
        <f>VLOOKUP(A29, GHG!$1:$1048576, 15, FALSE)</f>
        <v>0.14456103000000001</v>
      </c>
      <c r="CM29">
        <v>539</v>
      </c>
      <c r="CN29" s="27">
        <v>100</v>
      </c>
      <c r="CO29">
        <f>VLOOKUP($A29, Flux!$1:$1048576, 2, FALSE)</f>
        <v>783.9163939</v>
      </c>
      <c r="CP29">
        <f>VLOOKUP($A29, Flux!$1:$1048576, 10, FALSE)</f>
        <v>9.7008434060000006</v>
      </c>
      <c r="CQ29">
        <f>VLOOKUP($A29, Flux!$1:$1048576, 18, FALSE)</f>
        <v>-13.50756674</v>
      </c>
      <c r="CR29">
        <f t="shared" si="8"/>
        <v>3.5449077018200001</v>
      </c>
      <c r="CS29">
        <f t="shared" si="9"/>
        <v>131.82151717390545</v>
      </c>
      <c r="CT29">
        <f>VLOOKUP($C29, SO4_ALK_CL!$1:$1048576, 5, FALSE)</f>
        <v>428.15069580078125</v>
      </c>
      <c r="CU29">
        <f>VLOOKUP($C29, SO4_ALK_CL!$1:$1048576, 7, FALSE)</f>
        <v>105.10250091552734</v>
      </c>
      <c r="CV29">
        <f>VLOOKUP($C29, SO4_ALK_CL!$1:$1048576, 6, FALSE)</f>
        <v>5.3422999382019043</v>
      </c>
    </row>
    <row r="30" spans="1:103" x14ac:dyDescent="0.25">
      <c r="A30" s="7" t="s">
        <v>94</v>
      </c>
      <c r="B30" s="7">
        <v>20</v>
      </c>
      <c r="C30" s="15" t="str">
        <f t="shared" si="0"/>
        <v>W2043636</v>
      </c>
      <c r="D30" s="15" t="s">
        <v>165</v>
      </c>
      <c r="E30" t="s">
        <v>83</v>
      </c>
      <c r="F30" s="9">
        <v>43636</v>
      </c>
      <c r="G30" s="10">
        <v>0.56527777777777777</v>
      </c>
      <c r="H30">
        <v>50.106699999999996</v>
      </c>
      <c r="I30">
        <v>-102.04008</v>
      </c>
      <c r="J30">
        <v>14.1</v>
      </c>
      <c r="K30">
        <v>100</v>
      </c>
      <c r="L30">
        <v>21.3</v>
      </c>
      <c r="M30" t="s">
        <v>84</v>
      </c>
      <c r="N30">
        <v>0.8</v>
      </c>
      <c r="O30" s="25">
        <v>0.8</v>
      </c>
      <c r="Q30">
        <v>89</v>
      </c>
      <c r="R30" s="15">
        <v>0</v>
      </c>
      <c r="S30" s="15">
        <v>0</v>
      </c>
      <c r="T30" s="15">
        <v>17.5</v>
      </c>
      <c r="U30">
        <v>115.5</v>
      </c>
      <c r="V30">
        <v>10.98</v>
      </c>
      <c r="W30">
        <v>995</v>
      </c>
      <c r="X30">
        <v>0.57999999999999996</v>
      </c>
      <c r="Y30">
        <v>9.5299999999999994</v>
      </c>
      <c r="Z30">
        <v>17.5</v>
      </c>
      <c r="AA30">
        <v>111.3</v>
      </c>
      <c r="AB30">
        <v>10.58</v>
      </c>
      <c r="AC30">
        <v>997</v>
      </c>
      <c r="AD30">
        <v>0.57999999999999996</v>
      </c>
      <c r="AE30">
        <v>9.6300000000000008</v>
      </c>
      <c r="AF30" s="15">
        <f t="shared" si="1"/>
        <v>530.77278643471402</v>
      </c>
      <c r="AG30" s="15">
        <v>700.7</v>
      </c>
      <c r="AH30">
        <f t="shared" si="5"/>
        <v>586.15449999999998</v>
      </c>
      <c r="AI30">
        <v>17.5</v>
      </c>
      <c r="AJ30">
        <v>16</v>
      </c>
      <c r="AK30">
        <v>3</v>
      </c>
      <c r="AL30" t="s">
        <v>95</v>
      </c>
      <c r="AM30" t="s">
        <v>166</v>
      </c>
      <c r="AN30">
        <v>6.0974634166666668</v>
      </c>
      <c r="AO30">
        <v>4.9303375555555551</v>
      </c>
      <c r="AP30">
        <f t="shared" si="2"/>
        <v>0.69287665426639133</v>
      </c>
      <c r="AQ30">
        <f>VLOOKUP(A30, [1]buoyancy_max!$1:$1048576, 4, FALSE)</f>
        <v>0</v>
      </c>
      <c r="AR30">
        <f>VLOOKUP(A30, [2]buoyancy_min!$1:$1048576, 4, FALSE)</f>
        <v>0</v>
      </c>
      <c r="AS30">
        <f>VLOOKUP(A30,[3]Sheet1!$1:$1048576, 11, FALSE)</f>
        <v>2.7711021271869805</v>
      </c>
      <c r="AT30">
        <f>VLOOKUP(C30, Triplex!$1:$1048576, 6, FALSE)</f>
        <v>20</v>
      </c>
      <c r="AU30">
        <f>VLOOKUP($C30, Triplex!$1:$1048576, 8, FALSE)</f>
        <v>40</v>
      </c>
      <c r="AV30">
        <f>VLOOKUP($C30, Triplex!$1:$1048576, 9, FALSE)</f>
        <v>169.3</v>
      </c>
      <c r="AW30">
        <f t="shared" si="6"/>
        <v>189.3</v>
      </c>
      <c r="AX30">
        <f>VLOOKUP($C30, TP!$1:$1048576, 6, FALSE)</f>
        <v>80</v>
      </c>
      <c r="AY30">
        <f>VLOOKUP($C30, TN!$1:$1048576,5, FALSE)</f>
        <v>1960</v>
      </c>
      <c r="AZ30">
        <f t="shared" si="7"/>
        <v>49</v>
      </c>
      <c r="BA30">
        <f>VLOOKUP($C30, TICTOC!$1:$1048576, 5, FALSE)</f>
        <v>51.947000000000003</v>
      </c>
      <c r="BB30">
        <f t="shared" si="3"/>
        <v>4325.3122398001669</v>
      </c>
      <c r="BC30">
        <f>VLOOKUP($C30, TICTOC!$1:$1048576, 6, FALSE)</f>
        <v>29.1</v>
      </c>
      <c r="BD30">
        <f t="shared" si="4"/>
        <v>2422.9808492922566</v>
      </c>
      <c r="BE30">
        <f>VLOOKUP(A30, GHG!$1:$1048576, 4, FALSE)</f>
        <v>160.63138609999999</v>
      </c>
      <c r="BF30">
        <f>VLOOKUP(A30, GHG!$1:$1048576, 6, FALSE)</f>
        <v>6.229092101</v>
      </c>
      <c r="BG30">
        <f>VLOOKUP(A30, GHG!$1:$1048576, 7, FALSE)</f>
        <v>1.9916921910000001</v>
      </c>
      <c r="BH30">
        <f>VLOOKUP(A30, GHG!$1:$1048576, 8, FALSE)</f>
        <v>88.339253720000002</v>
      </c>
      <c r="BI30">
        <f>VLOOKUP(A30, GHG!$1:$1048576, 10, FALSE)</f>
        <v>0.132437889</v>
      </c>
      <c r="BJ30">
        <f>VLOOKUP(A30, GHG!$1:$1048576, 11, FALSE)</f>
        <v>3.0903889999999998E-3</v>
      </c>
      <c r="BK30">
        <f>VLOOKUP(A30, GHG!$1:$1048576, 12, FALSE)</f>
        <v>0.27686277399999998</v>
      </c>
      <c r="BL30">
        <f>VLOOKUP(Master!A24, GHG!$1:$1048576, 14, FALSE)</f>
        <v>5.2444945699999996</v>
      </c>
      <c r="BM30">
        <f>VLOOKUP(A30, GHG!$1:$1048576, 15, FALSE)</f>
        <v>7.9270591000000001E-2</v>
      </c>
      <c r="CM30">
        <v>618</v>
      </c>
      <c r="CN30" s="27">
        <v>37871</v>
      </c>
      <c r="CO30">
        <f>VLOOKUP($A30, Flux!$1:$1048576, 2, FALSE)</f>
        <v>-21.307751440000001</v>
      </c>
      <c r="CP30">
        <f>VLOOKUP($A30, Flux!$1:$1048576, 10, FALSE)</f>
        <v>0.277830566</v>
      </c>
      <c r="CQ30">
        <f>VLOOKUP($A30, Flux!$1:$1048576, 18, FALSE)</f>
        <v>-3.3798762139999998</v>
      </c>
      <c r="CR30">
        <f t="shared" si="8"/>
        <v>0.36431876509251421</v>
      </c>
      <c r="CS30">
        <f t="shared" si="9"/>
        <v>171.88422917897222</v>
      </c>
      <c r="CT30">
        <f>VLOOKUP($C30, SO4_ALK_CL!$1:$1048576, 5, FALSE)</f>
        <v>279.8800048828125</v>
      </c>
      <c r="CU30">
        <f>VLOOKUP($C30, SO4_ALK_CL!$1:$1048576, 7, FALSE)</f>
        <v>386.855712890625</v>
      </c>
      <c r="CV30">
        <f>VLOOKUP($C30, SO4_ALK_CL!$1:$1048576, 6, FALSE)</f>
        <v>16.920000076293945</v>
      </c>
      <c r="CW30">
        <f>VLOOKUP(A30, Ebullition!$1:$1048576, 5, FALSE)</f>
        <v>0.90689101300420605</v>
      </c>
      <c r="CX30">
        <f>VLOOKUP(A30, Ebullition!$1:$1048576, 7, FALSE)</f>
        <v>6.7310263293971637</v>
      </c>
      <c r="CY30">
        <f>VLOOKUP(A30, Ebullition!$1:$1048576, 8, FALSE)</f>
        <v>349.83132530120474</v>
      </c>
    </row>
    <row r="31" spans="1:103" x14ac:dyDescent="0.25">
      <c r="A31" s="7" t="s">
        <v>91</v>
      </c>
      <c r="B31" s="7">
        <v>52</v>
      </c>
      <c r="C31" s="15" t="str">
        <f t="shared" si="0"/>
        <v>W5243636</v>
      </c>
      <c r="D31" s="15" t="s">
        <v>165</v>
      </c>
      <c r="E31" t="s">
        <v>83</v>
      </c>
      <c r="F31" s="9">
        <v>43636</v>
      </c>
      <c r="G31" s="10">
        <v>0.45277777777777778</v>
      </c>
      <c r="H31">
        <v>49.874879999999997</v>
      </c>
      <c r="I31">
        <v>-101.73738</v>
      </c>
      <c r="J31">
        <v>13.8</v>
      </c>
      <c r="K31">
        <v>100</v>
      </c>
      <c r="L31">
        <v>12.6</v>
      </c>
      <c r="M31" t="s">
        <v>84</v>
      </c>
      <c r="N31">
        <v>0.76</v>
      </c>
      <c r="O31" s="25">
        <v>0.7</v>
      </c>
      <c r="Q31">
        <v>97.4</v>
      </c>
      <c r="R31" s="15">
        <v>0</v>
      </c>
      <c r="S31" s="15">
        <v>0</v>
      </c>
      <c r="T31" s="15">
        <v>16.100000000000001</v>
      </c>
      <c r="U31">
        <v>86.4</v>
      </c>
      <c r="V31">
        <v>8.49</v>
      </c>
      <c r="W31">
        <v>869</v>
      </c>
      <c r="X31">
        <v>0.52</v>
      </c>
      <c r="Y31">
        <v>9.58</v>
      </c>
      <c r="Z31">
        <v>16.100000000000001</v>
      </c>
      <c r="AA31">
        <v>85.6</v>
      </c>
      <c r="AB31">
        <v>8.42</v>
      </c>
      <c r="AC31">
        <v>868</v>
      </c>
      <c r="AD31">
        <v>0.52</v>
      </c>
      <c r="AE31">
        <v>9.58</v>
      </c>
      <c r="AF31" s="15">
        <f t="shared" si="1"/>
        <v>459.32837892010474</v>
      </c>
      <c r="AG31" s="15">
        <v>703.1</v>
      </c>
      <c r="AH31">
        <f t="shared" si="5"/>
        <v>511.92789999999997</v>
      </c>
      <c r="AI31">
        <v>16.100000000000001</v>
      </c>
      <c r="AJ31">
        <v>15</v>
      </c>
      <c r="AK31">
        <v>2</v>
      </c>
      <c r="AL31" t="s">
        <v>92</v>
      </c>
      <c r="AM31" t="s">
        <v>166</v>
      </c>
      <c r="AN31">
        <v>6.8375465499999999</v>
      </c>
      <c r="AO31">
        <v>5.9049955333333326</v>
      </c>
      <c r="AP31">
        <f t="shared" si="2"/>
        <v>0.77121957343989433</v>
      </c>
      <c r="AQ31">
        <f>VLOOKUP(A31, [1]buoyancy_max!$1:$1048576, 4, FALSE)</f>
        <v>0</v>
      </c>
      <c r="AR31">
        <f>VLOOKUP(A31, [2]buoyancy_min!$1:$1048576, 4, FALSE)</f>
        <v>0</v>
      </c>
      <c r="AS31">
        <f>VLOOKUP(A31,[3]Sheet1!$1:$1048576, 11, FALSE)</f>
        <v>4.7111634900959567</v>
      </c>
      <c r="AT31">
        <f>VLOOKUP(C31, Triplex!$1:$1048576, 6, FALSE)</f>
        <v>3.7399999999999998</v>
      </c>
      <c r="AU31">
        <f>VLOOKUP($C31, Triplex!$1:$1048576, 8, FALSE)</f>
        <v>190</v>
      </c>
      <c r="AV31">
        <f>VLOOKUP($C31, Triplex!$1:$1048576, 9, FALSE)</f>
        <v>121.74</v>
      </c>
      <c r="AW31">
        <f t="shared" si="6"/>
        <v>125.47999999999999</v>
      </c>
      <c r="AX31">
        <f>VLOOKUP($C31, TP!$1:$1048576, 6, FALSE)</f>
        <v>270</v>
      </c>
      <c r="AY31">
        <f>VLOOKUP($C31, TN!$1:$1048576,5, FALSE)</f>
        <v>1690</v>
      </c>
      <c r="AZ31">
        <f t="shared" si="7"/>
        <v>8.8947368421052637</v>
      </c>
      <c r="BA31">
        <f>VLOOKUP($C31, TICTOC!$1:$1048576, 5, FALSE)</f>
        <v>53.49</v>
      </c>
      <c r="BB31">
        <f t="shared" si="3"/>
        <v>4453.7885095753536</v>
      </c>
      <c r="BC31">
        <f>VLOOKUP($C31, TICTOC!$1:$1048576, 6, FALSE)</f>
        <v>28.638999999999999</v>
      </c>
      <c r="BD31">
        <f t="shared" si="4"/>
        <v>2384.5961698584515</v>
      </c>
      <c r="BE31">
        <f>VLOOKUP(A31, GHG!$1:$1048576, 4, FALSE)</f>
        <v>85.684995470000004</v>
      </c>
      <c r="BF31">
        <f>VLOOKUP(A31, GHG!$1:$1048576, 6, FALSE)</f>
        <v>3.48193872</v>
      </c>
      <c r="BG31">
        <f>VLOOKUP(A31, GHG!$1:$1048576, 7, FALSE)</f>
        <v>0.133463946</v>
      </c>
      <c r="BH31">
        <f>VLOOKUP(A31, GHG!$1:$1048576, 8, FALSE)</f>
        <v>200.24286140000001</v>
      </c>
      <c r="BI31">
        <f>VLOOKUP(A31, GHG!$1:$1048576, 10, FALSE)</f>
        <v>0.31065868299999999</v>
      </c>
      <c r="BJ31">
        <f>VLOOKUP(A31, GHG!$1:$1048576, 11, FALSE)</f>
        <v>5.3873519999999998E-3</v>
      </c>
      <c r="BK31">
        <f>VLOOKUP(A31, GHG!$1:$1048576, 12, FALSE)</f>
        <v>0.27025758700000002</v>
      </c>
      <c r="BL31">
        <f>VLOOKUP(Master!A30, GHG!$1:$1048576, 14, FALSE)</f>
        <v>7.9214955829999996</v>
      </c>
      <c r="BM31">
        <f>VLOOKUP(A31, GHG!$1:$1048576, 15, FALSE)</f>
        <v>8.4278884999999998E-2</v>
      </c>
      <c r="CM31">
        <v>593</v>
      </c>
      <c r="CN31" s="27">
        <v>780</v>
      </c>
      <c r="CO31">
        <f>VLOOKUP($A31, Flux!$1:$1048576, 2, FALSE)</f>
        <v>-27.56394547</v>
      </c>
      <c r="CP31">
        <f>VLOOKUP($A31, Flux!$1:$1048576, 10, FALSE)</f>
        <v>0.62875455099999999</v>
      </c>
      <c r="CQ31">
        <f>VLOOKUP($A31, Flux!$1:$1048576, 18, FALSE)</f>
        <v>-3.776134189</v>
      </c>
      <c r="CR31">
        <f t="shared" si="8"/>
        <v>2.2212409908239645</v>
      </c>
      <c r="CS31">
        <f t="shared" si="9"/>
        <v>235.24724823394121</v>
      </c>
      <c r="CT31">
        <f>VLOOKUP($C31, SO4_ALK_CL!$1:$1048576, 5, FALSE)</f>
        <v>312.07000732421875</v>
      </c>
      <c r="CU31">
        <f>VLOOKUP($C31, SO4_ALK_CL!$1:$1048576, 7, FALSE)</f>
        <v>294.83261108398438</v>
      </c>
      <c r="CV31">
        <f>VLOOKUP($C31, SO4_ALK_CL!$1:$1048576, 6, FALSE)</f>
        <v>18.930000305175781</v>
      </c>
    </row>
    <row r="32" spans="1:103" x14ac:dyDescent="0.25">
      <c r="A32" s="7" t="s">
        <v>120</v>
      </c>
      <c r="B32" s="7" t="s">
        <v>172</v>
      </c>
      <c r="C32" s="15" t="str">
        <f t="shared" si="0"/>
        <v>W31C43648</v>
      </c>
      <c r="D32" s="15" t="s">
        <v>165</v>
      </c>
      <c r="E32" t="s">
        <v>114</v>
      </c>
      <c r="F32" s="9">
        <v>43648</v>
      </c>
      <c r="G32" s="10">
        <v>0.52013888888888882</v>
      </c>
      <c r="H32">
        <v>51.159309999999998</v>
      </c>
      <c r="I32">
        <v>-107.53362</v>
      </c>
      <c r="J32">
        <v>19.2</v>
      </c>
      <c r="K32">
        <v>35</v>
      </c>
      <c r="L32">
        <v>9.1999999999999993</v>
      </c>
      <c r="M32" t="s">
        <v>115</v>
      </c>
      <c r="N32">
        <v>0.16</v>
      </c>
      <c r="O32" s="25">
        <v>0.16</v>
      </c>
      <c r="Q32">
        <v>86.3</v>
      </c>
      <c r="R32" s="15">
        <v>0</v>
      </c>
      <c r="S32" s="15">
        <v>0</v>
      </c>
      <c r="T32" s="15">
        <v>20.100000000000001</v>
      </c>
      <c r="U32">
        <v>175.6</v>
      </c>
      <c r="V32">
        <v>15.86</v>
      </c>
      <c r="W32">
        <v>844</v>
      </c>
      <c r="X32">
        <v>0.4</v>
      </c>
      <c r="Y32">
        <v>9.4499999999999993</v>
      </c>
      <c r="AF32" s="15">
        <f t="shared" si="1"/>
        <v>445.15878224223047</v>
      </c>
      <c r="AG32" s="15">
        <v>701.5</v>
      </c>
      <c r="AH32">
        <f t="shared" si="5"/>
        <v>497.20039999999995</v>
      </c>
      <c r="AI32">
        <v>19.2</v>
      </c>
      <c r="AJ32">
        <v>19.399999999999999</v>
      </c>
      <c r="AK32" t="s">
        <v>101</v>
      </c>
      <c r="AL32" t="s">
        <v>121</v>
      </c>
      <c r="AM32" t="s">
        <v>166</v>
      </c>
      <c r="AN32">
        <v>9.4494856750000018</v>
      </c>
      <c r="AO32">
        <v>8.0089590333333334</v>
      </c>
      <c r="AP32">
        <f t="shared" si="2"/>
        <v>0.90357607220684533</v>
      </c>
      <c r="AQ32" t="e">
        <f>VLOOKUP(A32, [1]buoyancy_max!$1:$1048576, 4, FALSE)</f>
        <v>#N/A</v>
      </c>
      <c r="AR32" t="e">
        <f>VLOOKUP(A32, [2]buoyancy_min!$1:$1048576, 4, FALSE)</f>
        <v>#N/A</v>
      </c>
      <c r="AS32" t="e">
        <f>VLOOKUP(A32,[3]Sheet1!$1:$1048576, 11, FALSE)</f>
        <v>#N/A</v>
      </c>
      <c r="AT32">
        <f>VLOOKUP(C32, Triplex!$1:$1048576, 6, FALSE)</f>
        <v>20</v>
      </c>
      <c r="AU32">
        <f>VLOOKUP($C32, Triplex!$1:$1048576, 8, FALSE)</f>
        <v>630</v>
      </c>
      <c r="AV32">
        <f>VLOOKUP($C32, Triplex!$1:$1048576, 9, FALSE)</f>
        <v>162.15</v>
      </c>
      <c r="AW32">
        <f t="shared" si="6"/>
        <v>182.15</v>
      </c>
      <c r="AX32">
        <f>VLOOKUP($C32, TP!$1:$1048576, 6, FALSE)</f>
        <v>780</v>
      </c>
      <c r="AY32">
        <f>VLOOKUP($C32, TN!$1:$1048576,5, FALSE)</f>
        <v>5200</v>
      </c>
      <c r="AZ32">
        <f t="shared" si="7"/>
        <v>8.2539682539682548</v>
      </c>
      <c r="BA32">
        <f>VLOOKUP($C32, TICTOC!$1:$1048576, 5, FALSE)</f>
        <v>72.307000000000002</v>
      </c>
      <c r="BB32">
        <f t="shared" si="3"/>
        <v>6020.5661948376355</v>
      </c>
      <c r="BC32">
        <f>VLOOKUP($C32, TICTOC!$1:$1048576, 6, FALSE)</f>
        <v>65.179000000000002</v>
      </c>
      <c r="BD32">
        <f t="shared" si="4"/>
        <v>5427.0607826810992</v>
      </c>
      <c r="BE32">
        <f>VLOOKUP(A32, GHG!$1:$1048576, 4, FALSE)</f>
        <v>127.727074</v>
      </c>
      <c r="BF32">
        <f>VLOOKUP(A32, GHG!$1:$1048576, 6, FALSE)</f>
        <v>4.5926830949999999</v>
      </c>
      <c r="BG32">
        <f>VLOOKUP(A32, GHG!$1:$1048576, 7, FALSE)</f>
        <v>0.24741965199999999</v>
      </c>
      <c r="BH32">
        <f>VLOOKUP(A32, GHG!$1:$1048576, 8, FALSE)</f>
        <v>650.94149379999999</v>
      </c>
      <c r="BI32">
        <f>VLOOKUP(A32, GHG!$1:$1048576, 10, FALSE)</f>
        <v>0.92669048799999998</v>
      </c>
      <c r="BJ32">
        <f>VLOOKUP(A32, GHG!$1:$1048576, 11, FALSE)</f>
        <v>2.7201896999999999E-2</v>
      </c>
      <c r="BK32">
        <f>VLOOKUP(A32, GHG!$1:$1048576, 12, FALSE)</f>
        <v>0.24333246</v>
      </c>
      <c r="BL32">
        <f>VLOOKUP(Master!A27, GHG!$1:$1048576, 14, FALSE)</f>
        <v>7.2789072299999997</v>
      </c>
      <c r="BM32">
        <f>VLOOKUP(A32, GHG!$1:$1048576, 15, FALSE)</f>
        <v>2.6868733999999998E-2</v>
      </c>
      <c r="CM32">
        <v>679</v>
      </c>
      <c r="CN32" s="27">
        <v>4497</v>
      </c>
      <c r="CO32">
        <f>VLOOKUP($A32, Flux!$1:$1048576, 2, FALSE)</f>
        <v>-24.414862299999999</v>
      </c>
      <c r="CP32">
        <f>VLOOKUP($A32, Flux!$1:$1048576, 10, FALSE)</f>
        <v>2.1593581899999998</v>
      </c>
      <c r="CQ32">
        <f>VLOOKUP($A32, Flux!$1:$1048576, 18, FALSE)</f>
        <v>-5.4655149649999997</v>
      </c>
      <c r="CR32">
        <f t="shared" si="8"/>
        <v>0.21144795027397237</v>
      </c>
      <c r="CS32">
        <f t="shared" si="9"/>
        <v>401.96731421523282</v>
      </c>
      <c r="CT32">
        <f>VLOOKUP($C32, SO4_ALK_CL!$1:$1048576, 5, FALSE)</f>
        <v>373.33999633789063</v>
      </c>
      <c r="CU32">
        <f>VLOOKUP($C32, SO4_ALK_CL!$1:$1048576, 7, FALSE)</f>
        <v>213.07170104980469</v>
      </c>
      <c r="CV32">
        <f>VLOOKUP($C32, SO4_ALK_CL!$1:$1048576, 6, FALSE)</f>
        <v>49.82</v>
      </c>
    </row>
    <row r="33" spans="1:103" x14ac:dyDescent="0.25">
      <c r="A33" s="7" t="s">
        <v>138</v>
      </c>
      <c r="B33" s="7" t="s">
        <v>181</v>
      </c>
      <c r="C33" s="15" t="str">
        <f t="shared" si="0"/>
        <v>W8G43657</v>
      </c>
      <c r="D33" s="15" t="s">
        <v>165</v>
      </c>
      <c r="E33" t="s">
        <v>114</v>
      </c>
      <c r="F33" s="9">
        <v>43657</v>
      </c>
      <c r="G33" s="10">
        <v>0.55277777777777781</v>
      </c>
      <c r="H33">
        <v>52.625329999999998</v>
      </c>
      <c r="I33">
        <v>-104.64516</v>
      </c>
      <c r="J33">
        <v>20.3</v>
      </c>
      <c r="K33">
        <v>95</v>
      </c>
      <c r="L33">
        <v>15.4</v>
      </c>
      <c r="M33" t="s">
        <v>84</v>
      </c>
      <c r="N33">
        <v>0.68</v>
      </c>
      <c r="O33" s="25">
        <v>0.68</v>
      </c>
      <c r="Q33">
        <v>92</v>
      </c>
      <c r="R33" s="15">
        <v>0</v>
      </c>
      <c r="S33" s="15">
        <v>0</v>
      </c>
      <c r="T33" s="15">
        <v>22.6</v>
      </c>
      <c r="U33">
        <v>104.2</v>
      </c>
      <c r="V33">
        <v>8.9499999999999993</v>
      </c>
      <c r="W33">
        <v>221.5</v>
      </c>
      <c r="X33">
        <v>0.11</v>
      </c>
      <c r="Y33">
        <v>9.74</v>
      </c>
      <c r="Z33">
        <v>22.6</v>
      </c>
      <c r="AA33">
        <v>74.900000000000006</v>
      </c>
      <c r="AB33">
        <v>6.48</v>
      </c>
      <c r="AC33">
        <v>219.9</v>
      </c>
      <c r="AD33">
        <v>0.11</v>
      </c>
      <c r="AE33">
        <v>9.36</v>
      </c>
      <c r="AF33" s="15">
        <f t="shared" si="1"/>
        <v>113.03743140600473</v>
      </c>
      <c r="AG33" s="15">
        <v>710.5</v>
      </c>
      <c r="AH33">
        <f t="shared" si="5"/>
        <v>130.48564999999999</v>
      </c>
      <c r="AI33">
        <v>22.9</v>
      </c>
      <c r="AJ33">
        <v>22.2</v>
      </c>
      <c r="AK33">
        <v>2</v>
      </c>
      <c r="AL33" t="s">
        <v>139</v>
      </c>
      <c r="AM33" t="s">
        <v>166</v>
      </c>
      <c r="AN33">
        <v>9.9998435158333336</v>
      </c>
      <c r="AO33">
        <v>8.8996930966666667</v>
      </c>
      <c r="AP33">
        <f t="shared" si="2"/>
        <v>0.9493750303839813</v>
      </c>
      <c r="AQ33">
        <f>VLOOKUP(A33, [1]buoyancy_max!$1:$1048576, 4, FALSE)</f>
        <v>1.383032E-3</v>
      </c>
      <c r="AR33">
        <f>VLOOKUP(A33, [2]buoyancy_min!$1:$1048576, 4, FALSE)</f>
        <v>1.383032E-3</v>
      </c>
      <c r="AS33" t="e">
        <f>VLOOKUP(A33,[3]Sheet1!$1:$1048576, 11, FALSE)</f>
        <v>#N/A</v>
      </c>
      <c r="AT33">
        <f>VLOOKUP(C33, Triplex!$1:$1048576, 6, FALSE)</f>
        <v>20</v>
      </c>
      <c r="AU33">
        <f>VLOOKUP($C33, Triplex!$1:$1048576, 8, FALSE)</f>
        <v>80</v>
      </c>
      <c r="AV33">
        <f>VLOOKUP($C33, Triplex!$1:$1048576, 9, FALSE)</f>
        <v>304.86</v>
      </c>
      <c r="AW33">
        <f t="shared" si="6"/>
        <v>324.86</v>
      </c>
      <c r="AX33">
        <f>VLOOKUP($C33, TP!$1:$1048576, 6, FALSE)</f>
        <v>130</v>
      </c>
      <c r="AY33">
        <f>VLOOKUP($C33, TN!$1:$1048576,5, FALSE)</f>
        <v>1990</v>
      </c>
      <c r="AZ33">
        <f t="shared" si="7"/>
        <v>24.875</v>
      </c>
      <c r="BA33">
        <f>VLOOKUP($C33, TICTOC!$1:$1048576, 5, FALSE)</f>
        <v>25.484000000000002</v>
      </c>
      <c r="BB33">
        <f t="shared" si="3"/>
        <v>2121.8984179850127</v>
      </c>
      <c r="BC33">
        <f>VLOOKUP($C33, TICTOC!$1:$1048576, 6, FALSE)</f>
        <v>31.225999999999999</v>
      </c>
      <c r="BD33">
        <f t="shared" si="4"/>
        <v>2600</v>
      </c>
      <c r="BE33">
        <f>VLOOKUP(A33, GHG!$1:$1048576, 4, FALSE)</f>
        <v>77.064478440000002</v>
      </c>
      <c r="BF33">
        <f>VLOOKUP(A33, GHG!$1:$1048576, 6, FALSE)</f>
        <v>2.614341182</v>
      </c>
      <c r="BG33">
        <f>VLOOKUP(A33, GHG!$1:$1048576, 7, FALSE)</f>
        <v>0.32930203000000002</v>
      </c>
      <c r="BH33">
        <f>VLOOKUP(A33, GHG!$1:$1048576, 8, FALSE)</f>
        <v>1944.04493</v>
      </c>
      <c r="BI33">
        <f>VLOOKUP(A33, GHG!$1:$1048576, 10, FALSE)</f>
        <v>2.6715543859999999</v>
      </c>
      <c r="BJ33">
        <f>VLOOKUP(A33, GHG!$1:$1048576, 11, FALSE)</f>
        <v>0.108392366</v>
      </c>
      <c r="BK33">
        <f>VLOOKUP(A33, GHG!$1:$1048576, 12, FALSE)</f>
        <v>0.21441706399999999</v>
      </c>
      <c r="BL33">
        <f>VLOOKUP(Master!A41, GHG!$1:$1048576, 14, FALSE)</f>
        <v>7.2813740290000002</v>
      </c>
      <c r="BM33">
        <f>VLOOKUP(A33, GHG!$1:$1048576, 15, FALSE)</f>
        <v>2.1329341000000002E-2</v>
      </c>
      <c r="CM33">
        <v>534</v>
      </c>
      <c r="CN33" s="27">
        <v>24039</v>
      </c>
      <c r="CO33">
        <f>VLOOKUP($A33, Flux!$1:$1048576, 2, FALSE)</f>
        <v>-29.486111480000002</v>
      </c>
      <c r="CP33">
        <f>VLOOKUP($A33, Flux!$1:$1048576, 10, FALSE)</f>
        <v>6.7636007930000002</v>
      </c>
      <c r="CQ33">
        <f>VLOOKUP($A33, Flux!$1:$1048576, 18, FALSE)</f>
        <v>-7.3991887839999997</v>
      </c>
      <c r="CR33">
        <f t="shared" si="8"/>
        <v>0.38868309714331034</v>
      </c>
      <c r="CS33">
        <f t="shared" si="9"/>
        <v>102.42734369874697</v>
      </c>
      <c r="CT33">
        <f>VLOOKUP($C33, SO4_ALK_CL!$1:$1048576, 5, FALSE)</f>
        <v>128.49699401855469</v>
      </c>
      <c r="CU33">
        <f>VLOOKUP($C33, SO4_ALK_CL!$1:$1048576, 7, FALSE)</f>
        <v>14.352250099182129</v>
      </c>
      <c r="CV33">
        <f>VLOOKUP($C33, SO4_ALK_CL!$1:$1048576, 6, FALSE)</f>
        <v>3.2934999465942383</v>
      </c>
    </row>
    <row r="34" spans="1:103" x14ac:dyDescent="0.25">
      <c r="A34" s="7" t="s">
        <v>85</v>
      </c>
      <c r="B34" s="7" t="s">
        <v>174</v>
      </c>
      <c r="C34" s="15" t="str">
        <f t="shared" si="0"/>
        <v>W56A43635</v>
      </c>
      <c r="D34" s="15" t="s">
        <v>165</v>
      </c>
      <c r="E34" t="s">
        <v>83</v>
      </c>
      <c r="F34" s="9">
        <v>43635</v>
      </c>
      <c r="G34" s="10">
        <v>0.45277777777777778</v>
      </c>
      <c r="H34">
        <v>49.983710000000002</v>
      </c>
      <c r="I34">
        <v>-105.2856</v>
      </c>
      <c r="J34">
        <v>15.7</v>
      </c>
      <c r="K34">
        <v>100</v>
      </c>
      <c r="L34">
        <v>12.8</v>
      </c>
      <c r="M34" t="s">
        <v>84</v>
      </c>
      <c r="N34">
        <v>1.78</v>
      </c>
      <c r="O34" s="25">
        <v>2.5</v>
      </c>
      <c r="Q34">
        <v>84.5</v>
      </c>
      <c r="R34" s="15">
        <v>0</v>
      </c>
      <c r="S34" s="15">
        <v>0</v>
      </c>
      <c r="T34" s="15">
        <v>18.100000000000001</v>
      </c>
      <c r="U34">
        <v>89.6</v>
      </c>
      <c r="V34">
        <v>8.35</v>
      </c>
      <c r="W34">
        <v>3423</v>
      </c>
      <c r="X34">
        <v>2.09</v>
      </c>
      <c r="Y34">
        <v>9.25</v>
      </c>
      <c r="Z34">
        <v>18.2</v>
      </c>
      <c r="AA34">
        <v>1.9</v>
      </c>
      <c r="AB34">
        <v>0.18</v>
      </c>
      <c r="AC34">
        <v>13906</v>
      </c>
      <c r="AD34">
        <v>9.35</v>
      </c>
      <c r="AE34">
        <v>8.66</v>
      </c>
      <c r="AF34" s="15">
        <f t="shared" si="1"/>
        <v>1917.0616335548855</v>
      </c>
      <c r="AG34" s="15">
        <v>693.5</v>
      </c>
      <c r="AH34">
        <f t="shared" si="5"/>
        <v>2016.4893</v>
      </c>
      <c r="AI34" s="15">
        <v>18.100000000000001</v>
      </c>
      <c r="AJ34" s="15">
        <v>17</v>
      </c>
      <c r="AK34" s="11"/>
      <c r="AM34" t="s">
        <v>166</v>
      </c>
      <c r="AN34">
        <v>47.736060454545438</v>
      </c>
      <c r="AO34">
        <v>9.3664349999999974</v>
      </c>
      <c r="AP34">
        <f t="shared" si="2"/>
        <v>0.97157432360543028</v>
      </c>
      <c r="AQ34">
        <f>VLOOKUP(A34, [1]buoyancy_max!$1:$1048576, 4, FALSE)</f>
        <v>3.6410899999999999E-4</v>
      </c>
      <c r="AR34">
        <f>VLOOKUP(A34, [2]buoyancy_min!$1:$1048576, 4, FALSE)</f>
        <v>-7.3035899999999998E-4</v>
      </c>
      <c r="AS34">
        <f>VLOOKUP(A34,[3]Sheet1!$1:$1048576, 11, FALSE)</f>
        <v>4.6201305324417605</v>
      </c>
      <c r="AT34">
        <f>VLOOKUP(C34, Triplex!$1:$1048576, 6, FALSE)</f>
        <v>40</v>
      </c>
      <c r="AU34">
        <f>VLOOKUP($C34, Triplex!$1:$1048576, 8, FALSE)</f>
        <v>90</v>
      </c>
      <c r="AV34">
        <f>VLOOKUP($C34, Triplex!$1:$1048576, 9, FALSE)</f>
        <v>119.67</v>
      </c>
      <c r="AW34">
        <f t="shared" si="6"/>
        <v>159.67000000000002</v>
      </c>
      <c r="AX34">
        <f>VLOOKUP($C34, TP!$1:$1048576, 6, FALSE)</f>
        <v>130</v>
      </c>
      <c r="AY34">
        <f>VLOOKUP($C34, TN!$1:$1048576,5, FALSE)</f>
        <v>1830</v>
      </c>
      <c r="AZ34">
        <f t="shared" si="7"/>
        <v>20.333333333333332</v>
      </c>
      <c r="BA34">
        <f>VLOOKUP($C34, TICTOC!$1:$1048576, 5, FALSE)</f>
        <v>44.682000000000002</v>
      </c>
      <c r="BB34">
        <f t="shared" si="3"/>
        <v>3720.3996669442131</v>
      </c>
      <c r="BC34">
        <f>VLOOKUP($C34, TICTOC!$1:$1048576, 6, FALSE)</f>
        <v>28.532</v>
      </c>
      <c r="BD34">
        <f t="shared" si="4"/>
        <v>2375.6869275603663</v>
      </c>
      <c r="BE34">
        <f>VLOOKUP(A34, GHG!$1:$1048576, 4, FALSE)</f>
        <v>178.1507684</v>
      </c>
      <c r="BF34">
        <f>VLOOKUP(A34, GHG!$1:$1048576, 6, FALSE)</f>
        <v>6.5875747609999999</v>
      </c>
      <c r="BG34">
        <f>VLOOKUP(A34, GHG!$1:$1048576, 7, FALSE)</f>
        <v>2.8803972830000002</v>
      </c>
      <c r="BH34">
        <f>VLOOKUP(A34, GHG!$1:$1048576, 8, FALSE)</f>
        <v>173.7286939</v>
      </c>
      <c r="BI34">
        <f>VLOOKUP(A34, GHG!$1:$1048576, 10, FALSE)</f>
        <v>0.24809726800000001</v>
      </c>
      <c r="BJ34">
        <f>VLOOKUP(A34, GHG!$1:$1048576, 11, FALSE)</f>
        <v>8.1898932999999993E-2</v>
      </c>
      <c r="BK34">
        <f>VLOOKUP(A34, GHG!$1:$1048576, 12, FALSE)</f>
        <v>0.29047516600000001</v>
      </c>
      <c r="BL34">
        <f>VLOOKUP(Master!A31, GHG!$1:$1048576, 14, FALSE)</f>
        <v>8.1208573489999996</v>
      </c>
      <c r="BM34">
        <f>VLOOKUP(A34, GHG!$1:$1048576, 15, FALSE)</f>
        <v>0.16051246899999999</v>
      </c>
      <c r="CM34">
        <v>716</v>
      </c>
      <c r="CN34" s="27">
        <v>1274</v>
      </c>
      <c r="CO34">
        <f>VLOOKUP($A34, Flux!$1:$1048576, 2, FALSE)</f>
        <v>-19.306098290000001</v>
      </c>
      <c r="CP34">
        <f>VLOOKUP($A34, Flux!$1:$1048576, 10, FALSE)</f>
        <v>0.53673590599999998</v>
      </c>
      <c r="CQ34">
        <f>VLOOKUP($A34, Flux!$1:$1048576, 18, FALSE)</f>
        <v>-2.5116223199999999</v>
      </c>
      <c r="CR34">
        <f t="shared" si="8"/>
        <v>6.2072642669867903</v>
      </c>
      <c r="CS34">
        <f t="shared" si="9"/>
        <v>238.42232806885602</v>
      </c>
      <c r="CT34">
        <f>VLOOKUP($C34, SO4_ALK_CL!$1:$1048576, 5, FALSE)</f>
        <v>236.96000671386719</v>
      </c>
      <c r="CU34">
        <f>VLOOKUP($C34, SO4_ALK_CL!$1:$1048576, 7, FALSE)</f>
        <v>1587.35400390625</v>
      </c>
      <c r="CV34">
        <f>VLOOKUP($C34, SO4_ALK_CL!$1:$1048576, 6, FALSE)</f>
        <v>141.30000305175781</v>
      </c>
      <c r="CW34">
        <f>VLOOKUP(A34, Ebullition!$1:$1048576, 5, FALSE)</f>
        <v>1.2822495394586705E-3</v>
      </c>
      <c r="CX34">
        <f>VLOOKUP(A34, Ebullition!$1:$1048576, 7, FALSE)</f>
        <v>0.16568702408975561</v>
      </c>
      <c r="CY34">
        <f>VLOOKUP(A34, Ebullition!$1:$1048576, 8, FALSE)</f>
        <v>20.094117647058823</v>
      </c>
    </row>
    <row r="35" spans="1:103" x14ac:dyDescent="0.25">
      <c r="A35" s="7" t="s">
        <v>126</v>
      </c>
      <c r="B35" s="7">
        <v>76</v>
      </c>
      <c r="C35" s="15" t="str">
        <f t="shared" si="0"/>
        <v>W7643651</v>
      </c>
      <c r="D35" s="15" t="s">
        <v>165</v>
      </c>
      <c r="E35" t="s">
        <v>114</v>
      </c>
      <c r="F35" s="9">
        <v>43651</v>
      </c>
      <c r="G35" s="10">
        <v>0.49722222222222223</v>
      </c>
      <c r="H35">
        <v>51.94106</v>
      </c>
      <c r="I35">
        <v>-104.95786</v>
      </c>
      <c r="J35">
        <v>23.6</v>
      </c>
      <c r="K35">
        <v>60</v>
      </c>
      <c r="L35">
        <v>3.3</v>
      </c>
      <c r="M35" t="s">
        <v>84</v>
      </c>
      <c r="N35">
        <v>0.39</v>
      </c>
      <c r="O35" s="25">
        <v>0.52</v>
      </c>
      <c r="Q35">
        <v>93.2</v>
      </c>
      <c r="R35" s="15">
        <v>0</v>
      </c>
      <c r="S35" s="15">
        <v>0</v>
      </c>
      <c r="T35" s="15">
        <v>19.5</v>
      </c>
      <c r="U35">
        <v>71.2</v>
      </c>
      <c r="V35">
        <v>6.75</v>
      </c>
      <c r="W35">
        <v>574</v>
      </c>
      <c r="X35">
        <v>0.32</v>
      </c>
      <c r="Y35">
        <v>8.58</v>
      </c>
      <c r="Z35">
        <v>16.8</v>
      </c>
      <c r="AA35">
        <v>31</v>
      </c>
      <c r="AB35">
        <v>3.04</v>
      </c>
      <c r="AC35">
        <v>546</v>
      </c>
      <c r="AD35">
        <v>0.32</v>
      </c>
      <c r="AE35">
        <v>7.49</v>
      </c>
      <c r="AF35" s="15">
        <f t="shared" si="1"/>
        <v>297.6531425949687</v>
      </c>
      <c r="AG35" s="15">
        <v>720.6</v>
      </c>
      <c r="AH35">
        <f t="shared" si="5"/>
        <v>338.14339999999999</v>
      </c>
      <c r="AI35">
        <v>19.5</v>
      </c>
      <c r="AJ35">
        <v>18.399999999999999</v>
      </c>
      <c r="AK35">
        <v>2</v>
      </c>
      <c r="AM35" t="s">
        <v>166</v>
      </c>
      <c r="AN35">
        <v>12.634383734999998</v>
      </c>
      <c r="AO35">
        <v>9.6067215616666655</v>
      </c>
      <c r="AP35">
        <f t="shared" si="2"/>
        <v>0.98257520342320759</v>
      </c>
      <c r="AQ35">
        <f>VLOOKUP(A35, [1]buoyancy_max!$1:$1048576, 4, FALSE)</f>
        <v>1.2359838999999999E-2</v>
      </c>
      <c r="AR35">
        <f>VLOOKUP(A35, [2]buoyancy_min!$1:$1048576, 4, FALSE)</f>
        <v>1.2359838999999999E-2</v>
      </c>
      <c r="AS35">
        <f>VLOOKUP(A35,[3]Sheet1!$1:$1048576, 11, FALSE)</f>
        <v>10.629768115578839</v>
      </c>
      <c r="AT35">
        <f>VLOOKUP(C35, Triplex!$1:$1048576, 6, FALSE)</f>
        <v>30</v>
      </c>
      <c r="AU35">
        <f>VLOOKUP($C35, Triplex!$1:$1048576, 8, FALSE)</f>
        <v>2500</v>
      </c>
      <c r="AV35">
        <f>VLOOKUP($C35, Triplex!$1:$1048576, 9, FALSE)</f>
        <v>79.42</v>
      </c>
      <c r="AW35">
        <f t="shared" si="6"/>
        <v>109.42</v>
      </c>
      <c r="AX35">
        <f>VLOOKUP($C35, TP!$1:$1048576, 6, FALSE)</f>
        <v>2540</v>
      </c>
      <c r="AY35">
        <f>VLOOKUP($C35, TN!$1:$1048576,5, FALSE)</f>
        <v>1910</v>
      </c>
      <c r="AZ35">
        <f t="shared" si="7"/>
        <v>0.76400000000000001</v>
      </c>
      <c r="BA35">
        <f>VLOOKUP($C35, TICTOC!$1:$1048576, 5, FALSE)</f>
        <v>64.988</v>
      </c>
      <c r="BB35">
        <f t="shared" si="3"/>
        <v>5411.1573688592835</v>
      </c>
      <c r="BC35">
        <f>VLOOKUP($C35, TICTOC!$1:$1048576, 6, FALSE)</f>
        <v>32.652000000000001</v>
      </c>
      <c r="BD35">
        <f t="shared" si="4"/>
        <v>2718.7343880099916</v>
      </c>
      <c r="BE35">
        <f>VLOOKUP(A35, GHG!$1:$1048576, 4, FALSE)</f>
        <v>1416.801704</v>
      </c>
      <c r="BF35">
        <f>VLOOKUP(A35, GHG!$1:$1048576, 6, FALSE)</f>
        <v>53.275210700000002</v>
      </c>
      <c r="BG35">
        <f>VLOOKUP(A35, GHG!$1:$1048576, 7, FALSE)</f>
        <v>7.5617095550000002</v>
      </c>
      <c r="BH35">
        <f>VLOOKUP(A35, GHG!$1:$1048576, 8, FALSE)</f>
        <v>905.01969010000005</v>
      </c>
      <c r="BI35">
        <f>VLOOKUP(A35, GHG!$1:$1048576, 10, FALSE)</f>
        <v>1.3401815589999999</v>
      </c>
      <c r="BJ35">
        <f>VLOOKUP(A35, GHG!$1:$1048576, 11, FALSE)</f>
        <v>2.0801330000000001E-3</v>
      </c>
      <c r="BK35">
        <f>VLOOKUP(A35, GHG!$1:$1048576, 12, FALSE)</f>
        <v>0.203338202</v>
      </c>
      <c r="BL35">
        <f>VLOOKUP(Master!A39, GHG!$1:$1048576, 14, FALSE)</f>
        <v>10.330811130000001</v>
      </c>
      <c r="BM35">
        <f>VLOOKUP(A35, GHG!$1:$1048576, 15, FALSE)</f>
        <v>4.6247636000000002E-2</v>
      </c>
      <c r="CM35">
        <v>550</v>
      </c>
      <c r="CN35" s="27">
        <v>487</v>
      </c>
      <c r="CO35">
        <f>VLOOKUP($A35, Flux!$1:$1048576, 2, FALSE)</f>
        <v>87.997257730000001</v>
      </c>
      <c r="CP35">
        <f>VLOOKUP($A35, Flux!$1:$1048576, 10, FALSE)</f>
        <v>3.0643179580000002</v>
      </c>
      <c r="CQ35">
        <f>VLOOKUP($A35, Flux!$1:$1048576, 18, FALSE)</f>
        <v>-8.1156003069999993</v>
      </c>
      <c r="CR35">
        <f t="shared" si="8"/>
        <v>2.0882563164511296</v>
      </c>
      <c r="CS35">
        <f t="shared" si="9"/>
        <v>411.13069755729032</v>
      </c>
      <c r="CT35">
        <f>VLOOKUP($C35, SO4_ALK_CL!$1:$1048576, 5, FALSE)</f>
        <v>290.010009765625</v>
      </c>
      <c r="CU35">
        <f>VLOOKUP($C35, SO4_ALK_CL!$1:$1048576, 7, FALSE)</f>
        <v>61.069301605224609</v>
      </c>
      <c r="CV35">
        <f>VLOOKUP($C35, SO4_ALK_CL!$1:$1048576, 6, FALSE)</f>
        <v>6.68</v>
      </c>
    </row>
    <row r="36" spans="1:103" x14ac:dyDescent="0.25">
      <c r="A36" s="7" t="s">
        <v>131</v>
      </c>
      <c r="B36" s="7" t="s">
        <v>178</v>
      </c>
      <c r="C36" s="15" t="str">
        <f t="shared" si="0"/>
        <v>W57B43655</v>
      </c>
      <c r="D36" s="15" t="s">
        <v>165</v>
      </c>
      <c r="E36" t="s">
        <v>114</v>
      </c>
      <c r="F36" s="9">
        <v>43655</v>
      </c>
      <c r="G36" s="10">
        <v>0.44305555555555554</v>
      </c>
      <c r="H36">
        <v>52.415210000000002</v>
      </c>
      <c r="I36">
        <v>-107.92783</v>
      </c>
      <c r="J36">
        <v>17.7</v>
      </c>
      <c r="K36">
        <v>5</v>
      </c>
      <c r="L36">
        <v>7.5</v>
      </c>
      <c r="M36" t="s">
        <v>84</v>
      </c>
      <c r="N36">
        <v>0.16</v>
      </c>
      <c r="O36" s="25">
        <v>0.16</v>
      </c>
      <c r="Q36">
        <v>100</v>
      </c>
      <c r="R36" s="15">
        <v>0</v>
      </c>
      <c r="S36" s="15">
        <v>0</v>
      </c>
      <c r="T36" s="15">
        <v>21.1</v>
      </c>
      <c r="U36">
        <v>97.6</v>
      </c>
      <c r="V36">
        <v>8.8699999999999992</v>
      </c>
      <c r="W36">
        <v>281.10000000000002</v>
      </c>
      <c r="X36">
        <v>0.14000000000000001</v>
      </c>
      <c r="Y36">
        <v>9.85</v>
      </c>
      <c r="AF36" s="15">
        <f t="shared" si="1"/>
        <v>144.00977245001854</v>
      </c>
      <c r="AG36" s="15">
        <v>698.5</v>
      </c>
      <c r="AH36">
        <f t="shared" si="5"/>
        <v>165.59601000000001</v>
      </c>
      <c r="AI36">
        <v>21.1</v>
      </c>
      <c r="AJ36">
        <v>20.6</v>
      </c>
      <c r="AK36">
        <v>5</v>
      </c>
      <c r="AL36" t="s">
        <v>132</v>
      </c>
      <c r="AM36" t="s">
        <v>166</v>
      </c>
      <c r="AN36">
        <v>12.235607416666667</v>
      </c>
      <c r="AO36">
        <v>13.005383166666668</v>
      </c>
      <c r="AP36">
        <f t="shared" si="2"/>
        <v>1.1141231519734602</v>
      </c>
      <c r="AQ36" t="e">
        <f>VLOOKUP(A36, [1]buoyancy_max!$1:$1048576, 4, FALSE)</f>
        <v>#N/A</v>
      </c>
      <c r="AR36" t="e">
        <f>VLOOKUP(A36, [2]buoyancy_min!$1:$1048576, 4, FALSE)</f>
        <v>#N/A</v>
      </c>
      <c r="AS36" t="e">
        <f>VLOOKUP(A36,[3]Sheet1!$1:$1048576, 11, FALSE)</f>
        <v>#N/A</v>
      </c>
      <c r="AT36">
        <f>VLOOKUP(C36, Triplex!$1:$1048576, 6, FALSE)</f>
        <v>30</v>
      </c>
      <c r="AU36">
        <f>VLOOKUP($C36, Triplex!$1:$1048576, 8, FALSE)</f>
        <v>290</v>
      </c>
      <c r="AV36">
        <f>VLOOKUP($C36, Triplex!$1:$1048576, 9, FALSE)</f>
        <v>206.39</v>
      </c>
      <c r="AW36">
        <f t="shared" si="6"/>
        <v>236.39</v>
      </c>
      <c r="AX36">
        <f>VLOOKUP($C36, TP!$1:$1048576, 6, FALSE)</f>
        <v>440</v>
      </c>
      <c r="AY36">
        <f>VLOOKUP($C36, TN!$1:$1048576,5, FALSE)</f>
        <v>4140</v>
      </c>
      <c r="AZ36">
        <f t="shared" si="7"/>
        <v>14.275862068965518</v>
      </c>
      <c r="BA36">
        <f>VLOOKUP($C36, TICTOC!$1:$1048576, 5, FALSE)</f>
        <v>30.8</v>
      </c>
      <c r="BB36">
        <f t="shared" si="3"/>
        <v>2564.5295587010824</v>
      </c>
      <c r="BC36">
        <f>VLOOKUP($C36, TICTOC!$1:$1048576, 6, FALSE)</f>
        <v>55.133000000000003</v>
      </c>
      <c r="BD36">
        <f t="shared" si="4"/>
        <v>4590.5911740216488</v>
      </c>
      <c r="BE36">
        <f>VLOOKUP(A36, GHG!$1:$1048576, 4, FALSE)</f>
        <v>59.66911623</v>
      </c>
      <c r="BF36">
        <f>VLOOKUP(A36, GHG!$1:$1048576, 6, FALSE)</f>
        <v>2.0766543660000001</v>
      </c>
      <c r="BG36">
        <f>VLOOKUP(A36, GHG!$1:$1048576, 7, FALSE)</f>
        <v>7.1080757999999994E-2</v>
      </c>
      <c r="BH36">
        <f>VLOOKUP(A36, GHG!$1:$1048576, 8, FALSE)</f>
        <v>4204.0894550000003</v>
      </c>
      <c r="BI36">
        <f>VLOOKUP(A36, GHG!$1:$1048576, 10, FALSE)</f>
        <v>5.8469235570000002</v>
      </c>
      <c r="BJ36">
        <f>VLOOKUP(A36, GHG!$1:$1048576, 11, FALSE)</f>
        <v>0.64490508400000002</v>
      </c>
      <c r="BK36">
        <f>VLOOKUP(A36, GHG!$1:$1048576, 12, FALSE)</f>
        <v>0.204588521</v>
      </c>
      <c r="BL36">
        <f>VLOOKUP(Master!A35, GHG!$1:$1048576, 14, FALSE)</f>
        <v>5.6273954020000003</v>
      </c>
      <c r="BM36">
        <f>VLOOKUP(A36, GHG!$1:$1048576, 15, FALSE)</f>
        <v>2.2841470999999999E-2</v>
      </c>
      <c r="CM36">
        <v>729</v>
      </c>
      <c r="CN36" s="27">
        <v>1593</v>
      </c>
      <c r="CO36">
        <f>VLOOKUP($A36, Flux!$1:$1048576, 2, FALSE)</f>
        <v>-30.267519879999998</v>
      </c>
      <c r="CP36">
        <f>VLOOKUP($A36, Flux!$1:$1048576, 10, FALSE)</f>
        <v>14.11045086</v>
      </c>
      <c r="CQ36">
        <f>VLOOKUP($A36, Flux!$1:$1048576, 18, FALSE)</f>
        <v>-7.837953196</v>
      </c>
      <c r="CR36">
        <f t="shared" si="8"/>
        <v>0.35526877249461858</v>
      </c>
      <c r="CS36">
        <f t="shared" si="9"/>
        <v>267.13019041620237</v>
      </c>
      <c r="CT36">
        <f>VLOOKUP($C36, SO4_ALK_CL!$1:$1048576, 5, FALSE)</f>
        <v>178.30000305175781</v>
      </c>
      <c r="CU36">
        <f>VLOOKUP($C36, SO4_ALK_CL!$1:$1048576, 7, FALSE)</f>
        <v>0</v>
      </c>
      <c r="CV36">
        <f>VLOOKUP($C36, SO4_ALK_CL!$1:$1048576, 6, FALSE)</f>
        <v>4.8000001907348633</v>
      </c>
    </row>
    <row r="37" spans="1:103" x14ac:dyDescent="0.25">
      <c r="A37" s="7" t="s">
        <v>128</v>
      </c>
      <c r="B37" s="7" t="s">
        <v>177</v>
      </c>
      <c r="C37" s="15" t="str">
        <f t="shared" si="0"/>
        <v>W57A43655</v>
      </c>
      <c r="D37" s="15" t="s">
        <v>165</v>
      </c>
      <c r="E37" t="s">
        <v>114</v>
      </c>
      <c r="F37" s="9">
        <v>43655</v>
      </c>
      <c r="G37" s="10">
        <v>0.49791666666666662</v>
      </c>
      <c r="H37">
        <v>52.414000000000001</v>
      </c>
      <c r="I37">
        <v>-107.93107000000001</v>
      </c>
      <c r="J37">
        <v>21.8</v>
      </c>
      <c r="K37">
        <v>0</v>
      </c>
      <c r="L37">
        <v>2.6</v>
      </c>
      <c r="M37" t="s">
        <v>84</v>
      </c>
      <c r="N37">
        <v>0.2</v>
      </c>
      <c r="O37" s="25">
        <v>0.2</v>
      </c>
      <c r="Q37">
        <v>91</v>
      </c>
      <c r="R37" s="15">
        <v>0</v>
      </c>
      <c r="S37" s="15">
        <v>0</v>
      </c>
      <c r="T37" s="15">
        <v>21.6</v>
      </c>
      <c r="U37">
        <v>125.9</v>
      </c>
      <c r="V37">
        <v>11.2</v>
      </c>
      <c r="W37">
        <v>162.30000000000001</v>
      </c>
      <c r="X37">
        <v>0.08</v>
      </c>
      <c r="Y37">
        <v>8.7799999999999994</v>
      </c>
      <c r="AF37" s="15">
        <f t="shared" si="1"/>
        <v>82.467535855388959</v>
      </c>
      <c r="AG37" s="15">
        <v>698.3</v>
      </c>
      <c r="AH37">
        <f t="shared" si="5"/>
        <v>95.610929999999996</v>
      </c>
      <c r="AI37">
        <v>21.6</v>
      </c>
      <c r="AJ37">
        <v>21.4</v>
      </c>
      <c r="AK37">
        <v>5</v>
      </c>
      <c r="AM37" t="s">
        <v>166</v>
      </c>
      <c r="AN37">
        <v>17.544064866666666</v>
      </c>
      <c r="AO37">
        <v>13.501633550000001</v>
      </c>
      <c r="AP37">
        <f t="shared" si="2"/>
        <v>1.1303863165566237</v>
      </c>
      <c r="AQ37" t="e">
        <f>VLOOKUP(A37, [1]buoyancy_max!$1:$1048576, 4, FALSE)</f>
        <v>#N/A</v>
      </c>
      <c r="AR37" t="e">
        <f>VLOOKUP(A37, [2]buoyancy_min!$1:$1048576, 4, FALSE)</f>
        <v>#N/A</v>
      </c>
      <c r="AS37" t="e">
        <f>VLOOKUP(A37,[3]Sheet1!$1:$1048576, 11, FALSE)</f>
        <v>#N/A</v>
      </c>
      <c r="AT37">
        <f>VLOOKUP(C37, Triplex!$1:$1048576, 6, FALSE)</f>
        <v>1.63</v>
      </c>
      <c r="AU37">
        <f>VLOOKUP($C37, Triplex!$1:$1048576, 8, FALSE)</f>
        <v>230</v>
      </c>
      <c r="AV37">
        <f>VLOOKUP($C37, Triplex!$1:$1048576, 9, FALSE)</f>
        <v>113.51</v>
      </c>
      <c r="AW37">
        <f t="shared" si="6"/>
        <v>115.14</v>
      </c>
      <c r="AX37">
        <f>VLOOKUP($C37, TP!$1:$1048576, 6, FALSE)</f>
        <v>260</v>
      </c>
      <c r="AY37">
        <f>VLOOKUP($C37, TN!$1:$1048576,5, FALSE)</f>
        <v>1950</v>
      </c>
      <c r="AZ37">
        <f t="shared" si="7"/>
        <v>8.4782608695652169</v>
      </c>
      <c r="BA37">
        <f>VLOOKUP($C37, TICTOC!$1:$1048576, 5, FALSE)</f>
        <v>23.696999999999999</v>
      </c>
      <c r="BB37">
        <f t="shared" si="3"/>
        <v>1973.105745212323</v>
      </c>
      <c r="BC37">
        <f>VLOOKUP($C37, TICTOC!$1:$1048576, 6, FALSE)</f>
        <v>32.822000000000003</v>
      </c>
      <c r="BD37">
        <f t="shared" si="4"/>
        <v>2732.8892589508746</v>
      </c>
      <c r="BE37">
        <f>VLOOKUP(A37, GHG!$1:$1048576, 4, FALSE)</f>
        <v>3206.5658060000001</v>
      </c>
      <c r="BF37">
        <f>VLOOKUP(A37, GHG!$1:$1048576, 6, FALSE)</f>
        <v>109.985373</v>
      </c>
      <c r="BG37">
        <f>VLOOKUP(A37, GHG!$1:$1048576, 7, FALSE)</f>
        <v>13.515505709999999</v>
      </c>
      <c r="BH37">
        <f>VLOOKUP(A37, GHG!$1:$1048576, 8, FALSE)</f>
        <v>2288.3752690000001</v>
      </c>
      <c r="BI37">
        <f>VLOOKUP(A37, GHG!$1:$1048576, 10, FALSE)</f>
        <v>3.1509361949999999</v>
      </c>
      <c r="BJ37">
        <f>VLOOKUP(A37, GHG!$1:$1048576, 11, FALSE)</f>
        <v>1.4188371999999999E-2</v>
      </c>
      <c r="BK37">
        <f>VLOOKUP(A37, GHG!$1:$1048576, 12, FALSE)</f>
        <v>0.22252375999999999</v>
      </c>
      <c r="BL37">
        <f>VLOOKUP(Master!A34, GHG!$1:$1048576, 14, FALSE)</f>
        <v>7.9971379300000001</v>
      </c>
      <c r="BM37">
        <f>VLOOKUP(A37, GHG!$1:$1048576, 15, FALSE)</f>
        <v>4.0107278000000003E-2</v>
      </c>
      <c r="CM37">
        <v>733</v>
      </c>
      <c r="CN37" s="27">
        <v>2597</v>
      </c>
      <c r="CO37">
        <f>VLOOKUP($A37, Flux!$1:$1048576, 2, FALSE)</f>
        <v>239.7503586</v>
      </c>
      <c r="CP37">
        <f>VLOOKUP($A37, Flux!$1:$1048576, 10, FALSE)</f>
        <v>7.7255088089999999</v>
      </c>
      <c r="CQ37">
        <f>VLOOKUP($A37, Flux!$1:$1048576, 18, FALSE)</f>
        <v>-6.7520584430000001</v>
      </c>
      <c r="CR37">
        <f t="shared" si="8"/>
        <v>0.34780751504860452</v>
      </c>
      <c r="CS37">
        <f t="shared" si="9"/>
        <v>289.15514051625405</v>
      </c>
      <c r="CT37">
        <f>VLOOKUP($C37, SO4_ALK_CL!$1:$1048576, 5, FALSE)</f>
        <v>76.701301574707031</v>
      </c>
      <c r="CU37">
        <f>VLOOKUP($C37, SO4_ALK_CL!$1:$1048576, 7, FALSE)</f>
        <v>14.36536979675293</v>
      </c>
      <c r="CV37">
        <f>VLOOKUP($C37, SO4_ALK_CL!$1:$1048576, 6, FALSE)</f>
        <v>3.7967000007629395</v>
      </c>
    </row>
    <row r="38" spans="1:103" x14ac:dyDescent="0.25">
      <c r="A38" s="7" t="s">
        <v>116</v>
      </c>
      <c r="B38" s="7" t="s">
        <v>171</v>
      </c>
      <c r="C38" s="15" t="str">
        <f t="shared" si="0"/>
        <v>W31B43648</v>
      </c>
      <c r="D38" s="15" t="s">
        <v>165</v>
      </c>
      <c r="E38" t="s">
        <v>114</v>
      </c>
      <c r="F38" s="9">
        <v>43648</v>
      </c>
      <c r="G38" s="10">
        <v>0.65972222222222221</v>
      </c>
      <c r="H38">
        <v>51.139310000000002</v>
      </c>
      <c r="I38">
        <v>-107.5367</v>
      </c>
      <c r="J38">
        <v>19.899999999999999</v>
      </c>
      <c r="K38">
        <v>0</v>
      </c>
      <c r="L38">
        <v>17.8</v>
      </c>
      <c r="M38" t="s">
        <v>115</v>
      </c>
      <c r="N38">
        <v>0.12</v>
      </c>
      <c r="O38" s="25">
        <v>0.12</v>
      </c>
      <c r="Q38">
        <v>77.900000000000006</v>
      </c>
      <c r="R38" s="15">
        <v>0</v>
      </c>
      <c r="S38" s="15">
        <v>0</v>
      </c>
      <c r="T38" s="15">
        <v>24.5</v>
      </c>
      <c r="U38">
        <v>145</v>
      </c>
      <c r="V38">
        <v>11.86</v>
      </c>
      <c r="W38">
        <v>5570</v>
      </c>
      <c r="X38">
        <v>3.04</v>
      </c>
      <c r="Y38">
        <v>8.5399999999999991</v>
      </c>
      <c r="AF38" s="15">
        <f t="shared" si="1"/>
        <v>3157.7923402445267</v>
      </c>
      <c r="AG38" s="15">
        <v>700.1</v>
      </c>
      <c r="AH38">
        <f t="shared" si="5"/>
        <v>3281.2869999999998</v>
      </c>
      <c r="AI38">
        <v>24.5</v>
      </c>
      <c r="AJ38">
        <v>23.3</v>
      </c>
      <c r="AK38" t="s">
        <v>101</v>
      </c>
      <c r="AL38" t="s">
        <v>117</v>
      </c>
      <c r="AM38" t="s">
        <v>166</v>
      </c>
      <c r="AN38">
        <v>32.243282700000002</v>
      </c>
      <c r="AO38">
        <v>30.551870133333338</v>
      </c>
      <c r="AP38">
        <f t="shared" si="2"/>
        <v>1.4850377993160147</v>
      </c>
      <c r="AQ38" t="e">
        <f>VLOOKUP(A38, [1]buoyancy_max!$1:$1048576, 4, FALSE)</f>
        <v>#N/A</v>
      </c>
      <c r="AR38" t="e">
        <f>VLOOKUP(A38, [2]buoyancy_min!$1:$1048576, 4, FALSE)</f>
        <v>#N/A</v>
      </c>
      <c r="AS38">
        <f>VLOOKUP(A38,[3]Sheet1!$1:$1048576, 11, FALSE)</f>
        <v>2.932695915021827</v>
      </c>
      <c r="AT38">
        <f>VLOOKUP(C38, Triplex!$1:$1048576, 6, FALSE)</f>
        <v>280</v>
      </c>
      <c r="AU38">
        <f>VLOOKUP($C38, Triplex!$1:$1048576, 8, FALSE)</f>
        <v>240</v>
      </c>
      <c r="AV38">
        <f>VLOOKUP($C38, Triplex!$1:$1048576, 9, FALSE)</f>
        <v>6.77</v>
      </c>
      <c r="AW38">
        <f t="shared" si="6"/>
        <v>286.77</v>
      </c>
      <c r="AX38">
        <f>VLOOKUP($C38, TP!$1:$1048576, 6, FALSE)</f>
        <v>410</v>
      </c>
      <c r="AY38">
        <f>VLOOKUP($C38, TN!$1:$1048576,5, FALSE)</f>
        <v>7130</v>
      </c>
      <c r="AZ38">
        <f t="shared" si="7"/>
        <v>29.708333333333332</v>
      </c>
      <c r="BA38">
        <f>VLOOKUP($C38, TICTOC!$1:$1048576, 5, FALSE)</f>
        <v>80.852999999999994</v>
      </c>
      <c r="BB38">
        <f t="shared" si="3"/>
        <v>6732.1398834304746</v>
      </c>
      <c r="BC38">
        <f>VLOOKUP($C38, TICTOC!$1:$1048576, 6, FALSE)</f>
        <v>118.11799999999999</v>
      </c>
      <c r="BD38">
        <f t="shared" si="4"/>
        <v>9834.9708576186495</v>
      </c>
      <c r="BE38">
        <f>VLOOKUP(A38, GHG!$1:$1048576, 4, FALSE)</f>
        <v>727.84134280000001</v>
      </c>
      <c r="BF38">
        <f>VLOOKUP(A38, GHG!$1:$1048576, 6, FALSE)</f>
        <v>22.148769089999998</v>
      </c>
      <c r="BG38">
        <f>VLOOKUP(A38, GHG!$1:$1048576, 7, FALSE)</f>
        <v>0.27377694699999999</v>
      </c>
      <c r="BH38">
        <f>VLOOKUP(A38, GHG!$1:$1048576, 8, FALSE)</f>
        <v>51.936416479999998</v>
      </c>
      <c r="BI38">
        <f>VLOOKUP(A38, GHG!$1:$1048576, 10, FALSE)</f>
        <v>6.4167510999999997E-2</v>
      </c>
      <c r="BJ38">
        <f>VLOOKUP(A38, GHG!$1:$1048576, 11, FALSE)</f>
        <v>2.8412289999999998E-3</v>
      </c>
      <c r="BK38">
        <f>VLOOKUP(A38, GHG!$1:$1048576, 12, FALSE)</f>
        <v>0.20075257799999999</v>
      </c>
      <c r="BL38">
        <f>VLOOKUP(Master!A26, GHG!$1:$1048576, 14, FALSE)</f>
        <v>6.0191200140000003</v>
      </c>
      <c r="BM38">
        <f>VLOOKUP(A38, GHG!$1:$1048576, 15, FALSE)</f>
        <v>2.5119826000000001E-2</v>
      </c>
      <c r="CM38">
        <v>685</v>
      </c>
      <c r="CN38" s="27">
        <v>6565</v>
      </c>
      <c r="CO38">
        <f>VLOOKUP($A38, Flux!$1:$1048576, 2, FALSE)</f>
        <v>26.374907870000001</v>
      </c>
      <c r="CP38">
        <f>VLOOKUP($A38, Flux!$1:$1048576, 10, FALSE)</f>
        <v>0.166565149</v>
      </c>
      <c r="CQ38">
        <f>VLOOKUP($A38, Flux!$1:$1048576, 18, FALSE)</f>
        <v>-8.0539267930000005</v>
      </c>
      <c r="CR38">
        <f t="shared" si="8"/>
        <v>0.13125287392047683</v>
      </c>
      <c r="CS38">
        <f t="shared" si="9"/>
        <v>17447.267355982276</v>
      </c>
      <c r="CT38">
        <f>VLOOKUP($C38, SO4_ALK_CL!$1:$1048576, 5, FALSE)</f>
        <v>352.010009765625</v>
      </c>
      <c r="CU38">
        <f>VLOOKUP($C38, SO4_ALK_CL!$1:$1048576, 7, FALSE)</f>
        <v>3811.5419921875</v>
      </c>
      <c r="CV38">
        <f>VLOOKUP($C38, SO4_ALK_CL!$1:$1048576, 6, FALSE)</f>
        <v>177.9342041015625</v>
      </c>
    </row>
    <row r="39" spans="1:103" x14ac:dyDescent="0.25">
      <c r="A39" s="7" t="s">
        <v>87</v>
      </c>
      <c r="B39" s="7" t="s">
        <v>175</v>
      </c>
      <c r="C39" s="15" t="str">
        <f t="shared" si="0"/>
        <v>W56C43635</v>
      </c>
      <c r="D39" s="15" t="s">
        <v>165</v>
      </c>
      <c r="E39" t="s">
        <v>83</v>
      </c>
      <c r="F39" s="9">
        <v>43635</v>
      </c>
      <c r="G39" s="10">
        <v>0.54305555555555551</v>
      </c>
      <c r="H39">
        <v>49.931040000000003</v>
      </c>
      <c r="I39">
        <v>-105.29555999999999</v>
      </c>
      <c r="J39">
        <v>17.399999999999999</v>
      </c>
      <c r="K39">
        <v>100</v>
      </c>
      <c r="L39">
        <v>11.1</v>
      </c>
      <c r="M39" t="s">
        <v>84</v>
      </c>
      <c r="N39">
        <v>0.27</v>
      </c>
      <c r="O39" s="25">
        <v>0.43</v>
      </c>
      <c r="Q39">
        <v>92.8</v>
      </c>
      <c r="R39" s="15">
        <v>0</v>
      </c>
      <c r="S39" s="15">
        <v>0</v>
      </c>
      <c r="T39" s="15">
        <v>17.2</v>
      </c>
      <c r="U39">
        <v>78</v>
      </c>
      <c r="V39">
        <v>7.38</v>
      </c>
      <c r="W39">
        <v>4601</v>
      </c>
      <c r="X39">
        <v>2.93</v>
      </c>
      <c r="Y39">
        <v>8.75</v>
      </c>
      <c r="Z39">
        <v>17.2</v>
      </c>
      <c r="AA39">
        <v>74.599999999999994</v>
      </c>
      <c r="AB39">
        <v>7.05</v>
      </c>
      <c r="AC39">
        <v>4599</v>
      </c>
      <c r="AD39">
        <v>2.94</v>
      </c>
      <c r="AE39">
        <v>8.77</v>
      </c>
      <c r="AF39" s="15">
        <f t="shared" si="1"/>
        <v>2596.1113901110994</v>
      </c>
      <c r="AG39" s="15">
        <v>686.1</v>
      </c>
      <c r="AH39">
        <f t="shared" si="5"/>
        <v>2710.4490999999998</v>
      </c>
      <c r="AI39">
        <v>17.2</v>
      </c>
      <c r="AJ39">
        <v>17.100000000000001</v>
      </c>
      <c r="AK39" s="11"/>
      <c r="AL39" t="s">
        <v>88</v>
      </c>
      <c r="AM39" t="s">
        <v>166</v>
      </c>
      <c r="AN39">
        <v>35.638719454545452</v>
      </c>
      <c r="AO39">
        <v>31.726000886363636</v>
      </c>
      <c r="AP39">
        <f t="shared" si="2"/>
        <v>1.5014153320297234</v>
      </c>
      <c r="AQ39">
        <f>VLOOKUP(A39, [1]buoyancy_max!$1:$1048576, 4, FALSE)</f>
        <v>0</v>
      </c>
      <c r="AR39">
        <f>VLOOKUP(A39, [2]buoyancy_min!$1:$1048576, 4, FALSE)</f>
        <v>0</v>
      </c>
      <c r="AS39">
        <f>VLOOKUP(A39,[3]Sheet1!$1:$1048576, 11, FALSE)</f>
        <v>0.33472890503559211</v>
      </c>
      <c r="AT39">
        <f>VLOOKUP(C39, Triplex!$1:$1048576, 6, FALSE)</f>
        <v>40</v>
      </c>
      <c r="AU39">
        <f>VLOOKUP($C39, Triplex!$1:$1048576, 8, FALSE)</f>
        <v>650</v>
      </c>
      <c r="AV39">
        <f>VLOOKUP($C39, Triplex!$1:$1048576, 9, FALSE)</f>
        <v>493.71</v>
      </c>
      <c r="AW39">
        <f t="shared" si="6"/>
        <v>533.71</v>
      </c>
      <c r="AX39">
        <f>VLOOKUP($C39, TP!$1:$1048576, 6, FALSE)</f>
        <v>1320</v>
      </c>
      <c r="AY39">
        <f>VLOOKUP($C39, TN!$1:$1048576,5, FALSE)</f>
        <v>9540</v>
      </c>
      <c r="AZ39">
        <f t="shared" si="7"/>
        <v>14.676923076923076</v>
      </c>
      <c r="BA39">
        <f>VLOOKUP($C39, TICTOC!$1:$1048576, 5, FALSE)</f>
        <v>158.965</v>
      </c>
      <c r="BB39">
        <f t="shared" si="3"/>
        <v>13236.053288925896</v>
      </c>
      <c r="BC39">
        <f>VLOOKUP($C39, TICTOC!$1:$1048576, 6, FALSE)</f>
        <v>126.864</v>
      </c>
      <c r="BD39">
        <f t="shared" si="4"/>
        <v>10563.197335553707</v>
      </c>
      <c r="BE39">
        <f>VLOOKUP(A39, GHG!$1:$1048576, 4, FALSE)</f>
        <v>993.3488231</v>
      </c>
      <c r="BF39">
        <f>VLOOKUP(A39, GHG!$1:$1048576, 6, FALSE)</f>
        <v>36.598993749999998</v>
      </c>
      <c r="BG39">
        <f>VLOOKUP(A39, GHG!$1:$1048576, 7, FALSE)</f>
        <v>0.137132377</v>
      </c>
      <c r="BH39">
        <f>VLOOKUP(A39, GHG!$1:$1048576, 8, FALSE)</f>
        <v>87.126341850000003</v>
      </c>
      <c r="BI39">
        <f>VLOOKUP(A39, GHG!$1:$1048576, 10, FALSE)</f>
        <v>0.12213354</v>
      </c>
      <c r="BJ39">
        <f>VLOOKUP(A39, GHG!$1:$1048576, 11, FALSE)</f>
        <v>5.3462300000000002E-4</v>
      </c>
      <c r="BK39">
        <f>VLOOKUP(A39, GHG!$1:$1048576, 12, FALSE)</f>
        <v>0.37046441499999999</v>
      </c>
      <c r="BL39">
        <f>VLOOKUP(Master!A32, GHG!$1:$1048576, 14, FALSE)</f>
        <v>6.4327613530000001</v>
      </c>
      <c r="BM39">
        <f>VLOOKUP(A39, GHG!$1:$1048576, 15, FALSE)</f>
        <v>5.1275608E-2</v>
      </c>
      <c r="CM39">
        <v>791</v>
      </c>
      <c r="CN39" s="27">
        <v>18364</v>
      </c>
      <c r="CO39">
        <f>VLOOKUP($A39, Flux!$1:$1048576, 2, FALSE)</f>
        <v>46.045803569999997</v>
      </c>
      <c r="CP39">
        <f>VLOOKUP($A39, Flux!$1:$1048576, 10, FALSE)</f>
        <v>0.253544147</v>
      </c>
      <c r="CQ39">
        <f>VLOOKUP($A39, Flux!$1:$1048576, 18, FALSE)</f>
        <v>2.204005607</v>
      </c>
      <c r="CR39">
        <f t="shared" si="8"/>
        <v>0.28120934848683499</v>
      </c>
      <c r="CS39">
        <f t="shared" si="9"/>
        <v>256.96056389378379</v>
      </c>
      <c r="CT39">
        <f>VLOOKUP($C39, SO4_ALK_CL!$1:$1048576, 5, FALSE)</f>
        <v>792.94000244140625</v>
      </c>
      <c r="CU39">
        <f>VLOOKUP($C39, SO4_ALK_CL!$1:$1048576, 7, FALSE)</f>
        <v>3336.43701171875</v>
      </c>
      <c r="CV39">
        <f>VLOOKUP($C39, SO4_ALK_CL!$1:$1048576, 6, FALSE)</f>
        <v>123.72000122070313</v>
      </c>
      <c r="CW39">
        <f>VLOOKUP(A39, Ebullition!$1:$1048576, 5, FALSE)</f>
        <v>1.4844868214202589E-2</v>
      </c>
      <c r="CX39">
        <f>VLOOKUP(A39, Ebullition!$1:$1048576, 7, FALSE)</f>
        <v>0.27402756547619617</v>
      </c>
      <c r="CY39">
        <f>VLOOKUP(A39, Ebullition!$1:$1048576, 8, FALSE)</f>
        <v>140.65882352941173</v>
      </c>
    </row>
    <row r="40" spans="1:103" x14ac:dyDescent="0.25">
      <c r="A40" s="7" t="s">
        <v>100</v>
      </c>
      <c r="B40" s="7" t="s">
        <v>169</v>
      </c>
      <c r="C40" s="15" t="str">
        <f t="shared" si="0"/>
        <v>W14A43640</v>
      </c>
      <c r="D40" s="15" t="s">
        <v>165</v>
      </c>
      <c r="E40" t="s">
        <v>83</v>
      </c>
      <c r="F40" s="9">
        <v>43640</v>
      </c>
      <c r="G40" s="10">
        <v>0.46319444444444446</v>
      </c>
      <c r="H40">
        <v>51.044849999999997</v>
      </c>
      <c r="I40">
        <v>-104.64982999999999</v>
      </c>
      <c r="J40">
        <v>20.5</v>
      </c>
      <c r="K40">
        <v>90</v>
      </c>
      <c r="L40">
        <v>9.8000000000000007</v>
      </c>
      <c r="M40" t="s">
        <v>84</v>
      </c>
      <c r="N40">
        <v>0.3</v>
      </c>
      <c r="O40" s="25">
        <v>0.3</v>
      </c>
      <c r="Q40">
        <v>85.1</v>
      </c>
      <c r="R40" s="15">
        <v>0</v>
      </c>
      <c r="S40" s="15">
        <v>0</v>
      </c>
      <c r="T40" s="15">
        <v>19.8</v>
      </c>
      <c r="U40">
        <v>111.1</v>
      </c>
      <c r="V40">
        <v>10.029999999999999</v>
      </c>
      <c r="W40">
        <v>2728</v>
      </c>
      <c r="X40">
        <v>1.59</v>
      </c>
      <c r="Y40">
        <v>9.2100000000000009</v>
      </c>
      <c r="AF40" s="15">
        <f t="shared" si="1"/>
        <v>1518.4001143816204</v>
      </c>
      <c r="AG40" s="15">
        <v>705.3</v>
      </c>
      <c r="AH40">
        <f t="shared" si="5"/>
        <v>1607.0647999999999</v>
      </c>
      <c r="AI40">
        <v>19.8</v>
      </c>
      <c r="AJ40">
        <v>20.399999999999999</v>
      </c>
      <c r="AK40" t="s">
        <v>101</v>
      </c>
      <c r="AL40" t="s">
        <v>102</v>
      </c>
      <c r="AM40" t="s">
        <v>166</v>
      </c>
      <c r="AN40">
        <v>20.544622876666672</v>
      </c>
      <c r="AO40">
        <v>33.064076573333338</v>
      </c>
      <c r="AP40">
        <f t="shared" si="2"/>
        <v>1.5193563980605385</v>
      </c>
      <c r="AQ40" t="e">
        <f>VLOOKUP(A40, [1]buoyancy_max!$1:$1048576, 4, FALSE)</f>
        <v>#N/A</v>
      </c>
      <c r="AR40" t="e">
        <f>VLOOKUP(A40, [2]buoyancy_min!$1:$1048576, 4, FALSE)</f>
        <v>#N/A</v>
      </c>
      <c r="AS40">
        <f>VLOOKUP(A40,[3]Sheet1!$1:$1048576, 11, FALSE)</f>
        <v>2.7241379902695662</v>
      </c>
      <c r="AT40">
        <f>VLOOKUP(C40, Triplex!$1:$1048576, 6, FALSE)</f>
        <v>160</v>
      </c>
      <c r="AU40">
        <f>VLOOKUP($C40, Triplex!$1:$1048576, 8, FALSE)</f>
        <v>370</v>
      </c>
      <c r="AV40">
        <f>VLOOKUP($C40, Triplex!$1:$1048576, 9, FALSE)</f>
        <v>67.12</v>
      </c>
      <c r="AW40">
        <f t="shared" si="6"/>
        <v>227.12</v>
      </c>
      <c r="AX40">
        <f>VLOOKUP($C40, TP!$1:$1048576, 6, FALSE)</f>
        <v>560</v>
      </c>
      <c r="AY40">
        <f>VLOOKUP($C40, TN!$1:$1048576,5, FALSE)</f>
        <v>5010</v>
      </c>
      <c r="AZ40">
        <f t="shared" si="7"/>
        <v>13.54054054054054</v>
      </c>
      <c r="BA40">
        <f>VLOOKUP($C40, TICTOC!$1:$1048576, 5, FALSE)</f>
        <v>70.203999999999994</v>
      </c>
      <c r="BB40">
        <f t="shared" si="3"/>
        <v>5845.4621149042459</v>
      </c>
      <c r="BC40">
        <f>VLOOKUP($C40, TICTOC!$1:$1048576, 6, FALSE)</f>
        <v>61.994</v>
      </c>
      <c r="BD40">
        <f t="shared" si="4"/>
        <v>5161.8651124063281</v>
      </c>
      <c r="BE40">
        <f>VLOOKUP(A40, GHG!$1:$1048576, 4, FALSE)</f>
        <v>168.87762960000001</v>
      </c>
      <c r="BF40">
        <f>VLOOKUP(A40, GHG!$1:$1048576, 6, FALSE)</f>
        <v>6.0914059810000003</v>
      </c>
      <c r="BG40">
        <f>VLOOKUP(A40, GHG!$1:$1048576, 7, FALSE)</f>
        <v>0.123393139</v>
      </c>
      <c r="BH40">
        <f>VLOOKUP(A40, GHG!$1:$1048576, 8, FALSE)</f>
        <v>443.460262</v>
      </c>
      <c r="BI40">
        <f>VLOOKUP(A40, GHG!$1:$1048576, 10, FALSE)</f>
        <v>0.629192851</v>
      </c>
      <c r="BJ40">
        <f>VLOOKUP(A40, GHG!$1:$1048576, 11, FALSE)</f>
        <v>4.7726899000000003E-2</v>
      </c>
      <c r="BK40">
        <f>VLOOKUP(A40, GHG!$1:$1048576, 12, FALSE)</f>
        <v>0.18375791</v>
      </c>
      <c r="BL40">
        <f>VLOOKUP(Master!A23, GHG!$1:$1048576, 14, FALSE)</f>
        <v>6.2470101009999999</v>
      </c>
      <c r="BM40">
        <f>VLOOKUP(A40, GHG!$1:$1048576, 15, FALSE)</f>
        <v>0.13685752500000001</v>
      </c>
      <c r="CM40">
        <v>547</v>
      </c>
      <c r="CN40" s="27">
        <v>26753</v>
      </c>
      <c r="CO40">
        <f>VLOOKUP($A40, Flux!$1:$1048576, 2, FALSE)</f>
        <v>-20.748125349999999</v>
      </c>
      <c r="CP40">
        <f>VLOOKUP($A40, Flux!$1:$1048576, 10, FALSE)</f>
        <v>1.4498067160000001</v>
      </c>
      <c r="CQ40">
        <f>VLOOKUP($A40, Flux!$1:$1048576, 18, FALSE)</f>
        <v>-9.0848809169999996</v>
      </c>
      <c r="CR40">
        <f t="shared" si="8"/>
        <v>0.16254737134025216</v>
      </c>
      <c r="CS40">
        <f t="shared" si="9"/>
        <v>923.6293206197854</v>
      </c>
      <c r="CT40">
        <f>VLOOKUP($C40, SO4_ALK_CL!$1:$1048576, 5, FALSE)</f>
        <v>376.32000732421875</v>
      </c>
      <c r="CU40">
        <f>VLOOKUP($C40, SO4_ALK_CL!$1:$1048576, 7, FALSE)</f>
        <v>1460.76904296875</v>
      </c>
      <c r="CV40">
        <f>VLOOKUP($C40, SO4_ALK_CL!$1:$1048576, 6, FALSE)</f>
        <v>118.38999938964844</v>
      </c>
    </row>
    <row r="41" spans="1:103" x14ac:dyDescent="0.25">
      <c r="A41" s="7" t="s">
        <v>123</v>
      </c>
      <c r="B41" s="7" t="s">
        <v>170</v>
      </c>
      <c r="C41" s="15" t="str">
        <f t="shared" si="0"/>
        <v>W31A43649</v>
      </c>
      <c r="D41" s="15" t="s">
        <v>165</v>
      </c>
      <c r="E41" t="s">
        <v>114</v>
      </c>
      <c r="F41" s="9">
        <v>43649</v>
      </c>
      <c r="G41" s="10">
        <v>0.44027777777777777</v>
      </c>
      <c r="H41">
        <v>51.149230000000003</v>
      </c>
      <c r="I41">
        <v>-107.53922</v>
      </c>
      <c r="J41">
        <v>20.399999999999999</v>
      </c>
      <c r="K41">
        <v>33</v>
      </c>
      <c r="L41">
        <v>7.5</v>
      </c>
      <c r="M41" t="s">
        <v>115</v>
      </c>
      <c r="N41">
        <v>0.13</v>
      </c>
      <c r="O41" s="25">
        <v>0.8</v>
      </c>
      <c r="Q41">
        <v>101.7</v>
      </c>
      <c r="R41" s="15">
        <v>0</v>
      </c>
      <c r="S41" s="15">
        <v>0</v>
      </c>
      <c r="T41" s="15">
        <v>17.899999999999999</v>
      </c>
      <c r="U41">
        <v>92</v>
      </c>
      <c r="V41">
        <v>8.08</v>
      </c>
      <c r="W41">
        <v>18974</v>
      </c>
      <c r="X41">
        <v>13.27</v>
      </c>
      <c r="Y41">
        <v>8.83</v>
      </c>
      <c r="AF41" s="15">
        <f t="shared" si="1"/>
        <v>11197.574596486047</v>
      </c>
      <c r="AG41" s="15">
        <v>702.4</v>
      </c>
      <c r="AH41">
        <f t="shared" si="5"/>
        <v>11177.5834</v>
      </c>
      <c r="AI41">
        <v>17.899999999999999</v>
      </c>
      <c r="AJ41">
        <v>17.100000000000001</v>
      </c>
      <c r="AK41">
        <v>1</v>
      </c>
      <c r="AL41" t="s">
        <v>124</v>
      </c>
      <c r="AM41" t="s">
        <v>166</v>
      </c>
      <c r="AN41">
        <v>87.465401699999987</v>
      </c>
      <c r="AO41">
        <v>70.388645299999979</v>
      </c>
      <c r="AP41">
        <f t="shared" si="2"/>
        <v>1.8475026068512637</v>
      </c>
      <c r="AQ41" t="e">
        <f>VLOOKUP(A41, [1]buoyancy_max!$1:$1048576, 4, FALSE)</f>
        <v>#N/A</v>
      </c>
      <c r="AR41" t="e">
        <f>VLOOKUP(A41, [2]buoyancy_min!$1:$1048576, 4, FALSE)</f>
        <v>#N/A</v>
      </c>
      <c r="AS41">
        <f>VLOOKUP(A41,[3]Sheet1!$1:$1048576, 11, FALSE)</f>
        <v>1.7854384730407544</v>
      </c>
      <c r="AT41">
        <f>VLOOKUP(C41, Triplex!$1:$1048576, 6, FALSE)</f>
        <v>260</v>
      </c>
      <c r="AU41">
        <f>VLOOKUP($C41, Triplex!$1:$1048576, 8, FALSE)</f>
        <v>50</v>
      </c>
      <c r="AV41">
        <f>VLOOKUP($C41, Triplex!$1:$1048576, 9, FALSE)</f>
        <v>15.42</v>
      </c>
      <c r="AW41">
        <f t="shared" si="6"/>
        <v>275.42</v>
      </c>
      <c r="AX41">
        <f>VLOOKUP($C41, TP!$1:$1048576, 6, FALSE)</f>
        <v>210</v>
      </c>
      <c r="AY41">
        <f>VLOOKUP($C41, TN!$1:$1048576,5, FALSE)</f>
        <v>4670</v>
      </c>
      <c r="AZ41">
        <f t="shared" si="7"/>
        <v>93.4</v>
      </c>
      <c r="BA41">
        <f>VLOOKUP($C41, TICTOC!$1:$1048576, 5, FALSE)</f>
        <v>104.657</v>
      </c>
      <c r="BB41">
        <f t="shared" si="3"/>
        <v>8714.1548709408835</v>
      </c>
      <c r="BC41">
        <f>VLOOKUP($C41, TICTOC!$1:$1048576, 6, FALSE)</f>
        <v>88.177000000000007</v>
      </c>
      <c r="BD41">
        <f t="shared" si="4"/>
        <v>7341.9650291423823</v>
      </c>
      <c r="BE41">
        <f>VLOOKUP(A41, GHG!$1:$1048576, 4, FALSE)</f>
        <v>328.36818099999999</v>
      </c>
      <c r="BF41">
        <f>VLOOKUP(A41, GHG!$1:$1048576, 6, FALSE)</f>
        <v>5.4854670409999997</v>
      </c>
      <c r="BG41">
        <f>VLOOKUP(A41, GHG!$1:$1048576, 7, FALSE)</f>
        <v>0.117127325</v>
      </c>
      <c r="BH41">
        <f>VLOOKUP(A41, GHG!$1:$1048576, 8, FALSE)</f>
        <v>179.0522216</v>
      </c>
      <c r="BI41">
        <f>VLOOKUP(A41, GHG!$1:$1048576, 10, FALSE)</f>
        <v>8.7518952999999997E-2</v>
      </c>
      <c r="BJ41">
        <f>VLOOKUP(A41, GHG!$1:$1048576, 11, FALSE)</f>
        <v>3.8741099999999999E-4</v>
      </c>
      <c r="BK41">
        <f>VLOOKUP(A41, GHG!$1:$1048576, 12, FALSE)</f>
        <v>0.27757935099999997</v>
      </c>
      <c r="BL41">
        <f>VLOOKUP(Master!A25, GHG!$1:$1048576, 14, FALSE)</f>
        <v>7.2662369670000002</v>
      </c>
      <c r="BM41">
        <f>VLOOKUP(A41, GHG!$1:$1048576, 15, FALSE)</f>
        <v>3.3184269000000002E-2</v>
      </c>
      <c r="CM41">
        <v>667</v>
      </c>
      <c r="CN41" s="27">
        <v>149276</v>
      </c>
      <c r="CO41">
        <f>VLOOKUP($A41, Flux!$1:$1048576, 2, FALSE)</f>
        <v>-3.1234967939999998</v>
      </c>
      <c r="CP41">
        <f>VLOOKUP($A41, Flux!$1:$1048576, 10, FALSE)</f>
        <v>0.188131457</v>
      </c>
      <c r="CQ41">
        <f>VLOOKUP($A41, Flux!$1:$1048576, 18, FALSE)</f>
        <v>-3.1021481639999999</v>
      </c>
      <c r="CR41">
        <f t="shared" si="8"/>
        <v>0.18350163284707782</v>
      </c>
      <c r="CS41">
        <f t="shared" si="9"/>
        <v>5718.3527885862513</v>
      </c>
      <c r="CT41">
        <f>VLOOKUP($C41, SO4_ALK_CL!$1:$1048576, 5, FALSE)</f>
        <v>433.36041259765625</v>
      </c>
      <c r="CU41">
        <f>VLOOKUP($C41, SO4_ALK_CL!$1:$1048576, 7, FALSE)</f>
        <v>1650.1600341796875</v>
      </c>
      <c r="CV41">
        <f>VLOOKUP($C41, SO4_ALK_CL!$1:$1048576, 6, FALSE)</f>
        <v>898.90899658203125</v>
      </c>
    </row>
  </sheetData>
  <autoFilter ref="D1:D41" xr:uid="{00000000-0009-0000-0000-000000000000}"/>
  <sortState xmlns:xlrd2="http://schemas.microsoft.com/office/spreadsheetml/2017/richdata2" ref="A2:CN21">
    <sortCondition ref="BC2"/>
  </sortState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920D-4A87-4012-91DE-E8AD615B8AE2}">
  <dimension ref="A1:P31"/>
  <sheetViews>
    <sheetView workbookViewId="0">
      <selection activeCell="I4" sqref="I4"/>
    </sheetView>
  </sheetViews>
  <sheetFormatPr defaultRowHeight="15" x14ac:dyDescent="0.25"/>
  <cols>
    <col min="3" max="3" width="10.85546875" bestFit="1" customWidth="1"/>
    <col min="4" max="4" width="14.85546875" bestFit="1" customWidth="1"/>
    <col min="5" max="5" width="14.7109375" bestFit="1" customWidth="1"/>
    <col min="6" max="6" width="14.5703125" bestFit="1" customWidth="1"/>
    <col min="7" max="7" width="16.5703125" bestFit="1" customWidth="1"/>
    <col min="14" max="14" width="11.140625" customWidth="1"/>
    <col min="15" max="15" width="12" bestFit="1" customWidth="1"/>
  </cols>
  <sheetData>
    <row r="1" spans="1:16" x14ac:dyDescent="0.25">
      <c r="A1" t="s">
        <v>478</v>
      </c>
      <c r="B1" t="s">
        <v>167</v>
      </c>
      <c r="C1" t="s">
        <v>477</v>
      </c>
      <c r="D1" t="s">
        <v>479</v>
      </c>
      <c r="E1" t="s">
        <v>480</v>
      </c>
      <c r="F1" t="s">
        <v>481</v>
      </c>
      <c r="G1" t="s">
        <v>484</v>
      </c>
      <c r="H1" t="s">
        <v>485</v>
      </c>
    </row>
    <row r="2" spans="1:16" x14ac:dyDescent="0.25">
      <c r="A2" t="s">
        <v>99</v>
      </c>
      <c r="B2" t="s">
        <v>169</v>
      </c>
      <c r="C2" t="s">
        <v>421</v>
      </c>
      <c r="D2">
        <f>AVERAGE('[4]Bubble Gases Mol'!L6:L7)</f>
        <v>7.3292711478652834E-4</v>
      </c>
      <c r="E2">
        <f>AVERAGE('[4]Bubble Gases Mol'!O6:O7)</f>
        <v>3.3989066274871054E-4</v>
      </c>
      <c r="F2">
        <f>AVERAGE('[4]Bubble Gases Mol'!R6:R7)</f>
        <v>2.4519817165280657E-4</v>
      </c>
      <c r="G2">
        <v>3.5045561012529758E-2</v>
      </c>
      <c r="H2">
        <v>25.18205128205128</v>
      </c>
      <c r="L2" s="21"/>
      <c r="M2" s="21"/>
      <c r="N2" s="21"/>
      <c r="O2" s="21"/>
      <c r="P2" s="21"/>
    </row>
    <row r="3" spans="1:16" x14ac:dyDescent="0.25">
      <c r="A3" t="s">
        <v>93</v>
      </c>
      <c r="B3">
        <v>20</v>
      </c>
      <c r="C3" t="s">
        <v>421</v>
      </c>
      <c r="D3">
        <f>AVERAGE('[4]Bubble Gases Mol'!L2:L3)</f>
        <v>7.7603501293468241E-2</v>
      </c>
      <c r="E3">
        <f>AVERAGE('[4]Bubble Gases Mol'!O2:O3)</f>
        <v>0.15190275760595887</v>
      </c>
      <c r="F3">
        <f>AVERAGE('[4]Bubble Gases Mol'!R2:R3)</f>
        <v>4.4749170585361032E-3</v>
      </c>
      <c r="G3">
        <v>0.97045113118179915</v>
      </c>
      <c r="H3">
        <v>406.42168674698792</v>
      </c>
      <c r="L3" s="21"/>
      <c r="M3" s="21"/>
      <c r="N3" s="21"/>
      <c r="O3" s="21"/>
      <c r="P3" s="21"/>
    </row>
    <row r="4" spans="1:16" x14ac:dyDescent="0.25">
      <c r="A4" t="s">
        <v>82</v>
      </c>
      <c r="B4" t="s">
        <v>174</v>
      </c>
      <c r="C4" t="s">
        <v>421</v>
      </c>
      <c r="D4">
        <f>AVERAGE('[4]Bubble Gases Mol'!L8:L9)</f>
        <v>4.8072543182179094E-2</v>
      </c>
      <c r="E4">
        <f>AVERAGE('[4]Bubble Gases Mol'!O8:O9)</f>
        <v>5.0746139776330391E-2</v>
      </c>
      <c r="F4">
        <f>AVERAGE('[4]Bubble Gases Mol'!R8:R9)</f>
        <v>2.3516342739552986E-3</v>
      </c>
      <c r="G4">
        <v>0.52457663659649723</v>
      </c>
      <c r="H4">
        <v>251.17647058823525</v>
      </c>
      <c r="L4" s="21"/>
      <c r="M4" s="21"/>
      <c r="N4" s="21"/>
      <c r="O4" s="21"/>
      <c r="P4" s="21"/>
    </row>
    <row r="5" spans="1:16" x14ac:dyDescent="0.25">
      <c r="A5" t="s">
        <v>86</v>
      </c>
      <c r="B5" t="s">
        <v>175</v>
      </c>
      <c r="C5" t="s">
        <v>421</v>
      </c>
      <c r="D5">
        <f>AVERAGE('[4]Bubble Gases Mol'!L10:L11)</f>
        <v>9.7360067350931046E-3</v>
      </c>
      <c r="E5">
        <f>AVERAGE('[4]Bubble Gases Mol'!O10:O11)</f>
        <v>1.3034584418110194E-2</v>
      </c>
      <c r="F5">
        <f>AVERAGE('[4]Bubble Gases Mol'!R10:R11)</f>
        <v>4.5187087186820707E-4</v>
      </c>
      <c r="G5">
        <v>0.67371020570461659</v>
      </c>
      <c r="H5">
        <v>50.235294117647058</v>
      </c>
      <c r="L5" s="21"/>
      <c r="M5" s="21"/>
      <c r="N5" s="21"/>
      <c r="O5" s="21"/>
      <c r="P5" s="21"/>
    </row>
    <row r="6" spans="1:16" x14ac:dyDescent="0.25">
      <c r="A6" t="s">
        <v>96</v>
      </c>
      <c r="B6">
        <v>75</v>
      </c>
      <c r="C6" t="s">
        <v>421</v>
      </c>
      <c r="D6">
        <f>AVERAGE('[4]Bubble Gases Mol'!L4:L5)</f>
        <v>0.21683693080220323</v>
      </c>
      <c r="E6">
        <f>AVERAGE('[4]Bubble Gases Mol'!O4:O5)</f>
        <v>3.1317733893676829</v>
      </c>
      <c r="F6">
        <f>AVERAGE('[4]Bubble Gases Mol'!R4:R5)</f>
        <v>2.7559858469580921E-3</v>
      </c>
      <c r="G6">
        <v>22.170073916412864</v>
      </c>
      <c r="H6">
        <v>366.78205128205127</v>
      </c>
      <c r="N6" s="34"/>
      <c r="O6" s="34"/>
    </row>
    <row r="7" spans="1:16" x14ac:dyDescent="0.25">
      <c r="A7" t="s">
        <v>94</v>
      </c>
      <c r="B7">
        <v>20</v>
      </c>
      <c r="C7" t="s">
        <v>165</v>
      </c>
      <c r="D7">
        <f>AVERAGE('[4]Bubble Gases Mol'!L12:L13)</f>
        <v>7.8072409483734687E-2</v>
      </c>
      <c r="E7">
        <f>AVERAGE('[4]Bubble Gases Mol'!O12:O13)</f>
        <v>0.90689101300420605</v>
      </c>
      <c r="F7">
        <f>AVERAGE('[4]Bubble Gases Mol'!R12:R13)</f>
        <v>3.6450769924121331E-3</v>
      </c>
      <c r="G7">
        <v>6.7310263293971637</v>
      </c>
      <c r="H7">
        <v>349.83132530120474</v>
      </c>
      <c r="N7" s="34"/>
      <c r="O7" s="34"/>
    </row>
    <row r="8" spans="1:16" ht="15.75" customHeight="1" x14ac:dyDescent="0.25">
      <c r="A8" t="s">
        <v>85</v>
      </c>
      <c r="B8" t="s">
        <v>174</v>
      </c>
      <c r="C8" t="s">
        <v>165</v>
      </c>
      <c r="D8">
        <f>AVERAGE('[4]Bubble Gases Mol'!L18:L19)</f>
        <v>8.4983133187213709E-4</v>
      </c>
      <c r="E8">
        <f>AVERAGE('[4]Bubble Gases Mol'!O18:O19)</f>
        <v>1.2822495394586705E-3</v>
      </c>
      <c r="F8">
        <f>AVERAGE('[4]Bubble Gases Mol'!R18:R19)</f>
        <v>1.8870115480895712E-4</v>
      </c>
      <c r="G8">
        <v>0.16568702408975561</v>
      </c>
      <c r="H8">
        <v>20.094117647058823</v>
      </c>
      <c r="N8" s="34"/>
      <c r="O8" s="34"/>
    </row>
    <row r="9" spans="1:16" x14ac:dyDescent="0.25">
      <c r="A9" t="s">
        <v>87</v>
      </c>
      <c r="B9" t="s">
        <v>175</v>
      </c>
      <c r="C9" t="s">
        <v>165</v>
      </c>
      <c r="D9">
        <f>AVERAGE('[4]Bubble Gases Mol'!L20:L21)</f>
        <v>0.12378511089039818</v>
      </c>
      <c r="E9">
        <f>AVERAGE('[4]Bubble Gases Mol'!O20:O21)</f>
        <v>1.4844868214202589E-2</v>
      </c>
      <c r="F9">
        <f>AVERAGE('[4]Bubble Gases Mol'!R20:R21)</f>
        <v>1.9662721889358538E-3</v>
      </c>
      <c r="G9">
        <v>0.27402756547619617</v>
      </c>
      <c r="H9">
        <v>140.65882352941173</v>
      </c>
      <c r="N9" s="34"/>
      <c r="O9" s="34"/>
    </row>
    <row r="10" spans="1:16" x14ac:dyDescent="0.25">
      <c r="A10" t="s">
        <v>97</v>
      </c>
      <c r="B10">
        <v>75</v>
      </c>
      <c r="C10" t="s">
        <v>165</v>
      </c>
      <c r="D10">
        <f>AVERAGE('[4]Bubble Gases Mol'!L14:L15)</f>
        <v>0.12341438772614984</v>
      </c>
      <c r="E10">
        <f>AVERAGE('[4]Bubble Gases Mol'!O14:O15)</f>
        <v>4.6553012046399713</v>
      </c>
      <c r="F10">
        <f>AVERAGE('[4]Bubble Gases Mol'!R14:R15)</f>
        <v>1.0251739990837644E-3</v>
      </c>
      <c r="G10">
        <v>55.200042049246377</v>
      </c>
      <c r="H10">
        <v>218.97435897435895</v>
      </c>
      <c r="N10" s="34"/>
      <c r="O10" s="34"/>
    </row>
    <row r="11" spans="1:16" x14ac:dyDescent="0.25">
      <c r="N11" s="34"/>
      <c r="O11" s="34"/>
    </row>
    <row r="12" spans="1:16" x14ac:dyDescent="0.25">
      <c r="N12" s="34"/>
      <c r="O12" s="34"/>
    </row>
    <row r="13" spans="1:16" x14ac:dyDescent="0.25">
      <c r="N13" s="34"/>
      <c r="O13" s="34"/>
    </row>
    <row r="14" spans="1:16" x14ac:dyDescent="0.25">
      <c r="N14" s="34"/>
      <c r="O14" s="34"/>
    </row>
    <row r="15" spans="1:16" x14ac:dyDescent="0.25">
      <c r="N15" s="34"/>
      <c r="O15" s="34"/>
    </row>
    <row r="16" spans="1:16" x14ac:dyDescent="0.25">
      <c r="N16" s="34"/>
      <c r="O16" s="34"/>
    </row>
    <row r="17" spans="4:15" x14ac:dyDescent="0.25">
      <c r="N17" s="34"/>
      <c r="O17" s="34"/>
    </row>
    <row r="18" spans="4:15" x14ac:dyDescent="0.25">
      <c r="N18" s="34"/>
      <c r="O18" s="34"/>
    </row>
    <row r="19" spans="4:15" x14ac:dyDescent="0.25">
      <c r="N19" s="34"/>
      <c r="O19" s="34"/>
    </row>
    <row r="20" spans="4:15" x14ac:dyDescent="0.25">
      <c r="N20" s="34"/>
      <c r="O20" s="34"/>
    </row>
    <row r="21" spans="4:15" x14ac:dyDescent="0.25">
      <c r="N21" s="34"/>
      <c r="O21" s="34"/>
    </row>
    <row r="22" spans="4:15" x14ac:dyDescent="0.25">
      <c r="D22" s="35"/>
      <c r="N22" s="34"/>
      <c r="O22" s="34"/>
    </row>
    <row r="23" spans="4:15" x14ac:dyDescent="0.25">
      <c r="D23" s="35"/>
      <c r="N23" s="34"/>
      <c r="O23" s="34"/>
    </row>
    <row r="24" spans="4:15" x14ac:dyDescent="0.25">
      <c r="D24" s="35"/>
    </row>
    <row r="25" spans="4:15" x14ac:dyDescent="0.25">
      <c r="D25" s="35"/>
    </row>
    <row r="26" spans="4:15" x14ac:dyDescent="0.25">
      <c r="D26" s="35"/>
    </row>
    <row r="27" spans="4:15" x14ac:dyDescent="0.25">
      <c r="D27" s="35"/>
    </row>
    <row r="28" spans="4:15" x14ac:dyDescent="0.25">
      <c r="D28" s="35"/>
    </row>
    <row r="29" spans="4:15" x14ac:dyDescent="0.25">
      <c r="D29" s="35"/>
    </row>
    <row r="30" spans="4:15" x14ac:dyDescent="0.25">
      <c r="D30" s="35"/>
    </row>
    <row r="31" spans="4:15" x14ac:dyDescent="0.25">
      <c r="D31" s="35"/>
    </row>
  </sheetData>
  <sortState xmlns:xlrd2="http://schemas.microsoft.com/office/spreadsheetml/2017/richdata2" ref="A2:G10">
    <sortCondition ref="A1:A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4"/>
  <sheetViews>
    <sheetView topLeftCell="A25" workbookViewId="0">
      <selection activeCell="G18" sqref="G18"/>
    </sheetView>
  </sheetViews>
  <sheetFormatPr defaultRowHeight="15" x14ac:dyDescent="0.25"/>
  <cols>
    <col min="1" max="1" width="11.28515625" bestFit="1" customWidth="1"/>
    <col min="2" max="4" width="15.7109375" customWidth="1"/>
    <col min="5" max="7" width="18.7109375" style="25" customWidth="1"/>
  </cols>
  <sheetData>
    <row r="1" spans="1:7" ht="15.75" thickBot="1" x14ac:dyDescent="0.3">
      <c r="A1" t="s">
        <v>1</v>
      </c>
      <c r="B1" s="28" t="s">
        <v>186</v>
      </c>
      <c r="C1" s="28" t="s">
        <v>0</v>
      </c>
      <c r="D1" s="28" t="s">
        <v>3</v>
      </c>
      <c r="E1" s="29" t="s">
        <v>467</v>
      </c>
      <c r="F1" s="29" t="s">
        <v>468</v>
      </c>
      <c r="G1" s="30" t="s">
        <v>469</v>
      </c>
    </row>
    <row r="2" spans="1:7" ht="15.75" thickTop="1" x14ac:dyDescent="0.25">
      <c r="A2" t="str">
        <f>C2&amp;D2</f>
        <v>D10A43703</v>
      </c>
      <c r="B2" s="31" t="s">
        <v>190</v>
      </c>
      <c r="C2" s="31" t="s">
        <v>189</v>
      </c>
      <c r="D2" s="33">
        <v>43703</v>
      </c>
      <c r="E2" s="32">
        <v>124.77999877929688</v>
      </c>
      <c r="F2" s="32">
        <v>8.8000001907348633</v>
      </c>
      <c r="G2" s="32">
        <v>301.56320190429688</v>
      </c>
    </row>
    <row r="3" spans="1:7" x14ac:dyDescent="0.25">
      <c r="A3" t="str">
        <f t="shared" ref="A3:A66" si="0">C3&amp;D3</f>
        <v>D10B43703</v>
      </c>
      <c r="B3" s="31" t="s">
        <v>192</v>
      </c>
      <c r="C3" s="31" t="s">
        <v>191</v>
      </c>
      <c r="D3" s="33">
        <v>43703</v>
      </c>
      <c r="E3" s="32">
        <v>163.52000427246094</v>
      </c>
      <c r="F3" s="32">
        <v>30</v>
      </c>
      <c r="G3" s="32">
        <v>428.88629150390625</v>
      </c>
    </row>
    <row r="4" spans="1:7" x14ac:dyDescent="0.25">
      <c r="A4" t="str">
        <f t="shared" si="0"/>
        <v>D10C43703</v>
      </c>
      <c r="B4" s="31" t="s">
        <v>194</v>
      </c>
      <c r="C4" s="31" t="s">
        <v>193</v>
      </c>
      <c r="D4" s="33">
        <v>43703</v>
      </c>
      <c r="E4" s="32">
        <v>131.21000671386719</v>
      </c>
      <c r="F4" s="32">
        <v>14.239999771118164</v>
      </c>
      <c r="G4" s="32">
        <v>479.37188720703125</v>
      </c>
    </row>
    <row r="5" spans="1:7" x14ac:dyDescent="0.25">
      <c r="A5" t="str">
        <f t="shared" si="0"/>
        <v>D10D43703</v>
      </c>
      <c r="B5" s="31" t="s">
        <v>196</v>
      </c>
      <c r="C5" s="31" t="s">
        <v>195</v>
      </c>
      <c r="D5" s="33">
        <v>43703</v>
      </c>
      <c r="E5" s="32">
        <v>324.1099853515625</v>
      </c>
      <c r="F5" s="32">
        <v>24.860000610351563</v>
      </c>
      <c r="G5" s="32">
        <v>1416.9029541015625</v>
      </c>
    </row>
    <row r="6" spans="1:7" x14ac:dyDescent="0.25">
      <c r="A6" t="str">
        <f t="shared" si="0"/>
        <v>D10E43644</v>
      </c>
      <c r="B6" s="31" t="s">
        <v>198</v>
      </c>
      <c r="C6" s="31" t="s">
        <v>109</v>
      </c>
      <c r="D6" s="33">
        <v>43644</v>
      </c>
      <c r="E6" s="32">
        <v>136.46000671386719</v>
      </c>
      <c r="F6" s="32">
        <v>13.149999618530273</v>
      </c>
      <c r="G6" s="32">
        <v>608.6876220703125</v>
      </c>
    </row>
    <row r="7" spans="1:7" x14ac:dyDescent="0.25">
      <c r="A7" t="str">
        <f t="shared" si="0"/>
        <v>D10E43703</v>
      </c>
      <c r="B7" s="31" t="s">
        <v>197</v>
      </c>
      <c r="C7" s="31" t="s">
        <v>109</v>
      </c>
      <c r="D7" s="33">
        <v>43703</v>
      </c>
      <c r="E7" s="32">
        <v>144.80000305175781</v>
      </c>
      <c r="F7" s="32">
        <v>17.690000534057617</v>
      </c>
      <c r="G7" s="32">
        <v>729.64697265625</v>
      </c>
    </row>
    <row r="8" spans="1:7" x14ac:dyDescent="0.25">
      <c r="A8" t="str">
        <f t="shared" si="0"/>
        <v>D14A43640</v>
      </c>
      <c r="B8" s="31" t="s">
        <v>202</v>
      </c>
      <c r="C8" s="31" t="s">
        <v>99</v>
      </c>
      <c r="D8" s="33">
        <v>43640</v>
      </c>
      <c r="E8" s="32">
        <v>439.6300048828125</v>
      </c>
      <c r="F8" s="32">
        <v>97.419998168945313</v>
      </c>
      <c r="G8" s="32">
        <v>3355.4560546875</v>
      </c>
    </row>
    <row r="9" spans="1:7" x14ac:dyDescent="0.25">
      <c r="A9" t="str">
        <f t="shared" si="0"/>
        <v>D14A43675</v>
      </c>
      <c r="B9" s="31" t="s">
        <v>201</v>
      </c>
      <c r="C9" s="31" t="s">
        <v>99</v>
      </c>
      <c r="D9" s="33">
        <v>43675</v>
      </c>
      <c r="E9" s="32">
        <v>393.78720092773438</v>
      </c>
      <c r="F9" s="32">
        <v>89.466499328613281</v>
      </c>
      <c r="G9" s="32">
        <v>3360.527099609375</v>
      </c>
    </row>
    <row r="10" spans="1:7" x14ac:dyDescent="0.25">
      <c r="A10" t="str">
        <f t="shared" si="0"/>
        <v>D14B43675</v>
      </c>
      <c r="B10" s="31" t="s">
        <v>204</v>
      </c>
      <c r="C10" s="31" t="s">
        <v>203</v>
      </c>
      <c r="D10" s="33">
        <v>43675</v>
      </c>
      <c r="E10" s="32">
        <v>246.61520385742188</v>
      </c>
      <c r="F10" s="32">
        <v>7.7603998184204102</v>
      </c>
      <c r="G10" s="32">
        <v>414.49618530273438</v>
      </c>
    </row>
    <row r="11" spans="1:7" x14ac:dyDescent="0.25">
      <c r="A11" t="str">
        <f t="shared" si="0"/>
        <v>D15A43683</v>
      </c>
      <c r="B11" s="31" t="s">
        <v>206</v>
      </c>
      <c r="C11" s="31" t="s">
        <v>205</v>
      </c>
      <c r="D11" s="33">
        <v>43683</v>
      </c>
      <c r="E11" s="32">
        <v>295.3800048828125</v>
      </c>
      <c r="F11" s="32">
        <v>22.360000610351563</v>
      </c>
      <c r="G11" s="32">
        <v>294.926513671875</v>
      </c>
    </row>
    <row r="12" spans="1:7" x14ac:dyDescent="0.25">
      <c r="A12" t="str">
        <f t="shared" si="0"/>
        <v>D15B43683</v>
      </c>
      <c r="B12" s="31" t="s">
        <v>454</v>
      </c>
      <c r="C12" s="31" t="s">
        <v>199</v>
      </c>
      <c r="D12" s="33">
        <v>43683</v>
      </c>
      <c r="E12" s="32">
        <v>259.6099853515625</v>
      </c>
      <c r="F12" s="32">
        <v>21.110000610351563</v>
      </c>
      <c r="G12" s="32">
        <v>282.494384765625</v>
      </c>
    </row>
    <row r="13" spans="1:7" x14ac:dyDescent="0.25">
      <c r="A13" t="str">
        <f t="shared" si="0"/>
        <v>D2043636</v>
      </c>
      <c r="B13" s="31" t="s">
        <v>208</v>
      </c>
      <c r="C13" s="31" t="s">
        <v>93</v>
      </c>
      <c r="D13" s="33">
        <v>43636</v>
      </c>
      <c r="E13" s="32">
        <v>255.44000244140625</v>
      </c>
      <c r="F13" s="32">
        <v>11.550000190734863</v>
      </c>
      <c r="G13" s="32">
        <v>421.581787109375</v>
      </c>
    </row>
    <row r="14" spans="1:7" x14ac:dyDescent="0.25">
      <c r="A14" t="str">
        <f t="shared" si="0"/>
        <v>D2043668</v>
      </c>
      <c r="B14" s="31" t="s">
        <v>207</v>
      </c>
      <c r="C14" s="31" t="s">
        <v>93</v>
      </c>
      <c r="D14" s="33">
        <v>43668</v>
      </c>
      <c r="E14" s="32">
        <v>215.1571044921875</v>
      </c>
      <c r="F14" s="32">
        <v>11.266300201416016</v>
      </c>
      <c r="G14" s="32">
        <v>472.81561279296875</v>
      </c>
    </row>
    <row r="15" spans="1:7" x14ac:dyDescent="0.25">
      <c r="A15" t="str">
        <f t="shared" si="0"/>
        <v>D22C43686</v>
      </c>
      <c r="B15" s="31" t="s">
        <v>210</v>
      </c>
      <c r="C15" s="31" t="s">
        <v>209</v>
      </c>
      <c r="D15" s="33">
        <v>43686</v>
      </c>
      <c r="E15" s="32">
        <v>170.17399597167969</v>
      </c>
      <c r="F15" s="32">
        <v>9.2590999603271484</v>
      </c>
      <c r="G15" s="32">
        <v>395.14559936523438</v>
      </c>
    </row>
    <row r="16" spans="1:7" x14ac:dyDescent="0.25">
      <c r="A16" t="str">
        <f t="shared" si="0"/>
        <v>D24B43692</v>
      </c>
      <c r="B16" s="31" t="s">
        <v>212</v>
      </c>
      <c r="C16" s="31" t="s">
        <v>211</v>
      </c>
      <c r="D16" s="33">
        <v>43692</v>
      </c>
      <c r="E16" s="32">
        <v>180.44999694824219</v>
      </c>
      <c r="F16" s="32">
        <v>9.7600002288818359</v>
      </c>
      <c r="G16" s="32">
        <v>0</v>
      </c>
    </row>
    <row r="17" spans="1:7" x14ac:dyDescent="0.25">
      <c r="A17" t="str">
        <f t="shared" si="0"/>
        <v>D26A43692</v>
      </c>
      <c r="B17" s="31" t="s">
        <v>214</v>
      </c>
      <c r="C17" s="31" t="s">
        <v>213</v>
      </c>
      <c r="D17" s="33">
        <v>43692</v>
      </c>
      <c r="E17" s="32">
        <v>214.07000732421875</v>
      </c>
      <c r="F17" s="32">
        <v>9.9099998474121094</v>
      </c>
      <c r="G17" s="32">
        <v>0</v>
      </c>
    </row>
    <row r="18" spans="1:7" x14ac:dyDescent="0.25">
      <c r="A18" t="str">
        <f t="shared" si="0"/>
        <v>D26B43692</v>
      </c>
      <c r="B18" s="31" t="s">
        <v>216</v>
      </c>
      <c r="C18" s="31" t="s">
        <v>215</v>
      </c>
      <c r="D18" s="33">
        <v>43692</v>
      </c>
      <c r="E18" s="32">
        <v>197.25999450683594</v>
      </c>
      <c r="F18" s="32">
        <v>10.590000152587891</v>
      </c>
      <c r="G18" s="32">
        <v>0</v>
      </c>
    </row>
    <row r="19" spans="1:7" x14ac:dyDescent="0.25">
      <c r="A19" t="str">
        <f t="shared" si="0"/>
        <v>D26C43692</v>
      </c>
      <c r="B19" s="31" t="s">
        <v>218</v>
      </c>
      <c r="C19" s="31" t="s">
        <v>217</v>
      </c>
      <c r="D19" s="33">
        <v>43692</v>
      </c>
      <c r="E19" s="32">
        <v>120.95999908447266</v>
      </c>
      <c r="F19" s="32">
        <v>9.8500003814697266</v>
      </c>
      <c r="G19" s="32">
        <v>0</v>
      </c>
    </row>
    <row r="20" spans="1:7" x14ac:dyDescent="0.25">
      <c r="A20" t="str">
        <f t="shared" si="0"/>
        <v>D27A43684</v>
      </c>
      <c r="B20" s="31" t="s">
        <v>220</v>
      </c>
      <c r="C20" s="31" t="s">
        <v>219</v>
      </c>
      <c r="D20" s="33">
        <v>43684</v>
      </c>
      <c r="E20" s="32">
        <v>75.899803161621094</v>
      </c>
      <c r="F20" s="32">
        <v>3.6579000949859619</v>
      </c>
      <c r="G20" s="32">
        <v>20.885540008544922</v>
      </c>
    </row>
    <row r="21" spans="1:7" x14ac:dyDescent="0.25">
      <c r="A21" t="str">
        <f t="shared" si="0"/>
        <v>D27B43684</v>
      </c>
      <c r="B21" s="31" t="s">
        <v>222</v>
      </c>
      <c r="C21" s="31" t="s">
        <v>221</v>
      </c>
      <c r="D21" s="33">
        <v>43684</v>
      </c>
      <c r="E21" s="32">
        <v>92.349998474121094</v>
      </c>
      <c r="F21" s="32">
        <v>5.3899998664855957</v>
      </c>
      <c r="G21" s="32">
        <v>0</v>
      </c>
    </row>
    <row r="22" spans="1:7" x14ac:dyDescent="0.25">
      <c r="A22" t="str">
        <f t="shared" si="0"/>
        <v>D27C43684</v>
      </c>
      <c r="B22" s="31" t="s">
        <v>224</v>
      </c>
      <c r="C22" s="31" t="s">
        <v>223</v>
      </c>
      <c r="D22" s="33">
        <v>43684</v>
      </c>
      <c r="E22" s="32">
        <v>83.012901306152344</v>
      </c>
      <c r="F22" s="32">
        <v>6.246300220489502</v>
      </c>
      <c r="G22" s="32">
        <v>66.353721618652344</v>
      </c>
    </row>
    <row r="23" spans="1:7" x14ac:dyDescent="0.25">
      <c r="A23" t="str">
        <f t="shared" si="0"/>
        <v>D30A43696</v>
      </c>
      <c r="B23" s="31" t="s">
        <v>226</v>
      </c>
      <c r="C23" s="31" t="s">
        <v>225</v>
      </c>
      <c r="D23" s="33">
        <v>43696</v>
      </c>
      <c r="E23" s="32">
        <v>95.089996337890625</v>
      </c>
      <c r="F23" s="32">
        <v>8.0500001907348633</v>
      </c>
      <c r="G23" s="32">
        <v>0</v>
      </c>
    </row>
    <row r="24" spans="1:7" x14ac:dyDescent="0.25">
      <c r="A24" t="str">
        <f t="shared" si="0"/>
        <v>D30B43696</v>
      </c>
      <c r="B24" s="31" t="s">
        <v>228</v>
      </c>
      <c r="C24" s="31" t="s">
        <v>227</v>
      </c>
      <c r="D24" s="33">
        <v>43696</v>
      </c>
      <c r="E24" s="32">
        <v>201.19000244140625</v>
      </c>
      <c r="F24" s="32">
        <v>75.449996948242188</v>
      </c>
      <c r="G24" s="32">
        <v>143.097900390625</v>
      </c>
    </row>
    <row r="25" spans="1:7" x14ac:dyDescent="0.25">
      <c r="A25" t="str">
        <f t="shared" si="0"/>
        <v>D31A43696</v>
      </c>
      <c r="B25" s="31" t="s">
        <v>229</v>
      </c>
      <c r="C25" s="31" t="s">
        <v>122</v>
      </c>
      <c r="D25" s="33">
        <v>43696</v>
      </c>
      <c r="E25" s="32">
        <v>605.05999755859375</v>
      </c>
      <c r="F25" s="32">
        <v>187.80000305175781</v>
      </c>
      <c r="G25" s="32">
        <v>1850.987060546875</v>
      </c>
    </row>
    <row r="26" spans="1:7" x14ac:dyDescent="0.25">
      <c r="A26" t="str">
        <f t="shared" si="0"/>
        <v>D31A43649</v>
      </c>
      <c r="B26" s="31" t="s">
        <v>230</v>
      </c>
      <c r="C26" s="31" t="s">
        <v>122</v>
      </c>
      <c r="D26" s="33">
        <v>43649</v>
      </c>
      <c r="E26" s="32">
        <v>459.40850830078125</v>
      </c>
      <c r="F26" s="32">
        <v>133.87969970703125</v>
      </c>
      <c r="G26" s="32">
        <v>3883.14892578125</v>
      </c>
    </row>
    <row r="27" spans="1:7" x14ac:dyDescent="0.25">
      <c r="A27" t="str">
        <f t="shared" si="0"/>
        <v>D31B43696</v>
      </c>
      <c r="B27" s="31" t="s">
        <v>231</v>
      </c>
      <c r="C27" s="31" t="s">
        <v>113</v>
      </c>
      <c r="D27" s="33">
        <v>43696</v>
      </c>
      <c r="E27" s="32">
        <v>374.64999389648438</v>
      </c>
      <c r="F27" s="32">
        <v>86.480003356933594</v>
      </c>
      <c r="G27" s="32">
        <v>954.82177734375</v>
      </c>
    </row>
    <row r="28" spans="1:7" x14ac:dyDescent="0.25">
      <c r="A28" t="str">
        <f t="shared" si="0"/>
        <v>D31B43648</v>
      </c>
      <c r="B28" s="31" t="s">
        <v>232</v>
      </c>
      <c r="C28" s="31" t="s">
        <v>113</v>
      </c>
      <c r="D28" s="33">
        <v>43648</v>
      </c>
      <c r="E28" s="32">
        <v>303.3599853515625</v>
      </c>
      <c r="F28" s="32">
        <v>61.740001678466797</v>
      </c>
      <c r="G28" s="32">
        <v>747.161376953125</v>
      </c>
    </row>
    <row r="29" spans="1:7" x14ac:dyDescent="0.25">
      <c r="A29" t="str">
        <f t="shared" si="0"/>
        <v>D31C43648</v>
      </c>
      <c r="B29" s="31" t="s">
        <v>233</v>
      </c>
      <c r="C29" s="31" t="s">
        <v>118</v>
      </c>
      <c r="D29" s="33">
        <v>43648</v>
      </c>
      <c r="E29" s="32">
        <v>288.49261474609375</v>
      </c>
      <c r="F29" s="32">
        <v>15.010700225830078</v>
      </c>
      <c r="G29" s="32">
        <v>33.440471649169922</v>
      </c>
    </row>
    <row r="30" spans="1:7" x14ac:dyDescent="0.25">
      <c r="A30" t="str">
        <f t="shared" si="0"/>
        <v>D3643689</v>
      </c>
      <c r="B30" s="31" t="s">
        <v>235</v>
      </c>
      <c r="C30" s="31" t="s">
        <v>234</v>
      </c>
      <c r="D30" s="33">
        <v>43689</v>
      </c>
      <c r="E30" s="32">
        <v>247.21000671386719</v>
      </c>
      <c r="F30" s="32">
        <v>10.470000267028809</v>
      </c>
      <c r="G30" s="32">
        <v>761.81842041015625</v>
      </c>
    </row>
    <row r="31" spans="1:7" x14ac:dyDescent="0.25">
      <c r="A31" t="str">
        <f t="shared" si="0"/>
        <v>D44A43699</v>
      </c>
      <c r="B31" s="31" t="s">
        <v>239</v>
      </c>
      <c r="C31" s="31" t="s">
        <v>238</v>
      </c>
      <c r="D31" s="33">
        <v>43699</v>
      </c>
      <c r="E31" s="32">
        <v>154.33999633789063</v>
      </c>
      <c r="F31" s="32">
        <v>3.0699999332427979</v>
      </c>
      <c r="G31" s="32">
        <v>7.7146000862121582</v>
      </c>
    </row>
    <row r="32" spans="1:7" x14ac:dyDescent="0.25">
      <c r="A32" t="str">
        <f t="shared" si="0"/>
        <v>D44B43699</v>
      </c>
      <c r="B32" s="31" t="s">
        <v>240</v>
      </c>
      <c r="C32" s="31" t="s">
        <v>133</v>
      </c>
      <c r="D32" s="33">
        <v>43699</v>
      </c>
      <c r="E32" s="32">
        <v>187.00999450683594</v>
      </c>
      <c r="F32" s="32">
        <v>8.3299999237060547</v>
      </c>
      <c r="G32" s="32">
        <v>177.95140075683594</v>
      </c>
    </row>
    <row r="33" spans="1:7" x14ac:dyDescent="0.25">
      <c r="A33" t="str">
        <f t="shared" si="0"/>
        <v>D44B43654</v>
      </c>
      <c r="B33" s="31" t="s">
        <v>241</v>
      </c>
      <c r="C33" s="31" t="s">
        <v>133</v>
      </c>
      <c r="D33" s="33">
        <v>43654</v>
      </c>
      <c r="E33" s="32">
        <v>143.42449951171875</v>
      </c>
      <c r="F33" s="32">
        <v>6.4724001884460449</v>
      </c>
      <c r="G33" s="32">
        <v>189.93170166015625</v>
      </c>
    </row>
    <row r="34" spans="1:7" x14ac:dyDescent="0.25">
      <c r="A34" t="str">
        <f t="shared" si="0"/>
        <v>D45A43683</v>
      </c>
      <c r="B34" s="31" t="s">
        <v>243</v>
      </c>
      <c r="C34" s="31" t="s">
        <v>242</v>
      </c>
      <c r="D34" s="33">
        <v>43683</v>
      </c>
      <c r="E34" s="32">
        <v>376.85589599609375</v>
      </c>
      <c r="F34" s="32">
        <v>18.996000289916992</v>
      </c>
      <c r="G34" s="32">
        <v>151.41990661621094</v>
      </c>
    </row>
    <row r="35" spans="1:7" x14ac:dyDescent="0.25">
      <c r="A35" t="str">
        <f t="shared" si="0"/>
        <v>D45B43683</v>
      </c>
      <c r="B35" s="31" t="s">
        <v>245</v>
      </c>
      <c r="C35" s="31" t="s">
        <v>244</v>
      </c>
      <c r="D35" s="33">
        <v>43683</v>
      </c>
      <c r="E35" s="32">
        <v>130.02000427246094</v>
      </c>
      <c r="F35" s="32">
        <v>10.720000267028809</v>
      </c>
      <c r="G35" s="32">
        <v>0</v>
      </c>
    </row>
    <row r="36" spans="1:7" x14ac:dyDescent="0.25">
      <c r="A36" t="str">
        <f t="shared" si="0"/>
        <v>D45D43683</v>
      </c>
      <c r="B36" s="31" t="s">
        <v>247</v>
      </c>
      <c r="C36" s="31" t="s">
        <v>246</v>
      </c>
      <c r="D36" s="33">
        <v>43683</v>
      </c>
      <c r="E36" s="32">
        <v>347.70999145507813</v>
      </c>
      <c r="F36" s="32">
        <v>17.829999923706055</v>
      </c>
      <c r="G36" s="32">
        <v>471.32809448242188</v>
      </c>
    </row>
    <row r="37" spans="1:7" x14ac:dyDescent="0.25">
      <c r="A37" t="str">
        <f t="shared" si="0"/>
        <v>D48A43668</v>
      </c>
      <c r="B37" s="31" t="s">
        <v>249</v>
      </c>
      <c r="C37" s="31" t="s">
        <v>248</v>
      </c>
      <c r="D37" s="33">
        <v>43668</v>
      </c>
      <c r="E37" s="32">
        <v>326.36260986328125</v>
      </c>
      <c r="F37" s="32">
        <v>9.7649002075195313</v>
      </c>
      <c r="G37" s="32">
        <v>328.18881225585938</v>
      </c>
    </row>
    <row r="38" spans="1:7" x14ac:dyDescent="0.25">
      <c r="A38" t="str">
        <f t="shared" si="0"/>
        <v>D48N43668</v>
      </c>
      <c r="B38" s="31" t="s">
        <v>251</v>
      </c>
      <c r="C38" s="31" t="s">
        <v>473</v>
      </c>
      <c r="D38" s="33">
        <v>43668</v>
      </c>
      <c r="E38" s="32">
        <v>193.51710510253906</v>
      </c>
      <c r="F38" s="32">
        <v>6.2115001678466797</v>
      </c>
      <c r="G38" s="32">
        <v>273.72808837890625</v>
      </c>
    </row>
    <row r="39" spans="1:7" x14ac:dyDescent="0.25">
      <c r="A39" t="str">
        <f t="shared" si="0"/>
        <v>D4943668</v>
      </c>
      <c r="B39" s="31" t="s">
        <v>253</v>
      </c>
      <c r="C39" s="31" t="s">
        <v>252</v>
      </c>
      <c r="D39" s="33">
        <v>43668</v>
      </c>
      <c r="E39" s="32">
        <v>181.49490356445313</v>
      </c>
      <c r="F39" s="32">
        <v>9.6603002548217773</v>
      </c>
      <c r="G39" s="32">
        <v>1.9153820276260376</v>
      </c>
    </row>
    <row r="40" spans="1:7" x14ac:dyDescent="0.25">
      <c r="A40" t="str">
        <f t="shared" si="0"/>
        <v>D4A43672</v>
      </c>
      <c r="B40" s="31" t="s">
        <v>255</v>
      </c>
      <c r="C40" s="31" t="s">
        <v>254</v>
      </c>
      <c r="D40" s="33">
        <v>43672</v>
      </c>
      <c r="E40" s="32">
        <v>134.80859375</v>
      </c>
      <c r="F40" s="32">
        <v>5.2379999160766602</v>
      </c>
      <c r="G40" s="32">
        <v>4.8409309387207031</v>
      </c>
    </row>
    <row r="41" spans="1:7" x14ac:dyDescent="0.25">
      <c r="A41" t="str">
        <f t="shared" si="0"/>
        <v>D4C43672</v>
      </c>
      <c r="B41" s="31" t="s">
        <v>257</v>
      </c>
      <c r="C41" s="31" t="s">
        <v>256</v>
      </c>
      <c r="D41" s="33">
        <v>43672</v>
      </c>
      <c r="E41" s="32">
        <v>138.6156005859375</v>
      </c>
      <c r="F41" s="32">
        <v>12.559700012207031</v>
      </c>
      <c r="G41" s="32">
        <v>5.8904561996459961</v>
      </c>
    </row>
    <row r="42" spans="1:7" x14ac:dyDescent="0.25">
      <c r="A42" t="str">
        <f t="shared" si="0"/>
        <v>D4D43671</v>
      </c>
      <c r="B42" s="31" t="s">
        <v>259</v>
      </c>
      <c r="C42" s="31" t="s">
        <v>258</v>
      </c>
      <c r="D42" s="33">
        <v>43671</v>
      </c>
      <c r="E42" s="32">
        <v>98.84210205078125</v>
      </c>
      <c r="F42" s="32">
        <v>4.8036999702453613</v>
      </c>
      <c r="G42" s="32">
        <v>4.1849780082702637</v>
      </c>
    </row>
    <row r="43" spans="1:7" x14ac:dyDescent="0.25">
      <c r="A43" t="str">
        <f t="shared" si="0"/>
        <v>D4E43671</v>
      </c>
      <c r="B43" s="31" t="s">
        <v>261</v>
      </c>
      <c r="C43" s="31" t="s">
        <v>260</v>
      </c>
      <c r="D43" s="33">
        <v>43671</v>
      </c>
      <c r="E43" s="32">
        <v>229.80999755859375</v>
      </c>
      <c r="F43" s="32">
        <v>26.420000076293945</v>
      </c>
      <c r="G43" s="32">
        <v>0.38589999079704285</v>
      </c>
    </row>
    <row r="44" spans="1:7" x14ac:dyDescent="0.25">
      <c r="A44" t="str">
        <f t="shared" si="0"/>
        <v>D4G43671</v>
      </c>
      <c r="B44" s="31" t="s">
        <v>263</v>
      </c>
      <c r="C44" s="31" t="s">
        <v>262</v>
      </c>
      <c r="D44" s="33">
        <v>43671</v>
      </c>
      <c r="E44" s="32">
        <v>298.58999633789063</v>
      </c>
      <c r="F44" s="32">
        <v>15.310000419616699</v>
      </c>
      <c r="G44" s="32">
        <v>0</v>
      </c>
    </row>
    <row r="45" spans="1:7" x14ac:dyDescent="0.25">
      <c r="A45" t="str">
        <f t="shared" si="0"/>
        <v>D4H43686</v>
      </c>
      <c r="B45" s="31" t="s">
        <v>265</v>
      </c>
      <c r="C45" s="31" t="s">
        <v>264</v>
      </c>
      <c r="D45" s="33">
        <v>43686</v>
      </c>
      <c r="E45" s="32">
        <v>130.74000549316406</v>
      </c>
      <c r="F45" s="32">
        <v>5.679999828338623</v>
      </c>
      <c r="G45" s="32">
        <v>0</v>
      </c>
    </row>
    <row r="46" spans="1:7" x14ac:dyDescent="0.25">
      <c r="A46" t="str">
        <f t="shared" si="0"/>
        <v>D543643</v>
      </c>
      <c r="B46" s="31" t="s">
        <v>267</v>
      </c>
      <c r="C46" s="31" t="s">
        <v>106</v>
      </c>
      <c r="D46" s="33">
        <v>43643</v>
      </c>
      <c r="E46" s="32">
        <v>183.07000732421875</v>
      </c>
      <c r="F46" s="32">
        <v>15.180000305175781</v>
      </c>
      <c r="G46" s="32">
        <v>1615.68603515625</v>
      </c>
    </row>
    <row r="47" spans="1:7" x14ac:dyDescent="0.25">
      <c r="A47" t="str">
        <f t="shared" si="0"/>
        <v>D543703</v>
      </c>
      <c r="B47" s="31" t="s">
        <v>266</v>
      </c>
      <c r="C47" s="31" t="s">
        <v>106</v>
      </c>
      <c r="D47" s="33">
        <v>43703</v>
      </c>
      <c r="E47" s="32">
        <v>218.96000671386719</v>
      </c>
      <c r="F47" s="32">
        <v>20.180000305175781</v>
      </c>
      <c r="G47" s="32">
        <v>1430.001953125</v>
      </c>
    </row>
    <row r="48" spans="1:7" x14ac:dyDescent="0.25">
      <c r="A48" t="str">
        <f t="shared" si="0"/>
        <v>D5143668</v>
      </c>
      <c r="B48" s="31" t="s">
        <v>269</v>
      </c>
      <c r="C48" s="31" t="s">
        <v>268</v>
      </c>
      <c r="D48" s="33">
        <v>43668</v>
      </c>
      <c r="E48" s="32">
        <v>372.44781494140625</v>
      </c>
      <c r="F48" s="32">
        <v>7.6559000015258789</v>
      </c>
      <c r="G48" s="32">
        <v>434.58319091796875</v>
      </c>
    </row>
    <row r="49" spans="1:7" x14ac:dyDescent="0.25">
      <c r="A49" t="str">
        <f t="shared" si="0"/>
        <v>D5243636</v>
      </c>
      <c r="B49" s="31" t="s">
        <v>271</v>
      </c>
      <c r="C49" s="31" t="s">
        <v>89</v>
      </c>
      <c r="D49" s="33">
        <v>43636</v>
      </c>
      <c r="E49" s="32">
        <v>294.89999389648438</v>
      </c>
      <c r="F49" s="32">
        <v>20.860000610351563</v>
      </c>
      <c r="G49" s="32">
        <v>321.17010498046875</v>
      </c>
    </row>
    <row r="50" spans="1:7" x14ac:dyDescent="0.25">
      <c r="A50" t="str">
        <f t="shared" si="0"/>
        <v>D5243669</v>
      </c>
      <c r="B50" s="31" t="s">
        <v>270</v>
      </c>
      <c r="C50" s="31" t="s">
        <v>89</v>
      </c>
      <c r="D50" s="33">
        <v>43669</v>
      </c>
      <c r="E50" s="32">
        <v>282.98251342773438</v>
      </c>
      <c r="F50" s="32">
        <v>14.292400360107422</v>
      </c>
      <c r="G50" s="32">
        <v>267.53228759765625</v>
      </c>
    </row>
    <row r="51" spans="1:7" x14ac:dyDescent="0.25">
      <c r="A51" t="str">
        <f t="shared" si="0"/>
        <v>D53A43669</v>
      </c>
      <c r="B51" s="31" t="s">
        <v>273</v>
      </c>
      <c r="C51" s="31" t="s">
        <v>272</v>
      </c>
      <c r="D51" s="33">
        <v>43669</v>
      </c>
      <c r="E51" s="32">
        <v>238.09950256347656</v>
      </c>
      <c r="F51" s="32">
        <v>5.6203999519348145</v>
      </c>
      <c r="G51" s="32">
        <v>252.16400146484375</v>
      </c>
    </row>
    <row r="52" spans="1:7" x14ac:dyDescent="0.25">
      <c r="A52" t="str">
        <f t="shared" si="0"/>
        <v>D54A43669</v>
      </c>
      <c r="B52" s="31" t="s">
        <v>275</v>
      </c>
      <c r="C52" s="31" t="s">
        <v>274</v>
      </c>
      <c r="D52" s="33">
        <v>43669</v>
      </c>
      <c r="E52" s="32">
        <v>378.70999145507813</v>
      </c>
      <c r="F52" s="32">
        <v>5.9699997901916504</v>
      </c>
      <c r="G52" s="32">
        <v>312.80841064453125</v>
      </c>
    </row>
    <row r="53" spans="1:7" x14ac:dyDescent="0.25">
      <c r="A53" t="str">
        <f t="shared" si="0"/>
        <v>D54B43668</v>
      </c>
      <c r="B53" s="31" t="s">
        <v>277</v>
      </c>
      <c r="C53" s="31" t="s">
        <v>276</v>
      </c>
      <c r="D53" s="33">
        <v>43668</v>
      </c>
      <c r="E53" s="32">
        <v>224.67469787597656</v>
      </c>
      <c r="F53" s="32">
        <v>12.0177001953125</v>
      </c>
      <c r="G53" s="32">
        <v>89.7386474609375</v>
      </c>
    </row>
    <row r="54" spans="1:7" x14ac:dyDescent="0.25">
      <c r="A54" t="str">
        <f t="shared" si="0"/>
        <v>D55B43669</v>
      </c>
      <c r="B54" s="31" t="s">
        <v>279</v>
      </c>
      <c r="C54" s="31" t="s">
        <v>278</v>
      </c>
      <c r="D54" s="33">
        <v>43669</v>
      </c>
      <c r="E54" s="32">
        <v>129.66000366210938</v>
      </c>
      <c r="F54" s="32">
        <v>4.1700000762939453</v>
      </c>
      <c r="G54" s="32">
        <v>1.7999999690800905E-3</v>
      </c>
    </row>
    <row r="55" spans="1:7" x14ac:dyDescent="0.25">
      <c r="A55" t="str">
        <f t="shared" si="0"/>
        <v>D56A43635</v>
      </c>
      <c r="B55" s="31" t="s">
        <v>281</v>
      </c>
      <c r="C55" s="31" t="s">
        <v>82</v>
      </c>
      <c r="D55" s="33">
        <v>43635</v>
      </c>
      <c r="E55" s="32">
        <v>213.47000122070313</v>
      </c>
      <c r="F55" s="32">
        <v>102</v>
      </c>
      <c r="G55" s="32">
        <v>1510.699951171875</v>
      </c>
    </row>
    <row r="56" spans="1:7" x14ac:dyDescent="0.25">
      <c r="A56" t="str">
        <f t="shared" si="0"/>
        <v>D56A43678</v>
      </c>
      <c r="B56" s="31" t="s">
        <v>280</v>
      </c>
      <c r="C56" s="31" t="s">
        <v>82</v>
      </c>
      <c r="D56" s="33">
        <v>43678</v>
      </c>
      <c r="E56" s="32">
        <v>191.21279907226563</v>
      </c>
      <c r="F56" s="32">
        <v>109.41719818115234</v>
      </c>
      <c r="G56" s="32">
        <v>1766.2989501953125</v>
      </c>
    </row>
    <row r="57" spans="1:7" x14ac:dyDescent="0.25">
      <c r="A57" t="str">
        <f t="shared" si="0"/>
        <v>D56B43678</v>
      </c>
      <c r="B57" s="31" t="s">
        <v>283</v>
      </c>
      <c r="C57" s="31" t="s">
        <v>282</v>
      </c>
      <c r="D57" s="33">
        <v>43678</v>
      </c>
      <c r="E57" s="32">
        <v>219.76559448242188</v>
      </c>
      <c r="F57" s="32">
        <v>52.133098602294922</v>
      </c>
      <c r="G57" s="32">
        <v>1524.4029541015625</v>
      </c>
    </row>
    <row r="58" spans="1:7" x14ac:dyDescent="0.25">
      <c r="A58" t="str">
        <f t="shared" si="0"/>
        <v>D56C43635</v>
      </c>
      <c r="B58" s="31" t="s">
        <v>285</v>
      </c>
      <c r="C58" s="31" t="s">
        <v>86</v>
      </c>
      <c r="D58" s="33">
        <v>43635</v>
      </c>
      <c r="E58" s="32">
        <v>229.80999755859375</v>
      </c>
      <c r="F58" s="32">
        <v>8.9799995422363281</v>
      </c>
      <c r="G58" s="32">
        <v>318.698486328125</v>
      </c>
    </row>
    <row r="59" spans="1:7" x14ac:dyDescent="0.25">
      <c r="A59" t="str">
        <f t="shared" si="0"/>
        <v>D56C43678</v>
      </c>
      <c r="B59" s="31" t="s">
        <v>284</v>
      </c>
      <c r="C59" s="31" t="s">
        <v>86</v>
      </c>
      <c r="D59" s="33">
        <v>43678</v>
      </c>
      <c r="E59" s="32">
        <v>224.77490234375</v>
      </c>
      <c r="F59" s="32">
        <v>10.777199745178223</v>
      </c>
      <c r="G59" s="32">
        <v>396.88650512695313</v>
      </c>
    </row>
    <row r="60" spans="1:7" x14ac:dyDescent="0.25">
      <c r="A60" t="str">
        <f t="shared" si="0"/>
        <v>D56D43661</v>
      </c>
      <c r="B60" s="31" t="s">
        <v>286</v>
      </c>
      <c r="C60" s="31" t="s">
        <v>146</v>
      </c>
      <c r="D60" s="33">
        <v>43661</v>
      </c>
      <c r="E60" s="32">
        <v>213.75450134277344</v>
      </c>
      <c r="F60" s="32">
        <v>12.052599906921387</v>
      </c>
      <c r="G60" s="32">
        <v>1079.7779541015625</v>
      </c>
    </row>
    <row r="61" spans="1:7" x14ac:dyDescent="0.25">
      <c r="A61" t="str">
        <f t="shared" si="0"/>
        <v>D57A43700</v>
      </c>
      <c r="B61" s="31" t="s">
        <v>287</v>
      </c>
      <c r="C61" s="31" t="s">
        <v>127</v>
      </c>
      <c r="D61" s="33">
        <v>43700</v>
      </c>
      <c r="E61" s="32">
        <v>93.900001525878906</v>
      </c>
      <c r="F61" s="32">
        <v>6.690000057220459</v>
      </c>
      <c r="G61" s="32">
        <v>0</v>
      </c>
    </row>
    <row r="62" spans="1:7" x14ac:dyDescent="0.25">
      <c r="A62" t="str">
        <f t="shared" si="0"/>
        <v>D57A43655</v>
      </c>
      <c r="B62" s="31" t="s">
        <v>455</v>
      </c>
      <c r="C62" s="31" t="s">
        <v>127</v>
      </c>
      <c r="D62" s="33">
        <v>43655</v>
      </c>
      <c r="E62" s="32">
        <v>70.389602661132813</v>
      </c>
      <c r="F62" s="32">
        <v>5.9854998588562012</v>
      </c>
      <c r="G62" s="32">
        <v>9.0783863067626953</v>
      </c>
    </row>
    <row r="63" spans="1:7" x14ac:dyDescent="0.25">
      <c r="A63" t="str">
        <f t="shared" si="0"/>
        <v>D57B43700</v>
      </c>
      <c r="B63" s="31" t="s">
        <v>289</v>
      </c>
      <c r="C63" s="31" t="s">
        <v>129</v>
      </c>
      <c r="D63" s="33">
        <v>43700</v>
      </c>
      <c r="E63" s="32">
        <v>267.72000122070313</v>
      </c>
      <c r="F63" s="32">
        <v>6.0799999237060547</v>
      </c>
      <c r="G63" s="32">
        <v>0</v>
      </c>
    </row>
    <row r="64" spans="1:7" x14ac:dyDescent="0.25">
      <c r="A64" t="str">
        <f t="shared" si="0"/>
        <v>D57B43655</v>
      </c>
      <c r="B64" s="31" t="s">
        <v>290</v>
      </c>
      <c r="C64" s="31" t="s">
        <v>129</v>
      </c>
      <c r="D64" s="33">
        <v>43655</v>
      </c>
      <c r="E64" s="32">
        <v>223.87319946289063</v>
      </c>
      <c r="F64" s="32">
        <v>6.5767998695373535</v>
      </c>
      <c r="G64" s="32">
        <v>94.86932373046875</v>
      </c>
    </row>
    <row r="65" spans="1:7" x14ac:dyDescent="0.25">
      <c r="A65" t="str">
        <f t="shared" si="0"/>
        <v>D57C43700</v>
      </c>
      <c r="B65" s="31" t="s">
        <v>292</v>
      </c>
      <c r="C65" s="31" t="s">
        <v>291</v>
      </c>
      <c r="D65" s="33">
        <v>43700</v>
      </c>
      <c r="E65" s="32">
        <v>141.22999572753906</v>
      </c>
      <c r="F65" s="32">
        <v>4.9600000381469727</v>
      </c>
      <c r="G65" s="32">
        <v>0</v>
      </c>
    </row>
    <row r="66" spans="1:7" x14ac:dyDescent="0.25">
      <c r="A66" t="str">
        <f t="shared" si="0"/>
        <v>D57D43700</v>
      </c>
      <c r="B66" s="31" t="s">
        <v>294</v>
      </c>
      <c r="C66" s="31" t="s">
        <v>293</v>
      </c>
      <c r="D66" s="33">
        <v>43700</v>
      </c>
      <c r="E66" s="32">
        <v>162.44999694824219</v>
      </c>
      <c r="F66" s="32">
        <v>12.189999580383301</v>
      </c>
      <c r="G66" s="32">
        <v>0</v>
      </c>
    </row>
    <row r="67" spans="1:7" x14ac:dyDescent="0.25">
      <c r="A67" t="str">
        <f t="shared" ref="A67:A130" si="1">C67&amp;D67</f>
        <v>D58A43699</v>
      </c>
      <c r="B67" s="31" t="s">
        <v>296</v>
      </c>
      <c r="C67" s="31" t="s">
        <v>295</v>
      </c>
      <c r="D67" s="33">
        <v>43699</v>
      </c>
      <c r="E67" s="32">
        <v>804.1500244140625</v>
      </c>
      <c r="F67" s="32">
        <v>45.290000915527344</v>
      </c>
      <c r="G67" s="32">
        <v>1558.48095703125</v>
      </c>
    </row>
    <row r="68" spans="1:7" x14ac:dyDescent="0.25">
      <c r="A68" t="str">
        <f t="shared" si="1"/>
        <v>D58B43699</v>
      </c>
      <c r="B68" s="31" t="s">
        <v>298</v>
      </c>
      <c r="C68" s="31" t="s">
        <v>297</v>
      </c>
      <c r="D68" s="33">
        <v>43699</v>
      </c>
      <c r="E68" s="32">
        <v>360.58999633789063</v>
      </c>
      <c r="F68" s="32">
        <v>18.930000305175781</v>
      </c>
      <c r="G68" s="32">
        <v>0</v>
      </c>
    </row>
    <row r="69" spans="1:7" x14ac:dyDescent="0.25">
      <c r="A69" t="str">
        <f t="shared" si="1"/>
        <v>D58C43699</v>
      </c>
      <c r="B69" s="31" t="s">
        <v>300</v>
      </c>
      <c r="C69" s="31" t="s">
        <v>299</v>
      </c>
      <c r="D69" s="33">
        <v>43699</v>
      </c>
      <c r="E69" s="32">
        <v>189.6300048828125</v>
      </c>
      <c r="F69" s="32">
        <v>11.319999694824219</v>
      </c>
      <c r="G69" s="32">
        <v>0</v>
      </c>
    </row>
    <row r="70" spans="1:7" x14ac:dyDescent="0.25">
      <c r="A70" t="str">
        <f t="shared" si="1"/>
        <v>D59A43700</v>
      </c>
      <c r="B70" s="31" t="s">
        <v>302</v>
      </c>
      <c r="C70" s="31" t="s">
        <v>301</v>
      </c>
      <c r="D70" s="33">
        <v>43700</v>
      </c>
      <c r="E70" s="32">
        <v>111.19000244140625</v>
      </c>
      <c r="F70" s="32">
        <v>10.869999885559082</v>
      </c>
      <c r="G70" s="32">
        <v>0</v>
      </c>
    </row>
    <row r="71" spans="1:7" x14ac:dyDescent="0.25">
      <c r="A71" t="str">
        <f t="shared" si="1"/>
        <v>D59B43700</v>
      </c>
      <c r="B71" s="31" t="s">
        <v>304</v>
      </c>
      <c r="C71" s="31" t="s">
        <v>303</v>
      </c>
      <c r="D71" s="33">
        <v>43700</v>
      </c>
      <c r="E71" s="32">
        <v>79.949996948242188</v>
      </c>
      <c r="F71" s="32">
        <v>8.9799995422363281</v>
      </c>
      <c r="G71" s="32">
        <v>0</v>
      </c>
    </row>
    <row r="72" spans="1:7" x14ac:dyDescent="0.25">
      <c r="A72" t="str">
        <f t="shared" si="1"/>
        <v>D59D43700</v>
      </c>
      <c r="B72" s="31" t="s">
        <v>306</v>
      </c>
      <c r="C72" s="31" t="s">
        <v>305</v>
      </c>
      <c r="D72" s="33">
        <v>43700</v>
      </c>
      <c r="E72" s="32">
        <v>359.3900146484375</v>
      </c>
      <c r="F72" s="32">
        <v>20.200000762939453</v>
      </c>
      <c r="G72" s="32">
        <v>0</v>
      </c>
    </row>
    <row r="73" spans="1:7" x14ac:dyDescent="0.25">
      <c r="A73" t="str">
        <f t="shared" si="1"/>
        <v>D60A43697</v>
      </c>
      <c r="B73" s="31" t="s">
        <v>308</v>
      </c>
      <c r="C73" s="31" t="s">
        <v>307</v>
      </c>
      <c r="D73" s="33">
        <v>43697</v>
      </c>
      <c r="E73" s="32">
        <v>90.080001831054688</v>
      </c>
      <c r="F73" s="32">
        <v>130.6300048828125</v>
      </c>
      <c r="G73" s="32">
        <v>0</v>
      </c>
    </row>
    <row r="74" spans="1:7" x14ac:dyDescent="0.25">
      <c r="A74" t="str">
        <f t="shared" si="1"/>
        <v>D60B43697</v>
      </c>
      <c r="B74" s="31" t="s">
        <v>310</v>
      </c>
      <c r="C74" s="31" t="s">
        <v>309</v>
      </c>
      <c r="D74" s="33">
        <v>43697</v>
      </c>
      <c r="E74" s="32">
        <v>105.94000244140625</v>
      </c>
      <c r="F74" s="32">
        <v>16.649999618530273</v>
      </c>
      <c r="G74" s="32">
        <v>0</v>
      </c>
    </row>
    <row r="75" spans="1:7" x14ac:dyDescent="0.25">
      <c r="A75" t="str">
        <f t="shared" si="1"/>
        <v>D60C43697</v>
      </c>
      <c r="B75" s="31" t="s">
        <v>312</v>
      </c>
      <c r="C75" s="31" t="s">
        <v>311</v>
      </c>
      <c r="D75" s="33">
        <v>43697</v>
      </c>
      <c r="E75" s="32">
        <v>992.030029296875</v>
      </c>
      <c r="F75" s="32">
        <v>43.650001525878906</v>
      </c>
      <c r="G75" s="32">
        <v>0</v>
      </c>
    </row>
    <row r="76" spans="1:7" x14ac:dyDescent="0.25">
      <c r="A76" t="str">
        <f t="shared" si="1"/>
        <v>D61A43676</v>
      </c>
      <c r="B76" s="31" t="s">
        <v>314</v>
      </c>
      <c r="C76" s="31" t="s">
        <v>313</v>
      </c>
      <c r="D76" s="33">
        <v>43676</v>
      </c>
      <c r="E76" s="32">
        <v>98.30999755859375</v>
      </c>
      <c r="F76" s="32">
        <v>22.079999923706055</v>
      </c>
      <c r="G76" s="32">
        <v>643.91851806640625</v>
      </c>
    </row>
    <row r="77" spans="1:7" x14ac:dyDescent="0.25">
      <c r="A77" t="str">
        <f t="shared" si="1"/>
        <v>D61B43641</v>
      </c>
      <c r="B77" s="31" t="s">
        <v>316</v>
      </c>
      <c r="C77" s="31" t="s">
        <v>103</v>
      </c>
      <c r="D77" s="33">
        <v>43641</v>
      </c>
      <c r="E77" s="32">
        <v>185.82000732421875</v>
      </c>
      <c r="F77" s="32">
        <v>115.48999786376953</v>
      </c>
      <c r="G77" s="32">
        <v>2968.762939453125</v>
      </c>
    </row>
    <row r="78" spans="1:7" x14ac:dyDescent="0.25">
      <c r="A78" t="str">
        <f t="shared" si="1"/>
        <v>D61B43676</v>
      </c>
      <c r="B78" s="31" t="s">
        <v>315</v>
      </c>
      <c r="C78" s="31" t="s">
        <v>103</v>
      </c>
      <c r="D78" s="33">
        <v>43676</v>
      </c>
      <c r="E78" s="32">
        <v>167.96989440917969</v>
      </c>
      <c r="F78" s="32">
        <v>111.53690338134766</v>
      </c>
      <c r="G78" s="32">
        <v>3342.0029296875</v>
      </c>
    </row>
    <row r="79" spans="1:7" x14ac:dyDescent="0.25">
      <c r="A79" t="str">
        <f t="shared" si="1"/>
        <v>D61C43676</v>
      </c>
      <c r="B79" s="31" t="s">
        <v>318</v>
      </c>
      <c r="C79" s="31" t="s">
        <v>317</v>
      </c>
      <c r="D79" s="33">
        <v>43676</v>
      </c>
      <c r="E79" s="32">
        <v>166.25999450683594</v>
      </c>
      <c r="F79" s="32">
        <v>15.560000419616699</v>
      </c>
      <c r="G79" s="32">
        <v>33.595401763916016</v>
      </c>
    </row>
    <row r="80" spans="1:7" x14ac:dyDescent="0.25">
      <c r="A80" t="str">
        <f t="shared" si="1"/>
        <v>D62B43678</v>
      </c>
      <c r="B80" s="31" t="s">
        <v>320</v>
      </c>
      <c r="C80" s="31" t="s">
        <v>319</v>
      </c>
      <c r="D80" s="33">
        <v>43678</v>
      </c>
      <c r="E80" s="32">
        <v>409.61648559570313</v>
      </c>
      <c r="F80" s="32">
        <v>18.310300827026367</v>
      </c>
      <c r="G80" s="32">
        <v>273.36370849609375</v>
      </c>
    </row>
    <row r="81" spans="1:7" x14ac:dyDescent="0.25">
      <c r="A81" t="str">
        <f t="shared" si="1"/>
        <v>D62C43678</v>
      </c>
      <c r="B81" s="31" t="s">
        <v>322</v>
      </c>
      <c r="C81" s="31" t="s">
        <v>321</v>
      </c>
      <c r="D81" s="33">
        <v>43678</v>
      </c>
      <c r="E81" s="32">
        <v>317.7467041015625</v>
      </c>
      <c r="F81" s="32">
        <v>11.895299911499023</v>
      </c>
      <c r="G81" s="32">
        <v>149.74940490722656</v>
      </c>
    </row>
    <row r="82" spans="1:7" x14ac:dyDescent="0.25">
      <c r="A82" t="str">
        <f t="shared" si="1"/>
        <v>D62E43678</v>
      </c>
      <c r="B82" s="31" t="s">
        <v>324</v>
      </c>
      <c r="C82" s="31" t="s">
        <v>323</v>
      </c>
      <c r="D82" s="33">
        <v>43678</v>
      </c>
      <c r="E82" s="32">
        <v>448.69000244140625</v>
      </c>
      <c r="F82" s="32">
        <v>355.44000244140625</v>
      </c>
      <c r="G82" s="32">
        <v>1631.0379638671875</v>
      </c>
    </row>
    <row r="83" spans="1:7" x14ac:dyDescent="0.25">
      <c r="A83" t="str">
        <f t="shared" si="1"/>
        <v>D63A43689</v>
      </c>
      <c r="B83" s="31" t="s">
        <v>326</v>
      </c>
      <c r="C83" s="31" t="s">
        <v>325</v>
      </c>
      <c r="D83" s="33">
        <v>43689</v>
      </c>
      <c r="E83" s="32">
        <v>402.30999755859375</v>
      </c>
      <c r="F83" s="32">
        <v>28.420000076293945</v>
      </c>
      <c r="G83" s="32">
        <v>1203.60498046875</v>
      </c>
    </row>
    <row r="84" spans="1:7" x14ac:dyDescent="0.25">
      <c r="A84" t="str">
        <f t="shared" si="1"/>
        <v>D63B43689</v>
      </c>
      <c r="B84" s="31" t="s">
        <v>470</v>
      </c>
      <c r="C84" s="31" t="s">
        <v>327</v>
      </c>
      <c r="D84" s="33">
        <v>43689</v>
      </c>
      <c r="E84" s="32">
        <v>303.1199951171875</v>
      </c>
      <c r="F84" s="32">
        <v>13.729999542236328</v>
      </c>
      <c r="G84" s="32">
        <v>0</v>
      </c>
    </row>
    <row r="85" spans="1:7" x14ac:dyDescent="0.25">
      <c r="A85" t="str">
        <f t="shared" si="1"/>
        <v>D64A43696</v>
      </c>
      <c r="B85" s="31" t="s">
        <v>330</v>
      </c>
      <c r="C85" s="31" t="s">
        <v>329</v>
      </c>
      <c r="D85" s="33">
        <v>43696</v>
      </c>
      <c r="E85" s="32">
        <v>141.22999572753906</v>
      </c>
      <c r="F85" s="32">
        <v>19.270000457763672</v>
      </c>
      <c r="G85" s="32">
        <v>0</v>
      </c>
    </row>
    <row r="86" spans="1:7" x14ac:dyDescent="0.25">
      <c r="A86" t="str">
        <f t="shared" si="1"/>
        <v>D64B43696</v>
      </c>
      <c r="B86" s="31" t="s">
        <v>332</v>
      </c>
      <c r="C86" s="31" t="s">
        <v>331</v>
      </c>
      <c r="D86" s="33">
        <v>43696</v>
      </c>
      <c r="E86" s="32">
        <v>98.790000915527344</v>
      </c>
      <c r="F86" s="32">
        <v>8.3299999237060547</v>
      </c>
      <c r="G86" s="32">
        <v>0</v>
      </c>
    </row>
    <row r="87" spans="1:7" x14ac:dyDescent="0.25">
      <c r="A87" t="str">
        <f t="shared" si="1"/>
        <v>D64C43696</v>
      </c>
      <c r="B87" s="31" t="s">
        <v>334</v>
      </c>
      <c r="C87" s="31" t="s">
        <v>333</v>
      </c>
      <c r="D87" s="33">
        <v>43696</v>
      </c>
      <c r="E87" s="32">
        <v>205.49000549316406</v>
      </c>
      <c r="F87" s="32">
        <v>14.039999961853027</v>
      </c>
      <c r="G87" s="32">
        <v>15.810799598693848</v>
      </c>
    </row>
    <row r="88" spans="1:7" x14ac:dyDescent="0.25">
      <c r="A88" t="str">
        <f t="shared" si="1"/>
        <v>D6543690</v>
      </c>
      <c r="B88" s="31" t="s">
        <v>335</v>
      </c>
      <c r="C88" s="31" t="s">
        <v>140</v>
      </c>
      <c r="D88" s="33">
        <v>43690</v>
      </c>
      <c r="E88" s="32">
        <v>148.74000549316406</v>
      </c>
      <c r="F88" s="32">
        <v>5.179999828338623</v>
      </c>
      <c r="G88" s="32">
        <v>0</v>
      </c>
    </row>
    <row r="89" spans="1:7" x14ac:dyDescent="0.25">
      <c r="A89" t="str">
        <f t="shared" si="1"/>
        <v>D6543658</v>
      </c>
      <c r="B89" s="31" t="s">
        <v>336</v>
      </c>
      <c r="C89" s="31" t="s">
        <v>140</v>
      </c>
      <c r="D89" s="33">
        <v>43658</v>
      </c>
      <c r="E89" s="32">
        <v>138.3699951171875</v>
      </c>
      <c r="F89" s="32">
        <v>6.9600000381469727</v>
      </c>
      <c r="G89" s="32">
        <v>3.5552999973297119</v>
      </c>
    </row>
    <row r="90" spans="1:7" x14ac:dyDescent="0.25">
      <c r="A90" t="str">
        <f t="shared" si="1"/>
        <v>D66A43679</v>
      </c>
      <c r="B90" s="31" t="s">
        <v>338</v>
      </c>
      <c r="C90" s="31" t="s">
        <v>337</v>
      </c>
      <c r="D90" s="33">
        <v>43679</v>
      </c>
      <c r="E90" s="32">
        <v>382.04998779296875</v>
      </c>
      <c r="F90" s="32">
        <v>32.299999237060547</v>
      </c>
      <c r="G90" s="32">
        <v>514.47808837890625</v>
      </c>
    </row>
    <row r="91" spans="1:7" x14ac:dyDescent="0.25">
      <c r="A91" t="str">
        <f t="shared" si="1"/>
        <v>D66B43679</v>
      </c>
      <c r="B91" s="31" t="s">
        <v>340</v>
      </c>
      <c r="C91" s="31" t="s">
        <v>339</v>
      </c>
      <c r="D91" s="33">
        <v>43679</v>
      </c>
      <c r="E91" s="32">
        <v>327.36441040039063</v>
      </c>
      <c r="F91" s="32">
        <v>49.983100891113281</v>
      </c>
      <c r="G91" s="32">
        <v>1262.4439697265625</v>
      </c>
    </row>
    <row r="92" spans="1:7" x14ac:dyDescent="0.25">
      <c r="A92" t="str">
        <f t="shared" si="1"/>
        <v>D66C43679</v>
      </c>
      <c r="B92" s="31" t="s">
        <v>342</v>
      </c>
      <c r="C92" s="31" t="s">
        <v>341</v>
      </c>
      <c r="D92" s="33">
        <v>43679</v>
      </c>
      <c r="E92" s="32">
        <v>191.30000305175781</v>
      </c>
      <c r="F92" s="32">
        <v>9.9099998474121094</v>
      </c>
      <c r="G92" s="32">
        <v>31.346000671386719</v>
      </c>
    </row>
    <row r="93" spans="1:7" x14ac:dyDescent="0.25">
      <c r="A93" t="str">
        <f t="shared" si="1"/>
        <v>D67A43684</v>
      </c>
      <c r="B93" s="31" t="s">
        <v>344</v>
      </c>
      <c r="C93" s="31" t="s">
        <v>343</v>
      </c>
      <c r="D93" s="33">
        <v>43684</v>
      </c>
      <c r="E93" s="32">
        <v>345.89871215820313</v>
      </c>
      <c r="F93" s="32">
        <v>21.214099884033203</v>
      </c>
      <c r="G93" s="32">
        <v>34.726139068603516</v>
      </c>
    </row>
    <row r="94" spans="1:7" x14ac:dyDescent="0.25">
      <c r="A94" t="str">
        <f t="shared" si="1"/>
        <v>D67B43684</v>
      </c>
      <c r="B94" s="31" t="s">
        <v>346</v>
      </c>
      <c r="C94" s="31" t="s">
        <v>345</v>
      </c>
      <c r="D94" s="33">
        <v>43684</v>
      </c>
      <c r="E94" s="32">
        <v>232.78970336914063</v>
      </c>
      <c r="F94" s="32">
        <v>24.672800064086914</v>
      </c>
      <c r="G94" s="32">
        <v>375.79510498046875</v>
      </c>
    </row>
    <row r="95" spans="1:7" x14ac:dyDescent="0.25">
      <c r="A95" t="str">
        <f t="shared" si="1"/>
        <v>D69A43693</v>
      </c>
      <c r="B95" s="31" t="s">
        <v>348</v>
      </c>
      <c r="C95" s="31" t="s">
        <v>347</v>
      </c>
      <c r="D95" s="33">
        <v>43693</v>
      </c>
      <c r="E95" s="32">
        <v>169.00999450683594</v>
      </c>
      <c r="F95" s="32">
        <v>18.139999389648438</v>
      </c>
      <c r="G95" s="32">
        <v>0</v>
      </c>
    </row>
    <row r="96" spans="1:7" x14ac:dyDescent="0.25">
      <c r="A96" t="str">
        <f t="shared" si="1"/>
        <v>D69B43693</v>
      </c>
      <c r="B96" s="31" t="s">
        <v>350</v>
      </c>
      <c r="C96" s="31" t="s">
        <v>349</v>
      </c>
      <c r="D96" s="33">
        <v>43693</v>
      </c>
      <c r="E96" s="32">
        <v>158.6300048828125</v>
      </c>
      <c r="F96" s="32">
        <v>8.2399997711181641</v>
      </c>
      <c r="G96" s="32">
        <v>180.69610595703125</v>
      </c>
    </row>
    <row r="97" spans="1:7" x14ac:dyDescent="0.25">
      <c r="A97" t="str">
        <f t="shared" si="1"/>
        <v>D69C43693</v>
      </c>
      <c r="B97" s="31" t="s">
        <v>352</v>
      </c>
      <c r="C97" s="31" t="s">
        <v>351</v>
      </c>
      <c r="D97" s="33">
        <v>43693</v>
      </c>
      <c r="E97" s="32">
        <v>144.44999694824219</v>
      </c>
      <c r="F97" s="32">
        <v>5.4699997901916504</v>
      </c>
      <c r="G97" s="32">
        <v>0</v>
      </c>
    </row>
    <row r="98" spans="1:7" x14ac:dyDescent="0.25">
      <c r="A98" t="str">
        <f t="shared" si="1"/>
        <v>D70A43693</v>
      </c>
      <c r="B98" s="31" t="s">
        <v>354</v>
      </c>
      <c r="C98" s="31" t="s">
        <v>353</v>
      </c>
      <c r="D98" s="33">
        <v>43693</v>
      </c>
      <c r="E98" s="32">
        <v>211.80000305175781</v>
      </c>
      <c r="F98" s="32">
        <v>15.720000267028809</v>
      </c>
      <c r="G98" s="32">
        <v>902.6676025390625</v>
      </c>
    </row>
    <row r="99" spans="1:7" x14ac:dyDescent="0.25">
      <c r="A99" t="str">
        <f t="shared" si="1"/>
        <v>D70B43693</v>
      </c>
      <c r="B99" s="31" t="s">
        <v>356</v>
      </c>
      <c r="C99" s="31" t="s">
        <v>355</v>
      </c>
      <c r="D99" s="33">
        <v>43693</v>
      </c>
      <c r="E99" s="32">
        <v>630.57000732421875</v>
      </c>
      <c r="F99" s="32">
        <v>30.819999694824219</v>
      </c>
      <c r="G99" s="32">
        <v>433.30419921875</v>
      </c>
    </row>
    <row r="100" spans="1:7" x14ac:dyDescent="0.25">
      <c r="A100" t="str">
        <f t="shared" si="1"/>
        <v>D70C43693</v>
      </c>
      <c r="B100" s="31" t="s">
        <v>358</v>
      </c>
      <c r="C100" s="31" t="s">
        <v>357</v>
      </c>
      <c r="D100" s="33">
        <v>43693</v>
      </c>
      <c r="E100" s="32">
        <v>316.82998657226563</v>
      </c>
      <c r="F100" s="32">
        <v>6.4800000190734863</v>
      </c>
      <c r="G100" s="32">
        <v>3.3938000202178955</v>
      </c>
    </row>
    <row r="101" spans="1:7" x14ac:dyDescent="0.25">
      <c r="A101" t="str">
        <f t="shared" si="1"/>
        <v>D74A43703</v>
      </c>
      <c r="B101" s="31" t="s">
        <v>360</v>
      </c>
      <c r="C101" s="31" t="s">
        <v>359</v>
      </c>
      <c r="D101" s="33">
        <v>43703</v>
      </c>
      <c r="E101" s="32">
        <v>212.03999328613281</v>
      </c>
      <c r="F101" s="32">
        <v>4.869999885559082</v>
      </c>
      <c r="G101" s="32">
        <v>0</v>
      </c>
    </row>
    <row r="102" spans="1:7" x14ac:dyDescent="0.25">
      <c r="A102" t="str">
        <f t="shared" si="1"/>
        <v>D74B43703</v>
      </c>
      <c r="B102" s="31" t="s">
        <v>362</v>
      </c>
      <c r="C102" s="31" t="s">
        <v>361</v>
      </c>
      <c r="D102" s="33">
        <v>43703</v>
      </c>
      <c r="E102" s="32">
        <v>206.67999267578125</v>
      </c>
      <c r="F102" s="32">
        <v>7.7699999809265137</v>
      </c>
      <c r="G102" s="32">
        <v>0</v>
      </c>
    </row>
    <row r="103" spans="1:7" x14ac:dyDescent="0.25">
      <c r="A103" t="str">
        <f t="shared" si="1"/>
        <v>D74C43703</v>
      </c>
      <c r="B103" s="31" t="s">
        <v>364</v>
      </c>
      <c r="C103" s="31" t="s">
        <v>363</v>
      </c>
      <c r="D103" s="33">
        <v>43703</v>
      </c>
      <c r="E103" s="32">
        <v>319.80999755859375</v>
      </c>
      <c r="F103" s="32">
        <v>8.5299997329711914</v>
      </c>
      <c r="G103" s="32">
        <v>1.7538000345230103</v>
      </c>
    </row>
    <row r="104" spans="1:7" x14ac:dyDescent="0.25">
      <c r="A104" t="str">
        <f t="shared" si="1"/>
        <v>D7543640</v>
      </c>
      <c r="B104" s="31" t="s">
        <v>366</v>
      </c>
      <c r="C104" s="31" t="s">
        <v>96</v>
      </c>
      <c r="D104" s="33">
        <v>43640</v>
      </c>
      <c r="E104" s="32">
        <v>141.58999633789063</v>
      </c>
      <c r="F104" s="32">
        <v>4.5300002098083496</v>
      </c>
      <c r="G104" s="32">
        <v>0.9878000020980835</v>
      </c>
    </row>
    <row r="105" spans="1:7" x14ac:dyDescent="0.25">
      <c r="A105" t="str">
        <f t="shared" si="1"/>
        <v>D7543686</v>
      </c>
      <c r="B105" s="31" t="s">
        <v>365</v>
      </c>
      <c r="C105" s="31" t="s">
        <v>96</v>
      </c>
      <c r="D105" s="33">
        <v>43686</v>
      </c>
      <c r="E105" s="32">
        <v>143.62489318847656</v>
      </c>
      <c r="F105" s="32">
        <v>3.1026999950408936</v>
      </c>
      <c r="G105" s="32">
        <v>4.0669069290161133</v>
      </c>
    </row>
    <row r="106" spans="1:7" x14ac:dyDescent="0.25">
      <c r="A106" t="str">
        <f t="shared" si="1"/>
        <v>D7643651</v>
      </c>
      <c r="B106" s="31" t="s">
        <v>367</v>
      </c>
      <c r="C106" s="31" t="s">
        <v>125</v>
      </c>
      <c r="D106" s="33">
        <v>43651</v>
      </c>
      <c r="E106" s="32">
        <v>95.449996948242188</v>
      </c>
      <c r="F106" s="32">
        <v>14.890000343322754</v>
      </c>
      <c r="G106" s="32">
        <v>256.71148681640625</v>
      </c>
    </row>
    <row r="107" spans="1:7" x14ac:dyDescent="0.25">
      <c r="A107" t="str">
        <f t="shared" si="1"/>
        <v>D7A43697</v>
      </c>
      <c r="B107" s="31" t="s">
        <v>369</v>
      </c>
      <c r="C107" s="31" t="s">
        <v>368</v>
      </c>
      <c r="D107" s="33">
        <v>43697</v>
      </c>
      <c r="E107" s="32">
        <v>192.97000122070313</v>
      </c>
      <c r="F107" s="32">
        <v>19.379999160766602</v>
      </c>
      <c r="G107" s="32">
        <v>297.05209350585938</v>
      </c>
    </row>
    <row r="108" spans="1:7" x14ac:dyDescent="0.25">
      <c r="A108" t="str">
        <f t="shared" si="1"/>
        <v>D7B43697</v>
      </c>
      <c r="B108" s="31" t="s">
        <v>371</v>
      </c>
      <c r="C108" s="31" t="s">
        <v>370</v>
      </c>
      <c r="D108" s="33">
        <v>43697</v>
      </c>
      <c r="E108" s="32">
        <v>93.180000305175781</v>
      </c>
      <c r="F108" s="32">
        <v>18.360000610351563</v>
      </c>
      <c r="G108" s="32">
        <v>96.535598754882813</v>
      </c>
    </row>
    <row r="109" spans="1:7" x14ac:dyDescent="0.25">
      <c r="A109" t="str">
        <f t="shared" si="1"/>
        <v>D7I43697</v>
      </c>
      <c r="B109" s="31" t="s">
        <v>373</v>
      </c>
      <c r="C109" s="31" t="s">
        <v>372</v>
      </c>
      <c r="D109" s="33">
        <v>43697</v>
      </c>
      <c r="E109" s="32">
        <v>410.54000854492188</v>
      </c>
      <c r="F109" s="32">
        <v>51.5</v>
      </c>
      <c r="G109" s="32">
        <v>208.65409851074219</v>
      </c>
    </row>
    <row r="110" spans="1:7" x14ac:dyDescent="0.25">
      <c r="A110" t="str">
        <f t="shared" si="1"/>
        <v>D8C43689</v>
      </c>
      <c r="B110" s="31" t="s">
        <v>375</v>
      </c>
      <c r="C110" s="31" t="s">
        <v>374</v>
      </c>
      <c r="D110" s="33">
        <v>43689</v>
      </c>
      <c r="E110" s="32">
        <v>271.41000366210938</v>
      </c>
      <c r="F110" s="32">
        <v>36.799999237060547</v>
      </c>
      <c r="G110" s="32">
        <v>0</v>
      </c>
    </row>
    <row r="111" spans="1:7" x14ac:dyDescent="0.25">
      <c r="A111" t="str">
        <f t="shared" si="1"/>
        <v>D8E43657</v>
      </c>
      <c r="B111" s="31" t="s">
        <v>376</v>
      </c>
      <c r="C111" s="31" t="s">
        <v>143</v>
      </c>
      <c r="D111" s="33">
        <v>43657</v>
      </c>
      <c r="E111" s="32">
        <v>123.48770141601563</v>
      </c>
      <c r="F111" s="32">
        <v>12.279899597167969</v>
      </c>
      <c r="G111" s="32">
        <v>264.10031127929688</v>
      </c>
    </row>
    <row r="112" spans="1:7" x14ac:dyDescent="0.25">
      <c r="A112" t="str">
        <f t="shared" si="1"/>
        <v>D8F43689</v>
      </c>
      <c r="B112" s="31" t="s">
        <v>378</v>
      </c>
      <c r="C112" s="31" t="s">
        <v>377</v>
      </c>
      <c r="D112" s="33">
        <v>43689</v>
      </c>
      <c r="E112" s="32">
        <v>448.20999145507813</v>
      </c>
      <c r="F112" s="32">
        <v>27.239999771118164</v>
      </c>
      <c r="G112" s="32">
        <v>0</v>
      </c>
    </row>
    <row r="113" spans="1:7" x14ac:dyDescent="0.25">
      <c r="A113" t="str">
        <f t="shared" si="1"/>
        <v>D8G43657</v>
      </c>
      <c r="B113" s="31" t="s">
        <v>380</v>
      </c>
      <c r="C113" s="31" t="s">
        <v>136</v>
      </c>
      <c r="D113" s="33">
        <v>43657</v>
      </c>
      <c r="E113" s="32">
        <v>382.46630859375</v>
      </c>
      <c r="F113" s="32">
        <v>6.0027999877929688</v>
      </c>
      <c r="G113" s="32">
        <v>151.90589904785156</v>
      </c>
    </row>
    <row r="114" spans="1:7" x14ac:dyDescent="0.25">
      <c r="A114" t="str">
        <f t="shared" si="1"/>
        <v>D8G43690</v>
      </c>
      <c r="B114" s="31" t="s">
        <v>379</v>
      </c>
      <c r="C114" s="31" t="s">
        <v>136</v>
      </c>
      <c r="D114" s="33">
        <v>43690</v>
      </c>
      <c r="E114" s="32">
        <v>424.44378662109375</v>
      </c>
      <c r="F114" s="32">
        <v>4.2305998802185059</v>
      </c>
      <c r="G114" s="32">
        <v>116.09719848632813</v>
      </c>
    </row>
    <row r="115" spans="1:7" x14ac:dyDescent="0.25">
      <c r="A115" t="str">
        <f t="shared" si="1"/>
        <v>W10E43644</v>
      </c>
      <c r="B115" s="31" t="s">
        <v>381</v>
      </c>
      <c r="C115" s="31" t="s">
        <v>111</v>
      </c>
      <c r="D115" s="33">
        <v>43644</v>
      </c>
      <c r="E115" s="32">
        <v>176.63999938964844</v>
      </c>
      <c r="F115" s="32">
        <v>48.049999237060547</v>
      </c>
      <c r="G115" s="32">
        <v>1288.833984375</v>
      </c>
    </row>
    <row r="116" spans="1:7" x14ac:dyDescent="0.25">
      <c r="A116" t="str">
        <f t="shared" si="1"/>
        <v>W14A43640</v>
      </c>
      <c r="B116" s="31" t="s">
        <v>382</v>
      </c>
      <c r="C116" s="31" t="s">
        <v>100</v>
      </c>
      <c r="D116" s="33">
        <v>43640</v>
      </c>
      <c r="E116" s="32">
        <v>376.32000732421875</v>
      </c>
      <c r="F116" s="32">
        <v>118.38999938964844</v>
      </c>
      <c r="G116" s="32">
        <v>1460.76904296875</v>
      </c>
    </row>
    <row r="117" spans="1:7" x14ac:dyDescent="0.25">
      <c r="A117" t="str">
        <f t="shared" si="1"/>
        <v>W2043636</v>
      </c>
      <c r="B117" s="31" t="s">
        <v>383</v>
      </c>
      <c r="C117" s="31" t="s">
        <v>94</v>
      </c>
      <c r="D117" s="33">
        <v>43636</v>
      </c>
      <c r="E117" s="32">
        <v>279.8800048828125</v>
      </c>
      <c r="F117" s="32">
        <v>16.920000076293945</v>
      </c>
      <c r="G117" s="32">
        <v>386.855712890625</v>
      </c>
    </row>
    <row r="118" spans="1:7" x14ac:dyDescent="0.25">
      <c r="A118" t="str">
        <f t="shared" si="1"/>
        <v>W31A43649</v>
      </c>
      <c r="B118" s="31" t="s">
        <v>384</v>
      </c>
      <c r="C118" s="31" t="s">
        <v>123</v>
      </c>
      <c r="D118" s="33">
        <v>43649</v>
      </c>
      <c r="E118" s="32">
        <v>433.36041259765625</v>
      </c>
      <c r="F118" s="32">
        <v>898.90899658203125</v>
      </c>
      <c r="G118" s="32">
        <v>1650.1600341796875</v>
      </c>
    </row>
    <row r="119" spans="1:7" x14ac:dyDescent="0.25">
      <c r="A119" t="str">
        <f t="shared" si="1"/>
        <v>W31B43648</v>
      </c>
      <c r="B119" s="31" t="s">
        <v>471</v>
      </c>
      <c r="C119" s="31" t="s">
        <v>116</v>
      </c>
      <c r="D119" s="33">
        <v>43648</v>
      </c>
      <c r="E119" s="32">
        <v>352.010009765625</v>
      </c>
      <c r="F119" s="32">
        <v>177.9342041015625</v>
      </c>
      <c r="G119" s="32">
        <v>3811.5419921875</v>
      </c>
    </row>
    <row r="120" spans="1:7" x14ac:dyDescent="0.25">
      <c r="A120" t="str">
        <f t="shared" si="1"/>
        <v>W31C43648</v>
      </c>
      <c r="B120" s="31" t="s">
        <v>386</v>
      </c>
      <c r="C120" s="31" t="s">
        <v>120</v>
      </c>
      <c r="D120" s="33">
        <v>43648</v>
      </c>
      <c r="E120" s="32">
        <v>373.33999633789063</v>
      </c>
      <c r="F120" s="32">
        <v>49.82</v>
      </c>
      <c r="G120" s="32">
        <v>213.07170104980469</v>
      </c>
    </row>
    <row r="121" spans="1:7" x14ac:dyDescent="0.25">
      <c r="A121" t="str">
        <f t="shared" si="1"/>
        <v>W44B43654</v>
      </c>
      <c r="B121" s="31" t="s">
        <v>387</v>
      </c>
      <c r="C121" s="31" t="s">
        <v>134</v>
      </c>
      <c r="D121" s="33">
        <v>43654</v>
      </c>
      <c r="E121" s="32">
        <v>217.86210632324219</v>
      </c>
      <c r="F121" s="32">
        <v>7.2381000518798828</v>
      </c>
      <c r="G121" s="32">
        <v>293.0447998046875</v>
      </c>
    </row>
    <row r="122" spans="1:7" x14ac:dyDescent="0.25">
      <c r="A122" t="str">
        <f t="shared" si="1"/>
        <v>W543643</v>
      </c>
      <c r="B122" s="31" t="s">
        <v>388</v>
      </c>
      <c r="C122" s="31" t="s">
        <v>107</v>
      </c>
      <c r="D122" s="33">
        <v>43643</v>
      </c>
      <c r="E122" s="32">
        <v>366.54998779296875</v>
      </c>
      <c r="F122" s="32">
        <v>8.4099998474121094</v>
      </c>
      <c r="G122" s="32">
        <v>233.99819946289063</v>
      </c>
    </row>
    <row r="123" spans="1:7" x14ac:dyDescent="0.25">
      <c r="A123" t="str">
        <f t="shared" si="1"/>
        <v>W5243636</v>
      </c>
      <c r="B123" s="31" t="s">
        <v>389</v>
      </c>
      <c r="C123" s="31" t="s">
        <v>91</v>
      </c>
      <c r="D123" s="33">
        <v>43636</v>
      </c>
      <c r="E123" s="32">
        <v>312.07000732421875</v>
      </c>
      <c r="F123" s="32">
        <v>18.930000305175781</v>
      </c>
      <c r="G123" s="32">
        <v>294.83261108398438</v>
      </c>
    </row>
    <row r="124" spans="1:7" x14ac:dyDescent="0.25">
      <c r="A124" t="str">
        <f t="shared" si="1"/>
        <v>W56A43635</v>
      </c>
      <c r="B124" s="31" t="s">
        <v>390</v>
      </c>
      <c r="C124" s="31" t="s">
        <v>85</v>
      </c>
      <c r="D124" s="33">
        <v>43635</v>
      </c>
      <c r="E124" s="32">
        <v>236.96000671386719</v>
      </c>
      <c r="F124" s="32">
        <v>141.30000305175781</v>
      </c>
      <c r="G124" s="32">
        <v>1587.35400390625</v>
      </c>
    </row>
    <row r="125" spans="1:7" x14ac:dyDescent="0.25">
      <c r="A125" t="str">
        <f t="shared" si="1"/>
        <v>W56C43635</v>
      </c>
      <c r="B125" s="31" t="s">
        <v>391</v>
      </c>
      <c r="C125" s="31" t="s">
        <v>87</v>
      </c>
      <c r="D125" s="33">
        <v>43635</v>
      </c>
      <c r="E125" s="32">
        <v>792.94000244140625</v>
      </c>
      <c r="F125" s="32">
        <v>123.72000122070313</v>
      </c>
      <c r="G125" s="32">
        <v>3336.43701171875</v>
      </c>
    </row>
    <row r="126" spans="1:7" x14ac:dyDescent="0.25">
      <c r="A126" t="str">
        <f t="shared" si="1"/>
        <v>W56D43661</v>
      </c>
      <c r="B126" s="31" t="s">
        <v>392</v>
      </c>
      <c r="C126" s="31" t="s">
        <v>149</v>
      </c>
      <c r="D126" s="33">
        <v>43661</v>
      </c>
      <c r="E126" s="32">
        <v>300.11410522460938</v>
      </c>
      <c r="F126" s="32">
        <v>122.85359954833984</v>
      </c>
      <c r="G126" s="32">
        <v>6686.666015625</v>
      </c>
    </row>
    <row r="127" spans="1:7" x14ac:dyDescent="0.25">
      <c r="A127" t="str">
        <f t="shared" si="1"/>
        <v>W57A43655</v>
      </c>
      <c r="B127" s="31" t="s">
        <v>472</v>
      </c>
      <c r="C127" s="31" t="s">
        <v>128</v>
      </c>
      <c r="D127" s="33">
        <v>43655</v>
      </c>
      <c r="E127" s="32">
        <v>76.701301574707031</v>
      </c>
      <c r="F127" s="32">
        <v>3.7967000007629395</v>
      </c>
      <c r="G127" s="32">
        <v>14.36536979675293</v>
      </c>
    </row>
    <row r="128" spans="1:7" x14ac:dyDescent="0.25">
      <c r="A128" t="str">
        <f t="shared" si="1"/>
        <v>W57B43655</v>
      </c>
      <c r="B128" s="31" t="s">
        <v>394</v>
      </c>
      <c r="C128" s="31" t="s">
        <v>131</v>
      </c>
      <c r="D128" s="33">
        <v>43655</v>
      </c>
      <c r="E128" s="32">
        <v>178.30000305175781</v>
      </c>
      <c r="F128" s="32">
        <v>4.8000001907348633</v>
      </c>
      <c r="G128" s="32">
        <v>0</v>
      </c>
    </row>
    <row r="129" spans="1:7" x14ac:dyDescent="0.25">
      <c r="A129" t="str">
        <f t="shared" si="1"/>
        <v>W61B43641</v>
      </c>
      <c r="B129" s="31" t="s">
        <v>395</v>
      </c>
      <c r="C129" s="31" t="s">
        <v>104</v>
      </c>
      <c r="D129" s="33">
        <v>43641</v>
      </c>
      <c r="E129" s="32">
        <v>215.25999450683594</v>
      </c>
      <c r="F129" s="32">
        <v>1146.7900390625</v>
      </c>
      <c r="G129" s="32">
        <v>1907.5340576171875</v>
      </c>
    </row>
    <row r="130" spans="1:7" x14ac:dyDescent="0.25">
      <c r="A130" t="str">
        <f t="shared" si="1"/>
        <v>W6543658</v>
      </c>
      <c r="B130" s="31" t="s">
        <v>396</v>
      </c>
      <c r="C130" s="31" t="s">
        <v>142</v>
      </c>
      <c r="D130" s="33">
        <v>43658</v>
      </c>
      <c r="E130" s="32">
        <v>428.15069580078125</v>
      </c>
      <c r="F130" s="32">
        <v>5.3422999382019043</v>
      </c>
      <c r="G130" s="32">
        <v>105.10250091552734</v>
      </c>
    </row>
    <row r="131" spans="1:7" x14ac:dyDescent="0.25">
      <c r="A131" t="str">
        <f t="shared" ref="A131:A134" si="2">C131&amp;D131</f>
        <v>W7543640</v>
      </c>
      <c r="B131" s="31" t="s">
        <v>397</v>
      </c>
      <c r="C131" s="31" t="s">
        <v>97</v>
      </c>
      <c r="D131" s="33">
        <v>43640</v>
      </c>
      <c r="E131" s="32">
        <v>267.1199951171875</v>
      </c>
      <c r="F131" s="32">
        <v>9.4399995803833008</v>
      </c>
      <c r="G131" s="32">
        <v>0</v>
      </c>
    </row>
    <row r="132" spans="1:7" x14ac:dyDescent="0.25">
      <c r="A132" t="str">
        <f t="shared" si="2"/>
        <v>W7643651</v>
      </c>
      <c r="B132" s="31" t="s">
        <v>398</v>
      </c>
      <c r="C132" s="31" t="s">
        <v>126</v>
      </c>
      <c r="D132" s="33">
        <v>43651</v>
      </c>
      <c r="E132" s="32">
        <v>290.010009765625</v>
      </c>
      <c r="F132" s="32">
        <v>6.68</v>
      </c>
      <c r="G132" s="32">
        <v>61.069301605224609</v>
      </c>
    </row>
    <row r="133" spans="1:7" x14ac:dyDescent="0.25">
      <c r="A133" t="str">
        <f t="shared" si="2"/>
        <v>W8E43657</v>
      </c>
      <c r="B133" s="31" t="s">
        <v>399</v>
      </c>
      <c r="C133" s="31" t="s">
        <v>144</v>
      </c>
      <c r="D133" s="33">
        <v>43657</v>
      </c>
      <c r="E133" s="32">
        <v>112.01999664306641</v>
      </c>
      <c r="F133" s="32">
        <v>3.8599998950958252</v>
      </c>
      <c r="G133" s="32">
        <v>226.23880004882813</v>
      </c>
    </row>
    <row r="134" spans="1:7" x14ac:dyDescent="0.25">
      <c r="A134" t="str">
        <f t="shared" si="2"/>
        <v>W8G43657</v>
      </c>
      <c r="B134" s="31" t="s">
        <v>400</v>
      </c>
      <c r="C134" s="31" t="s">
        <v>138</v>
      </c>
      <c r="D134" s="33">
        <v>43657</v>
      </c>
      <c r="E134" s="32">
        <v>128.49699401855469</v>
      </c>
      <c r="F134" s="32">
        <v>3.2934999465942383</v>
      </c>
      <c r="G134" s="32">
        <v>14.352250099182129</v>
      </c>
    </row>
  </sheetData>
  <autoFilter ref="C1:C134" xr:uid="{00000000-0009-0000-0000-000001000000}"/>
  <sortState xmlns:xlrd2="http://schemas.microsoft.com/office/spreadsheetml/2017/richdata2" ref="B2:G134">
    <sortCondition ref="C1:C1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4"/>
  <sheetViews>
    <sheetView workbookViewId="0">
      <selection activeCell="D63" sqref="D63"/>
    </sheetView>
  </sheetViews>
  <sheetFormatPr defaultColWidth="8.85546875" defaultRowHeight="15" x14ac:dyDescent="0.25"/>
  <cols>
    <col min="1" max="1" width="11" bestFit="1" customWidth="1"/>
    <col min="2" max="4" width="12.85546875" customWidth="1"/>
    <col min="5" max="7" width="20.85546875" customWidth="1"/>
    <col min="8" max="8" width="20.85546875" style="25" customWidth="1"/>
    <col min="9" max="9" width="20.85546875" customWidth="1"/>
    <col min="10" max="13" width="15.85546875" customWidth="1"/>
  </cols>
  <sheetData>
    <row r="1" spans="1:9" ht="15.75" thickBot="1" x14ac:dyDescent="0.3">
      <c r="A1" s="18" t="s">
        <v>1</v>
      </c>
      <c r="B1" s="18" t="s">
        <v>450</v>
      </c>
      <c r="C1" s="18" t="s">
        <v>0</v>
      </c>
      <c r="D1" s="18" t="s">
        <v>3</v>
      </c>
      <c r="E1" s="18" t="s">
        <v>451</v>
      </c>
      <c r="F1" s="18" t="s">
        <v>459</v>
      </c>
      <c r="G1" s="18" t="s">
        <v>452</v>
      </c>
      <c r="H1" s="24" t="s">
        <v>460</v>
      </c>
      <c r="I1" s="18" t="s">
        <v>453</v>
      </c>
    </row>
    <row r="2" spans="1:9" ht="15.75" thickTop="1" x14ac:dyDescent="0.25">
      <c r="A2" t="str">
        <f>C2&amp;D2</f>
        <v>D10A43703</v>
      </c>
      <c r="B2" t="s">
        <v>190</v>
      </c>
      <c r="C2" t="s">
        <v>189</v>
      </c>
      <c r="D2" s="9">
        <v>43703</v>
      </c>
      <c r="E2">
        <v>0.14000000000000001</v>
      </c>
      <c r="F2">
        <f>E2*1000</f>
        <v>140</v>
      </c>
      <c r="G2" s="23">
        <v>3.9100000000000003E-3</v>
      </c>
      <c r="H2" s="25">
        <f>G2*1000</f>
        <v>3.91</v>
      </c>
      <c r="I2">
        <v>8.98</v>
      </c>
    </row>
    <row r="3" spans="1:9" x14ac:dyDescent="0.25">
      <c r="A3" t="str">
        <f t="shared" ref="A3:A66" si="0">C3&amp;D3</f>
        <v>D10B43703</v>
      </c>
      <c r="B3" t="s">
        <v>192</v>
      </c>
      <c r="C3" t="s">
        <v>191</v>
      </c>
      <c r="D3" s="9">
        <v>43703</v>
      </c>
      <c r="E3">
        <v>0.05</v>
      </c>
      <c r="F3">
        <f t="shared" ref="F3:F66" si="1">E3*1000</f>
        <v>50</v>
      </c>
      <c r="G3" s="23">
        <v>4.0299999999999997E-3</v>
      </c>
      <c r="H3" s="25">
        <f t="shared" ref="H3:H66" si="2">G3*1000</f>
        <v>4.0299999999999994</v>
      </c>
      <c r="I3">
        <v>33.340000000000003</v>
      </c>
    </row>
    <row r="4" spans="1:9" x14ac:dyDescent="0.25">
      <c r="A4" t="str">
        <f t="shared" si="0"/>
        <v>D10C43703</v>
      </c>
      <c r="B4" t="s">
        <v>194</v>
      </c>
      <c r="C4" t="s">
        <v>193</v>
      </c>
      <c r="D4" s="9">
        <v>43703</v>
      </c>
      <c r="E4">
        <v>0.11</v>
      </c>
      <c r="F4">
        <f t="shared" si="1"/>
        <v>110</v>
      </c>
      <c r="G4" s="23">
        <v>2.7599999999999999E-3</v>
      </c>
      <c r="H4" s="25">
        <f t="shared" si="2"/>
        <v>2.76</v>
      </c>
      <c r="I4">
        <v>67.55</v>
      </c>
    </row>
    <row r="5" spans="1:9" x14ac:dyDescent="0.25">
      <c r="A5" t="str">
        <f t="shared" si="0"/>
        <v>D10D43703</v>
      </c>
      <c r="B5" t="s">
        <v>196</v>
      </c>
      <c r="C5" t="s">
        <v>195</v>
      </c>
      <c r="D5" s="9">
        <v>43703</v>
      </c>
      <c r="E5">
        <v>0.05</v>
      </c>
      <c r="F5">
        <f t="shared" si="1"/>
        <v>50</v>
      </c>
      <c r="G5" s="23">
        <v>2.99E-3</v>
      </c>
      <c r="H5" s="25">
        <f t="shared" si="2"/>
        <v>2.99</v>
      </c>
      <c r="I5">
        <v>1.44</v>
      </c>
    </row>
    <row r="6" spans="1:9" x14ac:dyDescent="0.25">
      <c r="A6" t="str">
        <f t="shared" si="0"/>
        <v>D10E43703</v>
      </c>
      <c r="B6" t="s">
        <v>197</v>
      </c>
      <c r="C6" t="s">
        <v>109</v>
      </c>
      <c r="D6" s="9">
        <v>43703</v>
      </c>
      <c r="E6">
        <v>0.02</v>
      </c>
      <c r="F6">
        <f t="shared" si="1"/>
        <v>20</v>
      </c>
      <c r="G6" s="23">
        <v>4.0699999999999998E-3</v>
      </c>
      <c r="H6" s="25">
        <f t="shared" si="2"/>
        <v>4.0699999999999994</v>
      </c>
      <c r="I6">
        <v>3.64</v>
      </c>
    </row>
    <row r="7" spans="1:9" x14ac:dyDescent="0.25">
      <c r="A7" t="str">
        <f t="shared" si="0"/>
        <v>D10E43644</v>
      </c>
      <c r="B7" t="s">
        <v>198</v>
      </c>
      <c r="C7" t="s">
        <v>109</v>
      </c>
      <c r="D7" s="9">
        <v>43644</v>
      </c>
      <c r="E7">
        <v>0.05</v>
      </c>
      <c r="F7">
        <f t="shared" si="1"/>
        <v>50</v>
      </c>
      <c r="G7" s="23">
        <v>3.65E-3</v>
      </c>
      <c r="H7" s="25">
        <f t="shared" si="2"/>
        <v>3.65</v>
      </c>
      <c r="I7">
        <v>7.05</v>
      </c>
    </row>
    <row r="8" spans="1:9" x14ac:dyDescent="0.25">
      <c r="A8" t="str">
        <f t="shared" si="0"/>
        <v>D14A43675</v>
      </c>
      <c r="B8" t="s">
        <v>201</v>
      </c>
      <c r="C8" t="s">
        <v>99</v>
      </c>
      <c r="D8" s="9">
        <v>43675</v>
      </c>
      <c r="E8">
        <v>0.05</v>
      </c>
      <c r="F8">
        <f t="shared" si="1"/>
        <v>50</v>
      </c>
      <c r="G8">
        <v>1.01</v>
      </c>
      <c r="H8" s="25">
        <f t="shared" si="2"/>
        <v>1010</v>
      </c>
      <c r="I8">
        <v>490.67</v>
      </c>
    </row>
    <row r="9" spans="1:9" x14ac:dyDescent="0.25">
      <c r="A9" t="str">
        <f t="shared" si="0"/>
        <v>D14A43640</v>
      </c>
      <c r="B9" t="s">
        <v>202</v>
      </c>
      <c r="C9" t="s">
        <v>99</v>
      </c>
      <c r="D9" s="9">
        <v>43640</v>
      </c>
      <c r="E9">
        <v>0.02</v>
      </c>
      <c r="F9">
        <f t="shared" si="1"/>
        <v>20</v>
      </c>
      <c r="G9">
        <v>1.28</v>
      </c>
      <c r="H9" s="25">
        <f t="shared" si="2"/>
        <v>1280</v>
      </c>
      <c r="I9">
        <v>462.56</v>
      </c>
    </row>
    <row r="10" spans="1:9" x14ac:dyDescent="0.25">
      <c r="A10" t="str">
        <f t="shared" si="0"/>
        <v>D14B43675</v>
      </c>
      <c r="B10" t="s">
        <v>204</v>
      </c>
      <c r="C10" t="s">
        <v>203</v>
      </c>
      <c r="D10" s="9">
        <v>43675</v>
      </c>
      <c r="E10">
        <v>0.1</v>
      </c>
      <c r="F10">
        <f t="shared" si="1"/>
        <v>100</v>
      </c>
      <c r="G10">
        <v>0.25</v>
      </c>
      <c r="H10" s="25">
        <f t="shared" si="2"/>
        <v>250</v>
      </c>
      <c r="I10">
        <v>1.99</v>
      </c>
    </row>
    <row r="11" spans="1:9" x14ac:dyDescent="0.25">
      <c r="A11" t="str">
        <f t="shared" si="0"/>
        <v>D15A43683</v>
      </c>
      <c r="B11" t="s">
        <v>206</v>
      </c>
      <c r="C11" t="s">
        <v>205</v>
      </c>
      <c r="D11" s="9">
        <v>43683</v>
      </c>
      <c r="E11">
        <v>0.03</v>
      </c>
      <c r="F11">
        <f t="shared" si="1"/>
        <v>30</v>
      </c>
      <c r="G11">
        <v>0.12</v>
      </c>
      <c r="H11" s="25">
        <f t="shared" si="2"/>
        <v>120</v>
      </c>
      <c r="I11">
        <v>0.99</v>
      </c>
    </row>
    <row r="12" spans="1:9" x14ac:dyDescent="0.25">
      <c r="A12" t="str">
        <f t="shared" si="0"/>
        <v>D15B43683</v>
      </c>
      <c r="B12" t="s">
        <v>454</v>
      </c>
      <c r="C12" t="s">
        <v>199</v>
      </c>
      <c r="D12" s="9">
        <v>43683</v>
      </c>
      <c r="E12">
        <v>0.02</v>
      </c>
      <c r="F12">
        <f t="shared" si="1"/>
        <v>20</v>
      </c>
      <c r="G12">
        <v>1.03</v>
      </c>
      <c r="H12" s="25">
        <f t="shared" si="2"/>
        <v>1030</v>
      </c>
      <c r="I12">
        <v>816.25</v>
      </c>
    </row>
    <row r="13" spans="1:9" x14ac:dyDescent="0.25">
      <c r="A13" t="str">
        <f t="shared" si="0"/>
        <v>D2043668</v>
      </c>
      <c r="B13" t="s">
        <v>207</v>
      </c>
      <c r="C13" t="s">
        <v>93</v>
      </c>
      <c r="D13" s="9">
        <v>43668</v>
      </c>
      <c r="E13">
        <v>0.03</v>
      </c>
      <c r="F13">
        <f t="shared" si="1"/>
        <v>30</v>
      </c>
      <c r="G13" s="23">
        <v>7.3600000000000002E-3</v>
      </c>
      <c r="H13" s="25">
        <f t="shared" si="2"/>
        <v>7.36</v>
      </c>
      <c r="I13">
        <v>2.31</v>
      </c>
    </row>
    <row r="14" spans="1:9" x14ac:dyDescent="0.25">
      <c r="A14" t="str">
        <f t="shared" si="0"/>
        <v>D2043636</v>
      </c>
      <c r="B14" t="s">
        <v>208</v>
      </c>
      <c r="C14" t="s">
        <v>93</v>
      </c>
      <c r="D14" s="9">
        <v>43636</v>
      </c>
      <c r="E14">
        <v>0.01</v>
      </c>
      <c r="F14">
        <f t="shared" si="1"/>
        <v>10</v>
      </c>
      <c r="G14" s="23">
        <v>8.8000000000000005E-3</v>
      </c>
      <c r="H14" s="25">
        <f t="shared" si="2"/>
        <v>8.8000000000000007</v>
      </c>
      <c r="I14">
        <v>73.489999999999995</v>
      </c>
    </row>
    <row r="15" spans="1:9" x14ac:dyDescent="0.25">
      <c r="A15" t="str">
        <f t="shared" si="0"/>
        <v>D22C43686</v>
      </c>
      <c r="B15" t="s">
        <v>210</v>
      </c>
      <c r="C15" t="s">
        <v>209</v>
      </c>
      <c r="D15" s="9">
        <v>43686</v>
      </c>
      <c r="E15">
        <v>0.05</v>
      </c>
      <c r="F15">
        <f t="shared" si="1"/>
        <v>50</v>
      </c>
      <c r="G15">
        <v>0.48</v>
      </c>
      <c r="H15" s="25">
        <f t="shared" si="2"/>
        <v>480</v>
      </c>
      <c r="I15">
        <v>694.2</v>
      </c>
    </row>
    <row r="16" spans="1:9" x14ac:dyDescent="0.25">
      <c r="A16" t="str">
        <f t="shared" si="0"/>
        <v>D24B43692</v>
      </c>
      <c r="B16" t="s">
        <v>212</v>
      </c>
      <c r="C16" t="s">
        <v>211</v>
      </c>
      <c r="D16" s="9">
        <v>43692</v>
      </c>
      <c r="E16">
        <v>0.28999999999999998</v>
      </c>
      <c r="F16">
        <f t="shared" si="1"/>
        <v>290</v>
      </c>
      <c r="G16">
        <v>0.62</v>
      </c>
      <c r="H16" s="25">
        <f t="shared" si="2"/>
        <v>620</v>
      </c>
      <c r="I16">
        <v>237.55</v>
      </c>
    </row>
    <row r="17" spans="1:9" x14ac:dyDescent="0.25">
      <c r="A17" t="str">
        <f t="shared" si="0"/>
        <v>D26A43692</v>
      </c>
      <c r="B17" t="s">
        <v>214</v>
      </c>
      <c r="C17" t="s">
        <v>213</v>
      </c>
      <c r="D17" s="9">
        <v>43692</v>
      </c>
      <c r="E17">
        <v>1.35</v>
      </c>
      <c r="F17">
        <f t="shared" si="1"/>
        <v>1350</v>
      </c>
      <c r="G17">
        <v>0.75</v>
      </c>
      <c r="H17" s="25">
        <f t="shared" si="2"/>
        <v>750</v>
      </c>
      <c r="I17" s="23">
        <v>1127.5999999999999</v>
      </c>
    </row>
    <row r="18" spans="1:9" x14ac:dyDescent="0.25">
      <c r="A18" t="str">
        <f t="shared" si="0"/>
        <v>D26B43692</v>
      </c>
      <c r="B18" t="s">
        <v>216</v>
      </c>
      <c r="C18" t="s">
        <v>215</v>
      </c>
      <c r="D18" s="9">
        <v>43692</v>
      </c>
      <c r="E18">
        <v>0.11</v>
      </c>
      <c r="F18">
        <f t="shared" si="1"/>
        <v>110</v>
      </c>
      <c r="G18">
        <v>0.38</v>
      </c>
      <c r="H18" s="25">
        <f t="shared" si="2"/>
        <v>380</v>
      </c>
      <c r="I18">
        <v>115.47</v>
      </c>
    </row>
    <row r="19" spans="1:9" x14ac:dyDescent="0.25">
      <c r="A19" t="str">
        <f t="shared" si="0"/>
        <v>D26C43692</v>
      </c>
      <c r="B19" t="s">
        <v>218</v>
      </c>
      <c r="C19" t="s">
        <v>217</v>
      </c>
      <c r="D19" s="9">
        <v>43692</v>
      </c>
      <c r="E19">
        <v>0.02</v>
      </c>
      <c r="F19">
        <f t="shared" si="1"/>
        <v>20</v>
      </c>
      <c r="G19">
        <v>1.25</v>
      </c>
      <c r="H19" s="25">
        <f t="shared" si="2"/>
        <v>1250</v>
      </c>
      <c r="I19">
        <v>203.7</v>
      </c>
    </row>
    <row r="20" spans="1:9" x14ac:dyDescent="0.25">
      <c r="A20" t="str">
        <f t="shared" si="0"/>
        <v>D27A43684</v>
      </c>
      <c r="B20" t="s">
        <v>220</v>
      </c>
      <c r="C20" t="s">
        <v>219</v>
      </c>
      <c r="D20" s="9">
        <v>43684</v>
      </c>
      <c r="E20">
        <v>0.04</v>
      </c>
      <c r="F20">
        <f t="shared" si="1"/>
        <v>40</v>
      </c>
      <c r="G20">
        <v>0.1</v>
      </c>
      <c r="H20" s="25">
        <f t="shared" si="2"/>
        <v>100</v>
      </c>
      <c r="I20">
        <v>99.15</v>
      </c>
    </row>
    <row r="21" spans="1:9" x14ac:dyDescent="0.25">
      <c r="A21" t="str">
        <f t="shared" si="0"/>
        <v>D27B43684</v>
      </c>
      <c r="B21" t="s">
        <v>222</v>
      </c>
      <c r="C21" t="s">
        <v>221</v>
      </c>
      <c r="D21" s="9">
        <v>43684</v>
      </c>
      <c r="E21">
        <v>0.02</v>
      </c>
      <c r="F21">
        <f t="shared" si="1"/>
        <v>20</v>
      </c>
      <c r="G21">
        <v>0.19</v>
      </c>
      <c r="H21" s="25">
        <f t="shared" si="2"/>
        <v>190</v>
      </c>
      <c r="I21">
        <v>204.04</v>
      </c>
    </row>
    <row r="22" spans="1:9" x14ac:dyDescent="0.25">
      <c r="A22" t="str">
        <f t="shared" si="0"/>
        <v>D27C43684</v>
      </c>
      <c r="B22" t="s">
        <v>224</v>
      </c>
      <c r="C22" t="s">
        <v>223</v>
      </c>
      <c r="D22" s="9">
        <v>43684</v>
      </c>
      <c r="E22">
        <v>0.03</v>
      </c>
      <c r="F22">
        <f t="shared" si="1"/>
        <v>30</v>
      </c>
      <c r="G22" s="23">
        <v>2.9299999999999999E-3</v>
      </c>
      <c r="H22" s="25">
        <f t="shared" si="2"/>
        <v>2.9299999999999997</v>
      </c>
      <c r="I22">
        <v>2.84</v>
      </c>
    </row>
    <row r="23" spans="1:9" x14ac:dyDescent="0.25">
      <c r="A23" t="str">
        <f t="shared" si="0"/>
        <v>D30A43696</v>
      </c>
      <c r="B23" t="s">
        <v>226</v>
      </c>
      <c r="C23" t="s">
        <v>225</v>
      </c>
      <c r="D23" s="9">
        <v>43696</v>
      </c>
      <c r="E23" s="23">
        <v>8.6099999999999996E-3</v>
      </c>
      <c r="F23">
        <f t="shared" si="1"/>
        <v>8.61</v>
      </c>
      <c r="G23">
        <v>0.02</v>
      </c>
      <c r="H23" s="25">
        <f t="shared" si="2"/>
        <v>20</v>
      </c>
      <c r="I23">
        <v>761.94</v>
      </c>
    </row>
    <row r="24" spans="1:9" x14ac:dyDescent="0.25">
      <c r="A24" t="str">
        <f t="shared" si="0"/>
        <v>D30B43696</v>
      </c>
      <c r="B24" t="s">
        <v>228</v>
      </c>
      <c r="C24" t="s">
        <v>227</v>
      </c>
      <c r="D24" s="9">
        <v>43696</v>
      </c>
      <c r="E24">
        <v>0.08</v>
      </c>
      <c r="F24">
        <f t="shared" si="1"/>
        <v>80</v>
      </c>
      <c r="G24">
        <v>0.06</v>
      </c>
      <c r="H24" s="25">
        <f t="shared" si="2"/>
        <v>60</v>
      </c>
      <c r="I24">
        <v>8.32</v>
      </c>
    </row>
    <row r="25" spans="1:9" x14ac:dyDescent="0.25">
      <c r="A25" t="str">
        <f t="shared" si="0"/>
        <v>D31A43696</v>
      </c>
      <c r="B25" t="s">
        <v>229</v>
      </c>
      <c r="C25" t="s">
        <v>122</v>
      </c>
      <c r="D25" s="9">
        <v>43696</v>
      </c>
      <c r="E25">
        <v>0.14000000000000001</v>
      </c>
      <c r="F25">
        <f t="shared" si="1"/>
        <v>140</v>
      </c>
      <c r="G25">
        <v>0.56999999999999995</v>
      </c>
      <c r="H25" s="25">
        <f t="shared" si="2"/>
        <v>570</v>
      </c>
      <c r="I25">
        <v>7.12</v>
      </c>
    </row>
    <row r="26" spans="1:9" x14ac:dyDescent="0.25">
      <c r="A26" t="str">
        <f t="shared" si="0"/>
        <v>D31A43649</v>
      </c>
      <c r="B26" t="s">
        <v>230</v>
      </c>
      <c r="C26" t="s">
        <v>122</v>
      </c>
      <c r="D26" s="9">
        <v>43649</v>
      </c>
      <c r="E26">
        <v>0.02</v>
      </c>
      <c r="F26">
        <f t="shared" si="1"/>
        <v>20</v>
      </c>
      <c r="G26">
        <v>0.84</v>
      </c>
      <c r="H26" s="25">
        <f t="shared" si="2"/>
        <v>840</v>
      </c>
      <c r="I26">
        <v>188.35</v>
      </c>
    </row>
    <row r="27" spans="1:9" x14ac:dyDescent="0.25">
      <c r="A27" t="str">
        <f t="shared" si="0"/>
        <v>D31B43696</v>
      </c>
      <c r="B27" t="s">
        <v>231</v>
      </c>
      <c r="C27" t="s">
        <v>113</v>
      </c>
      <c r="D27" s="9">
        <v>43696</v>
      </c>
      <c r="E27">
        <v>0.12</v>
      </c>
      <c r="F27">
        <f t="shared" si="1"/>
        <v>120</v>
      </c>
      <c r="G27">
        <v>0.2</v>
      </c>
      <c r="H27" s="25">
        <f t="shared" si="2"/>
        <v>200</v>
      </c>
      <c r="I27">
        <v>2.98</v>
      </c>
    </row>
    <row r="28" spans="1:9" x14ac:dyDescent="0.25">
      <c r="A28" t="str">
        <f t="shared" si="0"/>
        <v>D31B43648</v>
      </c>
      <c r="B28" t="s">
        <v>232</v>
      </c>
      <c r="C28" t="s">
        <v>113</v>
      </c>
      <c r="D28" s="9">
        <v>43648</v>
      </c>
      <c r="E28">
        <v>0.15</v>
      </c>
      <c r="F28">
        <f t="shared" si="1"/>
        <v>150</v>
      </c>
      <c r="G28">
        <v>0.13</v>
      </c>
      <c r="H28" s="25">
        <f t="shared" si="2"/>
        <v>130</v>
      </c>
      <c r="I28">
        <v>4.1900000000000004</v>
      </c>
    </row>
    <row r="29" spans="1:9" x14ac:dyDescent="0.25">
      <c r="A29" t="str">
        <f t="shared" si="0"/>
        <v>D31C43648</v>
      </c>
      <c r="B29" t="s">
        <v>233</v>
      </c>
      <c r="C29" t="s">
        <v>118</v>
      </c>
      <c r="D29" s="9">
        <v>43648</v>
      </c>
      <c r="E29" s="23">
        <v>9.7000000000000003E-3</v>
      </c>
      <c r="F29">
        <f t="shared" si="1"/>
        <v>9.7000000000000011</v>
      </c>
      <c r="G29">
        <v>0.66</v>
      </c>
      <c r="H29" s="25">
        <f t="shared" si="2"/>
        <v>660</v>
      </c>
      <c r="I29">
        <v>736.65</v>
      </c>
    </row>
    <row r="30" spans="1:9" x14ac:dyDescent="0.25">
      <c r="A30" t="str">
        <f t="shared" si="0"/>
        <v>D3643689</v>
      </c>
      <c r="B30" t="s">
        <v>235</v>
      </c>
      <c r="C30" t="s">
        <v>234</v>
      </c>
      <c r="D30" s="9">
        <v>43689</v>
      </c>
      <c r="E30">
        <v>0.09</v>
      </c>
      <c r="F30">
        <f t="shared" si="1"/>
        <v>90</v>
      </c>
      <c r="G30">
        <v>0.17</v>
      </c>
      <c r="H30" s="25">
        <f t="shared" si="2"/>
        <v>170</v>
      </c>
      <c r="I30">
        <v>12.53</v>
      </c>
    </row>
    <row r="31" spans="1:9" x14ac:dyDescent="0.25">
      <c r="A31" t="str">
        <f t="shared" si="0"/>
        <v>D44A43699</v>
      </c>
      <c r="B31" t="s">
        <v>239</v>
      </c>
      <c r="C31" t="s">
        <v>238</v>
      </c>
      <c r="D31" s="9">
        <v>43699</v>
      </c>
      <c r="E31">
        <v>0.02</v>
      </c>
      <c r="F31">
        <f t="shared" si="1"/>
        <v>20</v>
      </c>
      <c r="G31" s="23">
        <v>7.0200000000000002E-3</v>
      </c>
      <c r="H31" s="25">
        <f t="shared" si="2"/>
        <v>7.0200000000000005</v>
      </c>
      <c r="I31">
        <v>1.94</v>
      </c>
    </row>
    <row r="32" spans="1:9" x14ac:dyDescent="0.25">
      <c r="A32" t="str">
        <f t="shared" si="0"/>
        <v>D44B43699</v>
      </c>
      <c r="B32" t="s">
        <v>240</v>
      </c>
      <c r="C32" t="s">
        <v>133</v>
      </c>
      <c r="D32" s="9">
        <v>43699</v>
      </c>
      <c r="E32">
        <v>0.08</v>
      </c>
      <c r="F32">
        <f t="shared" si="1"/>
        <v>80</v>
      </c>
      <c r="G32">
        <v>0.09</v>
      </c>
      <c r="H32" s="25">
        <f t="shared" si="2"/>
        <v>90</v>
      </c>
      <c r="I32">
        <v>7.52</v>
      </c>
    </row>
    <row r="33" spans="1:12" x14ac:dyDescent="0.25">
      <c r="A33" t="str">
        <f t="shared" si="0"/>
        <v>D44B43654</v>
      </c>
      <c r="B33" t="s">
        <v>241</v>
      </c>
      <c r="C33" t="s">
        <v>133</v>
      </c>
      <c r="D33" s="9">
        <v>43654</v>
      </c>
      <c r="E33">
        <v>0.05</v>
      </c>
      <c r="F33">
        <f t="shared" si="1"/>
        <v>50</v>
      </c>
      <c r="G33">
        <v>0.05</v>
      </c>
      <c r="H33" s="25">
        <f t="shared" si="2"/>
        <v>50</v>
      </c>
      <c r="I33">
        <v>69.13</v>
      </c>
    </row>
    <row r="34" spans="1:12" x14ac:dyDescent="0.25">
      <c r="A34" t="str">
        <f t="shared" si="0"/>
        <v>D45A43683</v>
      </c>
      <c r="B34" t="s">
        <v>243</v>
      </c>
      <c r="C34" t="s">
        <v>242</v>
      </c>
      <c r="D34" s="9">
        <v>43683</v>
      </c>
      <c r="E34">
        <v>0.06</v>
      </c>
      <c r="F34">
        <f t="shared" si="1"/>
        <v>60</v>
      </c>
      <c r="G34">
        <v>0.17</v>
      </c>
      <c r="H34" s="25">
        <f t="shared" si="2"/>
        <v>170</v>
      </c>
      <c r="I34" s="23">
        <v>624.70000000000005</v>
      </c>
    </row>
    <row r="35" spans="1:12" x14ac:dyDescent="0.25">
      <c r="A35" t="str">
        <f t="shared" si="0"/>
        <v>D45B43683</v>
      </c>
      <c r="B35" t="s">
        <v>245</v>
      </c>
      <c r="C35" t="s">
        <v>244</v>
      </c>
      <c r="D35" s="9">
        <v>43683</v>
      </c>
      <c r="E35">
        <v>0.05</v>
      </c>
      <c r="F35">
        <f t="shared" si="1"/>
        <v>50</v>
      </c>
      <c r="G35" s="23">
        <v>2.7100000000000002E-3</v>
      </c>
      <c r="H35" s="25">
        <f t="shared" si="2"/>
        <v>2.71</v>
      </c>
      <c r="I35">
        <v>53.5</v>
      </c>
    </row>
    <row r="36" spans="1:12" x14ac:dyDescent="0.25">
      <c r="A36" t="str">
        <f t="shared" si="0"/>
        <v>D45D43683</v>
      </c>
      <c r="B36" t="s">
        <v>247</v>
      </c>
      <c r="C36" t="s">
        <v>246</v>
      </c>
      <c r="D36" s="9">
        <v>43683</v>
      </c>
      <c r="E36">
        <v>0.08</v>
      </c>
      <c r="F36">
        <f t="shared" si="1"/>
        <v>80</v>
      </c>
      <c r="G36">
        <v>0.56999999999999995</v>
      </c>
      <c r="H36" s="25">
        <f t="shared" si="2"/>
        <v>570</v>
      </c>
      <c r="I36">
        <v>7.93</v>
      </c>
    </row>
    <row r="37" spans="1:12" x14ac:dyDescent="0.25">
      <c r="A37" t="str">
        <f t="shared" si="0"/>
        <v>D48A43668</v>
      </c>
      <c r="B37" t="s">
        <v>249</v>
      </c>
      <c r="C37" t="s">
        <v>248</v>
      </c>
      <c r="D37" s="9">
        <v>43668</v>
      </c>
      <c r="E37">
        <v>0.03</v>
      </c>
      <c r="F37">
        <f t="shared" si="1"/>
        <v>30</v>
      </c>
      <c r="G37">
        <v>0.78</v>
      </c>
      <c r="H37" s="25">
        <f t="shared" si="2"/>
        <v>780</v>
      </c>
      <c r="I37">
        <v>85.97</v>
      </c>
    </row>
    <row r="38" spans="1:12" x14ac:dyDescent="0.25">
      <c r="A38" t="str">
        <f t="shared" si="0"/>
        <v>D48B43668</v>
      </c>
      <c r="B38" t="s">
        <v>251</v>
      </c>
      <c r="C38" t="s">
        <v>250</v>
      </c>
      <c r="D38" s="9">
        <v>43668</v>
      </c>
      <c r="E38">
        <v>0.11</v>
      </c>
      <c r="F38">
        <f t="shared" si="1"/>
        <v>110</v>
      </c>
      <c r="G38">
        <v>0.02</v>
      </c>
      <c r="H38" s="25">
        <f t="shared" si="2"/>
        <v>20</v>
      </c>
      <c r="I38">
        <v>4.5199999999999996</v>
      </c>
    </row>
    <row r="39" spans="1:12" x14ac:dyDescent="0.25">
      <c r="A39" t="str">
        <f t="shared" si="0"/>
        <v>D4943668</v>
      </c>
      <c r="B39" t="s">
        <v>253</v>
      </c>
      <c r="C39" t="s">
        <v>252</v>
      </c>
      <c r="D39" s="9">
        <v>43668</v>
      </c>
      <c r="E39">
        <v>7.0000000000000007E-2</v>
      </c>
      <c r="F39">
        <f t="shared" si="1"/>
        <v>70</v>
      </c>
      <c r="G39">
        <v>0.04</v>
      </c>
      <c r="H39" s="25">
        <f t="shared" si="2"/>
        <v>40</v>
      </c>
      <c r="I39">
        <v>24.25</v>
      </c>
      <c r="L39" s="23"/>
    </row>
    <row r="40" spans="1:12" x14ac:dyDescent="0.25">
      <c r="A40" t="str">
        <f t="shared" si="0"/>
        <v>D4A43672</v>
      </c>
      <c r="B40" t="s">
        <v>255</v>
      </c>
      <c r="C40" t="s">
        <v>254</v>
      </c>
      <c r="D40" s="9">
        <v>43672</v>
      </c>
      <c r="E40">
        <v>0.05</v>
      </c>
      <c r="F40">
        <f t="shared" si="1"/>
        <v>50</v>
      </c>
      <c r="G40">
        <v>7.0000000000000007E-2</v>
      </c>
      <c r="H40" s="25">
        <f t="shared" si="2"/>
        <v>70</v>
      </c>
      <c r="I40">
        <v>65.849999999999994</v>
      </c>
    </row>
    <row r="41" spans="1:12" x14ac:dyDescent="0.25">
      <c r="A41" t="str">
        <f t="shared" si="0"/>
        <v>D4C43672</v>
      </c>
      <c r="B41" t="s">
        <v>257</v>
      </c>
      <c r="C41" t="s">
        <v>256</v>
      </c>
      <c r="D41" s="9">
        <v>43672</v>
      </c>
      <c r="E41">
        <v>0.31</v>
      </c>
      <c r="F41">
        <f t="shared" si="1"/>
        <v>310</v>
      </c>
      <c r="G41">
        <v>0.12</v>
      </c>
      <c r="H41" s="25">
        <f t="shared" si="2"/>
        <v>120</v>
      </c>
      <c r="I41">
        <v>32</v>
      </c>
    </row>
    <row r="42" spans="1:12" x14ac:dyDescent="0.25">
      <c r="A42" t="str">
        <f t="shared" si="0"/>
        <v>D4D43671</v>
      </c>
      <c r="B42" t="s">
        <v>259</v>
      </c>
      <c r="C42" t="s">
        <v>258</v>
      </c>
      <c r="D42" s="9">
        <v>43671</v>
      </c>
      <c r="E42">
        <v>0.09</v>
      </c>
      <c r="F42">
        <f t="shared" si="1"/>
        <v>90</v>
      </c>
      <c r="G42">
        <v>0.02</v>
      </c>
      <c r="H42" s="25">
        <f t="shared" si="2"/>
        <v>20</v>
      </c>
      <c r="I42">
        <v>34.72</v>
      </c>
    </row>
    <row r="43" spans="1:12" x14ac:dyDescent="0.25">
      <c r="A43" t="str">
        <f t="shared" si="0"/>
        <v>D4E43671</v>
      </c>
      <c r="B43" t="s">
        <v>261</v>
      </c>
      <c r="C43" t="s">
        <v>260</v>
      </c>
      <c r="D43" s="9">
        <v>43671</v>
      </c>
      <c r="E43">
        <v>0.13</v>
      </c>
      <c r="F43">
        <f t="shared" si="1"/>
        <v>130</v>
      </c>
      <c r="G43">
        <v>0.59</v>
      </c>
      <c r="H43" s="25">
        <f t="shared" si="2"/>
        <v>590</v>
      </c>
      <c r="I43">
        <v>18.739999999999998</v>
      </c>
    </row>
    <row r="44" spans="1:12" x14ac:dyDescent="0.25">
      <c r="A44" t="str">
        <f t="shared" si="0"/>
        <v>D4G43671</v>
      </c>
      <c r="B44" t="s">
        <v>263</v>
      </c>
      <c r="C44" t="s">
        <v>262</v>
      </c>
      <c r="D44" s="9">
        <v>43671</v>
      </c>
      <c r="E44">
        <v>0.06</v>
      </c>
      <c r="F44">
        <f t="shared" si="1"/>
        <v>60</v>
      </c>
      <c r="G44">
        <v>0.4</v>
      </c>
      <c r="H44" s="25">
        <f t="shared" si="2"/>
        <v>400</v>
      </c>
      <c r="I44">
        <v>1.0900000000000001</v>
      </c>
    </row>
    <row r="45" spans="1:12" x14ac:dyDescent="0.25">
      <c r="A45" t="str">
        <f t="shared" si="0"/>
        <v>D4H43686</v>
      </c>
      <c r="B45" t="s">
        <v>265</v>
      </c>
      <c r="C45" t="s">
        <v>264</v>
      </c>
      <c r="D45" s="9">
        <v>43686</v>
      </c>
      <c r="E45" s="23">
        <v>8.6999999999999994E-3</v>
      </c>
      <c r="F45">
        <f t="shared" si="1"/>
        <v>8.6999999999999993</v>
      </c>
      <c r="G45">
        <v>0.04</v>
      </c>
      <c r="H45" s="25">
        <f t="shared" si="2"/>
        <v>40</v>
      </c>
      <c r="I45">
        <v>230.72</v>
      </c>
    </row>
    <row r="46" spans="1:12" x14ac:dyDescent="0.25">
      <c r="A46" t="str">
        <f t="shared" si="0"/>
        <v>D543703</v>
      </c>
      <c r="B46" t="s">
        <v>266</v>
      </c>
      <c r="C46" t="s">
        <v>106</v>
      </c>
      <c r="D46" s="9">
        <v>43703</v>
      </c>
      <c r="E46">
        <v>0.09</v>
      </c>
      <c r="F46">
        <f t="shared" si="1"/>
        <v>90</v>
      </c>
      <c r="G46" s="23">
        <v>6.4000000000000005E-4</v>
      </c>
      <c r="H46" s="25">
        <f t="shared" si="2"/>
        <v>0.64</v>
      </c>
      <c r="I46">
        <v>7.01</v>
      </c>
    </row>
    <row r="47" spans="1:12" x14ac:dyDescent="0.25">
      <c r="A47" t="str">
        <f t="shared" si="0"/>
        <v>D543643</v>
      </c>
      <c r="B47" t="s">
        <v>267</v>
      </c>
      <c r="C47" t="s">
        <v>106</v>
      </c>
      <c r="D47" s="9">
        <v>43643</v>
      </c>
      <c r="E47">
        <v>0.06</v>
      </c>
      <c r="F47">
        <f t="shared" si="1"/>
        <v>60</v>
      </c>
      <c r="G47" s="23">
        <v>8.5000000000000006E-3</v>
      </c>
      <c r="H47" s="25">
        <f t="shared" si="2"/>
        <v>8.5</v>
      </c>
      <c r="I47">
        <v>3.31</v>
      </c>
    </row>
    <row r="48" spans="1:12" x14ac:dyDescent="0.25">
      <c r="A48" t="str">
        <f t="shared" si="0"/>
        <v>D5143668</v>
      </c>
      <c r="B48" t="s">
        <v>269</v>
      </c>
      <c r="C48" t="s">
        <v>268</v>
      </c>
      <c r="D48" s="9">
        <v>43668</v>
      </c>
      <c r="E48">
        <v>0.08</v>
      </c>
      <c r="F48">
        <f t="shared" si="1"/>
        <v>80</v>
      </c>
      <c r="G48">
        <v>0.03</v>
      </c>
      <c r="H48" s="25">
        <f t="shared" si="2"/>
        <v>30</v>
      </c>
      <c r="I48">
        <v>47.3</v>
      </c>
    </row>
    <row r="49" spans="1:9" x14ac:dyDescent="0.25">
      <c r="A49" t="str">
        <f t="shared" si="0"/>
        <v>D5243669</v>
      </c>
      <c r="B49" t="s">
        <v>270</v>
      </c>
      <c r="C49" t="s">
        <v>89</v>
      </c>
      <c r="D49" s="9">
        <v>43669</v>
      </c>
      <c r="E49">
        <v>0.03</v>
      </c>
      <c r="F49">
        <f t="shared" si="1"/>
        <v>30</v>
      </c>
      <c r="G49">
        <v>0.33</v>
      </c>
      <c r="H49" s="25">
        <f t="shared" si="2"/>
        <v>330</v>
      </c>
      <c r="I49">
        <v>4.17</v>
      </c>
    </row>
    <row r="50" spans="1:9" x14ac:dyDescent="0.25">
      <c r="A50" t="str">
        <f t="shared" si="0"/>
        <v>D5243636</v>
      </c>
      <c r="B50" t="s">
        <v>271</v>
      </c>
      <c r="C50" t="s">
        <v>89</v>
      </c>
      <c r="D50" s="9">
        <v>43636</v>
      </c>
      <c r="E50">
        <v>0.02</v>
      </c>
      <c r="F50">
        <f t="shared" si="1"/>
        <v>20</v>
      </c>
      <c r="G50">
        <v>0.11</v>
      </c>
      <c r="H50" s="25">
        <f t="shared" si="2"/>
        <v>110</v>
      </c>
      <c r="I50">
        <v>192.09</v>
      </c>
    </row>
    <row r="51" spans="1:9" x14ac:dyDescent="0.25">
      <c r="A51" t="str">
        <f t="shared" si="0"/>
        <v>D53A43669</v>
      </c>
      <c r="B51" t="s">
        <v>273</v>
      </c>
      <c r="C51" t="s">
        <v>272</v>
      </c>
      <c r="D51" s="9">
        <v>43669</v>
      </c>
      <c r="E51" s="23">
        <v>4.8500000000000001E-3</v>
      </c>
      <c r="F51">
        <f t="shared" si="1"/>
        <v>4.8500000000000005</v>
      </c>
      <c r="G51">
        <v>0.9</v>
      </c>
      <c r="H51" s="25">
        <f t="shared" si="2"/>
        <v>900</v>
      </c>
      <c r="I51">
        <v>211.46</v>
      </c>
    </row>
    <row r="52" spans="1:9" x14ac:dyDescent="0.25">
      <c r="A52" t="str">
        <f t="shared" si="0"/>
        <v>D54A43669</v>
      </c>
      <c r="B52" t="s">
        <v>275</v>
      </c>
      <c r="C52" t="s">
        <v>274</v>
      </c>
      <c r="D52" s="9">
        <v>43669</v>
      </c>
      <c r="E52">
        <v>0.03</v>
      </c>
      <c r="F52">
        <f t="shared" si="1"/>
        <v>30</v>
      </c>
      <c r="G52">
        <v>0.03</v>
      </c>
      <c r="H52" s="25">
        <f t="shared" si="2"/>
        <v>30</v>
      </c>
      <c r="I52">
        <v>16.48</v>
      </c>
    </row>
    <row r="53" spans="1:9" x14ac:dyDescent="0.25">
      <c r="A53" t="str">
        <f t="shared" si="0"/>
        <v>D54B43668</v>
      </c>
      <c r="B53" t="s">
        <v>277</v>
      </c>
      <c r="C53" t="s">
        <v>276</v>
      </c>
      <c r="D53" s="9">
        <v>43668</v>
      </c>
      <c r="E53">
        <v>0.02</v>
      </c>
      <c r="F53">
        <f t="shared" si="1"/>
        <v>20</v>
      </c>
      <c r="G53">
        <v>0.14000000000000001</v>
      </c>
      <c r="H53" s="25">
        <f t="shared" si="2"/>
        <v>140</v>
      </c>
      <c r="I53">
        <v>316</v>
      </c>
    </row>
    <row r="54" spans="1:9" x14ac:dyDescent="0.25">
      <c r="A54" t="str">
        <f t="shared" si="0"/>
        <v>D55B43669</v>
      </c>
      <c r="B54" t="s">
        <v>279</v>
      </c>
      <c r="C54" t="s">
        <v>278</v>
      </c>
      <c r="D54" s="9">
        <v>43669</v>
      </c>
      <c r="E54">
        <v>0.03</v>
      </c>
      <c r="F54">
        <f t="shared" si="1"/>
        <v>30</v>
      </c>
      <c r="G54" s="23">
        <v>4.8900000000000002E-3</v>
      </c>
      <c r="H54" s="25">
        <f t="shared" si="2"/>
        <v>4.8900000000000006</v>
      </c>
      <c r="I54">
        <v>0.98</v>
      </c>
    </row>
    <row r="55" spans="1:9" x14ac:dyDescent="0.25">
      <c r="A55" t="str">
        <f t="shared" si="0"/>
        <v>D56A43678</v>
      </c>
      <c r="B55" t="s">
        <v>280</v>
      </c>
      <c r="C55" t="s">
        <v>82</v>
      </c>
      <c r="D55" s="9">
        <v>43678</v>
      </c>
      <c r="E55">
        <v>0.04</v>
      </c>
      <c r="F55">
        <f t="shared" si="1"/>
        <v>40</v>
      </c>
      <c r="G55" s="23">
        <v>8.1499999999999993E-3</v>
      </c>
      <c r="H55" s="25">
        <f t="shared" si="2"/>
        <v>8.1499999999999986</v>
      </c>
      <c r="I55">
        <v>1.86</v>
      </c>
    </row>
    <row r="56" spans="1:9" x14ac:dyDescent="0.25">
      <c r="A56" t="str">
        <f t="shared" si="0"/>
        <v>D56A43635</v>
      </c>
      <c r="B56" t="s">
        <v>281</v>
      </c>
      <c r="C56" t="s">
        <v>82</v>
      </c>
      <c r="D56" s="9">
        <v>43635</v>
      </c>
      <c r="E56">
        <v>0.01</v>
      </c>
      <c r="F56">
        <f t="shared" si="1"/>
        <v>10</v>
      </c>
      <c r="G56">
        <v>0.01</v>
      </c>
      <c r="H56" s="25">
        <f t="shared" si="2"/>
        <v>10</v>
      </c>
      <c r="I56">
        <v>124.54</v>
      </c>
    </row>
    <row r="57" spans="1:9" x14ac:dyDescent="0.25">
      <c r="A57" t="str">
        <f t="shared" si="0"/>
        <v>D56B43678</v>
      </c>
      <c r="B57" t="s">
        <v>283</v>
      </c>
      <c r="C57" t="s">
        <v>282</v>
      </c>
      <c r="D57" s="9">
        <v>43678</v>
      </c>
      <c r="E57">
        <v>0.1</v>
      </c>
      <c r="F57">
        <f t="shared" si="1"/>
        <v>100</v>
      </c>
      <c r="G57">
        <v>0.13</v>
      </c>
      <c r="H57" s="25">
        <f t="shared" si="2"/>
        <v>130</v>
      </c>
      <c r="I57">
        <v>4.75</v>
      </c>
    </row>
    <row r="58" spans="1:9" x14ac:dyDescent="0.25">
      <c r="A58" t="str">
        <f t="shared" si="0"/>
        <v>D56C43678</v>
      </c>
      <c r="B58" t="s">
        <v>284</v>
      </c>
      <c r="C58" t="s">
        <v>86</v>
      </c>
      <c r="D58" s="9">
        <v>43678</v>
      </c>
      <c r="E58">
        <v>0.16</v>
      </c>
      <c r="F58">
        <f t="shared" si="1"/>
        <v>160</v>
      </c>
      <c r="G58">
        <v>0.28000000000000003</v>
      </c>
      <c r="H58" s="25">
        <f t="shared" si="2"/>
        <v>280</v>
      </c>
      <c r="I58">
        <v>7.33</v>
      </c>
    </row>
    <row r="59" spans="1:9" x14ac:dyDescent="0.25">
      <c r="A59" t="str">
        <f t="shared" si="0"/>
        <v>D56C43635</v>
      </c>
      <c r="B59" t="s">
        <v>285</v>
      </c>
      <c r="C59" t="s">
        <v>86</v>
      </c>
      <c r="D59" s="9">
        <v>43635</v>
      </c>
      <c r="E59">
        <v>0.02</v>
      </c>
      <c r="F59">
        <f t="shared" si="1"/>
        <v>20</v>
      </c>
      <c r="G59">
        <v>0.31</v>
      </c>
      <c r="H59" s="25">
        <f t="shared" si="2"/>
        <v>310</v>
      </c>
      <c r="I59">
        <v>171.78</v>
      </c>
    </row>
    <row r="60" spans="1:9" x14ac:dyDescent="0.25">
      <c r="A60" t="str">
        <f t="shared" si="0"/>
        <v>D56D43661</v>
      </c>
      <c r="B60" t="s">
        <v>286</v>
      </c>
      <c r="C60" t="s">
        <v>146</v>
      </c>
      <c r="D60" s="9">
        <v>43661</v>
      </c>
      <c r="E60" s="23">
        <v>7.5699999999999997E-4</v>
      </c>
      <c r="F60">
        <f t="shared" si="1"/>
        <v>0.75700000000000001</v>
      </c>
      <c r="G60">
        <v>0.03</v>
      </c>
      <c r="H60" s="25">
        <f t="shared" si="2"/>
        <v>30</v>
      </c>
      <c r="I60">
        <v>165.02</v>
      </c>
    </row>
    <row r="61" spans="1:9" x14ac:dyDescent="0.25">
      <c r="A61" t="str">
        <f t="shared" si="0"/>
        <v>D57A43700</v>
      </c>
      <c r="B61" t="s">
        <v>287</v>
      </c>
      <c r="C61" t="s">
        <v>127</v>
      </c>
      <c r="D61" s="9">
        <v>43700</v>
      </c>
      <c r="E61">
        <v>0.53</v>
      </c>
      <c r="F61">
        <f t="shared" si="1"/>
        <v>530</v>
      </c>
      <c r="G61" s="23">
        <v>6.1599999999999997E-3</v>
      </c>
      <c r="H61" s="25">
        <f t="shared" si="2"/>
        <v>6.1599999999999993</v>
      </c>
      <c r="I61">
        <v>17.02</v>
      </c>
    </row>
    <row r="62" spans="1:9" x14ac:dyDescent="0.25">
      <c r="A62" t="str">
        <f t="shared" si="0"/>
        <v>D57A43655</v>
      </c>
      <c r="B62" t="s">
        <v>455</v>
      </c>
      <c r="C62" t="s">
        <v>127</v>
      </c>
      <c r="D62" s="9">
        <v>43655</v>
      </c>
      <c r="E62">
        <v>0.26</v>
      </c>
      <c r="F62">
        <f t="shared" si="1"/>
        <v>260</v>
      </c>
      <c r="G62">
        <v>0.03</v>
      </c>
      <c r="H62" s="25">
        <f t="shared" si="2"/>
        <v>30</v>
      </c>
      <c r="I62">
        <v>6.89</v>
      </c>
    </row>
    <row r="63" spans="1:9" x14ac:dyDescent="0.25">
      <c r="A63" t="str">
        <f t="shared" si="0"/>
        <v>D57B43700</v>
      </c>
      <c r="B63" t="s">
        <v>289</v>
      </c>
      <c r="C63" t="s">
        <v>129</v>
      </c>
      <c r="D63" s="9">
        <v>43700</v>
      </c>
      <c r="E63">
        <v>0.63</v>
      </c>
      <c r="F63">
        <f t="shared" si="1"/>
        <v>630</v>
      </c>
      <c r="G63">
        <v>0.03</v>
      </c>
      <c r="H63" s="25">
        <f t="shared" si="2"/>
        <v>30</v>
      </c>
      <c r="I63">
        <v>112.01</v>
      </c>
    </row>
    <row r="64" spans="1:9" x14ac:dyDescent="0.25">
      <c r="A64" t="str">
        <f t="shared" si="0"/>
        <v>D57B43655</v>
      </c>
      <c r="B64" t="s">
        <v>290</v>
      </c>
      <c r="C64" t="s">
        <v>129</v>
      </c>
      <c r="D64" s="9">
        <v>43655</v>
      </c>
      <c r="E64" s="23">
        <v>9.7400000000000004E-3</v>
      </c>
      <c r="F64">
        <f t="shared" si="1"/>
        <v>9.74</v>
      </c>
      <c r="G64">
        <v>0.01</v>
      </c>
      <c r="H64" s="25">
        <f t="shared" si="2"/>
        <v>10</v>
      </c>
      <c r="I64">
        <v>80.17</v>
      </c>
    </row>
    <row r="65" spans="1:13" x14ac:dyDescent="0.25">
      <c r="A65" t="str">
        <f t="shared" si="0"/>
        <v>D57C43700</v>
      </c>
      <c r="B65" t="s">
        <v>292</v>
      </c>
      <c r="C65" t="s">
        <v>291</v>
      </c>
      <c r="D65" s="9">
        <v>43700</v>
      </c>
      <c r="E65">
        <v>0.02</v>
      </c>
      <c r="F65">
        <f t="shared" si="1"/>
        <v>20</v>
      </c>
      <c r="G65">
        <v>7.0000000000000007E-2</v>
      </c>
      <c r="H65" s="25">
        <f t="shared" si="2"/>
        <v>70</v>
      </c>
      <c r="I65">
        <v>78.33</v>
      </c>
    </row>
    <row r="66" spans="1:13" x14ac:dyDescent="0.25">
      <c r="A66" t="str">
        <f t="shared" si="0"/>
        <v>D57D43700</v>
      </c>
      <c r="B66" t="s">
        <v>294</v>
      </c>
      <c r="C66" t="s">
        <v>293</v>
      </c>
      <c r="D66" s="9">
        <v>43700</v>
      </c>
      <c r="E66">
        <v>0.17</v>
      </c>
      <c r="F66">
        <f t="shared" si="1"/>
        <v>170</v>
      </c>
      <c r="G66">
        <v>0.02</v>
      </c>
      <c r="H66" s="25">
        <f t="shared" si="2"/>
        <v>20</v>
      </c>
      <c r="I66">
        <v>67.010000000000005</v>
      </c>
    </row>
    <row r="67" spans="1:13" x14ac:dyDescent="0.25">
      <c r="A67" t="str">
        <f t="shared" ref="A67:A130" si="3">C67&amp;D67</f>
        <v>D58A43699</v>
      </c>
      <c r="B67" t="s">
        <v>296</v>
      </c>
      <c r="C67" t="s">
        <v>295</v>
      </c>
      <c r="D67" s="9">
        <v>43699</v>
      </c>
      <c r="E67">
        <v>0.11</v>
      </c>
      <c r="F67">
        <f t="shared" ref="F67:F130" si="4">E67*1000</f>
        <v>110</v>
      </c>
      <c r="G67" s="23">
        <v>6.3500000000000004E-4</v>
      </c>
      <c r="H67" s="25">
        <f t="shared" ref="H67:H130" si="5">G67*1000</f>
        <v>0.63500000000000001</v>
      </c>
      <c r="I67">
        <v>66.37</v>
      </c>
    </row>
    <row r="68" spans="1:13" x14ac:dyDescent="0.25">
      <c r="A68" t="str">
        <f t="shared" si="3"/>
        <v>D58B43699</v>
      </c>
      <c r="B68" t="s">
        <v>298</v>
      </c>
      <c r="C68" t="s">
        <v>297</v>
      </c>
      <c r="D68" s="9">
        <v>43699</v>
      </c>
      <c r="E68">
        <v>0.47</v>
      </c>
      <c r="F68">
        <f t="shared" si="4"/>
        <v>470</v>
      </c>
      <c r="G68" s="23">
        <v>7.4200000000000004E-3</v>
      </c>
      <c r="H68" s="25">
        <f t="shared" si="5"/>
        <v>7.4200000000000008</v>
      </c>
      <c r="I68">
        <v>641.82000000000005</v>
      </c>
    </row>
    <row r="69" spans="1:13" x14ac:dyDescent="0.25">
      <c r="A69" t="str">
        <f t="shared" si="3"/>
        <v>D58C43699</v>
      </c>
      <c r="B69" t="s">
        <v>300</v>
      </c>
      <c r="C69" t="s">
        <v>299</v>
      </c>
      <c r="D69" s="9">
        <v>43699</v>
      </c>
      <c r="E69">
        <v>0.11</v>
      </c>
      <c r="F69">
        <f t="shared" si="4"/>
        <v>110</v>
      </c>
      <c r="G69" s="23">
        <v>6.5300000000000002E-3</v>
      </c>
      <c r="H69" s="25">
        <f t="shared" si="5"/>
        <v>6.53</v>
      </c>
      <c r="I69">
        <v>35.950000000000003</v>
      </c>
    </row>
    <row r="70" spans="1:13" x14ac:dyDescent="0.25">
      <c r="A70" t="str">
        <f t="shared" si="3"/>
        <v>D59A43700</v>
      </c>
      <c r="B70" t="s">
        <v>302</v>
      </c>
      <c r="C70" t="s">
        <v>301</v>
      </c>
      <c r="D70" s="9">
        <v>43700</v>
      </c>
      <c r="E70">
        <v>0.26</v>
      </c>
      <c r="F70">
        <f t="shared" si="4"/>
        <v>260</v>
      </c>
      <c r="G70">
        <v>0.02</v>
      </c>
      <c r="H70" s="25">
        <f t="shared" si="5"/>
        <v>20</v>
      </c>
      <c r="I70">
        <v>129.1</v>
      </c>
    </row>
    <row r="71" spans="1:13" x14ac:dyDescent="0.25">
      <c r="A71" t="str">
        <f t="shared" si="3"/>
        <v>D59B43700</v>
      </c>
      <c r="B71" t="s">
        <v>304</v>
      </c>
      <c r="C71" t="s">
        <v>303</v>
      </c>
      <c r="D71" s="9">
        <v>43700</v>
      </c>
      <c r="E71">
        <v>0.08</v>
      </c>
      <c r="F71">
        <f t="shared" si="4"/>
        <v>80</v>
      </c>
      <c r="G71" s="23">
        <v>4.4600000000000004E-3</v>
      </c>
      <c r="H71" s="25">
        <f t="shared" si="5"/>
        <v>4.4600000000000009</v>
      </c>
      <c r="I71">
        <v>8.02</v>
      </c>
      <c r="M71" s="23"/>
    </row>
    <row r="72" spans="1:13" x14ac:dyDescent="0.25">
      <c r="A72" t="str">
        <f t="shared" si="3"/>
        <v>D59D43700</v>
      </c>
      <c r="B72" t="s">
        <v>306</v>
      </c>
      <c r="C72" t="s">
        <v>305</v>
      </c>
      <c r="D72" s="9">
        <v>43700</v>
      </c>
      <c r="E72">
        <v>0.03</v>
      </c>
      <c r="F72">
        <f t="shared" si="4"/>
        <v>30</v>
      </c>
      <c r="G72">
        <v>0.11</v>
      </c>
      <c r="H72" s="25">
        <f t="shared" si="5"/>
        <v>110</v>
      </c>
      <c r="I72" s="23">
        <v>3520.7</v>
      </c>
    </row>
    <row r="73" spans="1:13" x14ac:dyDescent="0.25">
      <c r="A73" t="str">
        <f t="shared" si="3"/>
        <v>D60A43697</v>
      </c>
      <c r="B73" t="s">
        <v>308</v>
      </c>
      <c r="C73" t="s">
        <v>307</v>
      </c>
      <c r="D73" s="9">
        <v>43697</v>
      </c>
      <c r="E73">
        <v>0.13</v>
      </c>
      <c r="F73">
        <f t="shared" si="4"/>
        <v>130</v>
      </c>
      <c r="G73">
        <v>0.04</v>
      </c>
      <c r="H73" s="25">
        <f t="shared" si="5"/>
        <v>40</v>
      </c>
      <c r="I73">
        <v>77.489999999999995</v>
      </c>
    </row>
    <row r="74" spans="1:13" x14ac:dyDescent="0.25">
      <c r="A74" t="str">
        <f t="shared" si="3"/>
        <v>D60B43697</v>
      </c>
      <c r="B74" t="s">
        <v>310</v>
      </c>
      <c r="C74" t="s">
        <v>309</v>
      </c>
      <c r="D74" s="9">
        <v>43697</v>
      </c>
      <c r="E74">
        <v>0.1</v>
      </c>
      <c r="F74">
        <f t="shared" si="4"/>
        <v>100</v>
      </c>
      <c r="G74">
        <v>0.13</v>
      </c>
      <c r="H74" s="25">
        <f t="shared" si="5"/>
        <v>130</v>
      </c>
      <c r="I74">
        <v>41.93</v>
      </c>
    </row>
    <row r="75" spans="1:13" x14ac:dyDescent="0.25">
      <c r="A75" t="str">
        <f t="shared" si="3"/>
        <v>D60C43697</v>
      </c>
      <c r="B75" t="s">
        <v>312</v>
      </c>
      <c r="C75" t="s">
        <v>311</v>
      </c>
      <c r="D75" s="9">
        <v>43697</v>
      </c>
      <c r="E75">
        <v>4.4000000000000004</v>
      </c>
      <c r="F75">
        <f t="shared" si="4"/>
        <v>4400</v>
      </c>
      <c r="G75">
        <v>0.75</v>
      </c>
      <c r="H75" s="25">
        <f t="shared" si="5"/>
        <v>750</v>
      </c>
      <c r="I75" s="23">
        <v>6788.1</v>
      </c>
    </row>
    <row r="76" spans="1:13" x14ac:dyDescent="0.25">
      <c r="A76" t="str">
        <f t="shared" si="3"/>
        <v>D61A43676</v>
      </c>
      <c r="B76" t="s">
        <v>314</v>
      </c>
      <c r="C76" t="s">
        <v>313</v>
      </c>
      <c r="D76" s="9">
        <v>43676</v>
      </c>
      <c r="E76">
        <v>0.04</v>
      </c>
      <c r="F76">
        <f t="shared" si="4"/>
        <v>40</v>
      </c>
      <c r="G76">
        <v>0.03</v>
      </c>
      <c r="H76" s="25">
        <f t="shared" si="5"/>
        <v>30</v>
      </c>
      <c r="I76">
        <v>17.28</v>
      </c>
    </row>
    <row r="77" spans="1:13" x14ac:dyDescent="0.25">
      <c r="A77" t="str">
        <f t="shared" si="3"/>
        <v>D61B43676</v>
      </c>
      <c r="B77" t="s">
        <v>315</v>
      </c>
      <c r="C77" t="s">
        <v>103</v>
      </c>
      <c r="D77" s="9">
        <v>43676</v>
      </c>
      <c r="E77">
        <v>1.63</v>
      </c>
      <c r="F77">
        <f t="shared" si="4"/>
        <v>1630</v>
      </c>
      <c r="G77" s="23">
        <v>5.4000000000000003E-3</v>
      </c>
      <c r="H77" s="25">
        <f t="shared" si="5"/>
        <v>5.4</v>
      </c>
      <c r="I77">
        <v>85.53</v>
      </c>
    </row>
    <row r="78" spans="1:13" x14ac:dyDescent="0.25">
      <c r="A78" t="str">
        <f t="shared" si="3"/>
        <v>D61B43641</v>
      </c>
      <c r="B78" t="s">
        <v>316</v>
      </c>
      <c r="C78" t="s">
        <v>103</v>
      </c>
      <c r="D78" s="9">
        <v>43641</v>
      </c>
      <c r="E78">
        <v>0.4</v>
      </c>
      <c r="F78">
        <f t="shared" si="4"/>
        <v>400</v>
      </c>
      <c r="G78" s="23">
        <v>5.3600000000000002E-3</v>
      </c>
      <c r="H78" s="25">
        <f t="shared" si="5"/>
        <v>5.36</v>
      </c>
      <c r="I78" s="23">
        <v>1490</v>
      </c>
    </row>
    <row r="79" spans="1:13" x14ac:dyDescent="0.25">
      <c r="A79" t="str">
        <f t="shared" si="3"/>
        <v>D61C43676</v>
      </c>
      <c r="B79" t="s">
        <v>318</v>
      </c>
      <c r="C79" t="s">
        <v>317</v>
      </c>
      <c r="D79" s="9">
        <v>43676</v>
      </c>
      <c r="E79">
        <v>0.13</v>
      </c>
      <c r="F79">
        <f t="shared" si="4"/>
        <v>130</v>
      </c>
      <c r="G79">
        <v>0.01</v>
      </c>
      <c r="H79" s="25">
        <f t="shared" si="5"/>
        <v>10</v>
      </c>
      <c r="I79">
        <v>3.93</v>
      </c>
    </row>
    <row r="80" spans="1:13" x14ac:dyDescent="0.25">
      <c r="A80" t="str">
        <f t="shared" si="3"/>
        <v>D62B43678</v>
      </c>
      <c r="B80" t="s">
        <v>320</v>
      </c>
      <c r="C80" t="s">
        <v>319</v>
      </c>
      <c r="D80" s="9">
        <v>43678</v>
      </c>
      <c r="E80">
        <v>0.08</v>
      </c>
      <c r="F80">
        <f t="shared" si="4"/>
        <v>80</v>
      </c>
      <c r="G80" s="23">
        <v>6.6699999999999997E-3</v>
      </c>
      <c r="H80" s="25">
        <f t="shared" si="5"/>
        <v>6.67</v>
      </c>
      <c r="I80">
        <v>6.12</v>
      </c>
    </row>
    <row r="81" spans="1:12" x14ac:dyDescent="0.25">
      <c r="A81" t="str">
        <f t="shared" si="3"/>
        <v>D62C43678</v>
      </c>
      <c r="B81" t="s">
        <v>322</v>
      </c>
      <c r="C81" t="s">
        <v>321</v>
      </c>
      <c r="D81" s="9">
        <v>43678</v>
      </c>
      <c r="E81">
        <v>0.05</v>
      </c>
      <c r="F81">
        <f t="shared" si="4"/>
        <v>50</v>
      </c>
      <c r="G81">
        <v>0.16</v>
      </c>
      <c r="H81" s="25">
        <f t="shared" si="5"/>
        <v>160</v>
      </c>
      <c r="I81">
        <v>113.97</v>
      </c>
    </row>
    <row r="82" spans="1:12" x14ac:dyDescent="0.25">
      <c r="A82" t="str">
        <f t="shared" si="3"/>
        <v>D62E43678</v>
      </c>
      <c r="B82" t="s">
        <v>324</v>
      </c>
      <c r="C82" t="s">
        <v>323</v>
      </c>
      <c r="D82" s="9">
        <v>43678</v>
      </c>
      <c r="E82">
        <v>0.03</v>
      </c>
      <c r="F82">
        <f t="shared" si="4"/>
        <v>30</v>
      </c>
      <c r="G82">
        <v>0.86</v>
      </c>
      <c r="H82" s="25">
        <f t="shared" si="5"/>
        <v>860</v>
      </c>
      <c r="I82">
        <v>710.52</v>
      </c>
      <c r="L82" s="23"/>
    </row>
    <row r="83" spans="1:12" x14ac:dyDescent="0.25">
      <c r="A83" t="str">
        <f t="shared" si="3"/>
        <v>D63A43689</v>
      </c>
      <c r="B83" t="s">
        <v>326</v>
      </c>
      <c r="C83" t="s">
        <v>325</v>
      </c>
      <c r="D83" s="9">
        <v>43689</v>
      </c>
      <c r="E83">
        <v>0.05</v>
      </c>
      <c r="F83">
        <f t="shared" si="4"/>
        <v>50</v>
      </c>
      <c r="G83">
        <v>0.64</v>
      </c>
      <c r="H83" s="25">
        <f t="shared" si="5"/>
        <v>640</v>
      </c>
      <c r="I83">
        <v>198.44</v>
      </c>
    </row>
    <row r="84" spans="1:12" x14ac:dyDescent="0.25">
      <c r="A84" t="str">
        <f t="shared" si="3"/>
        <v>D63B43689</v>
      </c>
      <c r="B84" t="s">
        <v>328</v>
      </c>
      <c r="C84" t="s">
        <v>327</v>
      </c>
      <c r="D84" s="9">
        <v>43689</v>
      </c>
      <c r="E84">
        <v>0.09</v>
      </c>
      <c r="F84">
        <f t="shared" si="4"/>
        <v>90</v>
      </c>
      <c r="G84" s="23">
        <v>6.8300000000000001E-3</v>
      </c>
      <c r="H84" s="25">
        <f t="shared" si="5"/>
        <v>6.83</v>
      </c>
      <c r="I84">
        <v>5.26</v>
      </c>
    </row>
    <row r="85" spans="1:12" x14ac:dyDescent="0.25">
      <c r="A85" t="str">
        <f t="shared" si="3"/>
        <v>D64A43696</v>
      </c>
      <c r="B85" t="s">
        <v>330</v>
      </c>
      <c r="C85" t="s">
        <v>329</v>
      </c>
      <c r="D85" s="9">
        <v>43696</v>
      </c>
      <c r="E85">
        <v>0.04</v>
      </c>
      <c r="F85">
        <f t="shared" si="4"/>
        <v>40</v>
      </c>
      <c r="G85" s="23">
        <v>6.4900000000000001E-3</v>
      </c>
      <c r="H85" s="25">
        <f t="shared" si="5"/>
        <v>6.49</v>
      </c>
      <c r="I85">
        <v>14.73</v>
      </c>
    </row>
    <row r="86" spans="1:12" x14ac:dyDescent="0.25">
      <c r="A86" t="str">
        <f t="shared" si="3"/>
        <v>D64B43696</v>
      </c>
      <c r="B86" t="s">
        <v>332</v>
      </c>
      <c r="C86" t="s">
        <v>331</v>
      </c>
      <c r="D86" s="9">
        <v>43696</v>
      </c>
      <c r="E86">
        <v>0.21</v>
      </c>
      <c r="F86">
        <f t="shared" si="4"/>
        <v>210</v>
      </c>
      <c r="G86">
        <v>0.03</v>
      </c>
      <c r="H86" s="25">
        <f t="shared" si="5"/>
        <v>30</v>
      </c>
      <c r="I86">
        <v>450.52</v>
      </c>
    </row>
    <row r="87" spans="1:12" x14ac:dyDescent="0.25">
      <c r="A87" t="str">
        <f t="shared" si="3"/>
        <v>D64C43696</v>
      </c>
      <c r="B87" t="s">
        <v>334</v>
      </c>
      <c r="C87" t="s">
        <v>333</v>
      </c>
      <c r="D87" s="9">
        <v>43696</v>
      </c>
      <c r="E87">
        <v>0.17</v>
      </c>
      <c r="F87">
        <f t="shared" si="4"/>
        <v>170</v>
      </c>
      <c r="G87">
        <v>0.03</v>
      </c>
      <c r="H87" s="25">
        <f t="shared" si="5"/>
        <v>30</v>
      </c>
      <c r="I87">
        <v>149.57</v>
      </c>
    </row>
    <row r="88" spans="1:12" x14ac:dyDescent="0.25">
      <c r="A88" t="str">
        <f t="shared" si="3"/>
        <v>D6543690</v>
      </c>
      <c r="B88" t="s">
        <v>335</v>
      </c>
      <c r="C88" t="s">
        <v>140</v>
      </c>
      <c r="D88" s="9">
        <v>43690</v>
      </c>
      <c r="E88">
        <v>0.08</v>
      </c>
      <c r="F88">
        <f t="shared" si="4"/>
        <v>80</v>
      </c>
      <c r="G88" s="23">
        <v>5.1700000000000001E-3</v>
      </c>
      <c r="H88" s="25">
        <f t="shared" si="5"/>
        <v>5.17</v>
      </c>
      <c r="I88">
        <v>30.7</v>
      </c>
    </row>
    <row r="89" spans="1:12" x14ac:dyDescent="0.25">
      <c r="A89" t="str">
        <f t="shared" si="3"/>
        <v>D6543658</v>
      </c>
      <c r="B89" t="s">
        <v>336</v>
      </c>
      <c r="C89" t="s">
        <v>140</v>
      </c>
      <c r="D89" s="9">
        <v>43658</v>
      </c>
      <c r="E89" s="23">
        <v>1.7799999999999999E-3</v>
      </c>
      <c r="F89">
        <f t="shared" si="4"/>
        <v>1.7799999999999998</v>
      </c>
      <c r="G89" s="23">
        <v>5.8900000000000003E-3</v>
      </c>
      <c r="H89" s="25">
        <f t="shared" si="5"/>
        <v>5.8900000000000006</v>
      </c>
      <c r="I89">
        <v>503.97</v>
      </c>
    </row>
    <row r="90" spans="1:12" x14ac:dyDescent="0.25">
      <c r="A90" t="str">
        <f t="shared" si="3"/>
        <v>D66A43679</v>
      </c>
      <c r="B90" t="s">
        <v>338</v>
      </c>
      <c r="C90" t="s">
        <v>337</v>
      </c>
      <c r="D90" s="9">
        <v>43679</v>
      </c>
      <c r="E90">
        <v>0.04</v>
      </c>
      <c r="F90">
        <f t="shared" si="4"/>
        <v>40</v>
      </c>
      <c r="G90" s="23">
        <v>6.4599999999999996E-3</v>
      </c>
      <c r="H90" s="25">
        <f t="shared" si="5"/>
        <v>6.46</v>
      </c>
      <c r="I90">
        <v>11.52</v>
      </c>
    </row>
    <row r="91" spans="1:12" x14ac:dyDescent="0.25">
      <c r="A91" t="str">
        <f t="shared" si="3"/>
        <v>D66B43679</v>
      </c>
      <c r="B91" t="s">
        <v>340</v>
      </c>
      <c r="C91" t="s">
        <v>339</v>
      </c>
      <c r="D91" s="9">
        <v>43679</v>
      </c>
      <c r="E91">
        <v>7.0000000000000007E-2</v>
      </c>
      <c r="F91">
        <f t="shared" si="4"/>
        <v>70</v>
      </c>
      <c r="G91">
        <v>0.01</v>
      </c>
      <c r="H91" s="25">
        <f t="shared" si="5"/>
        <v>10</v>
      </c>
      <c r="I91">
        <v>3.33</v>
      </c>
    </row>
    <row r="92" spans="1:12" x14ac:dyDescent="0.25">
      <c r="A92" t="str">
        <f t="shared" si="3"/>
        <v>D66C43679</v>
      </c>
      <c r="B92" t="s">
        <v>342</v>
      </c>
      <c r="C92" t="s">
        <v>341</v>
      </c>
      <c r="D92" s="9">
        <v>43679</v>
      </c>
      <c r="E92">
        <v>7.0000000000000007E-2</v>
      </c>
      <c r="F92">
        <f t="shared" si="4"/>
        <v>70</v>
      </c>
      <c r="G92">
        <v>0.1</v>
      </c>
      <c r="H92" s="25">
        <f t="shared" si="5"/>
        <v>100</v>
      </c>
      <c r="I92" s="23">
        <v>1872</v>
      </c>
    </row>
    <row r="93" spans="1:12" x14ac:dyDescent="0.25">
      <c r="A93" t="str">
        <f t="shared" si="3"/>
        <v>D67A43684</v>
      </c>
      <c r="B93" t="s">
        <v>344</v>
      </c>
      <c r="C93" t="s">
        <v>343</v>
      </c>
      <c r="D93" s="9">
        <v>43684</v>
      </c>
      <c r="E93">
        <v>7.0000000000000007E-2</v>
      </c>
      <c r="F93">
        <f t="shared" si="4"/>
        <v>70</v>
      </c>
      <c r="G93">
        <v>7.5</v>
      </c>
      <c r="H93" s="25">
        <f t="shared" si="5"/>
        <v>7500</v>
      </c>
      <c r="I93" s="23">
        <v>5535</v>
      </c>
    </row>
    <row r="94" spans="1:12" x14ac:dyDescent="0.25">
      <c r="A94" t="str">
        <f t="shared" si="3"/>
        <v>D67B43684</v>
      </c>
      <c r="B94" t="s">
        <v>346</v>
      </c>
      <c r="C94" t="s">
        <v>345</v>
      </c>
      <c r="D94" s="9">
        <v>43684</v>
      </c>
      <c r="E94">
        <v>0.04</v>
      </c>
      <c r="F94">
        <f t="shared" si="4"/>
        <v>40</v>
      </c>
      <c r="G94">
        <v>0.44</v>
      </c>
      <c r="H94" s="25">
        <f t="shared" si="5"/>
        <v>440</v>
      </c>
      <c r="I94">
        <v>374.53</v>
      </c>
    </row>
    <row r="95" spans="1:12" x14ac:dyDescent="0.25">
      <c r="A95" t="str">
        <f t="shared" si="3"/>
        <v>D69A43693</v>
      </c>
      <c r="B95" t="s">
        <v>348</v>
      </c>
      <c r="C95" t="s">
        <v>347</v>
      </c>
      <c r="D95" s="9">
        <v>43693</v>
      </c>
      <c r="E95">
        <v>0.1</v>
      </c>
      <c r="F95">
        <f t="shared" si="4"/>
        <v>100</v>
      </c>
      <c r="G95">
        <v>0.03</v>
      </c>
      <c r="H95" s="25">
        <f t="shared" si="5"/>
        <v>30</v>
      </c>
      <c r="I95">
        <v>17.05</v>
      </c>
    </row>
    <row r="96" spans="1:12" x14ac:dyDescent="0.25">
      <c r="A96" t="str">
        <f t="shared" si="3"/>
        <v>D69B43693</v>
      </c>
      <c r="B96" t="s">
        <v>350</v>
      </c>
      <c r="C96" t="s">
        <v>349</v>
      </c>
      <c r="D96" s="9">
        <v>43693</v>
      </c>
      <c r="E96">
        <v>0.02</v>
      </c>
      <c r="F96">
        <f t="shared" si="4"/>
        <v>20</v>
      </c>
      <c r="G96" s="23">
        <v>1.41E-3</v>
      </c>
      <c r="H96" s="25">
        <f t="shared" si="5"/>
        <v>1.41</v>
      </c>
      <c r="I96">
        <v>0.18</v>
      </c>
    </row>
    <row r="97" spans="1:9" x14ac:dyDescent="0.25">
      <c r="A97" t="str">
        <f t="shared" si="3"/>
        <v>D69C43693</v>
      </c>
      <c r="B97" t="s">
        <v>352</v>
      </c>
      <c r="C97" t="s">
        <v>351</v>
      </c>
      <c r="D97" s="9">
        <v>43693</v>
      </c>
      <c r="E97">
        <v>0.08</v>
      </c>
      <c r="F97">
        <f t="shared" si="4"/>
        <v>80</v>
      </c>
      <c r="G97">
        <v>0.2</v>
      </c>
      <c r="H97" s="25">
        <f t="shared" si="5"/>
        <v>200</v>
      </c>
      <c r="I97">
        <v>4.0999999999999996</v>
      </c>
    </row>
    <row r="98" spans="1:9" x14ac:dyDescent="0.25">
      <c r="A98" t="str">
        <f t="shared" si="3"/>
        <v>D70A43693</v>
      </c>
      <c r="B98" t="s">
        <v>354</v>
      </c>
      <c r="C98" t="s">
        <v>353</v>
      </c>
      <c r="D98" s="9">
        <v>43693</v>
      </c>
      <c r="E98">
        <v>0.04</v>
      </c>
      <c r="F98">
        <f t="shared" si="4"/>
        <v>40</v>
      </c>
      <c r="G98">
        <v>7.0000000000000007E-2</v>
      </c>
      <c r="H98" s="25">
        <f t="shared" si="5"/>
        <v>70</v>
      </c>
      <c r="I98">
        <v>754.51</v>
      </c>
    </row>
    <row r="99" spans="1:9" x14ac:dyDescent="0.25">
      <c r="A99" t="str">
        <f t="shared" si="3"/>
        <v>D70B43693</v>
      </c>
      <c r="B99" t="s">
        <v>356</v>
      </c>
      <c r="C99" t="s">
        <v>355</v>
      </c>
      <c r="D99" s="9">
        <v>43693</v>
      </c>
      <c r="E99">
        <v>0.13</v>
      </c>
      <c r="F99">
        <f t="shared" si="4"/>
        <v>130</v>
      </c>
      <c r="G99" s="23">
        <v>3.3399999999999999E-4</v>
      </c>
      <c r="H99" s="25">
        <f t="shared" si="5"/>
        <v>0.33399999999999996</v>
      </c>
      <c r="I99">
        <v>8.89</v>
      </c>
    </row>
    <row r="100" spans="1:9" x14ac:dyDescent="0.25">
      <c r="A100" t="str">
        <f t="shared" si="3"/>
        <v>D70C43693</v>
      </c>
      <c r="B100" t="s">
        <v>358</v>
      </c>
      <c r="C100" t="s">
        <v>357</v>
      </c>
      <c r="D100" s="9">
        <v>43693</v>
      </c>
      <c r="E100">
        <v>0.04</v>
      </c>
      <c r="F100">
        <f t="shared" si="4"/>
        <v>40</v>
      </c>
      <c r="G100">
        <v>0.02</v>
      </c>
      <c r="H100" s="25">
        <f t="shared" si="5"/>
        <v>20</v>
      </c>
      <c r="I100">
        <v>7.85</v>
      </c>
    </row>
    <row r="101" spans="1:9" x14ac:dyDescent="0.25">
      <c r="A101" t="str">
        <f t="shared" si="3"/>
        <v>D74A43703</v>
      </c>
      <c r="B101" t="s">
        <v>360</v>
      </c>
      <c r="C101" t="s">
        <v>359</v>
      </c>
      <c r="D101" s="9">
        <v>43703</v>
      </c>
      <c r="E101">
        <v>0.08</v>
      </c>
      <c r="F101">
        <f t="shared" si="4"/>
        <v>80</v>
      </c>
      <c r="G101" s="23">
        <v>3.8300000000000001E-3</v>
      </c>
      <c r="H101" s="25">
        <f t="shared" si="5"/>
        <v>3.83</v>
      </c>
      <c r="I101">
        <v>28.32</v>
      </c>
    </row>
    <row r="102" spans="1:9" x14ac:dyDescent="0.25">
      <c r="A102" t="str">
        <f t="shared" si="3"/>
        <v>D74B43703</v>
      </c>
      <c r="B102" t="s">
        <v>362</v>
      </c>
      <c r="C102" t="s">
        <v>361</v>
      </c>
      <c r="D102" s="9">
        <v>43703</v>
      </c>
      <c r="E102">
        <v>0.08</v>
      </c>
      <c r="F102">
        <f t="shared" si="4"/>
        <v>80</v>
      </c>
      <c r="G102" s="23">
        <v>8.4399999999999996E-3</v>
      </c>
      <c r="H102" s="25">
        <f t="shared" si="5"/>
        <v>8.44</v>
      </c>
      <c r="I102">
        <v>5.88</v>
      </c>
    </row>
    <row r="103" spans="1:9" x14ac:dyDescent="0.25">
      <c r="A103" t="str">
        <f t="shared" si="3"/>
        <v>D74C43703</v>
      </c>
      <c r="B103" t="s">
        <v>364</v>
      </c>
      <c r="C103" t="s">
        <v>363</v>
      </c>
      <c r="D103" s="9">
        <v>43703</v>
      </c>
      <c r="E103">
        <v>3.55</v>
      </c>
      <c r="F103">
        <f t="shared" si="4"/>
        <v>3550</v>
      </c>
      <c r="G103">
        <v>0.1</v>
      </c>
      <c r="H103" s="25">
        <f t="shared" si="5"/>
        <v>100</v>
      </c>
      <c r="I103">
        <v>392.23</v>
      </c>
    </row>
    <row r="104" spans="1:9" x14ac:dyDescent="0.25">
      <c r="A104" t="str">
        <f t="shared" si="3"/>
        <v>D7543686</v>
      </c>
      <c r="B104" t="s">
        <v>365</v>
      </c>
      <c r="C104" t="s">
        <v>96</v>
      </c>
      <c r="D104" s="9">
        <v>43686</v>
      </c>
      <c r="E104" s="23">
        <v>5.2599999999999999E-3</v>
      </c>
      <c r="F104">
        <f t="shared" si="4"/>
        <v>5.26</v>
      </c>
      <c r="G104">
        <v>0.13</v>
      </c>
      <c r="H104" s="25">
        <f t="shared" si="5"/>
        <v>130</v>
      </c>
      <c r="I104">
        <v>144.97999999999999</v>
      </c>
    </row>
    <row r="105" spans="1:9" x14ac:dyDescent="0.25">
      <c r="A105" t="str">
        <f t="shared" si="3"/>
        <v>D7543640</v>
      </c>
      <c r="B105" t="s">
        <v>366</v>
      </c>
      <c r="C105" t="s">
        <v>96</v>
      </c>
      <c r="D105" s="9">
        <v>43640</v>
      </c>
      <c r="E105">
        <v>0.01</v>
      </c>
      <c r="F105">
        <f t="shared" si="4"/>
        <v>10</v>
      </c>
      <c r="G105">
        <v>0.37</v>
      </c>
      <c r="H105" s="25">
        <f t="shared" si="5"/>
        <v>370</v>
      </c>
      <c r="I105">
        <v>731.22</v>
      </c>
    </row>
    <row r="106" spans="1:9" x14ac:dyDescent="0.25">
      <c r="A106" t="str">
        <f t="shared" si="3"/>
        <v>D7643651</v>
      </c>
      <c r="B106" t="s">
        <v>367</v>
      </c>
      <c r="C106" t="s">
        <v>125</v>
      </c>
      <c r="D106" s="9">
        <v>43651</v>
      </c>
      <c r="E106">
        <v>0.15</v>
      </c>
      <c r="F106">
        <f t="shared" si="4"/>
        <v>150</v>
      </c>
      <c r="G106">
        <v>0.01</v>
      </c>
      <c r="H106" s="25">
        <f t="shared" si="5"/>
        <v>10</v>
      </c>
      <c r="I106">
        <v>4.53</v>
      </c>
    </row>
    <row r="107" spans="1:9" x14ac:dyDescent="0.25">
      <c r="A107" t="str">
        <f t="shared" si="3"/>
        <v>D7A43697</v>
      </c>
      <c r="B107" t="s">
        <v>369</v>
      </c>
      <c r="C107" t="s">
        <v>368</v>
      </c>
      <c r="D107" s="9">
        <v>43697</v>
      </c>
      <c r="E107">
        <v>0.1</v>
      </c>
      <c r="F107">
        <f t="shared" si="4"/>
        <v>100</v>
      </c>
      <c r="G107" s="23">
        <v>3.68E-4</v>
      </c>
      <c r="H107" s="25">
        <f t="shared" si="5"/>
        <v>0.36799999999999999</v>
      </c>
      <c r="I107">
        <v>3.25</v>
      </c>
    </row>
    <row r="108" spans="1:9" x14ac:dyDescent="0.25">
      <c r="A108" t="str">
        <f t="shared" si="3"/>
        <v>D7B43697</v>
      </c>
      <c r="B108" t="s">
        <v>371</v>
      </c>
      <c r="C108" t="s">
        <v>370</v>
      </c>
      <c r="D108" s="9">
        <v>43697</v>
      </c>
      <c r="E108">
        <v>0.06</v>
      </c>
      <c r="F108">
        <f t="shared" si="4"/>
        <v>60</v>
      </c>
      <c r="G108">
        <v>0.04</v>
      </c>
      <c r="H108" s="25">
        <f t="shared" si="5"/>
        <v>40</v>
      </c>
      <c r="I108">
        <v>31.17</v>
      </c>
    </row>
    <row r="109" spans="1:9" x14ac:dyDescent="0.25">
      <c r="A109" t="str">
        <f t="shared" si="3"/>
        <v>D7I43697</v>
      </c>
      <c r="B109" t="s">
        <v>373</v>
      </c>
      <c r="C109" t="s">
        <v>372</v>
      </c>
      <c r="D109" s="9">
        <v>43697</v>
      </c>
      <c r="E109">
        <v>0.34</v>
      </c>
      <c r="F109">
        <f t="shared" si="4"/>
        <v>340</v>
      </c>
      <c r="G109">
        <v>0.16</v>
      </c>
      <c r="H109" s="25">
        <f t="shared" si="5"/>
        <v>160</v>
      </c>
      <c r="I109">
        <v>79</v>
      </c>
    </row>
    <row r="110" spans="1:9" x14ac:dyDescent="0.25">
      <c r="A110" t="str">
        <f t="shared" si="3"/>
        <v>D8C43689</v>
      </c>
      <c r="B110" t="s">
        <v>375</v>
      </c>
      <c r="C110" t="s">
        <v>374</v>
      </c>
      <c r="D110" s="9">
        <v>43689</v>
      </c>
      <c r="E110">
        <v>0.5</v>
      </c>
      <c r="F110">
        <f t="shared" si="4"/>
        <v>500</v>
      </c>
      <c r="G110">
        <v>0.03</v>
      </c>
      <c r="H110" s="25">
        <f t="shared" si="5"/>
        <v>30</v>
      </c>
      <c r="I110" s="23">
        <v>1580.5</v>
      </c>
    </row>
    <row r="111" spans="1:9" x14ac:dyDescent="0.25">
      <c r="A111" t="str">
        <f t="shared" si="3"/>
        <v>D8E43657</v>
      </c>
      <c r="B111" t="s">
        <v>376</v>
      </c>
      <c r="C111" t="s">
        <v>143</v>
      </c>
      <c r="D111" s="9">
        <v>43657</v>
      </c>
      <c r="E111">
        <v>0.14000000000000001</v>
      </c>
      <c r="F111">
        <f t="shared" si="4"/>
        <v>140</v>
      </c>
      <c r="G111" s="23">
        <v>4.1900000000000001E-3</v>
      </c>
      <c r="H111" s="25">
        <f t="shared" si="5"/>
        <v>4.1900000000000004</v>
      </c>
      <c r="I111">
        <v>91.64</v>
      </c>
    </row>
    <row r="112" spans="1:9" x14ac:dyDescent="0.25">
      <c r="A112" t="str">
        <f t="shared" si="3"/>
        <v>D8F43689</v>
      </c>
      <c r="B112" t="s">
        <v>378</v>
      </c>
      <c r="C112" t="s">
        <v>377</v>
      </c>
      <c r="D112" s="9">
        <v>43689</v>
      </c>
      <c r="E112">
        <v>9.44</v>
      </c>
      <c r="F112">
        <f t="shared" si="4"/>
        <v>9440</v>
      </c>
      <c r="G112">
        <v>0.42</v>
      </c>
      <c r="H112" s="25">
        <f t="shared" si="5"/>
        <v>420</v>
      </c>
      <c r="I112" s="23">
        <v>10200</v>
      </c>
    </row>
    <row r="113" spans="1:9" x14ac:dyDescent="0.25">
      <c r="A113" t="str">
        <f t="shared" si="3"/>
        <v>D8G43690</v>
      </c>
      <c r="B113" t="s">
        <v>379</v>
      </c>
      <c r="C113" t="s">
        <v>136</v>
      </c>
      <c r="D113" s="9">
        <v>43690</v>
      </c>
      <c r="E113">
        <v>7.0000000000000007E-2</v>
      </c>
      <c r="F113">
        <f t="shared" si="4"/>
        <v>70</v>
      </c>
      <c r="G113">
        <v>0.19</v>
      </c>
      <c r="H113" s="25">
        <f t="shared" si="5"/>
        <v>190</v>
      </c>
      <c r="I113">
        <v>48.54</v>
      </c>
    </row>
    <row r="114" spans="1:9" x14ac:dyDescent="0.25">
      <c r="A114" t="str">
        <f t="shared" si="3"/>
        <v>D8G43657</v>
      </c>
      <c r="B114" t="s">
        <v>380</v>
      </c>
      <c r="C114" t="s">
        <v>136</v>
      </c>
      <c r="D114" s="9">
        <v>43657</v>
      </c>
      <c r="E114">
        <v>0.03</v>
      </c>
      <c r="F114">
        <f t="shared" si="4"/>
        <v>30</v>
      </c>
      <c r="G114">
        <v>0.22</v>
      </c>
      <c r="H114" s="25">
        <f t="shared" si="5"/>
        <v>220</v>
      </c>
      <c r="I114">
        <v>339.07</v>
      </c>
    </row>
    <row r="115" spans="1:9" x14ac:dyDescent="0.25">
      <c r="A115" t="str">
        <f t="shared" si="3"/>
        <v>W10E43644</v>
      </c>
      <c r="B115" t="s">
        <v>381</v>
      </c>
      <c r="C115" t="s">
        <v>111</v>
      </c>
      <c r="D115" s="9">
        <v>43644</v>
      </c>
      <c r="E115">
        <v>0.1</v>
      </c>
      <c r="F115">
        <f t="shared" si="4"/>
        <v>100</v>
      </c>
      <c r="G115" s="23">
        <v>1.83E-3</v>
      </c>
      <c r="H115" s="25">
        <f t="shared" si="5"/>
        <v>1.83</v>
      </c>
      <c r="I115">
        <v>6.69</v>
      </c>
    </row>
    <row r="116" spans="1:9" x14ac:dyDescent="0.25">
      <c r="A116" t="str">
        <f t="shared" si="3"/>
        <v>W14A43640</v>
      </c>
      <c r="B116" t="s">
        <v>382</v>
      </c>
      <c r="C116" t="s">
        <v>100</v>
      </c>
      <c r="D116" s="9">
        <v>43640</v>
      </c>
      <c r="E116">
        <v>0.16</v>
      </c>
      <c r="F116">
        <f t="shared" si="4"/>
        <v>160</v>
      </c>
      <c r="G116">
        <v>0.37</v>
      </c>
      <c r="H116" s="25">
        <f t="shared" si="5"/>
        <v>370</v>
      </c>
      <c r="I116">
        <v>67.12</v>
      </c>
    </row>
    <row r="117" spans="1:9" x14ac:dyDescent="0.25">
      <c r="A117" t="str">
        <f t="shared" si="3"/>
        <v>W2043636</v>
      </c>
      <c r="B117" t="s">
        <v>383</v>
      </c>
      <c r="C117" t="s">
        <v>94</v>
      </c>
      <c r="D117" s="9">
        <v>43636</v>
      </c>
      <c r="E117">
        <v>0.02</v>
      </c>
      <c r="F117">
        <f t="shared" si="4"/>
        <v>20</v>
      </c>
      <c r="G117">
        <v>0.04</v>
      </c>
      <c r="H117" s="25">
        <f t="shared" si="5"/>
        <v>40</v>
      </c>
      <c r="I117">
        <v>169.3</v>
      </c>
    </row>
    <row r="118" spans="1:9" x14ac:dyDescent="0.25">
      <c r="A118" t="str">
        <f t="shared" si="3"/>
        <v>W31A43649</v>
      </c>
      <c r="B118" t="s">
        <v>384</v>
      </c>
      <c r="C118" t="s">
        <v>123</v>
      </c>
      <c r="D118" s="9">
        <v>43649</v>
      </c>
      <c r="E118">
        <v>0.26</v>
      </c>
      <c r="F118">
        <f t="shared" si="4"/>
        <v>260</v>
      </c>
      <c r="G118">
        <v>0.05</v>
      </c>
      <c r="H118" s="25">
        <f t="shared" si="5"/>
        <v>50</v>
      </c>
      <c r="I118">
        <v>15.42</v>
      </c>
    </row>
    <row r="119" spans="1:9" x14ac:dyDescent="0.25">
      <c r="A119" t="str">
        <f t="shared" si="3"/>
        <v>W31B43648</v>
      </c>
      <c r="B119" t="s">
        <v>385</v>
      </c>
      <c r="C119" t="s">
        <v>116</v>
      </c>
      <c r="D119" s="9">
        <v>43648</v>
      </c>
      <c r="E119">
        <v>0.28000000000000003</v>
      </c>
      <c r="F119">
        <f t="shared" si="4"/>
        <v>280</v>
      </c>
      <c r="G119">
        <v>0.24</v>
      </c>
      <c r="H119" s="25">
        <f t="shared" si="5"/>
        <v>240</v>
      </c>
      <c r="I119">
        <v>6.77</v>
      </c>
    </row>
    <row r="120" spans="1:9" x14ac:dyDescent="0.25">
      <c r="A120" t="str">
        <f t="shared" si="3"/>
        <v>W31C43648</v>
      </c>
      <c r="B120" t="s">
        <v>386</v>
      </c>
      <c r="C120" t="s">
        <v>120</v>
      </c>
      <c r="D120" s="9">
        <v>43648</v>
      </c>
      <c r="E120">
        <v>0.02</v>
      </c>
      <c r="F120">
        <f t="shared" si="4"/>
        <v>20</v>
      </c>
      <c r="G120">
        <v>0.63</v>
      </c>
      <c r="H120" s="25">
        <f t="shared" si="5"/>
        <v>630</v>
      </c>
      <c r="I120">
        <v>162.15</v>
      </c>
    </row>
    <row r="121" spans="1:9" x14ac:dyDescent="0.25">
      <c r="A121" t="str">
        <f t="shared" si="3"/>
        <v>W44B43654</v>
      </c>
      <c r="B121" t="s">
        <v>387</v>
      </c>
      <c r="C121" t="s">
        <v>134</v>
      </c>
      <c r="D121" s="9">
        <v>43654</v>
      </c>
      <c r="E121">
        <v>0.14000000000000001</v>
      </c>
      <c r="F121">
        <f t="shared" si="4"/>
        <v>140</v>
      </c>
      <c r="G121">
        <v>0.19</v>
      </c>
      <c r="H121" s="25">
        <f t="shared" si="5"/>
        <v>190</v>
      </c>
      <c r="I121">
        <v>5.19</v>
      </c>
    </row>
    <row r="122" spans="1:9" x14ac:dyDescent="0.25">
      <c r="A122" t="str">
        <f t="shared" si="3"/>
        <v>W543643</v>
      </c>
      <c r="B122" t="s">
        <v>388</v>
      </c>
      <c r="C122" t="s">
        <v>107</v>
      </c>
      <c r="D122" s="9">
        <v>43643</v>
      </c>
      <c r="E122">
        <v>0.26</v>
      </c>
      <c r="F122">
        <f t="shared" si="4"/>
        <v>260</v>
      </c>
      <c r="G122" s="23">
        <v>7.9600000000000001E-3</v>
      </c>
      <c r="H122" s="25">
        <f t="shared" si="5"/>
        <v>7.96</v>
      </c>
      <c r="I122">
        <v>36.479999999999997</v>
      </c>
    </row>
    <row r="123" spans="1:9" x14ac:dyDescent="0.25">
      <c r="A123" t="str">
        <f t="shared" si="3"/>
        <v>W5243636</v>
      </c>
      <c r="B123" t="s">
        <v>389</v>
      </c>
      <c r="C123" t="s">
        <v>91</v>
      </c>
      <c r="D123" s="9">
        <v>43636</v>
      </c>
      <c r="E123" s="23">
        <v>3.7399999999999998E-3</v>
      </c>
      <c r="F123">
        <f t="shared" si="4"/>
        <v>3.7399999999999998</v>
      </c>
      <c r="G123">
        <v>0.19</v>
      </c>
      <c r="H123" s="25">
        <f t="shared" si="5"/>
        <v>190</v>
      </c>
      <c r="I123">
        <v>121.74</v>
      </c>
    </row>
    <row r="124" spans="1:9" x14ac:dyDescent="0.25">
      <c r="A124" t="str">
        <f t="shared" si="3"/>
        <v>W56A43635</v>
      </c>
      <c r="B124" t="s">
        <v>390</v>
      </c>
      <c r="C124" t="s">
        <v>85</v>
      </c>
      <c r="D124" s="9">
        <v>43635</v>
      </c>
      <c r="E124">
        <v>0.04</v>
      </c>
      <c r="F124">
        <f t="shared" si="4"/>
        <v>40</v>
      </c>
      <c r="G124">
        <v>0.09</v>
      </c>
      <c r="H124" s="25">
        <f t="shared" si="5"/>
        <v>90</v>
      </c>
      <c r="I124">
        <v>119.67</v>
      </c>
    </row>
    <row r="125" spans="1:9" x14ac:dyDescent="0.25">
      <c r="A125" t="str">
        <f t="shared" si="3"/>
        <v>W56C43635</v>
      </c>
      <c r="B125" t="s">
        <v>391</v>
      </c>
      <c r="C125" t="s">
        <v>87</v>
      </c>
      <c r="D125" s="9">
        <v>43635</v>
      </c>
      <c r="E125">
        <v>0.04</v>
      </c>
      <c r="F125">
        <f t="shared" si="4"/>
        <v>40</v>
      </c>
      <c r="G125">
        <v>0.65</v>
      </c>
      <c r="H125" s="25">
        <f t="shared" si="5"/>
        <v>650</v>
      </c>
      <c r="I125">
        <v>493.71</v>
      </c>
    </row>
    <row r="126" spans="1:9" x14ac:dyDescent="0.25">
      <c r="A126" t="str">
        <f t="shared" si="3"/>
        <v>W56D43661</v>
      </c>
      <c r="B126" t="s">
        <v>392</v>
      </c>
      <c r="C126" t="s">
        <v>149</v>
      </c>
      <c r="D126" s="9">
        <v>43661</v>
      </c>
      <c r="E126">
        <v>0.13</v>
      </c>
      <c r="F126">
        <f t="shared" si="4"/>
        <v>130</v>
      </c>
      <c r="G126">
        <v>0.02</v>
      </c>
      <c r="H126" s="25">
        <f t="shared" si="5"/>
        <v>20</v>
      </c>
      <c r="I126">
        <v>12.34</v>
      </c>
    </row>
    <row r="127" spans="1:9" x14ac:dyDescent="0.25">
      <c r="A127" t="str">
        <f t="shared" si="3"/>
        <v>W57A43655</v>
      </c>
      <c r="B127" t="s">
        <v>393</v>
      </c>
      <c r="C127" t="s">
        <v>128</v>
      </c>
      <c r="D127" s="9">
        <v>43655</v>
      </c>
      <c r="E127" s="23">
        <v>1.6299999999999999E-3</v>
      </c>
      <c r="F127">
        <f t="shared" si="4"/>
        <v>1.63</v>
      </c>
      <c r="G127">
        <v>0.23</v>
      </c>
      <c r="H127" s="25">
        <f t="shared" si="5"/>
        <v>230</v>
      </c>
      <c r="I127">
        <v>113.51</v>
      </c>
    </row>
    <row r="128" spans="1:9" x14ac:dyDescent="0.25">
      <c r="A128" t="str">
        <f t="shared" si="3"/>
        <v>W57B43655</v>
      </c>
      <c r="B128" t="s">
        <v>394</v>
      </c>
      <c r="C128" t="s">
        <v>131</v>
      </c>
      <c r="D128" s="9">
        <v>43655</v>
      </c>
      <c r="E128">
        <v>0.03</v>
      </c>
      <c r="F128">
        <f t="shared" si="4"/>
        <v>30</v>
      </c>
      <c r="G128">
        <v>0.28999999999999998</v>
      </c>
      <c r="H128" s="25">
        <f t="shared" si="5"/>
        <v>290</v>
      </c>
      <c r="I128">
        <v>206.39</v>
      </c>
    </row>
    <row r="129" spans="1:9" x14ac:dyDescent="0.25">
      <c r="A129" t="str">
        <f t="shared" si="3"/>
        <v>W61B43641</v>
      </c>
      <c r="B129" t="s">
        <v>395</v>
      </c>
      <c r="C129" t="s">
        <v>104</v>
      </c>
      <c r="D129" s="9">
        <v>43641</v>
      </c>
      <c r="E129">
        <v>0.18</v>
      </c>
      <c r="F129">
        <f t="shared" si="4"/>
        <v>180</v>
      </c>
      <c r="G129">
        <v>0.02</v>
      </c>
      <c r="H129" s="25">
        <f t="shared" si="5"/>
        <v>20</v>
      </c>
      <c r="I129">
        <v>10.85</v>
      </c>
    </row>
    <row r="130" spans="1:9" x14ac:dyDescent="0.25">
      <c r="A130" t="str">
        <f t="shared" si="3"/>
        <v>W6543658</v>
      </c>
      <c r="B130" t="s">
        <v>396</v>
      </c>
      <c r="C130" t="s">
        <v>142</v>
      </c>
      <c r="D130" s="9">
        <v>43658</v>
      </c>
      <c r="E130">
        <v>0.03</v>
      </c>
      <c r="F130">
        <f t="shared" si="4"/>
        <v>30</v>
      </c>
      <c r="G130">
        <v>0.22</v>
      </c>
      <c r="H130" s="25">
        <f t="shared" si="5"/>
        <v>220</v>
      </c>
      <c r="I130">
        <v>286.19</v>
      </c>
    </row>
    <row r="131" spans="1:9" x14ac:dyDescent="0.25">
      <c r="A131" t="str">
        <f t="shared" ref="A131:A134" si="6">C131&amp;D131</f>
        <v>W7543640</v>
      </c>
      <c r="B131" t="s">
        <v>397</v>
      </c>
      <c r="C131" t="s">
        <v>97</v>
      </c>
      <c r="D131" s="9">
        <v>43640</v>
      </c>
      <c r="E131">
        <v>0.13</v>
      </c>
      <c r="F131">
        <f t="shared" ref="F131:F134" si="7">E131*1000</f>
        <v>130</v>
      </c>
      <c r="G131">
        <v>0.96</v>
      </c>
      <c r="H131" s="25">
        <f t="shared" ref="H131:H134" si="8">G131*1000</f>
        <v>960</v>
      </c>
      <c r="I131">
        <v>35.17</v>
      </c>
    </row>
    <row r="132" spans="1:9" x14ac:dyDescent="0.25">
      <c r="A132" t="str">
        <f t="shared" si="6"/>
        <v>W7643651</v>
      </c>
      <c r="B132" t="s">
        <v>398</v>
      </c>
      <c r="C132" t="s">
        <v>126</v>
      </c>
      <c r="D132" s="9">
        <v>43651</v>
      </c>
      <c r="E132">
        <v>0.03</v>
      </c>
      <c r="F132">
        <f t="shared" si="7"/>
        <v>30</v>
      </c>
      <c r="G132">
        <v>2.5</v>
      </c>
      <c r="H132" s="25">
        <f t="shared" si="8"/>
        <v>2500</v>
      </c>
      <c r="I132">
        <v>79.42</v>
      </c>
    </row>
    <row r="133" spans="1:9" x14ac:dyDescent="0.25">
      <c r="A133" t="str">
        <f t="shared" si="6"/>
        <v>W8E43657</v>
      </c>
      <c r="B133" t="s">
        <v>399</v>
      </c>
      <c r="C133" t="s">
        <v>144</v>
      </c>
      <c r="D133" s="9">
        <v>43657</v>
      </c>
      <c r="E133">
        <v>0.14000000000000001</v>
      </c>
      <c r="F133">
        <f t="shared" si="7"/>
        <v>140</v>
      </c>
      <c r="G133">
        <v>0.04</v>
      </c>
      <c r="H133" s="25">
        <f t="shared" si="8"/>
        <v>40</v>
      </c>
      <c r="I133">
        <v>7.15</v>
      </c>
    </row>
    <row r="134" spans="1:9" x14ac:dyDescent="0.25">
      <c r="A134" t="str">
        <f t="shared" si="6"/>
        <v>W8G43657</v>
      </c>
      <c r="B134" t="s">
        <v>400</v>
      </c>
      <c r="C134" t="s">
        <v>138</v>
      </c>
      <c r="D134" s="9">
        <v>43657</v>
      </c>
      <c r="E134">
        <v>0.02</v>
      </c>
      <c r="F134">
        <f t="shared" si="7"/>
        <v>20</v>
      </c>
      <c r="G134">
        <v>0.08</v>
      </c>
      <c r="H134" s="25">
        <f t="shared" si="8"/>
        <v>80</v>
      </c>
      <c r="I134">
        <v>304.86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topLeftCell="A49" workbookViewId="0">
      <selection activeCell="D61" sqref="D61"/>
    </sheetView>
  </sheetViews>
  <sheetFormatPr defaultColWidth="8.85546875" defaultRowHeight="15" x14ac:dyDescent="0.25"/>
  <cols>
    <col min="1" max="1" width="11" bestFit="1" customWidth="1"/>
    <col min="2" max="5" width="12.85546875" customWidth="1"/>
    <col min="6" max="6" width="15.85546875" customWidth="1"/>
    <col min="10" max="10" width="15.85546875" customWidth="1"/>
  </cols>
  <sheetData>
    <row r="1" spans="1:9" ht="15.75" thickBot="1" x14ac:dyDescent="0.3">
      <c r="A1" s="18" t="s">
        <v>1</v>
      </c>
      <c r="B1" s="18" t="s">
        <v>450</v>
      </c>
      <c r="C1" s="18" t="s">
        <v>0</v>
      </c>
      <c r="D1" s="18" t="s">
        <v>3</v>
      </c>
      <c r="E1" s="18" t="s">
        <v>456</v>
      </c>
      <c r="F1" s="18" t="s">
        <v>458</v>
      </c>
    </row>
    <row r="2" spans="1:9" ht="15.75" thickTop="1" x14ac:dyDescent="0.25">
      <c r="A2" t="str">
        <f>C2&amp;D2</f>
        <v>D10A43703</v>
      </c>
      <c r="B2" t="s">
        <v>190</v>
      </c>
      <c r="C2" t="s">
        <v>189</v>
      </c>
      <c r="D2" s="9">
        <v>43703</v>
      </c>
      <c r="E2">
        <v>0.03</v>
      </c>
      <c r="F2">
        <f>E2*1000</f>
        <v>30</v>
      </c>
    </row>
    <row r="3" spans="1:9" x14ac:dyDescent="0.25">
      <c r="A3" t="str">
        <f t="shared" ref="A3:A66" si="0">C3&amp;D3</f>
        <v>D10B43703</v>
      </c>
      <c r="B3" t="s">
        <v>192</v>
      </c>
      <c r="C3" t="s">
        <v>191</v>
      </c>
      <c r="D3" s="9">
        <v>43703</v>
      </c>
      <c r="E3">
        <v>0.04</v>
      </c>
      <c r="F3">
        <f t="shared" ref="F3:F66" si="1">E3*1000</f>
        <v>40</v>
      </c>
    </row>
    <row r="4" spans="1:9" x14ac:dyDescent="0.25">
      <c r="A4" t="str">
        <f t="shared" si="0"/>
        <v>D10C43703</v>
      </c>
      <c r="B4" t="s">
        <v>194</v>
      </c>
      <c r="C4" t="s">
        <v>193</v>
      </c>
      <c r="D4" s="9">
        <v>43703</v>
      </c>
      <c r="E4">
        <v>0.02</v>
      </c>
      <c r="F4">
        <f t="shared" si="1"/>
        <v>20</v>
      </c>
    </row>
    <row r="5" spans="1:9" x14ac:dyDescent="0.25">
      <c r="A5" t="str">
        <f t="shared" si="0"/>
        <v>D10D43703</v>
      </c>
      <c r="B5" t="s">
        <v>196</v>
      </c>
      <c r="C5" t="s">
        <v>195</v>
      </c>
      <c r="D5" s="9">
        <v>43703</v>
      </c>
      <c r="E5">
        <v>0.01</v>
      </c>
      <c r="F5">
        <f t="shared" si="1"/>
        <v>10</v>
      </c>
    </row>
    <row r="6" spans="1:9" x14ac:dyDescent="0.25">
      <c r="A6" t="str">
        <f t="shared" si="0"/>
        <v>D10E43703</v>
      </c>
      <c r="B6" t="s">
        <v>197</v>
      </c>
      <c r="C6" t="s">
        <v>109</v>
      </c>
      <c r="D6" s="9">
        <v>43703</v>
      </c>
      <c r="E6">
        <v>0.01</v>
      </c>
      <c r="F6">
        <f t="shared" si="1"/>
        <v>10</v>
      </c>
    </row>
    <row r="7" spans="1:9" x14ac:dyDescent="0.25">
      <c r="A7" t="str">
        <f t="shared" si="0"/>
        <v>D10E43644</v>
      </c>
      <c r="B7" t="s">
        <v>198</v>
      </c>
      <c r="C7" t="s">
        <v>109</v>
      </c>
      <c r="D7" s="9">
        <v>43644</v>
      </c>
      <c r="E7">
        <v>0.01</v>
      </c>
      <c r="F7">
        <f t="shared" si="1"/>
        <v>10</v>
      </c>
      <c r="I7" s="23"/>
    </row>
    <row r="8" spans="1:9" x14ac:dyDescent="0.25">
      <c r="A8" t="str">
        <f t="shared" si="0"/>
        <v>D14A43675</v>
      </c>
      <c r="B8" t="s">
        <v>201</v>
      </c>
      <c r="C8" t="s">
        <v>99</v>
      </c>
      <c r="D8" s="9">
        <v>43675</v>
      </c>
      <c r="E8">
        <v>1.27</v>
      </c>
      <c r="F8">
        <f t="shared" si="1"/>
        <v>1270</v>
      </c>
    </row>
    <row r="9" spans="1:9" x14ac:dyDescent="0.25">
      <c r="A9" t="str">
        <f t="shared" si="0"/>
        <v>D14A43640</v>
      </c>
      <c r="B9" t="s">
        <v>202</v>
      </c>
      <c r="C9" t="s">
        <v>99</v>
      </c>
      <c r="D9" s="9">
        <v>43640</v>
      </c>
      <c r="E9">
        <v>1.46</v>
      </c>
      <c r="F9">
        <f t="shared" si="1"/>
        <v>1460</v>
      </c>
    </row>
    <row r="10" spans="1:9" x14ac:dyDescent="0.25">
      <c r="A10" t="str">
        <f t="shared" si="0"/>
        <v>D14B43675</v>
      </c>
      <c r="B10" t="s">
        <v>204</v>
      </c>
      <c r="C10" t="s">
        <v>203</v>
      </c>
      <c r="D10" s="9">
        <v>43675</v>
      </c>
      <c r="E10">
        <v>0.31</v>
      </c>
      <c r="F10">
        <f t="shared" si="1"/>
        <v>310</v>
      </c>
    </row>
    <row r="11" spans="1:9" x14ac:dyDescent="0.25">
      <c r="A11" t="str">
        <f t="shared" si="0"/>
        <v>D15A43683</v>
      </c>
      <c r="B11" t="s">
        <v>206</v>
      </c>
      <c r="C11" t="s">
        <v>205</v>
      </c>
      <c r="D11" s="9">
        <v>43683</v>
      </c>
      <c r="E11">
        <v>0.16</v>
      </c>
      <c r="F11">
        <f t="shared" si="1"/>
        <v>160</v>
      </c>
    </row>
    <row r="12" spans="1:9" x14ac:dyDescent="0.25">
      <c r="A12" t="str">
        <f t="shared" si="0"/>
        <v>D15B43683</v>
      </c>
      <c r="B12" t="s">
        <v>454</v>
      </c>
      <c r="C12" t="s">
        <v>199</v>
      </c>
      <c r="D12" s="9">
        <v>43683</v>
      </c>
      <c r="E12">
        <v>1.02</v>
      </c>
      <c r="F12">
        <f t="shared" si="1"/>
        <v>1020</v>
      </c>
    </row>
    <row r="13" spans="1:9" x14ac:dyDescent="0.25">
      <c r="A13" t="str">
        <f t="shared" si="0"/>
        <v>D2043668</v>
      </c>
      <c r="B13" t="s">
        <v>207</v>
      </c>
      <c r="C13" t="s">
        <v>93</v>
      </c>
      <c r="D13" s="9">
        <v>43668</v>
      </c>
      <c r="E13">
        <v>0.02</v>
      </c>
      <c r="F13">
        <f t="shared" si="1"/>
        <v>20</v>
      </c>
      <c r="G13" s="23"/>
      <c r="H13" s="23"/>
    </row>
    <row r="14" spans="1:9" x14ac:dyDescent="0.25">
      <c r="A14" t="str">
        <f t="shared" si="0"/>
        <v>D2043636</v>
      </c>
      <c r="B14" t="s">
        <v>208</v>
      </c>
      <c r="C14" t="s">
        <v>93</v>
      </c>
      <c r="D14" s="9">
        <v>43636</v>
      </c>
      <c r="E14">
        <v>0.03</v>
      </c>
      <c r="F14">
        <f t="shared" si="1"/>
        <v>30</v>
      </c>
    </row>
    <row r="15" spans="1:9" x14ac:dyDescent="0.25">
      <c r="A15" t="str">
        <f t="shared" si="0"/>
        <v>D22C43686</v>
      </c>
      <c r="B15" t="s">
        <v>210</v>
      </c>
      <c r="C15" t="s">
        <v>209</v>
      </c>
      <c r="D15" s="9">
        <v>43686</v>
      </c>
      <c r="E15">
        <v>0.53</v>
      </c>
      <c r="F15">
        <f t="shared" si="1"/>
        <v>530</v>
      </c>
    </row>
    <row r="16" spans="1:9" x14ac:dyDescent="0.25">
      <c r="A16" t="str">
        <f t="shared" si="0"/>
        <v>D24B43692</v>
      </c>
      <c r="B16" t="s">
        <v>212</v>
      </c>
      <c r="C16" t="s">
        <v>211</v>
      </c>
      <c r="D16" s="9">
        <v>43692</v>
      </c>
      <c r="E16">
        <v>0.73</v>
      </c>
      <c r="F16">
        <f t="shared" si="1"/>
        <v>730</v>
      </c>
    </row>
    <row r="17" spans="1:6" x14ac:dyDescent="0.25">
      <c r="A17" t="str">
        <f t="shared" si="0"/>
        <v>D26A43692</v>
      </c>
      <c r="B17" t="s">
        <v>214</v>
      </c>
      <c r="C17" t="s">
        <v>213</v>
      </c>
      <c r="D17" s="9">
        <v>43692</v>
      </c>
      <c r="E17">
        <v>0.93</v>
      </c>
      <c r="F17">
        <f t="shared" si="1"/>
        <v>930</v>
      </c>
    </row>
    <row r="18" spans="1:6" x14ac:dyDescent="0.25">
      <c r="A18" t="str">
        <f t="shared" si="0"/>
        <v>D26B43692</v>
      </c>
      <c r="B18" t="s">
        <v>216</v>
      </c>
      <c r="C18" t="s">
        <v>215</v>
      </c>
      <c r="D18" s="9">
        <v>43692</v>
      </c>
      <c r="E18">
        <v>0.49</v>
      </c>
      <c r="F18">
        <f t="shared" si="1"/>
        <v>490</v>
      </c>
    </row>
    <row r="19" spans="1:6" x14ac:dyDescent="0.25">
      <c r="A19" t="str">
        <f t="shared" si="0"/>
        <v>D26C43692</v>
      </c>
      <c r="B19" t="s">
        <v>218</v>
      </c>
      <c r="C19" t="s">
        <v>217</v>
      </c>
      <c r="D19" s="9">
        <v>43692</v>
      </c>
      <c r="E19">
        <v>1.17</v>
      </c>
      <c r="F19">
        <f t="shared" si="1"/>
        <v>1170</v>
      </c>
    </row>
    <row r="20" spans="1:6" x14ac:dyDescent="0.25">
      <c r="A20" t="str">
        <f t="shared" si="0"/>
        <v>D27A43684</v>
      </c>
      <c r="B20" t="s">
        <v>220</v>
      </c>
      <c r="C20" t="s">
        <v>219</v>
      </c>
      <c r="D20" s="9">
        <v>43684</v>
      </c>
      <c r="E20">
        <v>0.13</v>
      </c>
      <c r="F20">
        <f t="shared" si="1"/>
        <v>130</v>
      </c>
    </row>
    <row r="21" spans="1:6" x14ac:dyDescent="0.25">
      <c r="A21" t="str">
        <f t="shared" si="0"/>
        <v>D27B43684</v>
      </c>
      <c r="B21" t="s">
        <v>222</v>
      </c>
      <c r="C21" t="s">
        <v>221</v>
      </c>
      <c r="D21" s="9">
        <v>43684</v>
      </c>
      <c r="E21">
        <v>0.23</v>
      </c>
      <c r="F21">
        <f t="shared" si="1"/>
        <v>230</v>
      </c>
    </row>
    <row r="22" spans="1:6" x14ac:dyDescent="0.25">
      <c r="A22" t="str">
        <f t="shared" si="0"/>
        <v>D27C43684</v>
      </c>
      <c r="B22" t="s">
        <v>224</v>
      </c>
      <c r="C22" t="s">
        <v>223</v>
      </c>
      <c r="D22" s="9">
        <v>43684</v>
      </c>
      <c r="E22">
        <v>0.02</v>
      </c>
      <c r="F22">
        <f t="shared" si="1"/>
        <v>20</v>
      </c>
    </row>
    <row r="23" spans="1:6" x14ac:dyDescent="0.25">
      <c r="A23" t="str">
        <f t="shared" si="0"/>
        <v>D30A43696</v>
      </c>
      <c r="B23" t="s">
        <v>226</v>
      </c>
      <c r="C23" t="s">
        <v>225</v>
      </c>
      <c r="D23" s="9">
        <v>43696</v>
      </c>
      <c r="E23">
        <v>0.03</v>
      </c>
      <c r="F23">
        <f t="shared" si="1"/>
        <v>30</v>
      </c>
    </row>
    <row r="24" spans="1:6" x14ac:dyDescent="0.25">
      <c r="A24" t="str">
        <f t="shared" si="0"/>
        <v>D30B43696</v>
      </c>
      <c r="B24" t="s">
        <v>228</v>
      </c>
      <c r="C24" t="s">
        <v>227</v>
      </c>
      <c r="D24" s="9">
        <v>43696</v>
      </c>
      <c r="E24">
        <v>0.09</v>
      </c>
      <c r="F24">
        <f t="shared" si="1"/>
        <v>90</v>
      </c>
    </row>
    <row r="25" spans="1:6" x14ac:dyDescent="0.25">
      <c r="A25" t="str">
        <f t="shared" si="0"/>
        <v>D31A43696</v>
      </c>
      <c r="B25" t="s">
        <v>229</v>
      </c>
      <c r="C25" t="s">
        <v>122</v>
      </c>
      <c r="D25" s="9">
        <v>43696</v>
      </c>
      <c r="E25">
        <v>0.71</v>
      </c>
      <c r="F25">
        <f t="shared" si="1"/>
        <v>710</v>
      </c>
    </row>
    <row r="26" spans="1:6" x14ac:dyDescent="0.25">
      <c r="A26" t="str">
        <f t="shared" si="0"/>
        <v>D31A43649</v>
      </c>
      <c r="B26" t="s">
        <v>230</v>
      </c>
      <c r="C26" t="s">
        <v>122</v>
      </c>
      <c r="D26" s="9">
        <v>43649</v>
      </c>
      <c r="E26">
        <v>0.94</v>
      </c>
      <c r="F26">
        <f t="shared" si="1"/>
        <v>940</v>
      </c>
    </row>
    <row r="27" spans="1:6" x14ac:dyDescent="0.25">
      <c r="A27" t="str">
        <f t="shared" si="0"/>
        <v>D31B43696</v>
      </c>
      <c r="B27" t="s">
        <v>231</v>
      </c>
      <c r="C27" t="s">
        <v>113</v>
      </c>
      <c r="D27" s="9">
        <v>43696</v>
      </c>
      <c r="E27">
        <v>0.32</v>
      </c>
      <c r="F27">
        <f t="shared" si="1"/>
        <v>320</v>
      </c>
    </row>
    <row r="28" spans="1:6" x14ac:dyDescent="0.25">
      <c r="A28" t="str">
        <f t="shared" si="0"/>
        <v>D31B43648</v>
      </c>
      <c r="B28" t="s">
        <v>232</v>
      </c>
      <c r="C28" t="s">
        <v>113</v>
      </c>
      <c r="D28" s="9">
        <v>43648</v>
      </c>
      <c r="E28">
        <v>0.22</v>
      </c>
      <c r="F28">
        <f t="shared" si="1"/>
        <v>220</v>
      </c>
    </row>
    <row r="29" spans="1:6" x14ac:dyDescent="0.25">
      <c r="A29" t="str">
        <f t="shared" si="0"/>
        <v>D31C43648</v>
      </c>
      <c r="B29" t="s">
        <v>233</v>
      </c>
      <c r="C29" t="s">
        <v>118</v>
      </c>
      <c r="D29" s="9">
        <v>43648</v>
      </c>
      <c r="E29">
        <v>0.73</v>
      </c>
      <c r="F29">
        <f t="shared" si="1"/>
        <v>730</v>
      </c>
    </row>
    <row r="30" spans="1:6" x14ac:dyDescent="0.25">
      <c r="A30" t="str">
        <f t="shared" si="0"/>
        <v>D3643689</v>
      </c>
      <c r="B30" t="s">
        <v>235</v>
      </c>
      <c r="C30" t="s">
        <v>234</v>
      </c>
      <c r="D30" s="9">
        <v>43689</v>
      </c>
      <c r="E30">
        <v>0.18</v>
      </c>
      <c r="F30">
        <f t="shared" si="1"/>
        <v>180</v>
      </c>
    </row>
    <row r="31" spans="1:6" x14ac:dyDescent="0.25">
      <c r="A31" t="str">
        <f t="shared" si="0"/>
        <v>D44A43699</v>
      </c>
      <c r="B31" t="s">
        <v>239</v>
      </c>
      <c r="C31" t="s">
        <v>238</v>
      </c>
      <c r="D31" s="9">
        <v>43699</v>
      </c>
      <c r="E31">
        <v>0.01</v>
      </c>
      <c r="F31">
        <f t="shared" si="1"/>
        <v>10</v>
      </c>
    </row>
    <row r="32" spans="1:6" x14ac:dyDescent="0.25">
      <c r="A32" t="str">
        <f t="shared" si="0"/>
        <v>D44B43699</v>
      </c>
      <c r="B32" t="s">
        <v>240</v>
      </c>
      <c r="C32" t="s">
        <v>133</v>
      </c>
      <c r="D32" s="9">
        <v>43699</v>
      </c>
      <c r="E32">
        <v>0.12</v>
      </c>
      <c r="F32">
        <f t="shared" si="1"/>
        <v>120</v>
      </c>
    </row>
    <row r="33" spans="1:9" x14ac:dyDescent="0.25">
      <c r="A33" t="str">
        <f t="shared" si="0"/>
        <v>D44B43654</v>
      </c>
      <c r="B33" t="s">
        <v>241</v>
      </c>
      <c r="C33" t="s">
        <v>133</v>
      </c>
      <c r="D33" s="9">
        <v>43654</v>
      </c>
      <c r="E33">
        <v>7.0000000000000007E-2</v>
      </c>
      <c r="F33">
        <f t="shared" si="1"/>
        <v>70</v>
      </c>
    </row>
    <row r="34" spans="1:9" x14ac:dyDescent="0.25">
      <c r="A34" t="str">
        <f t="shared" si="0"/>
        <v>D45A43683</v>
      </c>
      <c r="B34" t="s">
        <v>243</v>
      </c>
      <c r="C34" t="s">
        <v>242</v>
      </c>
      <c r="D34" s="9">
        <v>43683</v>
      </c>
      <c r="E34">
        <v>0.25</v>
      </c>
      <c r="F34">
        <f t="shared" si="1"/>
        <v>250</v>
      </c>
    </row>
    <row r="35" spans="1:9" x14ac:dyDescent="0.25">
      <c r="A35" t="str">
        <f t="shared" si="0"/>
        <v>D45B43683</v>
      </c>
      <c r="B35" t="s">
        <v>245</v>
      </c>
      <c r="C35" t="s">
        <v>244</v>
      </c>
      <c r="D35" s="9">
        <v>43683</v>
      </c>
      <c r="E35">
        <v>0.03</v>
      </c>
      <c r="F35">
        <f t="shared" si="1"/>
        <v>30</v>
      </c>
    </row>
    <row r="36" spans="1:9" x14ac:dyDescent="0.25">
      <c r="A36" t="str">
        <f t="shared" si="0"/>
        <v>D45D43683</v>
      </c>
      <c r="B36" t="s">
        <v>247</v>
      </c>
      <c r="C36" t="s">
        <v>246</v>
      </c>
      <c r="D36" s="9">
        <v>43683</v>
      </c>
      <c r="E36">
        <v>0.68</v>
      </c>
      <c r="F36">
        <f t="shared" si="1"/>
        <v>680</v>
      </c>
    </row>
    <row r="37" spans="1:9" x14ac:dyDescent="0.25">
      <c r="A37" t="str">
        <f t="shared" si="0"/>
        <v>D48A43668</v>
      </c>
      <c r="B37" t="s">
        <v>249</v>
      </c>
      <c r="C37" t="s">
        <v>248</v>
      </c>
      <c r="D37" s="9">
        <v>43668</v>
      </c>
      <c r="E37">
        <v>0.85</v>
      </c>
      <c r="F37">
        <f t="shared" si="1"/>
        <v>850</v>
      </c>
    </row>
    <row r="38" spans="1:9" x14ac:dyDescent="0.25">
      <c r="A38" t="str">
        <f t="shared" si="0"/>
        <v>D48B43668</v>
      </c>
      <c r="B38" t="s">
        <v>251</v>
      </c>
      <c r="C38" t="s">
        <v>250</v>
      </c>
      <c r="D38" s="9">
        <v>43668</v>
      </c>
      <c r="E38">
        <v>0.05</v>
      </c>
      <c r="F38">
        <f t="shared" si="1"/>
        <v>50</v>
      </c>
    </row>
    <row r="39" spans="1:9" x14ac:dyDescent="0.25">
      <c r="A39" t="str">
        <f t="shared" si="0"/>
        <v>D4943668</v>
      </c>
      <c r="B39" t="s">
        <v>253</v>
      </c>
      <c r="C39" t="s">
        <v>252</v>
      </c>
      <c r="D39" s="9">
        <v>43668</v>
      </c>
      <c r="E39">
        <v>0.08</v>
      </c>
      <c r="F39">
        <f t="shared" si="1"/>
        <v>80</v>
      </c>
    </row>
    <row r="40" spans="1:9" x14ac:dyDescent="0.25">
      <c r="A40" t="str">
        <f t="shared" si="0"/>
        <v>D4A43672</v>
      </c>
      <c r="B40" t="s">
        <v>255</v>
      </c>
      <c r="C40" t="s">
        <v>254</v>
      </c>
      <c r="D40" s="9">
        <v>43672</v>
      </c>
      <c r="E40">
        <v>0.11</v>
      </c>
      <c r="F40">
        <f t="shared" si="1"/>
        <v>110</v>
      </c>
    </row>
    <row r="41" spans="1:9" x14ac:dyDescent="0.25">
      <c r="A41" t="str">
        <f t="shared" si="0"/>
        <v>D4C43672</v>
      </c>
      <c r="B41" t="s">
        <v>257</v>
      </c>
      <c r="C41" t="s">
        <v>256</v>
      </c>
      <c r="D41" s="9">
        <v>43672</v>
      </c>
      <c r="E41">
        <v>0.15</v>
      </c>
      <c r="F41">
        <f t="shared" si="1"/>
        <v>150</v>
      </c>
      <c r="H41" s="23"/>
      <c r="I41" s="23"/>
    </row>
    <row r="42" spans="1:9" x14ac:dyDescent="0.25">
      <c r="A42" t="str">
        <f t="shared" si="0"/>
        <v>D4D43671</v>
      </c>
      <c r="B42" t="s">
        <v>259</v>
      </c>
      <c r="C42" t="s">
        <v>258</v>
      </c>
      <c r="D42" s="9">
        <v>43671</v>
      </c>
      <c r="E42">
        <v>0.05</v>
      </c>
      <c r="F42">
        <f t="shared" si="1"/>
        <v>50</v>
      </c>
    </row>
    <row r="43" spans="1:9" x14ac:dyDescent="0.25">
      <c r="A43" t="str">
        <f t="shared" si="0"/>
        <v>D4E43671</v>
      </c>
      <c r="B43" t="s">
        <v>261</v>
      </c>
      <c r="C43" t="s">
        <v>260</v>
      </c>
      <c r="D43" s="9">
        <v>43671</v>
      </c>
      <c r="E43">
        <v>0.71</v>
      </c>
      <c r="F43">
        <f t="shared" si="1"/>
        <v>710</v>
      </c>
    </row>
    <row r="44" spans="1:9" x14ac:dyDescent="0.25">
      <c r="A44" t="str">
        <f t="shared" si="0"/>
        <v>D4G43671</v>
      </c>
      <c r="B44" t="s">
        <v>263</v>
      </c>
      <c r="C44" t="s">
        <v>262</v>
      </c>
      <c r="D44" s="9">
        <v>43671</v>
      </c>
      <c r="E44">
        <v>0.46</v>
      </c>
      <c r="F44">
        <f t="shared" si="1"/>
        <v>460</v>
      </c>
    </row>
    <row r="45" spans="1:9" x14ac:dyDescent="0.25">
      <c r="A45" t="str">
        <f t="shared" si="0"/>
        <v>D4H43686</v>
      </c>
      <c r="B45" t="s">
        <v>265</v>
      </c>
      <c r="C45" t="s">
        <v>264</v>
      </c>
      <c r="D45" s="9">
        <v>43686</v>
      </c>
      <c r="E45">
        <v>0.06</v>
      </c>
      <c r="F45">
        <f t="shared" si="1"/>
        <v>60</v>
      </c>
    </row>
    <row r="46" spans="1:9" x14ac:dyDescent="0.25">
      <c r="A46" t="str">
        <f t="shared" si="0"/>
        <v>D543703</v>
      </c>
      <c r="B46" t="s">
        <v>266</v>
      </c>
      <c r="C46" t="s">
        <v>106</v>
      </c>
      <c r="D46" s="9">
        <v>43703</v>
      </c>
      <c r="E46">
        <v>0.01</v>
      </c>
      <c r="F46">
        <f t="shared" si="1"/>
        <v>10</v>
      </c>
    </row>
    <row r="47" spans="1:9" x14ac:dyDescent="0.25">
      <c r="A47" t="str">
        <f t="shared" si="0"/>
        <v>D543643</v>
      </c>
      <c r="B47" t="s">
        <v>267</v>
      </c>
      <c r="C47" t="s">
        <v>106</v>
      </c>
      <c r="D47" s="9">
        <v>43643</v>
      </c>
      <c r="E47">
        <v>0.01</v>
      </c>
      <c r="F47">
        <f t="shared" si="1"/>
        <v>10</v>
      </c>
    </row>
    <row r="48" spans="1:9" x14ac:dyDescent="0.25">
      <c r="A48" t="str">
        <f t="shared" si="0"/>
        <v>D5143668</v>
      </c>
      <c r="B48" t="s">
        <v>269</v>
      </c>
      <c r="C48" t="s">
        <v>268</v>
      </c>
      <c r="D48" s="9">
        <v>43668</v>
      </c>
      <c r="E48">
        <v>0.05</v>
      </c>
      <c r="F48">
        <f t="shared" si="1"/>
        <v>50</v>
      </c>
    </row>
    <row r="49" spans="1:7" x14ac:dyDescent="0.25">
      <c r="A49" t="str">
        <f t="shared" si="0"/>
        <v>D5243669</v>
      </c>
      <c r="B49" t="s">
        <v>270</v>
      </c>
      <c r="C49" t="s">
        <v>89</v>
      </c>
      <c r="D49" s="9">
        <v>43669</v>
      </c>
      <c r="E49">
        <v>0.36</v>
      </c>
      <c r="F49">
        <f t="shared" si="1"/>
        <v>360</v>
      </c>
    </row>
    <row r="50" spans="1:7" x14ac:dyDescent="0.25">
      <c r="A50" t="str">
        <f t="shared" si="0"/>
        <v>D5243636</v>
      </c>
      <c r="B50" t="s">
        <v>271</v>
      </c>
      <c r="C50" t="s">
        <v>89</v>
      </c>
      <c r="D50" s="9">
        <v>43636</v>
      </c>
      <c r="E50">
        <v>0.15</v>
      </c>
      <c r="F50">
        <f t="shared" si="1"/>
        <v>150</v>
      </c>
    </row>
    <row r="51" spans="1:7" x14ac:dyDescent="0.25">
      <c r="A51" t="str">
        <f t="shared" si="0"/>
        <v>D53A43669</v>
      </c>
      <c r="B51" t="s">
        <v>273</v>
      </c>
      <c r="C51" t="s">
        <v>272</v>
      </c>
      <c r="D51" s="9">
        <v>43669</v>
      </c>
      <c r="E51">
        <v>0.96</v>
      </c>
      <c r="F51">
        <f t="shared" si="1"/>
        <v>960</v>
      </c>
    </row>
    <row r="52" spans="1:7" x14ac:dyDescent="0.25">
      <c r="A52" t="str">
        <f t="shared" si="0"/>
        <v>D54A43669</v>
      </c>
      <c r="B52" t="s">
        <v>275</v>
      </c>
      <c r="C52" t="s">
        <v>274</v>
      </c>
      <c r="D52" s="9">
        <v>43669</v>
      </c>
      <c r="E52">
        <v>0.05</v>
      </c>
      <c r="F52">
        <f t="shared" si="1"/>
        <v>50</v>
      </c>
    </row>
    <row r="53" spans="1:7" x14ac:dyDescent="0.25">
      <c r="A53" t="str">
        <f t="shared" si="0"/>
        <v>D54B43668</v>
      </c>
      <c r="B53" t="s">
        <v>277</v>
      </c>
      <c r="C53" t="s">
        <v>276</v>
      </c>
      <c r="D53" s="9">
        <v>43668</v>
      </c>
      <c r="E53">
        <v>0.19</v>
      </c>
      <c r="F53">
        <f t="shared" si="1"/>
        <v>190</v>
      </c>
    </row>
    <row r="54" spans="1:7" x14ac:dyDescent="0.25">
      <c r="A54" t="str">
        <f t="shared" si="0"/>
        <v>D55B43669</v>
      </c>
      <c r="B54" t="s">
        <v>279</v>
      </c>
      <c r="C54" t="s">
        <v>278</v>
      </c>
      <c r="D54" s="9">
        <v>43669</v>
      </c>
      <c r="E54">
        <v>0.02</v>
      </c>
      <c r="F54">
        <f t="shared" si="1"/>
        <v>20</v>
      </c>
    </row>
    <row r="55" spans="1:7" x14ac:dyDescent="0.25">
      <c r="A55" t="str">
        <f t="shared" si="0"/>
        <v>D56A43678</v>
      </c>
      <c r="B55" t="s">
        <v>280</v>
      </c>
      <c r="C55" t="s">
        <v>82</v>
      </c>
      <c r="D55" s="9">
        <v>43678</v>
      </c>
      <c r="E55">
        <v>0.02</v>
      </c>
      <c r="F55">
        <f t="shared" si="1"/>
        <v>20</v>
      </c>
    </row>
    <row r="56" spans="1:7" x14ac:dyDescent="0.25">
      <c r="A56" t="str">
        <f t="shared" si="0"/>
        <v>D56A43635</v>
      </c>
      <c r="B56" t="s">
        <v>281</v>
      </c>
      <c r="C56" t="s">
        <v>82</v>
      </c>
      <c r="D56" s="9">
        <v>43635</v>
      </c>
      <c r="E56">
        <v>0.04</v>
      </c>
      <c r="F56">
        <f t="shared" si="1"/>
        <v>40</v>
      </c>
    </row>
    <row r="57" spans="1:7" x14ac:dyDescent="0.25">
      <c r="A57" t="str">
        <f t="shared" si="0"/>
        <v>D56B43678</v>
      </c>
      <c r="B57" t="s">
        <v>283</v>
      </c>
      <c r="C57" t="s">
        <v>282</v>
      </c>
      <c r="D57" s="9">
        <v>43678</v>
      </c>
      <c r="E57">
        <v>0.19</v>
      </c>
      <c r="F57">
        <f t="shared" si="1"/>
        <v>190</v>
      </c>
    </row>
    <row r="58" spans="1:7" x14ac:dyDescent="0.25">
      <c r="A58" t="str">
        <f t="shared" si="0"/>
        <v>D56C43678</v>
      </c>
      <c r="B58" t="s">
        <v>284</v>
      </c>
      <c r="C58" t="s">
        <v>86</v>
      </c>
      <c r="D58" s="9">
        <v>43678</v>
      </c>
      <c r="E58">
        <v>0.33</v>
      </c>
      <c r="F58">
        <f t="shared" si="1"/>
        <v>330</v>
      </c>
    </row>
    <row r="59" spans="1:7" x14ac:dyDescent="0.25">
      <c r="A59" t="str">
        <f t="shared" si="0"/>
        <v>D56C43635</v>
      </c>
      <c r="B59" t="s">
        <v>285</v>
      </c>
      <c r="C59" t="s">
        <v>86</v>
      </c>
      <c r="D59" s="9">
        <v>43635</v>
      </c>
      <c r="E59">
        <v>0.37</v>
      </c>
      <c r="F59">
        <f t="shared" si="1"/>
        <v>370</v>
      </c>
    </row>
    <row r="60" spans="1:7" x14ac:dyDescent="0.25">
      <c r="A60" t="str">
        <f t="shared" si="0"/>
        <v>D56D43661</v>
      </c>
      <c r="B60" t="s">
        <v>286</v>
      </c>
      <c r="C60" t="s">
        <v>146</v>
      </c>
      <c r="D60" s="9">
        <v>43661</v>
      </c>
      <c r="E60">
        <v>0.05</v>
      </c>
      <c r="F60">
        <f t="shared" si="1"/>
        <v>50</v>
      </c>
    </row>
    <row r="61" spans="1:7" x14ac:dyDescent="0.25">
      <c r="A61" t="str">
        <f t="shared" si="0"/>
        <v>D57A43700</v>
      </c>
      <c r="B61" t="s">
        <v>287</v>
      </c>
      <c r="C61" t="s">
        <v>127</v>
      </c>
      <c r="D61" s="9">
        <v>43700</v>
      </c>
      <c r="E61">
        <v>0.02</v>
      </c>
      <c r="F61">
        <f t="shared" si="1"/>
        <v>20</v>
      </c>
    </row>
    <row r="62" spans="1:7" x14ac:dyDescent="0.25">
      <c r="A62" t="str">
        <f t="shared" si="0"/>
        <v>D57A43655</v>
      </c>
      <c r="B62" t="s">
        <v>455</v>
      </c>
      <c r="C62" t="s">
        <v>127</v>
      </c>
      <c r="D62" s="9">
        <v>43655</v>
      </c>
      <c r="E62">
        <v>0.06</v>
      </c>
      <c r="F62">
        <f t="shared" si="1"/>
        <v>60</v>
      </c>
    </row>
    <row r="63" spans="1:7" x14ac:dyDescent="0.25">
      <c r="A63" t="str">
        <f t="shared" si="0"/>
        <v>D57B43700</v>
      </c>
      <c r="B63" t="s">
        <v>289</v>
      </c>
      <c r="C63" t="s">
        <v>129</v>
      </c>
      <c r="D63" s="9">
        <v>43700</v>
      </c>
      <c r="E63">
        <v>0.06</v>
      </c>
      <c r="F63">
        <f t="shared" si="1"/>
        <v>60</v>
      </c>
      <c r="G63" s="23"/>
    </row>
    <row r="64" spans="1:7" x14ac:dyDescent="0.25">
      <c r="A64" t="str">
        <f t="shared" si="0"/>
        <v>D57B43655</v>
      </c>
      <c r="B64" t="s">
        <v>290</v>
      </c>
      <c r="C64" t="s">
        <v>129</v>
      </c>
      <c r="D64" s="9">
        <v>43655</v>
      </c>
      <c r="E64">
        <v>0.03</v>
      </c>
      <c r="F64">
        <f t="shared" si="1"/>
        <v>30</v>
      </c>
    </row>
    <row r="65" spans="1:6" x14ac:dyDescent="0.25">
      <c r="A65" t="str">
        <f t="shared" si="0"/>
        <v>D57C43700</v>
      </c>
      <c r="B65" t="s">
        <v>292</v>
      </c>
      <c r="C65" t="s">
        <v>291</v>
      </c>
      <c r="D65" s="9">
        <v>43700</v>
      </c>
      <c r="E65">
        <v>0.15</v>
      </c>
      <c r="F65">
        <f t="shared" si="1"/>
        <v>150</v>
      </c>
    </row>
    <row r="66" spans="1:6" x14ac:dyDescent="0.25">
      <c r="A66" t="str">
        <f t="shared" si="0"/>
        <v>D57D43700</v>
      </c>
      <c r="B66" t="s">
        <v>294</v>
      </c>
      <c r="C66" t="s">
        <v>293</v>
      </c>
      <c r="D66" s="9">
        <v>43700</v>
      </c>
      <c r="E66">
        <v>7.0000000000000007E-2</v>
      </c>
      <c r="F66">
        <f t="shared" si="1"/>
        <v>70</v>
      </c>
    </row>
    <row r="67" spans="1:6" x14ac:dyDescent="0.25">
      <c r="A67" t="str">
        <f t="shared" ref="A67:A130" si="2">C67&amp;D67</f>
        <v>D58A43699</v>
      </c>
      <c r="B67" t="s">
        <v>296</v>
      </c>
      <c r="C67" t="s">
        <v>295</v>
      </c>
      <c r="D67" s="9">
        <v>43699</v>
      </c>
      <c r="E67">
        <v>0.06</v>
      </c>
      <c r="F67">
        <f t="shared" ref="F67:F130" si="3">E67*1000</f>
        <v>60</v>
      </c>
    </row>
    <row r="68" spans="1:6" x14ac:dyDescent="0.25">
      <c r="A68" t="str">
        <f t="shared" si="2"/>
        <v>D58B43699</v>
      </c>
      <c r="B68" t="s">
        <v>298</v>
      </c>
      <c r="C68" t="s">
        <v>297</v>
      </c>
      <c r="D68" s="9">
        <v>43699</v>
      </c>
      <c r="E68">
        <v>0.06</v>
      </c>
      <c r="F68">
        <f t="shared" si="3"/>
        <v>60</v>
      </c>
    </row>
    <row r="69" spans="1:6" x14ac:dyDescent="0.25">
      <c r="A69" t="str">
        <f t="shared" si="2"/>
        <v>D58C43699</v>
      </c>
      <c r="B69" t="s">
        <v>300</v>
      </c>
      <c r="C69" t="s">
        <v>299</v>
      </c>
      <c r="D69" s="9">
        <v>43699</v>
      </c>
      <c r="E69">
        <v>0.02</v>
      </c>
      <c r="F69">
        <f t="shared" si="3"/>
        <v>20</v>
      </c>
    </row>
    <row r="70" spans="1:6" x14ac:dyDescent="0.25">
      <c r="A70" t="str">
        <f t="shared" si="2"/>
        <v>D59A43700</v>
      </c>
      <c r="B70" t="s">
        <v>302</v>
      </c>
      <c r="C70" t="s">
        <v>301</v>
      </c>
      <c r="D70" s="9">
        <v>43700</v>
      </c>
      <c r="E70">
        <v>0.06</v>
      </c>
      <c r="F70">
        <f t="shared" si="3"/>
        <v>60</v>
      </c>
    </row>
    <row r="71" spans="1:6" x14ac:dyDescent="0.25">
      <c r="A71" t="str">
        <f t="shared" si="2"/>
        <v>D59B43700</v>
      </c>
      <c r="B71" t="s">
        <v>304</v>
      </c>
      <c r="C71" t="s">
        <v>303</v>
      </c>
      <c r="D71" s="9">
        <v>43700</v>
      </c>
      <c r="E71">
        <v>0.02</v>
      </c>
      <c r="F71">
        <f t="shared" si="3"/>
        <v>20</v>
      </c>
    </row>
    <row r="72" spans="1:6" x14ac:dyDescent="0.25">
      <c r="A72" t="str">
        <f t="shared" si="2"/>
        <v>D59D43700</v>
      </c>
      <c r="B72" t="s">
        <v>306</v>
      </c>
      <c r="C72" t="s">
        <v>305</v>
      </c>
      <c r="D72" s="9">
        <v>43700</v>
      </c>
      <c r="E72">
        <v>0.17</v>
      </c>
      <c r="F72">
        <f t="shared" si="3"/>
        <v>170</v>
      </c>
    </row>
    <row r="73" spans="1:6" x14ac:dyDescent="0.25">
      <c r="A73" t="str">
        <f t="shared" si="2"/>
        <v>D60A43697</v>
      </c>
      <c r="B73" t="s">
        <v>308</v>
      </c>
      <c r="C73" t="s">
        <v>307</v>
      </c>
      <c r="D73" s="9">
        <v>43697</v>
      </c>
      <c r="E73">
        <v>0.08</v>
      </c>
      <c r="F73">
        <f t="shared" si="3"/>
        <v>80</v>
      </c>
    </row>
    <row r="74" spans="1:6" x14ac:dyDescent="0.25">
      <c r="A74" t="str">
        <f t="shared" si="2"/>
        <v>D60B43697</v>
      </c>
      <c r="B74" t="s">
        <v>310</v>
      </c>
      <c r="C74" t="s">
        <v>309</v>
      </c>
      <c r="D74" s="9">
        <v>43697</v>
      </c>
      <c r="E74">
        <v>0.16</v>
      </c>
      <c r="F74">
        <f t="shared" si="3"/>
        <v>160</v>
      </c>
    </row>
    <row r="75" spans="1:6" x14ac:dyDescent="0.25">
      <c r="A75" t="str">
        <f t="shared" si="2"/>
        <v>D60C43697</v>
      </c>
      <c r="B75" t="s">
        <v>312</v>
      </c>
      <c r="C75" t="s">
        <v>311</v>
      </c>
      <c r="D75" s="9">
        <v>43697</v>
      </c>
      <c r="E75">
        <v>1.29</v>
      </c>
      <c r="F75">
        <f t="shared" si="3"/>
        <v>1290</v>
      </c>
    </row>
    <row r="76" spans="1:6" x14ac:dyDescent="0.25">
      <c r="A76" t="str">
        <f t="shared" si="2"/>
        <v>D61A43676</v>
      </c>
      <c r="B76" t="s">
        <v>314</v>
      </c>
      <c r="C76" t="s">
        <v>313</v>
      </c>
      <c r="D76" s="9">
        <v>43676</v>
      </c>
      <c r="E76">
        <v>0.05</v>
      </c>
      <c r="F76">
        <f t="shared" si="3"/>
        <v>50</v>
      </c>
    </row>
    <row r="77" spans="1:6" x14ac:dyDescent="0.25">
      <c r="A77" t="str">
        <f t="shared" si="2"/>
        <v>D61B43676</v>
      </c>
      <c r="B77" t="s">
        <v>315</v>
      </c>
      <c r="C77" t="s">
        <v>103</v>
      </c>
      <c r="D77" s="9">
        <v>43676</v>
      </c>
      <c r="E77">
        <v>0.03</v>
      </c>
      <c r="F77">
        <f t="shared" si="3"/>
        <v>30</v>
      </c>
    </row>
    <row r="78" spans="1:6" x14ac:dyDescent="0.25">
      <c r="A78" t="str">
        <f t="shared" si="2"/>
        <v>D61B43641</v>
      </c>
      <c r="B78" t="s">
        <v>316</v>
      </c>
      <c r="C78" t="s">
        <v>103</v>
      </c>
      <c r="D78" s="9">
        <v>43641</v>
      </c>
      <c r="E78">
        <v>0.02</v>
      </c>
      <c r="F78">
        <f t="shared" si="3"/>
        <v>20</v>
      </c>
    </row>
    <row r="79" spans="1:6" x14ac:dyDescent="0.25">
      <c r="A79" t="str">
        <f t="shared" si="2"/>
        <v>D61C43676</v>
      </c>
      <c r="B79" t="s">
        <v>318</v>
      </c>
      <c r="C79" t="s">
        <v>317</v>
      </c>
      <c r="D79" s="9">
        <v>43676</v>
      </c>
      <c r="E79">
        <v>0.05</v>
      </c>
      <c r="F79">
        <f t="shared" si="3"/>
        <v>50</v>
      </c>
    </row>
    <row r="80" spans="1:6" x14ac:dyDescent="0.25">
      <c r="A80" t="str">
        <f t="shared" si="2"/>
        <v>D62B43678</v>
      </c>
      <c r="B80" t="s">
        <v>320</v>
      </c>
      <c r="C80" t="s">
        <v>319</v>
      </c>
      <c r="D80" s="9">
        <v>43678</v>
      </c>
      <c r="E80">
        <v>7.0000000000000007E-2</v>
      </c>
      <c r="F80">
        <f t="shared" si="3"/>
        <v>70</v>
      </c>
    </row>
    <row r="81" spans="1:6" x14ac:dyDescent="0.25">
      <c r="A81" t="str">
        <f t="shared" si="2"/>
        <v>D62C43678</v>
      </c>
      <c r="B81" t="s">
        <v>322</v>
      </c>
      <c r="C81" t="s">
        <v>321</v>
      </c>
      <c r="D81" s="9">
        <v>43678</v>
      </c>
      <c r="E81">
        <v>0.2</v>
      </c>
      <c r="F81">
        <f t="shared" si="3"/>
        <v>200</v>
      </c>
    </row>
    <row r="82" spans="1:6" x14ac:dyDescent="0.25">
      <c r="A82" t="str">
        <f t="shared" si="2"/>
        <v>D62E43678</v>
      </c>
      <c r="B82" t="s">
        <v>324</v>
      </c>
      <c r="C82" t="s">
        <v>323</v>
      </c>
      <c r="D82" s="9">
        <v>43678</v>
      </c>
      <c r="E82">
        <v>1</v>
      </c>
      <c r="F82">
        <f t="shared" si="3"/>
        <v>1000</v>
      </c>
    </row>
    <row r="83" spans="1:6" x14ac:dyDescent="0.25">
      <c r="A83" t="str">
        <f t="shared" si="2"/>
        <v>D63A43689</v>
      </c>
      <c r="B83" t="s">
        <v>326</v>
      </c>
      <c r="C83" t="s">
        <v>325</v>
      </c>
      <c r="D83" s="9">
        <v>43689</v>
      </c>
      <c r="E83">
        <v>0.75</v>
      </c>
      <c r="F83">
        <f t="shared" si="3"/>
        <v>750</v>
      </c>
    </row>
    <row r="84" spans="1:6" x14ac:dyDescent="0.25">
      <c r="A84" t="str">
        <f t="shared" si="2"/>
        <v>D63B43689</v>
      </c>
      <c r="B84" t="s">
        <v>328</v>
      </c>
      <c r="C84" t="s">
        <v>327</v>
      </c>
      <c r="D84" s="9">
        <v>43689</v>
      </c>
      <c r="E84">
        <v>0.08</v>
      </c>
      <c r="F84">
        <f t="shared" si="3"/>
        <v>80</v>
      </c>
    </row>
    <row r="85" spans="1:6" x14ac:dyDescent="0.25">
      <c r="A85" t="str">
        <f t="shared" si="2"/>
        <v>D64A43696</v>
      </c>
      <c r="B85" t="s">
        <v>330</v>
      </c>
      <c r="C85" t="s">
        <v>329</v>
      </c>
      <c r="D85" s="9">
        <v>43696</v>
      </c>
      <c r="E85">
        <v>0.06</v>
      </c>
      <c r="F85">
        <f t="shared" si="3"/>
        <v>60</v>
      </c>
    </row>
    <row r="86" spans="1:6" x14ac:dyDescent="0.25">
      <c r="A86" t="str">
        <f t="shared" si="2"/>
        <v>D64B43696</v>
      </c>
      <c r="B86" t="s">
        <v>332</v>
      </c>
      <c r="C86" t="s">
        <v>331</v>
      </c>
      <c r="D86" s="9">
        <v>43696</v>
      </c>
      <c r="E86">
        <v>0.04</v>
      </c>
      <c r="F86">
        <f t="shared" si="3"/>
        <v>40</v>
      </c>
    </row>
    <row r="87" spans="1:6" x14ac:dyDescent="0.25">
      <c r="A87" t="str">
        <f t="shared" si="2"/>
        <v>D64C43696</v>
      </c>
      <c r="B87" t="s">
        <v>334</v>
      </c>
      <c r="C87" t="s">
        <v>333</v>
      </c>
      <c r="D87" s="9">
        <v>43696</v>
      </c>
      <c r="E87">
        <v>7.0000000000000007E-2</v>
      </c>
      <c r="F87">
        <f t="shared" si="3"/>
        <v>70</v>
      </c>
    </row>
    <row r="88" spans="1:6" x14ac:dyDescent="0.25">
      <c r="A88" t="str">
        <f t="shared" si="2"/>
        <v>D6543690</v>
      </c>
      <c r="B88" t="s">
        <v>335</v>
      </c>
      <c r="C88" t="s">
        <v>140</v>
      </c>
      <c r="D88" s="9">
        <v>43690</v>
      </c>
      <c r="E88" s="23">
        <v>8.3899999999999999E-3</v>
      </c>
      <c r="F88">
        <f t="shared" si="3"/>
        <v>8.39</v>
      </c>
    </row>
    <row r="89" spans="1:6" x14ac:dyDescent="0.25">
      <c r="A89" t="str">
        <f t="shared" si="2"/>
        <v>D6543658</v>
      </c>
      <c r="B89" t="s">
        <v>336</v>
      </c>
      <c r="C89" t="s">
        <v>140</v>
      </c>
      <c r="D89" s="9">
        <v>43658</v>
      </c>
      <c r="E89">
        <v>0.01</v>
      </c>
      <c r="F89">
        <f t="shared" si="3"/>
        <v>10</v>
      </c>
    </row>
    <row r="90" spans="1:6" x14ac:dyDescent="0.25">
      <c r="A90" t="str">
        <f t="shared" si="2"/>
        <v>D66A43679</v>
      </c>
      <c r="B90" t="s">
        <v>338</v>
      </c>
      <c r="C90" t="s">
        <v>337</v>
      </c>
      <c r="D90" s="9">
        <v>43679</v>
      </c>
      <c r="E90">
        <v>0.06</v>
      </c>
      <c r="F90">
        <f t="shared" si="3"/>
        <v>60</v>
      </c>
    </row>
    <row r="91" spans="1:6" x14ac:dyDescent="0.25">
      <c r="A91" t="str">
        <f t="shared" si="2"/>
        <v>D66B43679</v>
      </c>
      <c r="B91" t="s">
        <v>340</v>
      </c>
      <c r="C91" t="s">
        <v>339</v>
      </c>
      <c r="D91" s="9">
        <v>43679</v>
      </c>
      <c r="E91">
        <v>0.03</v>
      </c>
      <c r="F91">
        <f t="shared" si="3"/>
        <v>30</v>
      </c>
    </row>
    <row r="92" spans="1:6" x14ac:dyDescent="0.25">
      <c r="A92" t="str">
        <f t="shared" si="2"/>
        <v>D66C43679</v>
      </c>
      <c r="B92" t="s">
        <v>342</v>
      </c>
      <c r="C92" t="s">
        <v>341</v>
      </c>
      <c r="D92" s="9">
        <v>43679</v>
      </c>
      <c r="E92">
        <v>0.14000000000000001</v>
      </c>
      <c r="F92">
        <f t="shared" si="3"/>
        <v>140</v>
      </c>
    </row>
    <row r="93" spans="1:6" x14ac:dyDescent="0.25">
      <c r="A93" t="str">
        <f t="shared" si="2"/>
        <v>D67A43684</v>
      </c>
      <c r="B93" t="s">
        <v>344</v>
      </c>
      <c r="C93" t="s">
        <v>343</v>
      </c>
      <c r="D93" s="9">
        <v>43684</v>
      </c>
      <c r="E93">
        <v>7.7</v>
      </c>
      <c r="F93">
        <f t="shared" si="3"/>
        <v>7700</v>
      </c>
    </row>
    <row r="94" spans="1:6" x14ac:dyDescent="0.25">
      <c r="A94" t="str">
        <f t="shared" si="2"/>
        <v>D67B43684</v>
      </c>
      <c r="B94" t="s">
        <v>346</v>
      </c>
      <c r="C94" t="s">
        <v>345</v>
      </c>
      <c r="D94" s="9">
        <v>43684</v>
      </c>
      <c r="E94">
        <v>0.54</v>
      </c>
      <c r="F94">
        <f t="shared" si="3"/>
        <v>540</v>
      </c>
    </row>
    <row r="95" spans="1:6" x14ac:dyDescent="0.25">
      <c r="A95" t="str">
        <f t="shared" si="2"/>
        <v>D69A43693</v>
      </c>
      <c r="B95" t="s">
        <v>348</v>
      </c>
      <c r="C95" t="s">
        <v>347</v>
      </c>
      <c r="D95" s="9">
        <v>43693</v>
      </c>
      <c r="E95">
        <v>0.09</v>
      </c>
      <c r="F95">
        <f t="shared" si="3"/>
        <v>90</v>
      </c>
    </row>
    <row r="96" spans="1:6" x14ac:dyDescent="0.25">
      <c r="A96" t="str">
        <f t="shared" si="2"/>
        <v>D69B43693</v>
      </c>
      <c r="B96" t="s">
        <v>350</v>
      </c>
      <c r="C96" t="s">
        <v>349</v>
      </c>
      <c r="D96" s="9">
        <v>43693</v>
      </c>
      <c r="E96">
        <v>0.02</v>
      </c>
      <c r="F96">
        <f t="shared" si="3"/>
        <v>20</v>
      </c>
    </row>
    <row r="97" spans="1:6" x14ac:dyDescent="0.25">
      <c r="A97" t="str">
        <f t="shared" si="2"/>
        <v>D69C43693</v>
      </c>
      <c r="B97" t="s">
        <v>352</v>
      </c>
      <c r="C97" t="s">
        <v>351</v>
      </c>
      <c r="D97" s="9">
        <v>43693</v>
      </c>
      <c r="E97">
        <v>0.26</v>
      </c>
      <c r="F97">
        <f t="shared" si="3"/>
        <v>260</v>
      </c>
    </row>
    <row r="98" spans="1:6" x14ac:dyDescent="0.25">
      <c r="A98" t="str">
        <f t="shared" si="2"/>
        <v>D70A43693</v>
      </c>
      <c r="B98" t="s">
        <v>354</v>
      </c>
      <c r="C98" t="s">
        <v>353</v>
      </c>
      <c r="D98" s="9">
        <v>43693</v>
      </c>
      <c r="E98">
        <v>0.12</v>
      </c>
      <c r="F98">
        <f t="shared" si="3"/>
        <v>120</v>
      </c>
    </row>
    <row r="99" spans="1:6" x14ac:dyDescent="0.25">
      <c r="A99" t="str">
        <f t="shared" si="2"/>
        <v>D70B43693</v>
      </c>
      <c r="B99" t="s">
        <v>356</v>
      </c>
      <c r="C99" t="s">
        <v>355</v>
      </c>
      <c r="D99" s="9">
        <v>43693</v>
      </c>
      <c r="E99">
        <v>0.02</v>
      </c>
      <c r="F99">
        <f t="shared" si="3"/>
        <v>20</v>
      </c>
    </row>
    <row r="100" spans="1:6" x14ac:dyDescent="0.25">
      <c r="A100" t="str">
        <f t="shared" si="2"/>
        <v>D70C43693</v>
      </c>
      <c r="B100" t="s">
        <v>358</v>
      </c>
      <c r="C100" t="s">
        <v>357</v>
      </c>
      <c r="D100" s="9">
        <v>43693</v>
      </c>
      <c r="E100">
        <v>0.03</v>
      </c>
      <c r="F100">
        <f t="shared" si="3"/>
        <v>30</v>
      </c>
    </row>
    <row r="101" spans="1:6" x14ac:dyDescent="0.25">
      <c r="A101" t="str">
        <f t="shared" si="2"/>
        <v>D74A43703</v>
      </c>
      <c r="B101" t="s">
        <v>360</v>
      </c>
      <c r="C101" t="s">
        <v>359</v>
      </c>
      <c r="D101" s="9">
        <v>43703</v>
      </c>
      <c r="E101">
        <v>0.03</v>
      </c>
      <c r="F101">
        <f t="shared" si="3"/>
        <v>30</v>
      </c>
    </row>
    <row r="102" spans="1:6" x14ac:dyDescent="0.25">
      <c r="A102" t="str">
        <f t="shared" si="2"/>
        <v>D74B43703</v>
      </c>
      <c r="B102" t="s">
        <v>362</v>
      </c>
      <c r="C102" t="s">
        <v>361</v>
      </c>
      <c r="D102" s="9">
        <v>43703</v>
      </c>
      <c r="E102">
        <v>0.05</v>
      </c>
      <c r="F102">
        <f t="shared" si="3"/>
        <v>50</v>
      </c>
    </row>
    <row r="103" spans="1:6" x14ac:dyDescent="0.25">
      <c r="A103" t="str">
        <f t="shared" si="2"/>
        <v>D74C43703</v>
      </c>
      <c r="B103" t="s">
        <v>364</v>
      </c>
      <c r="C103" t="s">
        <v>363</v>
      </c>
      <c r="D103" s="9">
        <v>43703</v>
      </c>
      <c r="E103">
        <v>0.16</v>
      </c>
      <c r="F103">
        <f t="shared" si="3"/>
        <v>160</v>
      </c>
    </row>
    <row r="104" spans="1:6" x14ac:dyDescent="0.25">
      <c r="A104" t="str">
        <f t="shared" si="2"/>
        <v>D7543686</v>
      </c>
      <c r="B104" t="s">
        <v>365</v>
      </c>
      <c r="C104" t="s">
        <v>96</v>
      </c>
      <c r="D104" s="9">
        <v>43686</v>
      </c>
      <c r="E104">
        <v>0.16</v>
      </c>
      <c r="F104">
        <f t="shared" si="3"/>
        <v>160</v>
      </c>
    </row>
    <row r="105" spans="1:6" x14ac:dyDescent="0.25">
      <c r="A105" t="str">
        <f t="shared" si="2"/>
        <v>D7543640</v>
      </c>
      <c r="B105" t="s">
        <v>366</v>
      </c>
      <c r="C105" t="s">
        <v>96</v>
      </c>
      <c r="D105" s="9">
        <v>43640</v>
      </c>
      <c r="E105">
        <v>0.47</v>
      </c>
      <c r="F105">
        <f t="shared" si="3"/>
        <v>470</v>
      </c>
    </row>
    <row r="106" spans="1:6" x14ac:dyDescent="0.25">
      <c r="A106" t="str">
        <f t="shared" si="2"/>
        <v>D7643651</v>
      </c>
      <c r="B106" t="s">
        <v>367</v>
      </c>
      <c r="C106" t="s">
        <v>125</v>
      </c>
      <c r="D106" s="9">
        <v>43651</v>
      </c>
      <c r="E106">
        <v>0.03</v>
      </c>
      <c r="F106">
        <f t="shared" si="3"/>
        <v>30</v>
      </c>
    </row>
    <row r="107" spans="1:6" x14ac:dyDescent="0.25">
      <c r="A107" t="str">
        <f t="shared" si="2"/>
        <v>D7A43697</v>
      </c>
      <c r="B107" t="s">
        <v>369</v>
      </c>
      <c r="C107" t="s">
        <v>368</v>
      </c>
      <c r="D107" s="9">
        <v>43697</v>
      </c>
      <c r="E107">
        <v>0.02</v>
      </c>
      <c r="F107">
        <f t="shared" si="3"/>
        <v>20</v>
      </c>
    </row>
    <row r="108" spans="1:6" x14ac:dyDescent="0.25">
      <c r="A108" t="str">
        <f t="shared" si="2"/>
        <v>D7B43697</v>
      </c>
      <c r="B108" t="s">
        <v>371</v>
      </c>
      <c r="C108" t="s">
        <v>370</v>
      </c>
      <c r="D108" s="9">
        <v>43697</v>
      </c>
      <c r="E108">
        <v>0.04</v>
      </c>
      <c r="F108">
        <f t="shared" si="3"/>
        <v>40</v>
      </c>
    </row>
    <row r="109" spans="1:6" x14ac:dyDescent="0.25">
      <c r="A109" t="str">
        <f t="shared" si="2"/>
        <v>D7I43697</v>
      </c>
      <c r="B109" t="s">
        <v>373</v>
      </c>
      <c r="C109" t="s">
        <v>372</v>
      </c>
      <c r="D109" s="9">
        <v>43697</v>
      </c>
      <c r="E109">
        <v>0.3</v>
      </c>
      <c r="F109">
        <f t="shared" si="3"/>
        <v>300</v>
      </c>
    </row>
    <row r="110" spans="1:6" x14ac:dyDescent="0.25">
      <c r="A110" t="str">
        <f t="shared" si="2"/>
        <v>D8C43689</v>
      </c>
      <c r="B110" t="s">
        <v>375</v>
      </c>
      <c r="C110" t="s">
        <v>374</v>
      </c>
      <c r="D110" s="9">
        <v>43689</v>
      </c>
      <c r="E110">
        <v>0.3</v>
      </c>
      <c r="F110">
        <f t="shared" si="3"/>
        <v>300</v>
      </c>
    </row>
    <row r="111" spans="1:6" x14ac:dyDescent="0.25">
      <c r="A111" t="str">
        <f t="shared" si="2"/>
        <v>D8E43657</v>
      </c>
      <c r="B111" t="s">
        <v>376</v>
      </c>
      <c r="C111" t="s">
        <v>143</v>
      </c>
      <c r="D111" s="9">
        <v>43657</v>
      </c>
      <c r="E111">
        <v>0.02</v>
      </c>
      <c r="F111">
        <f t="shared" si="3"/>
        <v>20</v>
      </c>
    </row>
    <row r="112" spans="1:6" x14ac:dyDescent="0.25">
      <c r="A112" t="str">
        <f t="shared" si="2"/>
        <v>D8F43689</v>
      </c>
      <c r="B112" t="s">
        <v>378</v>
      </c>
      <c r="C112" t="s">
        <v>377</v>
      </c>
      <c r="D112" s="9">
        <v>43689</v>
      </c>
      <c r="E112">
        <v>1.1100000000000001</v>
      </c>
      <c r="F112">
        <f t="shared" si="3"/>
        <v>1110</v>
      </c>
    </row>
    <row r="113" spans="1:6" x14ac:dyDescent="0.25">
      <c r="A113" t="str">
        <f t="shared" si="2"/>
        <v>D8G43690</v>
      </c>
      <c r="B113" t="s">
        <v>379</v>
      </c>
      <c r="C113" t="s">
        <v>136</v>
      </c>
      <c r="D113" s="9">
        <v>43690</v>
      </c>
      <c r="E113">
        <v>0.24</v>
      </c>
      <c r="F113">
        <f t="shared" si="3"/>
        <v>240</v>
      </c>
    </row>
    <row r="114" spans="1:6" x14ac:dyDescent="0.25">
      <c r="A114" t="str">
        <f t="shared" si="2"/>
        <v>D8G43657</v>
      </c>
      <c r="B114" t="s">
        <v>380</v>
      </c>
      <c r="C114" t="s">
        <v>136</v>
      </c>
      <c r="D114" s="9">
        <v>43657</v>
      </c>
      <c r="E114">
        <v>0.25</v>
      </c>
      <c r="F114">
        <f t="shared" si="3"/>
        <v>250</v>
      </c>
    </row>
    <row r="115" spans="1:6" x14ac:dyDescent="0.25">
      <c r="A115" t="str">
        <f t="shared" si="2"/>
        <v>W10E43644</v>
      </c>
      <c r="B115" t="s">
        <v>381</v>
      </c>
      <c r="C115" t="s">
        <v>111</v>
      </c>
      <c r="D115" s="9">
        <v>43644</v>
      </c>
      <c r="E115">
        <v>0.03</v>
      </c>
      <c r="F115">
        <f t="shared" si="3"/>
        <v>30</v>
      </c>
    </row>
    <row r="116" spans="1:6" x14ac:dyDescent="0.25">
      <c r="A116" t="str">
        <f t="shared" si="2"/>
        <v>W14A43640</v>
      </c>
      <c r="B116" t="s">
        <v>382</v>
      </c>
      <c r="C116" t="s">
        <v>100</v>
      </c>
      <c r="D116" s="9">
        <v>43640</v>
      </c>
      <c r="E116">
        <v>0.56000000000000005</v>
      </c>
      <c r="F116">
        <f t="shared" si="3"/>
        <v>560</v>
      </c>
    </row>
    <row r="117" spans="1:6" x14ac:dyDescent="0.25">
      <c r="A117" t="str">
        <f t="shared" si="2"/>
        <v>W2043636</v>
      </c>
      <c r="B117" t="s">
        <v>383</v>
      </c>
      <c r="C117" t="s">
        <v>94</v>
      </c>
      <c r="D117" s="9">
        <v>43636</v>
      </c>
      <c r="E117">
        <v>0.08</v>
      </c>
      <c r="F117">
        <f t="shared" si="3"/>
        <v>80</v>
      </c>
    </row>
    <row r="118" spans="1:6" x14ac:dyDescent="0.25">
      <c r="A118" t="str">
        <f t="shared" si="2"/>
        <v>W31A43649</v>
      </c>
      <c r="B118" t="s">
        <v>384</v>
      </c>
      <c r="C118" t="s">
        <v>123</v>
      </c>
      <c r="D118" s="9">
        <v>43649</v>
      </c>
      <c r="E118">
        <v>0.21</v>
      </c>
      <c r="F118">
        <f t="shared" si="3"/>
        <v>210</v>
      </c>
    </row>
    <row r="119" spans="1:6" x14ac:dyDescent="0.25">
      <c r="A119" t="str">
        <f t="shared" si="2"/>
        <v>W31B43648</v>
      </c>
      <c r="B119" t="s">
        <v>385</v>
      </c>
      <c r="C119" t="s">
        <v>116</v>
      </c>
      <c r="D119" s="9">
        <v>43648</v>
      </c>
      <c r="E119">
        <v>0.41</v>
      </c>
      <c r="F119">
        <f t="shared" si="3"/>
        <v>410</v>
      </c>
    </row>
    <row r="120" spans="1:6" x14ac:dyDescent="0.25">
      <c r="A120" t="str">
        <f t="shared" si="2"/>
        <v>W31C43648</v>
      </c>
      <c r="B120" t="s">
        <v>386</v>
      </c>
      <c r="C120" t="s">
        <v>120</v>
      </c>
      <c r="D120" s="9">
        <v>43648</v>
      </c>
      <c r="E120">
        <v>0.78</v>
      </c>
      <c r="F120">
        <f t="shared" si="3"/>
        <v>780</v>
      </c>
    </row>
    <row r="121" spans="1:6" x14ac:dyDescent="0.25">
      <c r="A121" t="str">
        <f t="shared" si="2"/>
        <v>W44B43654</v>
      </c>
      <c r="B121" t="s">
        <v>387</v>
      </c>
      <c r="C121" t="s">
        <v>134</v>
      </c>
      <c r="D121" s="9">
        <v>43654</v>
      </c>
      <c r="E121">
        <v>0.24</v>
      </c>
      <c r="F121">
        <f t="shared" si="3"/>
        <v>240</v>
      </c>
    </row>
    <row r="122" spans="1:6" x14ac:dyDescent="0.25">
      <c r="A122" t="str">
        <f t="shared" si="2"/>
        <v>W543643</v>
      </c>
      <c r="B122" t="s">
        <v>388</v>
      </c>
      <c r="C122" t="s">
        <v>107</v>
      </c>
      <c r="D122" s="9">
        <v>43643</v>
      </c>
      <c r="E122">
        <v>0.04</v>
      </c>
      <c r="F122">
        <f t="shared" si="3"/>
        <v>40</v>
      </c>
    </row>
    <row r="123" spans="1:6" x14ac:dyDescent="0.25">
      <c r="A123" t="str">
        <f t="shared" si="2"/>
        <v>W5243636</v>
      </c>
      <c r="B123" t="s">
        <v>389</v>
      </c>
      <c r="C123" t="s">
        <v>91</v>
      </c>
      <c r="D123" s="9">
        <v>43636</v>
      </c>
      <c r="E123">
        <v>0.27</v>
      </c>
      <c r="F123">
        <f t="shared" si="3"/>
        <v>270</v>
      </c>
    </row>
    <row r="124" spans="1:6" x14ac:dyDescent="0.25">
      <c r="A124" t="str">
        <f t="shared" si="2"/>
        <v>W56A43635</v>
      </c>
      <c r="B124" t="s">
        <v>390</v>
      </c>
      <c r="C124" t="s">
        <v>85</v>
      </c>
      <c r="D124" s="9">
        <v>43635</v>
      </c>
      <c r="E124">
        <v>0.13</v>
      </c>
      <c r="F124">
        <f t="shared" si="3"/>
        <v>130</v>
      </c>
    </row>
    <row r="125" spans="1:6" x14ac:dyDescent="0.25">
      <c r="A125" t="str">
        <f t="shared" si="2"/>
        <v>W56C43635</v>
      </c>
      <c r="B125" t="s">
        <v>391</v>
      </c>
      <c r="C125" t="s">
        <v>87</v>
      </c>
      <c r="D125" s="9">
        <v>43635</v>
      </c>
      <c r="E125">
        <v>1.32</v>
      </c>
      <c r="F125">
        <f t="shared" si="3"/>
        <v>1320</v>
      </c>
    </row>
    <row r="126" spans="1:6" x14ac:dyDescent="0.25">
      <c r="A126" t="str">
        <f t="shared" si="2"/>
        <v>W56D43661</v>
      </c>
      <c r="B126" t="s">
        <v>392</v>
      </c>
      <c r="C126" t="s">
        <v>149</v>
      </c>
      <c r="D126" s="9">
        <v>43661</v>
      </c>
      <c r="E126">
        <v>0.11</v>
      </c>
      <c r="F126">
        <f t="shared" si="3"/>
        <v>110</v>
      </c>
    </row>
    <row r="127" spans="1:6" x14ac:dyDescent="0.25">
      <c r="A127" t="str">
        <f t="shared" si="2"/>
        <v>W57A43655</v>
      </c>
      <c r="B127" t="s">
        <v>393</v>
      </c>
      <c r="C127" t="s">
        <v>128</v>
      </c>
      <c r="D127" s="9">
        <v>43655</v>
      </c>
      <c r="E127">
        <v>0.26</v>
      </c>
      <c r="F127">
        <f t="shared" si="3"/>
        <v>260</v>
      </c>
    </row>
    <row r="128" spans="1:6" x14ac:dyDescent="0.25">
      <c r="A128" t="str">
        <f t="shared" si="2"/>
        <v>W57B43655</v>
      </c>
      <c r="B128" t="s">
        <v>394</v>
      </c>
      <c r="C128" t="s">
        <v>131</v>
      </c>
      <c r="D128" s="9">
        <v>43655</v>
      </c>
      <c r="E128">
        <v>0.44</v>
      </c>
      <c r="F128">
        <f t="shared" si="3"/>
        <v>440</v>
      </c>
    </row>
    <row r="129" spans="1:6" x14ac:dyDescent="0.25">
      <c r="A129" t="str">
        <f t="shared" si="2"/>
        <v>W61B43641</v>
      </c>
      <c r="B129" t="s">
        <v>395</v>
      </c>
      <c r="C129" t="s">
        <v>104</v>
      </c>
      <c r="D129" s="9">
        <v>43641</v>
      </c>
      <c r="E129">
        <v>0.09</v>
      </c>
      <c r="F129">
        <f t="shared" si="3"/>
        <v>90</v>
      </c>
    </row>
    <row r="130" spans="1:6" x14ac:dyDescent="0.25">
      <c r="A130" t="str">
        <f t="shared" si="2"/>
        <v>W6543658</v>
      </c>
      <c r="B130" t="s">
        <v>396</v>
      </c>
      <c r="C130" t="s">
        <v>142</v>
      </c>
      <c r="D130" s="9">
        <v>43658</v>
      </c>
      <c r="E130">
        <v>0.24</v>
      </c>
      <c r="F130">
        <f t="shared" si="3"/>
        <v>240</v>
      </c>
    </row>
    <row r="131" spans="1:6" x14ac:dyDescent="0.25">
      <c r="A131" t="str">
        <f t="shared" ref="A131:A134" si="4">C131&amp;D131</f>
        <v>W7543640</v>
      </c>
      <c r="B131" t="s">
        <v>397</v>
      </c>
      <c r="C131" t="s">
        <v>97</v>
      </c>
      <c r="D131" s="9">
        <v>43640</v>
      </c>
      <c r="E131">
        <v>1.02</v>
      </c>
      <c r="F131">
        <f t="shared" ref="F131:F134" si="5">E131*1000</f>
        <v>1020</v>
      </c>
    </row>
    <row r="132" spans="1:6" x14ac:dyDescent="0.25">
      <c r="A132" t="str">
        <f t="shared" si="4"/>
        <v>W7643651</v>
      </c>
      <c r="B132" t="s">
        <v>398</v>
      </c>
      <c r="C132" t="s">
        <v>126</v>
      </c>
      <c r="D132" s="9">
        <v>43651</v>
      </c>
      <c r="E132">
        <f>2*1.27</f>
        <v>2.54</v>
      </c>
      <c r="F132">
        <f t="shared" si="5"/>
        <v>2540</v>
      </c>
    </row>
    <row r="133" spans="1:6" x14ac:dyDescent="0.25">
      <c r="A133" t="str">
        <f t="shared" si="4"/>
        <v>W8E43657</v>
      </c>
      <c r="B133" t="s">
        <v>399</v>
      </c>
      <c r="C133" t="s">
        <v>144</v>
      </c>
      <c r="D133" s="9">
        <v>43657</v>
      </c>
      <c r="E133">
        <v>0.09</v>
      </c>
      <c r="F133">
        <f t="shared" si="5"/>
        <v>90</v>
      </c>
    </row>
    <row r="134" spans="1:6" x14ac:dyDescent="0.25">
      <c r="A134" t="str">
        <f t="shared" si="4"/>
        <v>W8G43657</v>
      </c>
      <c r="B134" t="s">
        <v>400</v>
      </c>
      <c r="C134" t="s">
        <v>138</v>
      </c>
      <c r="D134" s="9">
        <v>43657</v>
      </c>
      <c r="E134">
        <v>0.13</v>
      </c>
      <c r="F134">
        <f t="shared" si="5"/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4"/>
  <sheetViews>
    <sheetView topLeftCell="A46" workbookViewId="0">
      <selection activeCell="D63" sqref="D63"/>
    </sheetView>
  </sheetViews>
  <sheetFormatPr defaultColWidth="8.85546875" defaultRowHeight="15" x14ac:dyDescent="0.25"/>
  <cols>
    <col min="1" max="1" width="10.28515625" bestFit="1" customWidth="1"/>
    <col min="2" max="4" width="12.85546875" customWidth="1"/>
    <col min="5" max="5" width="12.85546875" style="25" customWidth="1"/>
  </cols>
  <sheetData>
    <row r="1" spans="1:5" ht="15.75" thickBot="1" x14ac:dyDescent="0.3">
      <c r="A1" s="18" t="s">
        <v>1</v>
      </c>
      <c r="B1" s="18" t="s">
        <v>450</v>
      </c>
      <c r="C1" s="18" t="s">
        <v>0</v>
      </c>
      <c r="D1" s="18" t="s">
        <v>3</v>
      </c>
      <c r="E1" s="24" t="s">
        <v>457</v>
      </c>
    </row>
    <row r="2" spans="1:5" ht="15.75" thickTop="1" x14ac:dyDescent="0.25">
      <c r="A2" t="str">
        <f>C2&amp;D2</f>
        <v>D10A43703</v>
      </c>
      <c r="B2" t="s">
        <v>190</v>
      </c>
      <c r="C2" t="s">
        <v>189</v>
      </c>
      <c r="D2" s="9">
        <v>43703</v>
      </c>
      <c r="E2" s="25">
        <v>1330</v>
      </c>
    </row>
    <row r="3" spans="1:5" x14ac:dyDescent="0.25">
      <c r="A3" t="str">
        <f t="shared" ref="A3:A66" si="0">C3&amp;D3</f>
        <v>D10B43703</v>
      </c>
      <c r="B3" t="s">
        <v>192</v>
      </c>
      <c r="C3" t="s">
        <v>191</v>
      </c>
      <c r="D3" s="9">
        <v>43703</v>
      </c>
      <c r="E3" s="25">
        <v>1560</v>
      </c>
    </row>
    <row r="4" spans="1:5" x14ac:dyDescent="0.25">
      <c r="A4" t="str">
        <f t="shared" si="0"/>
        <v>D10C43703</v>
      </c>
      <c r="B4" t="s">
        <v>194</v>
      </c>
      <c r="C4" t="s">
        <v>193</v>
      </c>
      <c r="D4" s="9">
        <v>43703</v>
      </c>
      <c r="E4" s="25">
        <v>1910</v>
      </c>
    </row>
    <row r="5" spans="1:5" x14ac:dyDescent="0.25">
      <c r="A5" t="str">
        <f t="shared" si="0"/>
        <v>D10D43703</v>
      </c>
      <c r="B5" t="s">
        <v>196</v>
      </c>
      <c r="C5" t="s">
        <v>195</v>
      </c>
      <c r="D5" s="9">
        <v>43703</v>
      </c>
      <c r="E5" s="25">
        <v>1150</v>
      </c>
    </row>
    <row r="6" spans="1:5" x14ac:dyDescent="0.25">
      <c r="A6" t="str">
        <f t="shared" si="0"/>
        <v>D10E43703</v>
      </c>
      <c r="B6" t="s">
        <v>197</v>
      </c>
      <c r="C6" t="s">
        <v>109</v>
      </c>
      <c r="D6" s="9">
        <v>43703</v>
      </c>
      <c r="E6" s="25">
        <v>1050</v>
      </c>
    </row>
    <row r="7" spans="1:5" x14ac:dyDescent="0.25">
      <c r="A7" t="str">
        <f t="shared" si="0"/>
        <v>D10E43644</v>
      </c>
      <c r="B7" t="s">
        <v>198</v>
      </c>
      <c r="C7" t="s">
        <v>109</v>
      </c>
      <c r="D7" s="9">
        <v>43644</v>
      </c>
      <c r="E7" s="25">
        <v>1040</v>
      </c>
    </row>
    <row r="8" spans="1:5" x14ac:dyDescent="0.25">
      <c r="A8" t="str">
        <f t="shared" si="0"/>
        <v>D14A43675</v>
      </c>
      <c r="B8" t="s">
        <v>201</v>
      </c>
      <c r="C8" t="s">
        <v>99</v>
      </c>
      <c r="D8" s="9">
        <v>43675</v>
      </c>
      <c r="E8" s="25">
        <v>4530</v>
      </c>
    </row>
    <row r="9" spans="1:5" x14ac:dyDescent="0.25">
      <c r="A9" t="str">
        <f t="shared" si="0"/>
        <v>D14A43640</v>
      </c>
      <c r="B9" t="s">
        <v>202</v>
      </c>
      <c r="C9" t="s">
        <v>99</v>
      </c>
      <c r="D9" s="9">
        <v>43640</v>
      </c>
      <c r="E9" s="25">
        <v>4390</v>
      </c>
    </row>
    <row r="10" spans="1:5" x14ac:dyDescent="0.25">
      <c r="A10" t="str">
        <f t="shared" si="0"/>
        <v>D14B43675</v>
      </c>
      <c r="B10" t="s">
        <v>204</v>
      </c>
      <c r="C10" t="s">
        <v>203</v>
      </c>
      <c r="D10" s="9">
        <v>43675</v>
      </c>
      <c r="E10" s="25">
        <v>1990</v>
      </c>
    </row>
    <row r="11" spans="1:5" x14ac:dyDescent="0.25">
      <c r="A11" t="str">
        <f t="shared" si="0"/>
        <v>D15A43683</v>
      </c>
      <c r="B11" t="s">
        <v>206</v>
      </c>
      <c r="C11" t="s">
        <v>205</v>
      </c>
      <c r="D11" s="9">
        <v>43683</v>
      </c>
      <c r="E11" s="25">
        <v>1130</v>
      </c>
    </row>
    <row r="12" spans="1:5" x14ac:dyDescent="0.25">
      <c r="A12" t="str">
        <f t="shared" si="0"/>
        <v>D15B43683</v>
      </c>
      <c r="B12" t="s">
        <v>454</v>
      </c>
      <c r="C12" t="s">
        <v>199</v>
      </c>
      <c r="D12" s="9">
        <v>43683</v>
      </c>
      <c r="E12" s="25">
        <v>3110</v>
      </c>
    </row>
    <row r="13" spans="1:5" x14ac:dyDescent="0.25">
      <c r="A13" t="str">
        <f t="shared" si="0"/>
        <v>D2043668</v>
      </c>
      <c r="B13" t="s">
        <v>207</v>
      </c>
      <c r="C13" t="s">
        <v>93</v>
      </c>
      <c r="D13" s="9">
        <v>43668</v>
      </c>
      <c r="E13" s="25">
        <v>1360</v>
      </c>
    </row>
    <row r="14" spans="1:5" x14ac:dyDescent="0.25">
      <c r="A14" t="str">
        <f t="shared" si="0"/>
        <v>D2043636</v>
      </c>
      <c r="B14" t="s">
        <v>208</v>
      </c>
      <c r="C14" t="s">
        <v>93</v>
      </c>
      <c r="D14" s="9">
        <v>43636</v>
      </c>
      <c r="E14" s="25">
        <v>1380</v>
      </c>
    </row>
    <row r="15" spans="1:5" x14ac:dyDescent="0.25">
      <c r="A15" t="str">
        <f t="shared" si="0"/>
        <v>D22C43686</v>
      </c>
      <c r="B15" t="s">
        <v>210</v>
      </c>
      <c r="C15" t="s">
        <v>209</v>
      </c>
      <c r="D15" s="9">
        <v>43686</v>
      </c>
      <c r="E15" s="25">
        <v>1840</v>
      </c>
    </row>
    <row r="16" spans="1:5" x14ac:dyDescent="0.25">
      <c r="A16" t="str">
        <f t="shared" si="0"/>
        <v>D24B43692</v>
      </c>
      <c r="B16" t="s">
        <v>212</v>
      </c>
      <c r="C16" t="s">
        <v>211</v>
      </c>
      <c r="D16" s="9">
        <v>43692</v>
      </c>
      <c r="E16" s="25">
        <v>2760</v>
      </c>
    </row>
    <row r="17" spans="1:5" x14ac:dyDescent="0.25">
      <c r="A17" t="str">
        <f t="shared" si="0"/>
        <v>D26A43692</v>
      </c>
      <c r="B17" t="s">
        <v>214</v>
      </c>
      <c r="C17" t="s">
        <v>213</v>
      </c>
      <c r="D17" s="9">
        <v>43692</v>
      </c>
      <c r="E17" s="25">
        <v>5515.9</v>
      </c>
    </row>
    <row r="18" spans="1:5" x14ac:dyDescent="0.25">
      <c r="A18" t="str">
        <f t="shared" si="0"/>
        <v>D26B43692</v>
      </c>
      <c r="B18" t="s">
        <v>216</v>
      </c>
      <c r="C18" t="s">
        <v>215</v>
      </c>
      <c r="D18" s="9">
        <v>43692</v>
      </c>
      <c r="E18" s="25">
        <v>2490</v>
      </c>
    </row>
    <row r="19" spans="1:5" x14ac:dyDescent="0.25">
      <c r="A19" t="str">
        <f t="shared" si="0"/>
        <v>D26C43692</v>
      </c>
      <c r="B19" t="s">
        <v>218</v>
      </c>
      <c r="C19" t="s">
        <v>217</v>
      </c>
      <c r="D19" s="9">
        <v>43692</v>
      </c>
      <c r="E19" s="25">
        <v>1960</v>
      </c>
    </row>
    <row r="20" spans="1:5" x14ac:dyDescent="0.25">
      <c r="A20" t="str">
        <f t="shared" si="0"/>
        <v>D27A43684</v>
      </c>
      <c r="B20" t="s">
        <v>220</v>
      </c>
      <c r="C20" t="s">
        <v>219</v>
      </c>
      <c r="D20" s="9">
        <v>43684</v>
      </c>
      <c r="E20" s="25">
        <v>931.89</v>
      </c>
    </row>
    <row r="21" spans="1:5" x14ac:dyDescent="0.25">
      <c r="A21" t="str">
        <f t="shared" si="0"/>
        <v>D27B43684</v>
      </c>
      <c r="B21" t="s">
        <v>222</v>
      </c>
      <c r="C21" t="s">
        <v>221</v>
      </c>
      <c r="D21" s="9">
        <v>43684</v>
      </c>
      <c r="E21" s="25">
        <v>965.63</v>
      </c>
    </row>
    <row r="22" spans="1:5" x14ac:dyDescent="0.25">
      <c r="A22" t="str">
        <f t="shared" si="0"/>
        <v>D27C43684</v>
      </c>
      <c r="B22" t="s">
        <v>224</v>
      </c>
      <c r="C22" t="s">
        <v>223</v>
      </c>
      <c r="D22" s="9">
        <v>43684</v>
      </c>
      <c r="E22" s="25">
        <v>619.45000000000005</v>
      </c>
    </row>
    <row r="23" spans="1:5" x14ac:dyDescent="0.25">
      <c r="A23" t="str">
        <f t="shared" si="0"/>
        <v>D30A43696</v>
      </c>
      <c r="B23" t="s">
        <v>226</v>
      </c>
      <c r="C23" t="s">
        <v>225</v>
      </c>
      <c r="D23" s="9">
        <v>43696</v>
      </c>
      <c r="E23" s="25">
        <v>1880</v>
      </c>
    </row>
    <row r="24" spans="1:5" x14ac:dyDescent="0.25">
      <c r="A24" t="str">
        <f t="shared" si="0"/>
        <v>D30B43696</v>
      </c>
      <c r="B24" t="s">
        <v>228</v>
      </c>
      <c r="C24" t="s">
        <v>227</v>
      </c>
      <c r="D24" s="9">
        <v>43696</v>
      </c>
      <c r="E24" s="25">
        <v>1880</v>
      </c>
    </row>
    <row r="25" spans="1:5" x14ac:dyDescent="0.25">
      <c r="A25" t="str">
        <f t="shared" si="0"/>
        <v>D31A43696</v>
      </c>
      <c r="B25" t="s">
        <v>229</v>
      </c>
      <c r="C25" t="s">
        <v>122</v>
      </c>
      <c r="D25" s="9">
        <v>43696</v>
      </c>
      <c r="E25" s="25">
        <v>3880</v>
      </c>
    </row>
    <row r="26" spans="1:5" x14ac:dyDescent="0.25">
      <c r="A26" t="str">
        <f t="shared" si="0"/>
        <v>D31A43649</v>
      </c>
      <c r="B26" t="s">
        <v>230</v>
      </c>
      <c r="C26" t="s">
        <v>122</v>
      </c>
      <c r="D26" s="9">
        <v>43649</v>
      </c>
      <c r="E26" s="25">
        <v>3320</v>
      </c>
    </row>
    <row r="27" spans="1:5" x14ac:dyDescent="0.25">
      <c r="A27" t="str">
        <f t="shared" si="0"/>
        <v>D31B43696</v>
      </c>
      <c r="B27" t="s">
        <v>231</v>
      </c>
      <c r="C27" t="s">
        <v>113</v>
      </c>
      <c r="D27" s="9">
        <v>43696</v>
      </c>
      <c r="E27" s="25">
        <v>2800</v>
      </c>
    </row>
    <row r="28" spans="1:5" x14ac:dyDescent="0.25">
      <c r="A28" t="str">
        <f t="shared" si="0"/>
        <v>D31B43648</v>
      </c>
      <c r="B28" t="s">
        <v>232</v>
      </c>
      <c r="C28" t="s">
        <v>113</v>
      </c>
      <c r="D28" s="9">
        <v>43648</v>
      </c>
      <c r="E28" s="25">
        <v>2400</v>
      </c>
    </row>
    <row r="29" spans="1:5" x14ac:dyDescent="0.25">
      <c r="A29" t="str">
        <f t="shared" si="0"/>
        <v>D31C43648</v>
      </c>
      <c r="B29" t="s">
        <v>233</v>
      </c>
      <c r="C29" t="s">
        <v>118</v>
      </c>
      <c r="D29" s="9">
        <v>43648</v>
      </c>
      <c r="E29" s="25">
        <v>3570</v>
      </c>
    </row>
    <row r="30" spans="1:5" x14ac:dyDescent="0.25">
      <c r="A30" t="str">
        <f t="shared" si="0"/>
        <v>D3643689</v>
      </c>
      <c r="B30" t="s">
        <v>235</v>
      </c>
      <c r="C30" t="s">
        <v>234</v>
      </c>
      <c r="D30" s="9">
        <v>43689</v>
      </c>
      <c r="E30" s="25">
        <v>2090</v>
      </c>
    </row>
    <row r="31" spans="1:5" x14ac:dyDescent="0.25">
      <c r="A31" t="str">
        <f t="shared" si="0"/>
        <v>D44A43699</v>
      </c>
      <c r="B31" t="s">
        <v>239</v>
      </c>
      <c r="C31" t="s">
        <v>238</v>
      </c>
      <c r="D31" s="9">
        <v>43699</v>
      </c>
      <c r="E31" s="25">
        <v>537.04999999999995</v>
      </c>
    </row>
    <row r="32" spans="1:5" x14ac:dyDescent="0.25">
      <c r="A32" t="str">
        <f t="shared" si="0"/>
        <v>D44B43699</v>
      </c>
      <c r="B32" t="s">
        <v>240</v>
      </c>
      <c r="C32" t="s">
        <v>133</v>
      </c>
      <c r="D32" s="9">
        <v>43699</v>
      </c>
      <c r="E32" s="25">
        <v>1690</v>
      </c>
    </row>
    <row r="33" spans="1:5" x14ac:dyDescent="0.25">
      <c r="A33" t="str">
        <f t="shared" si="0"/>
        <v>D44B43654</v>
      </c>
      <c r="B33" t="s">
        <v>241</v>
      </c>
      <c r="C33" t="s">
        <v>133</v>
      </c>
      <c r="D33" s="9">
        <v>43654</v>
      </c>
      <c r="E33" s="25">
        <v>1560</v>
      </c>
    </row>
    <row r="34" spans="1:5" x14ac:dyDescent="0.25">
      <c r="A34" t="str">
        <f t="shared" si="0"/>
        <v>D45A43683</v>
      </c>
      <c r="B34" t="s">
        <v>243</v>
      </c>
      <c r="C34" t="s">
        <v>242</v>
      </c>
      <c r="D34" s="9">
        <v>43683</v>
      </c>
      <c r="E34" s="25">
        <f>10*1100</f>
        <v>11000</v>
      </c>
    </row>
    <row r="35" spans="1:5" x14ac:dyDescent="0.25">
      <c r="A35" t="str">
        <f t="shared" si="0"/>
        <v>D45B43683</v>
      </c>
      <c r="B35" t="s">
        <v>245</v>
      </c>
      <c r="C35" t="s">
        <v>244</v>
      </c>
      <c r="D35" s="9">
        <v>43683</v>
      </c>
      <c r="E35" s="25">
        <v>991.92</v>
      </c>
    </row>
    <row r="36" spans="1:5" x14ac:dyDescent="0.25">
      <c r="A36" t="str">
        <f t="shared" si="0"/>
        <v>D45D43683</v>
      </c>
      <c r="B36" t="s">
        <v>247</v>
      </c>
      <c r="C36" t="s">
        <v>246</v>
      </c>
      <c r="D36" s="9">
        <v>43683</v>
      </c>
      <c r="E36" s="25">
        <v>2250</v>
      </c>
    </row>
    <row r="37" spans="1:5" x14ac:dyDescent="0.25">
      <c r="A37" t="str">
        <f t="shared" si="0"/>
        <v>D48A43668</v>
      </c>
      <c r="B37" t="s">
        <v>249</v>
      </c>
      <c r="C37" t="s">
        <v>248</v>
      </c>
      <c r="D37" s="9">
        <v>43668</v>
      </c>
      <c r="E37" s="25">
        <v>1720</v>
      </c>
    </row>
    <row r="38" spans="1:5" x14ac:dyDescent="0.25">
      <c r="A38" t="str">
        <f t="shared" si="0"/>
        <v>D48B43668</v>
      </c>
      <c r="B38" t="s">
        <v>251</v>
      </c>
      <c r="C38" t="s">
        <v>250</v>
      </c>
      <c r="D38" s="9">
        <v>43668</v>
      </c>
      <c r="E38" s="25">
        <v>1470</v>
      </c>
    </row>
    <row r="39" spans="1:5" x14ac:dyDescent="0.25">
      <c r="A39" t="str">
        <f t="shared" si="0"/>
        <v>D4943668</v>
      </c>
      <c r="B39" t="s">
        <v>253</v>
      </c>
      <c r="C39" t="s">
        <v>252</v>
      </c>
      <c r="D39" s="9">
        <v>43668</v>
      </c>
      <c r="E39" s="25">
        <v>1970</v>
      </c>
    </row>
    <row r="40" spans="1:5" x14ac:dyDescent="0.25">
      <c r="A40" t="str">
        <f t="shared" si="0"/>
        <v>D4A43672</v>
      </c>
      <c r="B40" t="s">
        <v>255</v>
      </c>
      <c r="C40" t="s">
        <v>254</v>
      </c>
      <c r="D40" s="9">
        <v>43672</v>
      </c>
      <c r="E40" s="25">
        <v>1370</v>
      </c>
    </row>
    <row r="41" spans="1:5" x14ac:dyDescent="0.25">
      <c r="A41" t="str">
        <f t="shared" si="0"/>
        <v>D4C43672</v>
      </c>
      <c r="B41" t="s">
        <v>257</v>
      </c>
      <c r="C41" t="s">
        <v>256</v>
      </c>
      <c r="D41" s="9">
        <v>43672</v>
      </c>
      <c r="E41" s="25">
        <v>1570</v>
      </c>
    </row>
    <row r="42" spans="1:5" x14ac:dyDescent="0.25">
      <c r="A42" t="str">
        <f t="shared" si="0"/>
        <v>D4D43671</v>
      </c>
      <c r="B42" t="s">
        <v>259</v>
      </c>
      <c r="C42" t="s">
        <v>258</v>
      </c>
      <c r="D42" s="9">
        <v>43671</v>
      </c>
      <c r="E42" s="25">
        <v>1430</v>
      </c>
    </row>
    <row r="43" spans="1:5" x14ac:dyDescent="0.25">
      <c r="A43" t="str">
        <f t="shared" si="0"/>
        <v>D4E43671</v>
      </c>
      <c r="B43" t="s">
        <v>261</v>
      </c>
      <c r="C43" t="s">
        <v>260</v>
      </c>
      <c r="D43" s="9">
        <v>43671</v>
      </c>
      <c r="E43" s="25">
        <v>3020</v>
      </c>
    </row>
    <row r="44" spans="1:5" x14ac:dyDescent="0.25">
      <c r="A44" t="str">
        <f t="shared" si="0"/>
        <v>D4G43671</v>
      </c>
      <c r="B44" t="s">
        <v>263</v>
      </c>
      <c r="C44" t="s">
        <v>262</v>
      </c>
      <c r="D44" s="9">
        <v>43671</v>
      </c>
      <c r="E44" s="25">
        <v>1450</v>
      </c>
    </row>
    <row r="45" spans="1:5" x14ac:dyDescent="0.25">
      <c r="A45" t="str">
        <f t="shared" si="0"/>
        <v>D4H43686</v>
      </c>
      <c r="B45" t="s">
        <v>265</v>
      </c>
      <c r="C45" t="s">
        <v>264</v>
      </c>
      <c r="D45" s="9">
        <v>43686</v>
      </c>
      <c r="E45" s="25">
        <v>1180</v>
      </c>
    </row>
    <row r="46" spans="1:5" x14ac:dyDescent="0.25">
      <c r="A46" t="str">
        <f t="shared" si="0"/>
        <v>D543703</v>
      </c>
      <c r="B46" t="s">
        <v>266</v>
      </c>
      <c r="C46" t="s">
        <v>106</v>
      </c>
      <c r="D46" s="9">
        <v>43703</v>
      </c>
      <c r="E46" s="25">
        <v>1370</v>
      </c>
    </row>
    <row r="47" spans="1:5" x14ac:dyDescent="0.25">
      <c r="A47" t="str">
        <f t="shared" si="0"/>
        <v>D543643</v>
      </c>
      <c r="B47" t="s">
        <v>267</v>
      </c>
      <c r="C47" t="s">
        <v>106</v>
      </c>
      <c r="D47" s="9">
        <v>43643</v>
      </c>
      <c r="E47" s="25">
        <v>1070</v>
      </c>
    </row>
    <row r="48" spans="1:5" x14ac:dyDescent="0.25">
      <c r="A48" t="str">
        <f t="shared" si="0"/>
        <v>D5143668</v>
      </c>
      <c r="B48" t="s">
        <v>269</v>
      </c>
      <c r="C48" t="s">
        <v>268</v>
      </c>
      <c r="D48" s="9">
        <v>43668</v>
      </c>
      <c r="E48" s="25">
        <v>1280</v>
      </c>
    </row>
    <row r="49" spans="1:5" x14ac:dyDescent="0.25">
      <c r="A49" t="str">
        <f t="shared" si="0"/>
        <v>D5243669</v>
      </c>
      <c r="B49" t="s">
        <v>270</v>
      </c>
      <c r="C49" t="s">
        <v>89</v>
      </c>
      <c r="D49" s="9">
        <v>43669</v>
      </c>
      <c r="E49" s="25">
        <v>1500</v>
      </c>
    </row>
    <row r="50" spans="1:5" x14ac:dyDescent="0.25">
      <c r="A50" t="str">
        <f t="shared" si="0"/>
        <v>D5243636</v>
      </c>
      <c r="B50" t="s">
        <v>271</v>
      </c>
      <c r="C50" t="s">
        <v>89</v>
      </c>
      <c r="D50" s="9">
        <v>43636</v>
      </c>
      <c r="E50" s="25">
        <v>1750</v>
      </c>
    </row>
    <row r="51" spans="1:5" x14ac:dyDescent="0.25">
      <c r="A51" t="str">
        <f t="shared" si="0"/>
        <v>D53A43669</v>
      </c>
      <c r="B51" t="s">
        <v>273</v>
      </c>
      <c r="C51" t="s">
        <v>272</v>
      </c>
      <c r="D51" s="9">
        <v>43669</v>
      </c>
      <c r="E51" s="25">
        <v>1450</v>
      </c>
    </row>
    <row r="52" spans="1:5" x14ac:dyDescent="0.25">
      <c r="A52" t="str">
        <f t="shared" si="0"/>
        <v>D54A43669</v>
      </c>
      <c r="B52" t="s">
        <v>275</v>
      </c>
      <c r="C52" t="s">
        <v>274</v>
      </c>
      <c r="D52" s="9">
        <v>43669</v>
      </c>
      <c r="E52" s="25">
        <v>1620</v>
      </c>
    </row>
    <row r="53" spans="1:5" x14ac:dyDescent="0.25">
      <c r="A53" t="str">
        <f t="shared" si="0"/>
        <v>D54B43668</v>
      </c>
      <c r="B53" t="s">
        <v>277</v>
      </c>
      <c r="C53" t="s">
        <v>276</v>
      </c>
      <c r="D53" s="9">
        <v>43668</v>
      </c>
      <c r="E53" s="25">
        <v>2150</v>
      </c>
    </row>
    <row r="54" spans="1:5" x14ac:dyDescent="0.25">
      <c r="A54" t="str">
        <f t="shared" si="0"/>
        <v>D55B43669</v>
      </c>
      <c r="B54" t="s">
        <v>279</v>
      </c>
      <c r="C54" t="s">
        <v>278</v>
      </c>
      <c r="D54" s="9">
        <v>43669</v>
      </c>
      <c r="E54" s="25">
        <v>814.54</v>
      </c>
    </row>
    <row r="55" spans="1:5" x14ac:dyDescent="0.25">
      <c r="A55" t="str">
        <f t="shared" si="0"/>
        <v>D56A43678</v>
      </c>
      <c r="B55" t="s">
        <v>280</v>
      </c>
      <c r="C55" t="s">
        <v>82</v>
      </c>
      <c r="D55" s="9">
        <v>43678</v>
      </c>
      <c r="E55" s="25">
        <v>1450</v>
      </c>
    </row>
    <row r="56" spans="1:5" x14ac:dyDescent="0.25">
      <c r="A56" t="str">
        <f t="shared" si="0"/>
        <v>D56A43635</v>
      </c>
      <c r="B56" t="s">
        <v>281</v>
      </c>
      <c r="C56" t="s">
        <v>82</v>
      </c>
      <c r="D56" s="9">
        <v>43635</v>
      </c>
      <c r="E56" s="25">
        <v>1570</v>
      </c>
    </row>
    <row r="57" spans="1:5" x14ac:dyDescent="0.25">
      <c r="A57" t="str">
        <f t="shared" si="0"/>
        <v>D56B43678</v>
      </c>
      <c r="B57" t="s">
        <v>283</v>
      </c>
      <c r="C57" t="s">
        <v>282</v>
      </c>
      <c r="D57" s="9">
        <v>43678</v>
      </c>
      <c r="E57" s="25">
        <v>2050</v>
      </c>
    </row>
    <row r="58" spans="1:5" x14ac:dyDescent="0.25">
      <c r="A58" t="str">
        <f t="shared" si="0"/>
        <v>D56C43678</v>
      </c>
      <c r="B58" t="s">
        <v>284</v>
      </c>
      <c r="C58" t="s">
        <v>86</v>
      </c>
      <c r="D58" s="9">
        <v>43678</v>
      </c>
      <c r="E58" s="25">
        <v>1780</v>
      </c>
    </row>
    <row r="59" spans="1:5" x14ac:dyDescent="0.25">
      <c r="A59" t="str">
        <f t="shared" si="0"/>
        <v>D56C43635</v>
      </c>
      <c r="B59" t="s">
        <v>285</v>
      </c>
      <c r="C59" t="s">
        <v>86</v>
      </c>
      <c r="D59" s="9">
        <v>43635</v>
      </c>
      <c r="E59" s="25">
        <v>1720</v>
      </c>
    </row>
    <row r="60" spans="1:5" x14ac:dyDescent="0.25">
      <c r="A60" t="str">
        <f t="shared" si="0"/>
        <v>D56D43661</v>
      </c>
      <c r="B60" t="s">
        <v>286</v>
      </c>
      <c r="C60" t="s">
        <v>146</v>
      </c>
      <c r="D60" s="9">
        <v>43661</v>
      </c>
      <c r="E60" s="25">
        <v>1270</v>
      </c>
    </row>
    <row r="61" spans="1:5" x14ac:dyDescent="0.25">
      <c r="A61" t="str">
        <f t="shared" si="0"/>
        <v>D57A43700</v>
      </c>
      <c r="B61" t="s">
        <v>287</v>
      </c>
      <c r="C61" t="s">
        <v>127</v>
      </c>
      <c r="D61" s="9">
        <v>43700</v>
      </c>
      <c r="E61" s="25">
        <v>1800</v>
      </c>
    </row>
    <row r="62" spans="1:5" x14ac:dyDescent="0.25">
      <c r="A62" t="str">
        <f t="shared" si="0"/>
        <v>D57A43655</v>
      </c>
      <c r="B62" t="s">
        <v>455</v>
      </c>
      <c r="C62" t="s">
        <v>127</v>
      </c>
      <c r="D62" s="9">
        <v>43655</v>
      </c>
      <c r="E62" s="25">
        <v>1590</v>
      </c>
    </row>
    <row r="63" spans="1:5" x14ac:dyDescent="0.25">
      <c r="A63" t="str">
        <f t="shared" si="0"/>
        <v>D57B43700</v>
      </c>
      <c r="B63" t="s">
        <v>289</v>
      </c>
      <c r="C63" t="s">
        <v>129</v>
      </c>
      <c r="D63" s="9">
        <v>43700</v>
      </c>
      <c r="E63" s="25">
        <v>2500</v>
      </c>
    </row>
    <row r="64" spans="1:5" x14ac:dyDescent="0.25">
      <c r="A64" t="str">
        <f t="shared" si="0"/>
        <v>D57B43655</v>
      </c>
      <c r="B64" t="s">
        <v>290</v>
      </c>
      <c r="C64" t="s">
        <v>129</v>
      </c>
      <c r="D64" s="9">
        <v>43655</v>
      </c>
      <c r="E64" s="25">
        <v>1770</v>
      </c>
    </row>
    <row r="65" spans="1:5" x14ac:dyDescent="0.25">
      <c r="A65" t="str">
        <f t="shared" si="0"/>
        <v>D57C43700</v>
      </c>
      <c r="B65" t="s">
        <v>292</v>
      </c>
      <c r="C65" t="s">
        <v>291</v>
      </c>
      <c r="D65" s="9">
        <v>43700</v>
      </c>
      <c r="E65" s="25">
        <v>2260</v>
      </c>
    </row>
    <row r="66" spans="1:5" x14ac:dyDescent="0.25">
      <c r="A66" t="str">
        <f t="shared" si="0"/>
        <v>D57D43700</v>
      </c>
      <c r="B66" t="s">
        <v>294</v>
      </c>
      <c r="C66" t="s">
        <v>293</v>
      </c>
      <c r="D66" s="9">
        <v>43700</v>
      </c>
      <c r="E66" s="25">
        <v>2230</v>
      </c>
    </row>
    <row r="67" spans="1:5" x14ac:dyDescent="0.25">
      <c r="A67" t="str">
        <f t="shared" ref="A67:A130" si="1">C67&amp;D67</f>
        <v>D58A43699</v>
      </c>
      <c r="B67" t="s">
        <v>296</v>
      </c>
      <c r="C67" t="s">
        <v>295</v>
      </c>
      <c r="D67" s="9">
        <v>43699</v>
      </c>
      <c r="E67" s="25">
        <v>7350</v>
      </c>
    </row>
    <row r="68" spans="1:5" x14ac:dyDescent="0.25">
      <c r="A68" t="str">
        <f t="shared" si="1"/>
        <v>D58B43699</v>
      </c>
      <c r="B68" t="s">
        <v>298</v>
      </c>
      <c r="C68" t="s">
        <v>297</v>
      </c>
      <c r="D68" s="9">
        <v>43699</v>
      </c>
      <c r="E68" s="25">
        <v>5600</v>
      </c>
    </row>
    <row r="69" spans="1:5" x14ac:dyDescent="0.25">
      <c r="A69" t="str">
        <f t="shared" si="1"/>
        <v>D58C43699</v>
      </c>
      <c r="B69" t="s">
        <v>300</v>
      </c>
      <c r="C69" t="s">
        <v>299</v>
      </c>
      <c r="D69" s="9">
        <v>43699</v>
      </c>
      <c r="E69" s="25">
        <v>1220</v>
      </c>
    </row>
    <row r="70" spans="1:5" x14ac:dyDescent="0.25">
      <c r="A70" t="str">
        <f t="shared" si="1"/>
        <v>D59A43700</v>
      </c>
      <c r="B70" t="s">
        <v>302</v>
      </c>
      <c r="C70" t="s">
        <v>301</v>
      </c>
      <c r="D70" s="9">
        <v>43700</v>
      </c>
      <c r="E70" s="25">
        <v>1910</v>
      </c>
    </row>
    <row r="71" spans="1:5" x14ac:dyDescent="0.25">
      <c r="A71" t="str">
        <f t="shared" si="1"/>
        <v>D59B43700</v>
      </c>
      <c r="B71" t="s">
        <v>304</v>
      </c>
      <c r="C71" t="s">
        <v>303</v>
      </c>
      <c r="D71" s="9">
        <v>43700</v>
      </c>
      <c r="E71" s="25">
        <v>1070</v>
      </c>
    </row>
    <row r="72" spans="1:5" x14ac:dyDescent="0.25">
      <c r="A72" t="str">
        <f t="shared" si="1"/>
        <v>D59D43700</v>
      </c>
      <c r="B72" t="s">
        <v>306</v>
      </c>
      <c r="C72" t="s">
        <v>305</v>
      </c>
      <c r="D72" s="9">
        <v>43700</v>
      </c>
      <c r="E72" s="25">
        <f>10*834.64</f>
        <v>8346.4</v>
      </c>
    </row>
    <row r="73" spans="1:5" x14ac:dyDescent="0.25">
      <c r="A73" t="str">
        <f t="shared" si="1"/>
        <v>D60A43697</v>
      </c>
      <c r="B73" t="s">
        <v>308</v>
      </c>
      <c r="C73" t="s">
        <v>307</v>
      </c>
      <c r="D73" s="9">
        <v>43697</v>
      </c>
      <c r="E73" s="25">
        <v>2870</v>
      </c>
    </row>
    <row r="74" spans="1:5" x14ac:dyDescent="0.25">
      <c r="A74" t="str">
        <f t="shared" si="1"/>
        <v>D60B43697</v>
      </c>
      <c r="B74" t="s">
        <v>310</v>
      </c>
      <c r="C74" t="s">
        <v>309</v>
      </c>
      <c r="D74" s="9">
        <v>43697</v>
      </c>
      <c r="E74" s="25">
        <v>1750</v>
      </c>
    </row>
    <row r="75" spans="1:5" x14ac:dyDescent="0.25">
      <c r="A75" t="str">
        <f t="shared" si="1"/>
        <v>D60C43697</v>
      </c>
      <c r="B75" t="s">
        <v>312</v>
      </c>
      <c r="C75" t="s">
        <v>311</v>
      </c>
      <c r="D75" s="9">
        <v>43697</v>
      </c>
      <c r="E75" s="25">
        <f>10*1690</f>
        <v>16900</v>
      </c>
    </row>
    <row r="76" spans="1:5" x14ac:dyDescent="0.25">
      <c r="A76" t="str">
        <f t="shared" si="1"/>
        <v>D61A43676</v>
      </c>
      <c r="B76" t="s">
        <v>314</v>
      </c>
      <c r="C76" t="s">
        <v>313</v>
      </c>
      <c r="D76" s="9">
        <v>43676</v>
      </c>
      <c r="E76" s="25">
        <v>1530</v>
      </c>
    </row>
    <row r="77" spans="1:5" x14ac:dyDescent="0.25">
      <c r="A77" t="str">
        <f t="shared" si="1"/>
        <v>D61B43676</v>
      </c>
      <c r="B77" t="s">
        <v>315</v>
      </c>
      <c r="C77" t="s">
        <v>103</v>
      </c>
      <c r="D77" s="9">
        <v>43676</v>
      </c>
      <c r="E77" s="25">
        <v>3550</v>
      </c>
    </row>
    <row r="78" spans="1:5" x14ac:dyDescent="0.25">
      <c r="A78" t="str">
        <f t="shared" si="1"/>
        <v>D61B43641</v>
      </c>
      <c r="B78" t="s">
        <v>316</v>
      </c>
      <c r="C78" t="s">
        <v>103</v>
      </c>
      <c r="D78" s="9">
        <v>43641</v>
      </c>
      <c r="E78" s="25">
        <f>10*453.68</f>
        <v>4536.8</v>
      </c>
    </row>
    <row r="79" spans="1:5" x14ac:dyDescent="0.25">
      <c r="A79" t="str">
        <f t="shared" si="1"/>
        <v>D61C43676</v>
      </c>
      <c r="B79" t="s">
        <v>318</v>
      </c>
      <c r="C79" t="s">
        <v>317</v>
      </c>
      <c r="D79" s="9">
        <v>43676</v>
      </c>
      <c r="E79" s="25">
        <v>1950</v>
      </c>
    </row>
    <row r="80" spans="1:5" x14ac:dyDescent="0.25">
      <c r="A80" t="str">
        <f t="shared" si="1"/>
        <v>D62B43678</v>
      </c>
      <c r="B80" t="s">
        <v>320</v>
      </c>
      <c r="C80" t="s">
        <v>319</v>
      </c>
      <c r="D80" s="9">
        <v>43678</v>
      </c>
      <c r="E80" s="25">
        <v>2470</v>
      </c>
    </row>
    <row r="81" spans="1:5" x14ac:dyDescent="0.25">
      <c r="A81" t="str">
        <f t="shared" si="1"/>
        <v>D62C43678</v>
      </c>
      <c r="B81" t="s">
        <v>322</v>
      </c>
      <c r="C81" t="s">
        <v>321</v>
      </c>
      <c r="D81" s="9">
        <v>43678</v>
      </c>
      <c r="E81" s="25">
        <v>1680</v>
      </c>
    </row>
    <row r="82" spans="1:5" x14ac:dyDescent="0.25">
      <c r="A82" t="str">
        <f t="shared" si="1"/>
        <v>D62E43678</v>
      </c>
      <c r="B82" t="s">
        <v>324</v>
      </c>
      <c r="C82" t="s">
        <v>323</v>
      </c>
      <c r="D82" s="9">
        <v>43678</v>
      </c>
      <c r="E82" s="25">
        <v>5120</v>
      </c>
    </row>
    <row r="83" spans="1:5" x14ac:dyDescent="0.25">
      <c r="A83" t="str">
        <f t="shared" si="1"/>
        <v>D63A43689</v>
      </c>
      <c r="B83" t="s">
        <v>326</v>
      </c>
      <c r="C83" t="s">
        <v>325</v>
      </c>
      <c r="D83" s="9">
        <v>43689</v>
      </c>
      <c r="E83" s="25">
        <v>3320</v>
      </c>
    </row>
    <row r="84" spans="1:5" x14ac:dyDescent="0.25">
      <c r="A84" t="str">
        <f t="shared" si="1"/>
        <v>D63B43689</v>
      </c>
      <c r="B84" t="s">
        <v>328</v>
      </c>
      <c r="C84" t="s">
        <v>327</v>
      </c>
      <c r="D84" s="9">
        <v>43689</v>
      </c>
      <c r="E84" s="25">
        <v>3230</v>
      </c>
    </row>
    <row r="85" spans="1:5" x14ac:dyDescent="0.25">
      <c r="A85" t="str">
        <f t="shared" si="1"/>
        <v>D64A43696</v>
      </c>
      <c r="B85" t="s">
        <v>330</v>
      </c>
      <c r="C85" t="s">
        <v>329</v>
      </c>
      <c r="D85" s="9">
        <v>43696</v>
      </c>
      <c r="E85" s="25">
        <v>2660</v>
      </c>
    </row>
    <row r="86" spans="1:5" x14ac:dyDescent="0.25">
      <c r="A86" t="str">
        <f t="shared" si="1"/>
        <v>D64B43696</v>
      </c>
      <c r="B86" t="s">
        <v>332</v>
      </c>
      <c r="C86" t="s">
        <v>331</v>
      </c>
      <c r="D86" s="9">
        <v>43696</v>
      </c>
      <c r="E86" s="25">
        <v>2060</v>
      </c>
    </row>
    <row r="87" spans="1:5" x14ac:dyDescent="0.25">
      <c r="A87" t="str">
        <f t="shared" si="1"/>
        <v>D64C43696</v>
      </c>
      <c r="B87" t="s">
        <v>334</v>
      </c>
      <c r="C87" t="s">
        <v>333</v>
      </c>
      <c r="D87" s="9">
        <v>43696</v>
      </c>
      <c r="E87" s="25">
        <v>2730</v>
      </c>
    </row>
    <row r="88" spans="1:5" x14ac:dyDescent="0.25">
      <c r="A88" t="str">
        <f t="shared" si="1"/>
        <v>D6543690</v>
      </c>
      <c r="B88" t="s">
        <v>335</v>
      </c>
      <c r="C88" t="s">
        <v>140</v>
      </c>
      <c r="D88" s="9">
        <v>43690</v>
      </c>
      <c r="E88" s="25">
        <v>914.9</v>
      </c>
    </row>
    <row r="89" spans="1:5" x14ac:dyDescent="0.25">
      <c r="A89" t="str">
        <f t="shared" si="1"/>
        <v>D6543658</v>
      </c>
      <c r="B89" t="s">
        <v>336</v>
      </c>
      <c r="C89" t="s">
        <v>140</v>
      </c>
      <c r="D89" s="9">
        <v>43658</v>
      </c>
      <c r="E89" s="25">
        <v>1320</v>
      </c>
    </row>
    <row r="90" spans="1:5" x14ac:dyDescent="0.25">
      <c r="A90" t="str">
        <f t="shared" si="1"/>
        <v>D66A43679</v>
      </c>
      <c r="B90" t="s">
        <v>338</v>
      </c>
      <c r="C90" t="s">
        <v>337</v>
      </c>
      <c r="D90" s="9">
        <v>43679</v>
      </c>
      <c r="E90" s="25">
        <v>1500</v>
      </c>
    </row>
    <row r="91" spans="1:5" x14ac:dyDescent="0.25">
      <c r="A91" t="str">
        <f t="shared" si="1"/>
        <v>D66B43679</v>
      </c>
      <c r="B91" t="s">
        <v>340</v>
      </c>
      <c r="C91" t="s">
        <v>339</v>
      </c>
      <c r="D91" s="9">
        <v>43679</v>
      </c>
      <c r="E91" s="25">
        <v>1820</v>
      </c>
    </row>
    <row r="92" spans="1:5" x14ac:dyDescent="0.25">
      <c r="A92" t="str">
        <f t="shared" si="1"/>
        <v>D66C43679</v>
      </c>
      <c r="B92" t="s">
        <v>342</v>
      </c>
      <c r="C92" t="s">
        <v>341</v>
      </c>
      <c r="D92" s="9">
        <v>43679</v>
      </c>
      <c r="E92" s="25">
        <f>10*274.83</f>
        <v>2748.2999999999997</v>
      </c>
    </row>
    <row r="93" spans="1:5" x14ac:dyDescent="0.25">
      <c r="A93" t="str">
        <f t="shared" si="1"/>
        <v>D67A43684</v>
      </c>
      <c r="B93" t="s">
        <v>344</v>
      </c>
      <c r="C93" t="s">
        <v>343</v>
      </c>
      <c r="D93" s="9">
        <v>43684</v>
      </c>
      <c r="E93" s="25">
        <f>10*1090</f>
        <v>10900</v>
      </c>
    </row>
    <row r="94" spans="1:5" x14ac:dyDescent="0.25">
      <c r="A94" t="str">
        <f t="shared" si="1"/>
        <v>D67B43684</v>
      </c>
      <c r="B94" t="s">
        <v>346</v>
      </c>
      <c r="C94" t="s">
        <v>345</v>
      </c>
      <c r="D94" s="9">
        <v>43684</v>
      </c>
      <c r="E94" s="25">
        <v>1810</v>
      </c>
    </row>
    <row r="95" spans="1:5" x14ac:dyDescent="0.25">
      <c r="A95" t="str">
        <f t="shared" si="1"/>
        <v>D69A43693</v>
      </c>
      <c r="B95" t="s">
        <v>348</v>
      </c>
      <c r="C95" t="s">
        <v>347</v>
      </c>
      <c r="D95" s="9">
        <v>43693</v>
      </c>
      <c r="E95" s="25">
        <v>2060</v>
      </c>
    </row>
    <row r="96" spans="1:5" x14ac:dyDescent="0.25">
      <c r="A96" t="str">
        <f t="shared" si="1"/>
        <v>D69B43693</v>
      </c>
      <c r="B96" t="s">
        <v>350</v>
      </c>
      <c r="C96" t="s">
        <v>349</v>
      </c>
      <c r="D96" s="9">
        <v>43693</v>
      </c>
      <c r="E96" s="25">
        <v>782.07</v>
      </c>
    </row>
    <row r="97" spans="1:5" x14ac:dyDescent="0.25">
      <c r="A97" t="str">
        <f t="shared" si="1"/>
        <v>D69C43693</v>
      </c>
      <c r="B97" t="s">
        <v>352</v>
      </c>
      <c r="C97" t="s">
        <v>351</v>
      </c>
      <c r="D97" s="9">
        <v>43693</v>
      </c>
      <c r="E97" s="25">
        <v>1290</v>
      </c>
    </row>
    <row r="98" spans="1:5" x14ac:dyDescent="0.25">
      <c r="A98" t="str">
        <f t="shared" si="1"/>
        <v>D70A43693</v>
      </c>
      <c r="B98" t="s">
        <v>354</v>
      </c>
      <c r="C98" t="s">
        <v>353</v>
      </c>
      <c r="D98" s="9">
        <v>43693</v>
      </c>
      <c r="E98" s="25">
        <v>2140</v>
      </c>
    </row>
    <row r="99" spans="1:5" x14ac:dyDescent="0.25">
      <c r="A99" t="str">
        <f t="shared" si="1"/>
        <v>D70B43693</v>
      </c>
      <c r="B99" t="s">
        <v>356</v>
      </c>
      <c r="C99" t="s">
        <v>355</v>
      </c>
      <c r="D99" s="9">
        <v>43693</v>
      </c>
      <c r="E99" s="25">
        <v>2020</v>
      </c>
    </row>
    <row r="100" spans="1:5" x14ac:dyDescent="0.25">
      <c r="A100" t="str">
        <f t="shared" si="1"/>
        <v>D70C43693</v>
      </c>
      <c r="B100" t="s">
        <v>358</v>
      </c>
      <c r="C100" t="s">
        <v>357</v>
      </c>
      <c r="D100" s="9">
        <v>43693</v>
      </c>
      <c r="E100" s="25">
        <v>196.75</v>
      </c>
    </row>
    <row r="101" spans="1:5" x14ac:dyDescent="0.25">
      <c r="A101" t="str">
        <f t="shared" si="1"/>
        <v>D74A43703</v>
      </c>
      <c r="B101" t="s">
        <v>360</v>
      </c>
      <c r="C101" t="s">
        <v>359</v>
      </c>
      <c r="D101" s="9">
        <v>43703</v>
      </c>
      <c r="E101" s="25">
        <v>1230</v>
      </c>
    </row>
    <row r="102" spans="1:5" x14ac:dyDescent="0.25">
      <c r="A102" t="str">
        <f t="shared" si="1"/>
        <v>D74B43703</v>
      </c>
      <c r="B102" t="s">
        <v>362</v>
      </c>
      <c r="C102" t="s">
        <v>361</v>
      </c>
      <c r="D102" s="9">
        <v>43703</v>
      </c>
      <c r="E102" s="25">
        <v>1500</v>
      </c>
    </row>
    <row r="103" spans="1:5" x14ac:dyDescent="0.25">
      <c r="A103" t="str">
        <f t="shared" si="1"/>
        <v>D74C43703</v>
      </c>
      <c r="B103" t="s">
        <v>364</v>
      </c>
      <c r="C103" t="s">
        <v>363</v>
      </c>
      <c r="D103" s="9">
        <v>43703</v>
      </c>
      <c r="E103" s="25">
        <v>5360</v>
      </c>
    </row>
    <row r="104" spans="1:5" x14ac:dyDescent="0.25">
      <c r="A104" t="str">
        <f t="shared" si="1"/>
        <v>D7543686</v>
      </c>
      <c r="B104" t="s">
        <v>365</v>
      </c>
      <c r="C104" t="s">
        <v>96</v>
      </c>
      <c r="D104" s="9">
        <v>43686</v>
      </c>
      <c r="E104" s="25">
        <v>940.17</v>
      </c>
    </row>
    <row r="105" spans="1:5" x14ac:dyDescent="0.25">
      <c r="A105" t="str">
        <f t="shared" si="1"/>
        <v>D7543640</v>
      </c>
      <c r="B105" t="s">
        <v>366</v>
      </c>
      <c r="C105" t="s">
        <v>96</v>
      </c>
      <c r="D105" s="9">
        <v>43640</v>
      </c>
      <c r="E105" s="25">
        <v>1630</v>
      </c>
    </row>
    <row r="106" spans="1:5" x14ac:dyDescent="0.25">
      <c r="A106" t="str">
        <f t="shared" si="1"/>
        <v>D7643651</v>
      </c>
      <c r="B106" t="s">
        <v>367</v>
      </c>
      <c r="C106" t="s">
        <v>125</v>
      </c>
      <c r="D106" s="9">
        <v>43651</v>
      </c>
      <c r="E106" s="25">
        <v>1000</v>
      </c>
    </row>
    <row r="107" spans="1:5" x14ac:dyDescent="0.25">
      <c r="A107" t="str">
        <f t="shared" si="1"/>
        <v>D7A43697</v>
      </c>
      <c r="B107" t="s">
        <v>369</v>
      </c>
      <c r="C107" t="s">
        <v>368</v>
      </c>
      <c r="D107" s="9">
        <v>43697</v>
      </c>
      <c r="E107" s="25">
        <v>1510</v>
      </c>
    </row>
    <row r="108" spans="1:5" x14ac:dyDescent="0.25">
      <c r="A108" t="str">
        <f t="shared" si="1"/>
        <v>D7B43697</v>
      </c>
      <c r="B108" t="s">
        <v>371</v>
      </c>
      <c r="C108" t="s">
        <v>370</v>
      </c>
      <c r="D108" s="9">
        <v>43697</v>
      </c>
      <c r="E108" s="25">
        <v>637.57000000000005</v>
      </c>
    </row>
    <row r="109" spans="1:5" x14ac:dyDescent="0.25">
      <c r="A109" t="str">
        <f t="shared" si="1"/>
        <v>D7I43697</v>
      </c>
      <c r="B109" t="s">
        <v>373</v>
      </c>
      <c r="C109" t="s">
        <v>372</v>
      </c>
      <c r="D109" s="9">
        <v>43697</v>
      </c>
      <c r="E109" s="25">
        <v>4530</v>
      </c>
    </row>
    <row r="110" spans="1:5" x14ac:dyDescent="0.25">
      <c r="A110" t="str">
        <f t="shared" si="1"/>
        <v>D8C43689</v>
      </c>
      <c r="B110" t="s">
        <v>375</v>
      </c>
      <c r="C110" t="s">
        <v>374</v>
      </c>
      <c r="D110" s="9">
        <v>43689</v>
      </c>
      <c r="E110" s="25">
        <f>10*612.57</f>
        <v>6125.7000000000007</v>
      </c>
    </row>
    <row r="111" spans="1:5" x14ac:dyDescent="0.25">
      <c r="A111" t="str">
        <f t="shared" si="1"/>
        <v>D8E43657</v>
      </c>
      <c r="B111" t="s">
        <v>376</v>
      </c>
      <c r="C111" t="s">
        <v>143</v>
      </c>
      <c r="D111" s="9">
        <v>43657</v>
      </c>
      <c r="E111" s="25">
        <v>1100</v>
      </c>
    </row>
    <row r="112" spans="1:5" x14ac:dyDescent="0.25">
      <c r="A112" t="str">
        <f t="shared" si="1"/>
        <v>D8F43689</v>
      </c>
      <c r="B112" t="s">
        <v>378</v>
      </c>
      <c r="C112" t="s">
        <v>377</v>
      </c>
      <c r="D112" s="9">
        <v>43689</v>
      </c>
      <c r="E112" s="25">
        <f>10*2570</f>
        <v>25700</v>
      </c>
    </row>
    <row r="113" spans="1:5" x14ac:dyDescent="0.25">
      <c r="A113" t="str">
        <f t="shared" si="1"/>
        <v>D8G43690</v>
      </c>
      <c r="B113" t="s">
        <v>379</v>
      </c>
      <c r="C113" t="s">
        <v>136</v>
      </c>
      <c r="D113" s="9">
        <v>43690</v>
      </c>
      <c r="E113" s="25">
        <v>2940</v>
      </c>
    </row>
    <row r="114" spans="1:5" x14ac:dyDescent="0.25">
      <c r="A114" t="str">
        <f t="shared" si="1"/>
        <v>D8G43657</v>
      </c>
      <c r="B114" t="s">
        <v>380</v>
      </c>
      <c r="C114" t="s">
        <v>136</v>
      </c>
      <c r="D114" s="9">
        <v>43657</v>
      </c>
      <c r="E114" s="25">
        <v>2990</v>
      </c>
    </row>
    <row r="115" spans="1:5" x14ac:dyDescent="0.25">
      <c r="A115" t="str">
        <f t="shared" si="1"/>
        <v>W10E43644</v>
      </c>
      <c r="B115" t="s">
        <v>381</v>
      </c>
      <c r="C115" t="s">
        <v>111</v>
      </c>
      <c r="D115" s="9">
        <v>43644</v>
      </c>
      <c r="E115" s="25">
        <v>3580</v>
      </c>
    </row>
    <row r="116" spans="1:5" x14ac:dyDescent="0.25">
      <c r="A116" t="str">
        <f t="shared" si="1"/>
        <v>W14A43640</v>
      </c>
      <c r="B116" t="s">
        <v>382</v>
      </c>
      <c r="C116" t="s">
        <v>100</v>
      </c>
      <c r="D116" s="9">
        <v>43640</v>
      </c>
      <c r="E116" s="25">
        <v>5010</v>
      </c>
    </row>
    <row r="117" spans="1:5" x14ac:dyDescent="0.25">
      <c r="A117" t="str">
        <f t="shared" si="1"/>
        <v>W2043636</v>
      </c>
      <c r="B117" t="s">
        <v>383</v>
      </c>
      <c r="C117" t="s">
        <v>94</v>
      </c>
      <c r="D117" s="9">
        <v>43636</v>
      </c>
      <c r="E117" s="25">
        <v>1960</v>
      </c>
    </row>
    <row r="118" spans="1:5" x14ac:dyDescent="0.25">
      <c r="A118" t="str">
        <f t="shared" si="1"/>
        <v>W31A43649</v>
      </c>
      <c r="B118" t="s">
        <v>384</v>
      </c>
      <c r="C118" t="s">
        <v>123</v>
      </c>
      <c r="D118" s="9">
        <v>43649</v>
      </c>
      <c r="E118" s="25">
        <v>4670</v>
      </c>
    </row>
    <row r="119" spans="1:5" x14ac:dyDescent="0.25">
      <c r="A119" t="str">
        <f t="shared" si="1"/>
        <v>W31B43648</v>
      </c>
      <c r="B119" t="s">
        <v>385</v>
      </c>
      <c r="C119" t="s">
        <v>116</v>
      </c>
      <c r="D119" s="9">
        <v>43648</v>
      </c>
      <c r="E119" s="25">
        <v>7130</v>
      </c>
    </row>
    <row r="120" spans="1:5" x14ac:dyDescent="0.25">
      <c r="A120" t="str">
        <f t="shared" si="1"/>
        <v>W31C43648</v>
      </c>
      <c r="B120" t="s">
        <v>386</v>
      </c>
      <c r="C120" t="s">
        <v>120</v>
      </c>
      <c r="D120" s="9">
        <v>43648</v>
      </c>
      <c r="E120" s="25">
        <v>5200</v>
      </c>
    </row>
    <row r="121" spans="1:5" x14ac:dyDescent="0.25">
      <c r="A121" t="str">
        <f t="shared" si="1"/>
        <v>W44B43654</v>
      </c>
      <c r="B121" t="s">
        <v>387</v>
      </c>
      <c r="C121" t="s">
        <v>134</v>
      </c>
      <c r="D121" s="9">
        <v>43654</v>
      </c>
      <c r="E121" s="25">
        <v>2500</v>
      </c>
    </row>
    <row r="122" spans="1:5" x14ac:dyDescent="0.25">
      <c r="A122" t="str">
        <f t="shared" si="1"/>
        <v>W543643</v>
      </c>
      <c r="B122" t="s">
        <v>388</v>
      </c>
      <c r="C122" t="s">
        <v>107</v>
      </c>
      <c r="D122" s="9">
        <v>43643</v>
      </c>
      <c r="E122" s="25">
        <v>2940</v>
      </c>
    </row>
    <row r="123" spans="1:5" x14ac:dyDescent="0.25">
      <c r="A123" t="str">
        <f t="shared" si="1"/>
        <v>W5243636</v>
      </c>
      <c r="B123" t="s">
        <v>389</v>
      </c>
      <c r="C123" t="s">
        <v>91</v>
      </c>
      <c r="D123" s="9">
        <v>43636</v>
      </c>
      <c r="E123" s="25">
        <v>1690</v>
      </c>
    </row>
    <row r="124" spans="1:5" x14ac:dyDescent="0.25">
      <c r="A124" t="str">
        <f t="shared" si="1"/>
        <v>W56A43635</v>
      </c>
      <c r="B124" t="s">
        <v>390</v>
      </c>
      <c r="C124" t="s">
        <v>85</v>
      </c>
      <c r="D124" s="9">
        <v>43635</v>
      </c>
      <c r="E124" s="25">
        <v>1830</v>
      </c>
    </row>
    <row r="125" spans="1:5" x14ac:dyDescent="0.25">
      <c r="A125" t="str">
        <f t="shared" si="1"/>
        <v>W56C43635</v>
      </c>
      <c r="B125" t="s">
        <v>391</v>
      </c>
      <c r="C125" t="s">
        <v>87</v>
      </c>
      <c r="D125" s="9">
        <v>43635</v>
      </c>
      <c r="E125" s="25">
        <v>9540</v>
      </c>
    </row>
    <row r="126" spans="1:5" x14ac:dyDescent="0.25">
      <c r="A126" t="str">
        <f t="shared" si="1"/>
        <v>W56D43661</v>
      </c>
      <c r="B126" t="s">
        <v>392</v>
      </c>
      <c r="C126" t="s">
        <v>149</v>
      </c>
      <c r="D126" s="9">
        <v>43661</v>
      </c>
      <c r="E126" s="25">
        <v>4640</v>
      </c>
    </row>
    <row r="127" spans="1:5" x14ac:dyDescent="0.25">
      <c r="A127" t="str">
        <f t="shared" si="1"/>
        <v>W57A43655</v>
      </c>
      <c r="B127" t="s">
        <v>393</v>
      </c>
      <c r="C127" t="s">
        <v>128</v>
      </c>
      <c r="D127" s="9">
        <v>43655</v>
      </c>
      <c r="E127" s="25">
        <v>1950</v>
      </c>
    </row>
    <row r="128" spans="1:5" x14ac:dyDescent="0.25">
      <c r="A128" t="str">
        <f t="shared" si="1"/>
        <v>W57B43655</v>
      </c>
      <c r="B128" t="s">
        <v>394</v>
      </c>
      <c r="C128" t="s">
        <v>131</v>
      </c>
      <c r="D128" s="9">
        <v>43655</v>
      </c>
      <c r="E128" s="25">
        <v>4140</v>
      </c>
    </row>
    <row r="129" spans="1:5" x14ac:dyDescent="0.25">
      <c r="A129" t="str">
        <f t="shared" si="1"/>
        <v>W61B43641</v>
      </c>
      <c r="B129" t="s">
        <v>395</v>
      </c>
      <c r="C129" t="s">
        <v>104</v>
      </c>
      <c r="D129" s="9">
        <v>43641</v>
      </c>
      <c r="E129" s="25">
        <v>3930</v>
      </c>
    </row>
    <row r="130" spans="1:5" x14ac:dyDescent="0.25">
      <c r="A130" t="str">
        <f t="shared" si="1"/>
        <v>W6543658</v>
      </c>
      <c r="B130" t="s">
        <v>396</v>
      </c>
      <c r="C130" t="s">
        <v>142</v>
      </c>
      <c r="D130" s="9">
        <v>43658</v>
      </c>
      <c r="E130" s="25">
        <v>1790</v>
      </c>
    </row>
    <row r="131" spans="1:5" x14ac:dyDescent="0.25">
      <c r="A131" t="str">
        <f t="shared" ref="A131:A134" si="2">C131&amp;D131</f>
        <v>W7543640</v>
      </c>
      <c r="B131" t="s">
        <v>397</v>
      </c>
      <c r="C131" t="s">
        <v>97</v>
      </c>
      <c r="D131" s="9">
        <v>43640</v>
      </c>
      <c r="E131" s="25">
        <v>1800</v>
      </c>
    </row>
    <row r="132" spans="1:5" x14ac:dyDescent="0.25">
      <c r="A132" t="str">
        <f t="shared" si="2"/>
        <v>W7643651</v>
      </c>
      <c r="B132" t="s">
        <v>398</v>
      </c>
      <c r="C132" t="s">
        <v>126</v>
      </c>
      <c r="D132" s="9">
        <v>43651</v>
      </c>
      <c r="E132" s="25">
        <v>1910</v>
      </c>
    </row>
    <row r="133" spans="1:5" x14ac:dyDescent="0.25">
      <c r="A133" t="str">
        <f t="shared" si="2"/>
        <v>W8E43657</v>
      </c>
      <c r="B133" t="s">
        <v>399</v>
      </c>
      <c r="C133" t="s">
        <v>144</v>
      </c>
      <c r="D133" s="9">
        <v>43657</v>
      </c>
      <c r="E133" s="25">
        <v>2110</v>
      </c>
    </row>
    <row r="134" spans="1:5" x14ac:dyDescent="0.25">
      <c r="A134" t="str">
        <f t="shared" si="2"/>
        <v>W8G43657</v>
      </c>
      <c r="B134" t="s">
        <v>400</v>
      </c>
      <c r="C134" t="s">
        <v>138</v>
      </c>
      <c r="D134" s="9">
        <v>43657</v>
      </c>
      <c r="E134" s="25">
        <v>1990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1"/>
  <sheetViews>
    <sheetView workbookViewId="0">
      <selection activeCell="C13" sqref="C13"/>
    </sheetView>
  </sheetViews>
  <sheetFormatPr defaultColWidth="8.85546875" defaultRowHeight="15" x14ac:dyDescent="0.25"/>
  <sheetData>
    <row r="1" spans="1:5" x14ac:dyDescent="0.25">
      <c r="A1" s="19" t="s">
        <v>167</v>
      </c>
      <c r="B1" s="22" t="s">
        <v>401</v>
      </c>
      <c r="C1" s="21" t="s">
        <v>402</v>
      </c>
      <c r="D1" s="21" t="s">
        <v>403</v>
      </c>
      <c r="E1" s="21" t="s">
        <v>404</v>
      </c>
    </row>
    <row r="2" spans="1:5" x14ac:dyDescent="0.25">
      <c r="A2" s="20" t="s">
        <v>82</v>
      </c>
      <c r="B2" s="21">
        <v>4.6507815333333333</v>
      </c>
      <c r="C2" s="21">
        <v>2.3930959333333339</v>
      </c>
      <c r="D2" s="21">
        <v>2.0198076666666669</v>
      </c>
      <c r="E2" s="21">
        <v>9.0636851333333333</v>
      </c>
    </row>
    <row r="3" spans="1:5" x14ac:dyDescent="0.25">
      <c r="A3" s="20" t="s">
        <v>82</v>
      </c>
      <c r="B3" s="21">
        <v>9.8148796666666698</v>
      </c>
      <c r="C3" s="21">
        <v>11.317237666666673</v>
      </c>
      <c r="D3" s="21">
        <v>16.713859666666661</v>
      </c>
      <c r="E3" s="21">
        <v>37.845977000000005</v>
      </c>
    </row>
    <row r="4" spans="1:5" x14ac:dyDescent="0.25">
      <c r="A4" s="20" t="s">
        <v>85</v>
      </c>
      <c r="B4" s="21">
        <v>7.271069999999999</v>
      </c>
      <c r="C4" s="21">
        <v>12.337923636363639</v>
      </c>
      <c r="D4" s="21">
        <v>16.366704545454542</v>
      </c>
      <c r="E4" s="21">
        <v>35.975698181818181</v>
      </c>
    </row>
    <row r="5" spans="1:5" x14ac:dyDescent="0.25">
      <c r="A5" s="20" t="s">
        <v>85</v>
      </c>
      <c r="B5" s="21">
        <v>11.461799999999997</v>
      </c>
      <c r="C5" s="21">
        <v>21.002802727272716</v>
      </c>
      <c r="D5" s="21">
        <v>27.031819999999989</v>
      </c>
      <c r="E5" s="21">
        <v>59.496422727272702</v>
      </c>
    </row>
    <row r="6" spans="1:5" x14ac:dyDescent="0.25">
      <c r="A6" s="20" t="s">
        <v>86</v>
      </c>
      <c r="B6" s="21">
        <v>10.555175555555556</v>
      </c>
      <c r="C6" s="21">
        <v>13.99366777777778</v>
      </c>
      <c r="D6" s="21">
        <v>19.939253333333323</v>
      </c>
      <c r="E6" s="21">
        <v>44.488096666666664</v>
      </c>
    </row>
    <row r="7" spans="1:5" x14ac:dyDescent="0.25">
      <c r="A7" s="20" t="s">
        <v>86</v>
      </c>
      <c r="B7" s="21">
        <v>8.9885255555555545</v>
      </c>
      <c r="C7" s="21">
        <v>10.949523333333339</v>
      </c>
      <c r="D7" s="21">
        <v>15.885125555555556</v>
      </c>
      <c r="E7" s="21">
        <v>35.823174444444447</v>
      </c>
    </row>
    <row r="8" spans="1:5" x14ac:dyDescent="0.25">
      <c r="A8" s="20" t="s">
        <v>87</v>
      </c>
      <c r="B8" s="21">
        <v>32.402517272727266</v>
      </c>
      <c r="C8" s="21">
        <v>2.9531209090909107</v>
      </c>
      <c r="D8" s="21">
        <v>3.7646627272727273</v>
      </c>
      <c r="E8" s="21">
        <v>39.120300909090908</v>
      </c>
    </row>
    <row r="9" spans="1:5" x14ac:dyDescent="0.25">
      <c r="A9" s="20" t="s">
        <v>87</v>
      </c>
      <c r="B9" s="21">
        <v>31.049484500000002</v>
      </c>
      <c r="C9" s="21">
        <v>1.8674179999999991</v>
      </c>
      <c r="D9" s="21">
        <v>-0.75976449999999862</v>
      </c>
      <c r="E9" s="21">
        <v>32.157138000000003</v>
      </c>
    </row>
    <row r="10" spans="1:5" x14ac:dyDescent="0.25">
      <c r="A10" s="20" t="s">
        <v>405</v>
      </c>
      <c r="B10" s="21">
        <v>3.2140589666666664</v>
      </c>
      <c r="C10" s="21">
        <v>0.75350392222222262</v>
      </c>
      <c r="D10" s="21">
        <v>0.65760247777777758</v>
      </c>
      <c r="E10" s="21">
        <v>4.6251653666666659</v>
      </c>
    </row>
    <row r="11" spans="1:5" x14ac:dyDescent="0.25">
      <c r="A11" s="20" t="s">
        <v>405</v>
      </c>
      <c r="B11" s="21">
        <v>3.0204478400000006</v>
      </c>
      <c r="C11" s="21">
        <v>0.44154938000000016</v>
      </c>
      <c r="D11" s="21">
        <v>0.53620395111111119</v>
      </c>
      <c r="E11" s="21">
        <v>3.9982011711111118</v>
      </c>
    </row>
    <row r="12" spans="1:5" x14ac:dyDescent="0.25">
      <c r="A12" s="20" t="s">
        <v>406</v>
      </c>
      <c r="B12" s="21">
        <v>4.9577637555555549</v>
      </c>
      <c r="C12" s="21">
        <v>0.43944106666666688</v>
      </c>
      <c r="D12" s="21">
        <v>0.63721953333333348</v>
      </c>
      <c r="E12" s="21">
        <v>6.0344243555555561</v>
      </c>
    </row>
    <row r="13" spans="1:5" x14ac:dyDescent="0.25">
      <c r="A13" s="20" t="s">
        <v>406</v>
      </c>
      <c r="B13" s="21">
        <v>4.9029113555555552</v>
      </c>
      <c r="C13" s="21">
        <v>0.5107887666666675</v>
      </c>
      <c r="D13" s="21">
        <v>0.7468023555555553</v>
      </c>
      <c r="E13" s="21">
        <v>6.1605024777777784</v>
      </c>
    </row>
    <row r="14" spans="1:5" x14ac:dyDescent="0.25">
      <c r="A14" s="20" t="s">
        <v>407</v>
      </c>
      <c r="B14" s="21">
        <v>18.045279444444443</v>
      </c>
      <c r="C14" s="21">
        <v>-0.72114766666666485</v>
      </c>
      <c r="D14" s="21">
        <v>2.0179087777777784</v>
      </c>
      <c r="E14" s="21">
        <v>19.342040555555556</v>
      </c>
    </row>
    <row r="15" spans="1:5" x14ac:dyDescent="0.25">
      <c r="A15" s="20" t="s">
        <v>407</v>
      </c>
      <c r="B15" s="21">
        <v>16.817099666666667</v>
      </c>
      <c r="C15" s="21">
        <v>-0.52457822222222106</v>
      </c>
      <c r="D15" s="21">
        <v>2.274210555555555</v>
      </c>
      <c r="E15" s="21">
        <v>18.566732000000002</v>
      </c>
    </row>
    <row r="16" spans="1:5" x14ac:dyDescent="0.25">
      <c r="A16" s="20" t="s">
        <v>408</v>
      </c>
      <c r="B16" s="21">
        <v>6.2158405999999982</v>
      </c>
      <c r="C16" s="21">
        <v>0.39761984444444459</v>
      </c>
      <c r="D16" s="21">
        <v>0.64229206666666694</v>
      </c>
      <c r="E16" s="21">
        <v>7.2557525111111101</v>
      </c>
    </row>
    <row r="17" spans="1:5" x14ac:dyDescent="0.25">
      <c r="A17" s="20" t="s">
        <v>408</v>
      </c>
      <c r="B17" s="21">
        <v>5.594150466666667</v>
      </c>
      <c r="C17" s="21">
        <v>0.24176550000000058</v>
      </c>
      <c r="D17" s="21">
        <v>0.58342462222222202</v>
      </c>
      <c r="E17" s="21">
        <v>6.4193405888888897</v>
      </c>
    </row>
    <row r="18" spans="1:5" x14ac:dyDescent="0.25">
      <c r="A18" s="20" t="s">
        <v>409</v>
      </c>
      <c r="B18" s="21">
        <v>10.747813233333334</v>
      </c>
      <c r="C18" s="21">
        <v>3.2497793000000015</v>
      </c>
      <c r="D18" s="21">
        <v>0.39933123333333326</v>
      </c>
      <c r="E18" s="21">
        <v>14.396923766666669</v>
      </c>
    </row>
    <row r="19" spans="1:5" x14ac:dyDescent="0.25">
      <c r="A19" s="20" t="s">
        <v>409</v>
      </c>
      <c r="B19" s="21">
        <v>12.249002566666668</v>
      </c>
      <c r="C19" s="21">
        <v>4.4237518000000007</v>
      </c>
      <c r="D19" s="21">
        <v>1.3944628999999997</v>
      </c>
      <c r="E19" s="21">
        <v>18.06721726666667</v>
      </c>
    </row>
    <row r="20" spans="1:5" x14ac:dyDescent="0.25">
      <c r="A20" s="20" t="s">
        <v>410</v>
      </c>
      <c r="B20" s="21">
        <v>2.9504876666666666</v>
      </c>
      <c r="C20" s="21">
        <v>1.0390691666666667</v>
      </c>
      <c r="D20" s="21">
        <v>1.4604080000000002</v>
      </c>
      <c r="E20" s="21">
        <v>5.4499648333333335</v>
      </c>
    </row>
    <row r="21" spans="1:5" x14ac:dyDescent="0.25">
      <c r="A21" s="20" t="s">
        <v>410</v>
      </c>
      <c r="B21" s="21">
        <v>3.1537783833333335</v>
      </c>
      <c r="C21" s="21">
        <v>0.78643613333333318</v>
      </c>
      <c r="D21" s="21">
        <v>0.67081001666666706</v>
      </c>
      <c r="E21" s="21">
        <v>4.6110245333333335</v>
      </c>
    </row>
    <row r="22" spans="1:5" x14ac:dyDescent="0.25">
      <c r="A22" s="20" t="s">
        <v>99</v>
      </c>
      <c r="B22" s="21">
        <v>0.95020154166666659</v>
      </c>
      <c r="C22" s="21">
        <v>0.21752149166666665</v>
      </c>
      <c r="D22" s="21">
        <v>7.4810174999999896E-2</v>
      </c>
      <c r="E22" s="21">
        <v>1.2425332083333331</v>
      </c>
    </row>
    <row r="23" spans="1:5" x14ac:dyDescent="0.25">
      <c r="A23" s="20" t="s">
        <v>99</v>
      </c>
      <c r="B23" s="21">
        <v>1.0556934166666672</v>
      </c>
      <c r="C23" s="21">
        <v>0.61324754999999997</v>
      </c>
      <c r="D23" s="21">
        <v>0.19154128333333365</v>
      </c>
      <c r="E23" s="21">
        <v>1.8604822500000009</v>
      </c>
    </row>
    <row r="24" spans="1:5" x14ac:dyDescent="0.25">
      <c r="A24" s="20" t="s">
        <v>100</v>
      </c>
      <c r="B24" s="21">
        <v>32.239711266666667</v>
      </c>
      <c r="C24" s="21">
        <v>-6.6747422333333324</v>
      </c>
      <c r="D24" s="21">
        <v>-4.9389087999999992</v>
      </c>
      <c r="E24" s="21">
        <v>20.626060233333334</v>
      </c>
    </row>
    <row r="25" spans="1:5" x14ac:dyDescent="0.25">
      <c r="A25" s="20" t="s">
        <v>100</v>
      </c>
      <c r="B25" s="21">
        <v>33.888441880000009</v>
      </c>
      <c r="C25" s="21">
        <v>-7.9625109600000004</v>
      </c>
      <c r="D25" s="21">
        <v>-5.4627454000000002</v>
      </c>
      <c r="E25" s="21">
        <v>20.46318552000001</v>
      </c>
    </row>
    <row r="26" spans="1:5" x14ac:dyDescent="0.25">
      <c r="A26" s="20" t="s">
        <v>103</v>
      </c>
      <c r="B26" s="21">
        <v>40.525213666666666</v>
      </c>
      <c r="C26" s="21">
        <v>4.7020133333333307</v>
      </c>
      <c r="D26" s="21">
        <v>4.7522876666666702</v>
      </c>
      <c r="E26" s="21">
        <v>49.979514666666667</v>
      </c>
    </row>
    <row r="27" spans="1:5" x14ac:dyDescent="0.25">
      <c r="A27" s="20" t="s">
        <v>103</v>
      </c>
      <c r="B27" s="21">
        <v>36.653418066666667</v>
      </c>
      <c r="C27" s="21">
        <v>4.483188533333335</v>
      </c>
      <c r="D27" s="21">
        <v>1.9142256666666673</v>
      </c>
      <c r="E27" s="21">
        <v>43.050832266666667</v>
      </c>
    </row>
    <row r="28" spans="1:5" x14ac:dyDescent="0.25">
      <c r="A28" s="20" t="s">
        <v>104</v>
      </c>
      <c r="B28" s="21">
        <v>2.949053333333334</v>
      </c>
      <c r="C28" s="21">
        <v>0.43605733333333418</v>
      </c>
      <c r="D28" s="21">
        <v>1.3481493333333336</v>
      </c>
      <c r="E28" s="21">
        <v>4.7332600000000014</v>
      </c>
    </row>
    <row r="29" spans="1:5" x14ac:dyDescent="0.25">
      <c r="A29" s="20" t="s">
        <v>104</v>
      </c>
      <c r="B29" s="21">
        <v>2.8039799999999993</v>
      </c>
      <c r="C29" s="21">
        <v>1.2290426666666669</v>
      </c>
      <c r="D29" s="21">
        <v>1.2166973333333313</v>
      </c>
      <c r="E29" s="21">
        <v>5.2497199999999973</v>
      </c>
    </row>
    <row r="30" spans="1:5" x14ac:dyDescent="0.25">
      <c r="A30" s="20" t="s">
        <v>411</v>
      </c>
      <c r="B30" s="21">
        <v>0.91396499999999992</v>
      </c>
      <c r="C30" s="21">
        <v>0.69021377777777804</v>
      </c>
      <c r="D30" s="21">
        <v>0.91501455555555566</v>
      </c>
      <c r="E30" s="21">
        <v>2.5191933333333334</v>
      </c>
    </row>
    <row r="31" spans="1:5" x14ac:dyDescent="0.25">
      <c r="A31" s="20" t="s">
        <v>411</v>
      </c>
      <c r="B31" s="21">
        <v>0.85388944444444448</v>
      </c>
      <c r="C31" s="21">
        <v>0.44134377777777728</v>
      </c>
      <c r="D31" s="21">
        <v>0.89208788888888901</v>
      </c>
      <c r="E31" s="21">
        <v>2.1873211111111108</v>
      </c>
    </row>
    <row r="32" spans="1:5" x14ac:dyDescent="0.25">
      <c r="A32" s="20" t="s">
        <v>412</v>
      </c>
      <c r="B32" s="21">
        <v>1.7721078111111113</v>
      </c>
      <c r="C32" s="21">
        <v>0.39425506666666676</v>
      </c>
      <c r="D32" s="21">
        <v>0.70868170000000008</v>
      </c>
      <c r="E32" s="21">
        <v>2.875044577777778</v>
      </c>
    </row>
    <row r="33" spans="1:5" x14ac:dyDescent="0.25">
      <c r="A33" s="20" t="s">
        <v>412</v>
      </c>
      <c r="B33" s="21">
        <v>1.5153706666666666</v>
      </c>
      <c r="C33" s="21">
        <v>0.29352426666666659</v>
      </c>
      <c r="D33" s="21">
        <v>0.46660906666666646</v>
      </c>
      <c r="E33" s="21">
        <v>2.2755039999999997</v>
      </c>
    </row>
    <row r="34" spans="1:5" x14ac:dyDescent="0.25">
      <c r="A34" s="20" t="s">
        <v>109</v>
      </c>
      <c r="B34" s="21">
        <v>0.98047899999999999</v>
      </c>
      <c r="C34" s="21">
        <v>0.40847322222222221</v>
      </c>
      <c r="D34" s="21">
        <v>0.56127544444444433</v>
      </c>
      <c r="E34" s="21">
        <v>1.9502276666666665</v>
      </c>
    </row>
    <row r="35" spans="1:5" x14ac:dyDescent="0.25">
      <c r="A35" s="20" t="s">
        <v>109</v>
      </c>
      <c r="B35" s="21">
        <v>0.81046705555555554</v>
      </c>
      <c r="C35" s="21">
        <v>0.14813872222222269</v>
      </c>
      <c r="D35" s="21">
        <v>0.24120105555555554</v>
      </c>
      <c r="E35" s="21">
        <v>1.1998068333333338</v>
      </c>
    </row>
    <row r="36" spans="1:5" x14ac:dyDescent="0.25">
      <c r="A36" s="20" t="s">
        <v>111</v>
      </c>
      <c r="B36" s="21">
        <v>3.7024165555555553</v>
      </c>
      <c r="C36" s="21">
        <v>-0.13598255555555536</v>
      </c>
      <c r="D36" s="21">
        <v>8.7836111111111212E-2</v>
      </c>
      <c r="E36" s="21">
        <v>3.6542701111111113</v>
      </c>
    </row>
    <row r="37" spans="1:5" x14ac:dyDescent="0.25">
      <c r="A37" s="20" t="s">
        <v>111</v>
      </c>
      <c r="B37" s="21">
        <v>3.8381257777777771</v>
      </c>
      <c r="C37" s="21">
        <v>-0.29551904444444366</v>
      </c>
      <c r="D37" s="21">
        <v>0.44440448888888856</v>
      </c>
      <c r="E37" s="21">
        <v>3.9870112222222218</v>
      </c>
    </row>
    <row r="38" spans="1:5" x14ac:dyDescent="0.25">
      <c r="A38" s="20" t="s">
        <v>118</v>
      </c>
      <c r="B38" s="21">
        <v>13.131501915000001</v>
      </c>
      <c r="C38" s="21">
        <v>0.4181898325000013</v>
      </c>
      <c r="D38" s="21">
        <v>1.7706325499999997</v>
      </c>
      <c r="E38" s="21">
        <v>15.320324297500003</v>
      </c>
    </row>
    <row r="39" spans="1:5" x14ac:dyDescent="0.25">
      <c r="A39" s="20" t="s">
        <v>118</v>
      </c>
      <c r="B39" s="21">
        <v>11.615864739999999</v>
      </c>
      <c r="C39" s="21">
        <v>0.32781786333333485</v>
      </c>
      <c r="D39" s="21">
        <v>1.1730913066666659</v>
      </c>
      <c r="E39" s="21">
        <v>13.116773910000001</v>
      </c>
    </row>
    <row r="40" spans="1:5" x14ac:dyDescent="0.25">
      <c r="A40" s="20" t="s">
        <v>120</v>
      </c>
      <c r="B40" s="21">
        <v>8.0881876333333338</v>
      </c>
      <c r="C40" s="21">
        <v>0.57445380000000035</v>
      </c>
      <c r="D40" s="21">
        <v>1.5155981000000003</v>
      </c>
      <c r="E40" s="21">
        <v>10.178239533333334</v>
      </c>
    </row>
    <row r="41" spans="1:5" x14ac:dyDescent="0.25">
      <c r="A41" s="20" t="s">
        <v>120</v>
      </c>
      <c r="B41" s="21">
        <v>7.9297304333333338</v>
      </c>
      <c r="C41" s="21">
        <v>-0.31615481666666656</v>
      </c>
      <c r="D41" s="21">
        <v>1.1071562000000004</v>
      </c>
      <c r="E41" s="21">
        <v>8.7207318166666674</v>
      </c>
    </row>
    <row r="42" spans="1:5" x14ac:dyDescent="0.25">
      <c r="A42" s="20" t="s">
        <v>113</v>
      </c>
      <c r="B42" s="21">
        <v>8.806211900000001</v>
      </c>
      <c r="C42" s="21">
        <v>0.76475799999999972</v>
      </c>
      <c r="D42" s="21">
        <v>0.29505370000000031</v>
      </c>
      <c r="E42" s="21">
        <v>9.8660236000000019</v>
      </c>
    </row>
    <row r="43" spans="1:5" x14ac:dyDescent="0.25">
      <c r="A43" s="20" t="s">
        <v>113</v>
      </c>
      <c r="B43" s="21">
        <v>8.6711689599999993</v>
      </c>
      <c r="C43" s="21">
        <v>1.5027259800000012</v>
      </c>
      <c r="D43" s="21">
        <v>1.1917182000000006</v>
      </c>
      <c r="E43" s="21">
        <v>11.365613140000001</v>
      </c>
    </row>
    <row r="44" spans="1:5" x14ac:dyDescent="0.25">
      <c r="A44" s="20" t="s">
        <v>116</v>
      </c>
      <c r="B44" s="21">
        <v>31.11434486666667</v>
      </c>
      <c r="C44" s="21">
        <v>-2.8489956000000016</v>
      </c>
      <c r="D44" s="21">
        <v>3.2942095333333348</v>
      </c>
      <c r="E44" s="21">
        <v>31.559558800000001</v>
      </c>
    </row>
    <row r="45" spans="1:5" x14ac:dyDescent="0.25">
      <c r="A45" s="20" t="s">
        <v>116</v>
      </c>
      <c r="B45" s="21">
        <v>29.989395400000003</v>
      </c>
      <c r="C45" s="21">
        <v>-1.5089684666666638</v>
      </c>
      <c r="D45" s="21">
        <v>4.4465796666666675</v>
      </c>
      <c r="E45" s="21">
        <v>32.927006600000006</v>
      </c>
    </row>
    <row r="46" spans="1:5" x14ac:dyDescent="0.25">
      <c r="A46" s="20" t="s">
        <v>122</v>
      </c>
      <c r="B46" s="21">
        <v>1.82493756</v>
      </c>
      <c r="C46" s="21">
        <v>1.0343905680000005</v>
      </c>
      <c r="D46" s="21">
        <v>0.59443615199999977</v>
      </c>
      <c r="E46" s="21">
        <v>3.4537642800000001</v>
      </c>
    </row>
    <row r="47" spans="1:5" x14ac:dyDescent="0.25">
      <c r="A47" s="20" t="s">
        <v>122</v>
      </c>
      <c r="B47" s="21">
        <v>1.8028663333333335</v>
      </c>
      <c r="C47" s="21">
        <v>1.1261978333333329</v>
      </c>
      <c r="D47" s="21">
        <v>0.89525199999999971</v>
      </c>
      <c r="E47" s="21">
        <v>3.8243161666666663</v>
      </c>
    </row>
    <row r="48" spans="1:5" x14ac:dyDescent="0.25">
      <c r="A48" s="20" t="s">
        <v>123</v>
      </c>
      <c r="B48" s="21">
        <v>76.393589199999994</v>
      </c>
      <c r="C48" s="21">
        <v>16.394569799999996</v>
      </c>
      <c r="D48" s="21">
        <v>13.113348800000002</v>
      </c>
      <c r="E48" s="21">
        <v>105.90150779999999</v>
      </c>
    </row>
    <row r="49" spans="1:5" x14ac:dyDescent="0.25">
      <c r="A49" s="20" t="s">
        <v>123</v>
      </c>
      <c r="B49" s="21">
        <v>64.383701399999978</v>
      </c>
      <c r="C49" s="21">
        <v>-0.5051227999999911</v>
      </c>
      <c r="D49" s="21">
        <v>5.1507170000000002</v>
      </c>
      <c r="E49" s="21">
        <v>69.029295599999983</v>
      </c>
    </row>
    <row r="50" spans="1:5" x14ac:dyDescent="0.25">
      <c r="A50" s="20" t="s">
        <v>413</v>
      </c>
      <c r="B50" s="21">
        <v>379.72355500000009</v>
      </c>
      <c r="C50" s="21">
        <v>-36.247149999999984</v>
      </c>
      <c r="D50" s="21">
        <v>31.27079833333336</v>
      </c>
      <c r="E50" s="21">
        <v>374.74720333333346</v>
      </c>
    </row>
    <row r="51" spans="1:5" x14ac:dyDescent="0.25">
      <c r="A51" s="20" t="s">
        <v>413</v>
      </c>
      <c r="B51" s="21">
        <v>316.48870266666671</v>
      </c>
      <c r="C51" s="21">
        <v>-29.550925333333332</v>
      </c>
      <c r="D51" s="21">
        <v>27.330566666666684</v>
      </c>
      <c r="E51" s="21">
        <v>314.26834400000007</v>
      </c>
    </row>
    <row r="52" spans="1:5" x14ac:dyDescent="0.25">
      <c r="A52" s="20" t="s">
        <v>414</v>
      </c>
      <c r="B52" s="21">
        <v>10.291287789999998</v>
      </c>
      <c r="C52" s="21">
        <v>0.96004391166666725</v>
      </c>
      <c r="D52" s="21">
        <v>1.3830520333333334</v>
      </c>
      <c r="E52" s="21">
        <v>12.634383734999998</v>
      </c>
    </row>
    <row r="53" spans="1:5" x14ac:dyDescent="0.25">
      <c r="A53" s="20" t="s">
        <v>414</v>
      </c>
      <c r="B53" s="21">
        <v>8.9221553333333325</v>
      </c>
      <c r="C53" s="21">
        <v>1.5978617333333349</v>
      </c>
      <c r="D53" s="21">
        <v>1.7237675999999995</v>
      </c>
      <c r="E53" s="21">
        <v>12.243784666666667</v>
      </c>
    </row>
    <row r="54" spans="1:5" x14ac:dyDescent="0.25">
      <c r="A54" s="20" t="s">
        <v>133</v>
      </c>
      <c r="B54" s="21">
        <v>38.946431799999999</v>
      </c>
      <c r="C54" s="21">
        <v>6.1643483666666654</v>
      </c>
      <c r="D54" s="21">
        <v>6.5223918666666698</v>
      </c>
      <c r="E54" s="21">
        <v>51.633172033333338</v>
      </c>
    </row>
    <row r="55" spans="1:5" x14ac:dyDescent="0.25">
      <c r="A55" s="20" t="s">
        <v>133</v>
      </c>
      <c r="B55" s="21">
        <v>38.820678533333343</v>
      </c>
      <c r="C55" s="21">
        <v>6.1467453000000027</v>
      </c>
      <c r="D55" s="21">
        <v>6.1057971333333318</v>
      </c>
      <c r="E55" s="21">
        <v>51.073220966666675</v>
      </c>
    </row>
    <row r="56" spans="1:5" x14ac:dyDescent="0.25">
      <c r="A56" s="20" t="s">
        <v>134</v>
      </c>
      <c r="B56" s="21">
        <v>4.365032199999999</v>
      </c>
      <c r="C56" s="21">
        <v>0.36491383333333288</v>
      </c>
      <c r="D56" s="21">
        <v>1.1881149333333327</v>
      </c>
      <c r="E56" s="21">
        <v>5.9180609666666646</v>
      </c>
    </row>
    <row r="57" spans="1:5" x14ac:dyDescent="0.25">
      <c r="A57" s="20" t="s">
        <v>134</v>
      </c>
      <c r="B57" s="21">
        <v>4.0421103799999996</v>
      </c>
      <c r="C57" s="21">
        <v>0.83911639333333388</v>
      </c>
      <c r="D57" s="21">
        <v>0.69221131333333363</v>
      </c>
      <c r="E57" s="21">
        <v>5.5734380866666671</v>
      </c>
    </row>
    <row r="58" spans="1:5" x14ac:dyDescent="0.25">
      <c r="A58" s="20" t="s">
        <v>129</v>
      </c>
      <c r="B58" s="21">
        <v>21.627016600000001</v>
      </c>
      <c r="C58" s="21">
        <v>-0.47291590000000006</v>
      </c>
      <c r="D58" s="21">
        <v>1.1274598666666673</v>
      </c>
      <c r="E58" s="21">
        <v>22.28156056666667</v>
      </c>
    </row>
    <row r="59" spans="1:5" x14ac:dyDescent="0.25">
      <c r="A59" s="20" t="s">
        <v>129</v>
      </c>
      <c r="B59" s="21">
        <v>23.174409900000001</v>
      </c>
      <c r="C59" s="21">
        <v>0.10207910000000071</v>
      </c>
      <c r="D59" s="21">
        <v>1.8611357666666664</v>
      </c>
      <c r="E59" s="21">
        <v>25.137624766666669</v>
      </c>
    </row>
    <row r="60" spans="1:5" x14ac:dyDescent="0.25">
      <c r="A60" s="20" t="s">
        <v>131</v>
      </c>
      <c r="B60" s="21">
        <v>13.191638000000003</v>
      </c>
      <c r="C60" s="21">
        <v>-1.0473243666666663</v>
      </c>
      <c r="D60" s="21">
        <v>-5.0637133333334097E-2</v>
      </c>
      <c r="E60" s="21">
        <v>12.093676500000003</v>
      </c>
    </row>
    <row r="61" spans="1:5" x14ac:dyDescent="0.25">
      <c r="A61" s="20" t="s">
        <v>131</v>
      </c>
      <c r="B61" s="21">
        <v>12.819128333333332</v>
      </c>
      <c r="C61" s="21">
        <v>-1.5405209999999971</v>
      </c>
      <c r="D61" s="21">
        <v>1.0989309999999985</v>
      </c>
      <c r="E61" s="21">
        <v>12.377538333333334</v>
      </c>
    </row>
    <row r="62" spans="1:5" x14ac:dyDescent="0.25">
      <c r="A62" s="20" t="s">
        <v>127</v>
      </c>
      <c r="B62" s="21">
        <v>212.83731270000001</v>
      </c>
      <c r="C62" s="21">
        <v>-17.312829399999991</v>
      </c>
      <c r="D62" s="21">
        <v>14.891072500000002</v>
      </c>
      <c r="E62" s="21">
        <v>210.41555580000002</v>
      </c>
    </row>
    <row r="63" spans="1:5" x14ac:dyDescent="0.25">
      <c r="A63" s="20" t="s">
        <v>127</v>
      </c>
      <c r="B63" s="21">
        <v>197.02785199999994</v>
      </c>
      <c r="C63" s="21">
        <v>-15.048946999999998</v>
      </c>
      <c r="D63" s="21">
        <v>11.685918000000001</v>
      </c>
      <c r="E63" s="21">
        <v>193.66482299999996</v>
      </c>
    </row>
    <row r="64" spans="1:5" x14ac:dyDescent="0.25">
      <c r="A64" s="20" t="s">
        <v>128</v>
      </c>
      <c r="B64" s="21">
        <v>13.697476633333334</v>
      </c>
      <c r="C64" s="21">
        <v>2.2642118333333339</v>
      </c>
      <c r="D64" s="21">
        <v>1.8671168999999999</v>
      </c>
      <c r="E64" s="21">
        <v>17.828805366666668</v>
      </c>
    </row>
    <row r="65" spans="1:5" x14ac:dyDescent="0.25">
      <c r="A65" s="20" t="s">
        <v>128</v>
      </c>
      <c r="B65" s="21">
        <v>13.305790466666668</v>
      </c>
      <c r="C65" s="21">
        <v>2.2954469666666681</v>
      </c>
      <c r="D65" s="21">
        <v>1.6580869333333332</v>
      </c>
      <c r="E65" s="21">
        <v>17.259324366666668</v>
      </c>
    </row>
    <row r="66" spans="1:5" x14ac:dyDescent="0.25">
      <c r="A66" s="20" t="s">
        <v>415</v>
      </c>
      <c r="B66" s="21">
        <v>9.8885580666666666</v>
      </c>
      <c r="C66" s="21">
        <v>4.2991769999999994</v>
      </c>
      <c r="D66" s="21">
        <v>1.9004588666666675</v>
      </c>
      <c r="E66" s="21">
        <v>16.088193933333333</v>
      </c>
    </row>
    <row r="67" spans="1:5" x14ac:dyDescent="0.25">
      <c r="A67" s="20" t="s">
        <v>415</v>
      </c>
      <c r="B67" s="21">
        <v>9.4047070999999995</v>
      </c>
      <c r="C67" s="21">
        <v>4.4082194666666688</v>
      </c>
      <c r="D67" s="21">
        <v>6.3765166666667858E-2</v>
      </c>
      <c r="E67" s="21">
        <v>13.876691733333336</v>
      </c>
    </row>
    <row r="68" spans="1:5" x14ac:dyDescent="0.25">
      <c r="A68" s="20" t="s">
        <v>416</v>
      </c>
      <c r="B68" s="21">
        <v>9.014069366666666</v>
      </c>
      <c r="C68" s="21">
        <v>0.3709081000000003</v>
      </c>
      <c r="D68" s="21">
        <v>0.31078016666666736</v>
      </c>
      <c r="E68" s="21">
        <v>9.6957576333333328</v>
      </c>
    </row>
    <row r="69" spans="1:5" x14ac:dyDescent="0.25">
      <c r="A69" s="20" t="s">
        <v>416</v>
      </c>
      <c r="B69" s="21">
        <v>8.7853168266666675</v>
      </c>
      <c r="C69" s="21">
        <v>1.116693328333334</v>
      </c>
      <c r="D69" s="21">
        <v>0.40191924333333301</v>
      </c>
      <c r="E69" s="21">
        <v>10.303929398333334</v>
      </c>
    </row>
    <row r="70" spans="1:5" x14ac:dyDescent="0.25">
      <c r="A70" s="20" t="s">
        <v>417</v>
      </c>
      <c r="B70" s="21">
        <v>91.703254000000001</v>
      </c>
      <c r="C70" s="21">
        <v>13.715640000000004</v>
      </c>
      <c r="D70" s="21">
        <v>4.5117220000000042</v>
      </c>
      <c r="E70" s="21">
        <v>109.93061600000001</v>
      </c>
    </row>
    <row r="71" spans="1:5" x14ac:dyDescent="0.25">
      <c r="A71" s="20" t="s">
        <v>417</v>
      </c>
      <c r="B71" s="21">
        <v>97.070855999999992</v>
      </c>
      <c r="C71" s="21">
        <v>16.163506000000012</v>
      </c>
      <c r="D71" s="21">
        <v>5.8380120000000009</v>
      </c>
      <c r="E71" s="21">
        <v>119.07237400000001</v>
      </c>
    </row>
    <row r="72" spans="1:5" x14ac:dyDescent="0.25">
      <c r="A72" s="20" t="s">
        <v>418</v>
      </c>
      <c r="B72" s="21">
        <v>3.0442597555555553</v>
      </c>
      <c r="C72" s="21">
        <v>0.420542644444445</v>
      </c>
      <c r="D72" s="21">
        <v>0.29065006666666676</v>
      </c>
      <c r="E72" s="21">
        <v>3.7554524666666671</v>
      </c>
    </row>
    <row r="73" spans="1:5" x14ac:dyDescent="0.25">
      <c r="A73" s="20" t="s">
        <v>418</v>
      </c>
      <c r="B73" s="21">
        <v>2.5731395222222222</v>
      </c>
      <c r="C73" s="21">
        <v>0.445951577777778</v>
      </c>
      <c r="D73" s="21">
        <v>-0.21923378888888886</v>
      </c>
      <c r="E73" s="21">
        <v>2.7998573111111114</v>
      </c>
    </row>
    <row r="74" spans="1:5" x14ac:dyDescent="0.25">
      <c r="A74" s="20" t="s">
        <v>419</v>
      </c>
      <c r="B74" s="21">
        <v>1.5670882315789474</v>
      </c>
      <c r="C74" s="21">
        <v>-0.11307971578947353</v>
      </c>
      <c r="D74" s="21">
        <v>0.25218762105263154</v>
      </c>
      <c r="E74" s="21">
        <v>1.7061961368421052</v>
      </c>
    </row>
    <row r="75" spans="1:5" x14ac:dyDescent="0.25">
      <c r="A75" s="20" t="s">
        <v>419</v>
      </c>
      <c r="B75" s="21">
        <v>1.5905147894736844</v>
      </c>
      <c r="C75" s="21">
        <v>0.14468847368421053</v>
      </c>
      <c r="D75" s="21">
        <v>0.80865036842105253</v>
      </c>
      <c r="E75" s="21">
        <v>2.5438536315789473</v>
      </c>
    </row>
    <row r="76" spans="1:5" x14ac:dyDescent="0.25">
      <c r="A76" s="20" t="s">
        <v>420</v>
      </c>
      <c r="B76" s="21">
        <v>4.5220438333333339</v>
      </c>
      <c r="C76" s="21">
        <v>-6.2360900000000184E-2</v>
      </c>
      <c r="D76" s="21">
        <v>1.3992762333333337</v>
      </c>
      <c r="E76" s="21">
        <v>5.8589591666666676</v>
      </c>
    </row>
    <row r="77" spans="1:5" x14ac:dyDescent="0.25">
      <c r="A77" s="20" t="s">
        <v>420</v>
      </c>
      <c r="B77" s="21">
        <v>4.9103870833333341</v>
      </c>
      <c r="C77" s="21">
        <v>-0.20097338333333276</v>
      </c>
      <c r="D77" s="21">
        <v>1.2464852166666671</v>
      </c>
      <c r="E77" s="21">
        <v>5.9558989166666692</v>
      </c>
    </row>
    <row r="78" spans="1:5" x14ac:dyDescent="0.25">
      <c r="A78" s="20" t="s">
        <v>146</v>
      </c>
      <c r="B78" s="21">
        <v>39.87933833333333</v>
      </c>
      <c r="C78" s="21">
        <v>-3.9366199999999996</v>
      </c>
      <c r="D78" s="21">
        <v>3.2911950000000005</v>
      </c>
      <c r="E78" s="21">
        <v>39.233913333333334</v>
      </c>
    </row>
    <row r="79" spans="1:5" x14ac:dyDescent="0.25">
      <c r="A79" s="20" t="s">
        <v>146</v>
      </c>
      <c r="B79" s="21">
        <v>41.09019416666667</v>
      </c>
      <c r="C79" s="21">
        <v>-3.5479736666666657</v>
      </c>
      <c r="D79" s="21">
        <v>3.3464145000000003</v>
      </c>
      <c r="E79" s="21">
        <v>40.888635000000008</v>
      </c>
    </row>
    <row r="80" spans="1:5" x14ac:dyDescent="0.25">
      <c r="A80" s="20" t="s">
        <v>149</v>
      </c>
      <c r="B80" s="21">
        <v>1.9357514888888883</v>
      </c>
      <c r="C80" s="21">
        <v>0.2045033111111112</v>
      </c>
      <c r="D80" s="21">
        <v>0.16545193333333308</v>
      </c>
      <c r="E80" s="21">
        <v>2.3057067333333325</v>
      </c>
    </row>
    <row r="81" spans="1:5" x14ac:dyDescent="0.25">
      <c r="A81" s="20" t="s">
        <v>149</v>
      </c>
      <c r="B81" s="21">
        <v>1.4644409999999997</v>
      </c>
      <c r="C81" s="21">
        <v>-3.3346111111110986E-2</v>
      </c>
      <c r="D81" s="21">
        <v>0.24049966666666678</v>
      </c>
      <c r="E81" s="21">
        <v>1.6715945555555554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6"/>
  <sheetViews>
    <sheetView workbookViewId="0">
      <selection sqref="A1:XFD1048576"/>
    </sheetView>
  </sheetViews>
  <sheetFormatPr defaultColWidth="8.85546875" defaultRowHeight="15" x14ac:dyDescent="0.25"/>
  <cols>
    <col min="1" max="1" width="11.28515625" bestFit="1" customWidth="1"/>
    <col min="3" max="3" width="9.85546875" bestFit="1" customWidth="1"/>
    <col min="4" max="4" width="17.85546875" customWidth="1"/>
    <col min="5" max="5" width="18.85546875" bestFit="1" customWidth="1"/>
    <col min="6" max="6" width="19.7109375" bestFit="1" customWidth="1"/>
  </cols>
  <sheetData>
    <row r="1" spans="1:6" ht="15.75" thickBot="1" x14ac:dyDescent="0.3">
      <c r="A1" s="18" t="s">
        <v>1</v>
      </c>
      <c r="B1" s="18" t="s">
        <v>0</v>
      </c>
      <c r="C1" s="18" t="s">
        <v>3</v>
      </c>
      <c r="D1" s="18" t="s">
        <v>186</v>
      </c>
      <c r="E1" s="18" t="s">
        <v>187</v>
      </c>
      <c r="F1" s="18" t="s">
        <v>188</v>
      </c>
    </row>
    <row r="2" spans="1:6" ht="15.75" thickTop="1" x14ac:dyDescent="0.25">
      <c r="A2" t="str">
        <f t="shared" ref="A2:A65" si="0">B2&amp;C2</f>
        <v>D10A43703</v>
      </c>
      <c r="B2" t="s">
        <v>189</v>
      </c>
      <c r="C2" s="9">
        <v>43703</v>
      </c>
      <c r="D2" t="s">
        <v>190</v>
      </c>
      <c r="E2">
        <v>31.966999999999999</v>
      </c>
      <c r="F2">
        <v>17.529</v>
      </c>
    </row>
    <row r="3" spans="1:6" x14ac:dyDescent="0.25">
      <c r="A3" t="str">
        <f t="shared" si="0"/>
        <v>D10B43703</v>
      </c>
      <c r="B3" t="s">
        <v>191</v>
      </c>
      <c r="C3" s="9">
        <v>43703</v>
      </c>
      <c r="D3" t="s">
        <v>192</v>
      </c>
      <c r="E3">
        <v>37.883000000000003</v>
      </c>
      <c r="F3">
        <v>30.021000000000001</v>
      </c>
    </row>
    <row r="4" spans="1:6" x14ac:dyDescent="0.25">
      <c r="A4" t="str">
        <f t="shared" si="0"/>
        <v>D10C43703</v>
      </c>
      <c r="B4" t="s">
        <v>193</v>
      </c>
      <c r="C4" s="9">
        <v>43703</v>
      </c>
      <c r="D4" t="s">
        <v>194</v>
      </c>
      <c r="E4">
        <v>33.450000000000003</v>
      </c>
      <c r="F4">
        <v>27.728000000000002</v>
      </c>
    </row>
    <row r="5" spans="1:6" x14ac:dyDescent="0.25">
      <c r="A5" t="str">
        <f t="shared" si="0"/>
        <v>D10D43703</v>
      </c>
      <c r="B5" t="s">
        <v>195</v>
      </c>
      <c r="C5" s="9">
        <v>43703</v>
      </c>
      <c r="D5" t="s">
        <v>196</v>
      </c>
      <c r="E5">
        <v>74.242000000000004</v>
      </c>
      <c r="F5">
        <v>24.271000000000001</v>
      </c>
    </row>
    <row r="6" spans="1:6" x14ac:dyDescent="0.25">
      <c r="A6" t="str">
        <f t="shared" si="0"/>
        <v>D10E43703</v>
      </c>
      <c r="B6" t="s">
        <v>109</v>
      </c>
      <c r="C6" s="9">
        <v>43703</v>
      </c>
      <c r="D6" t="s">
        <v>197</v>
      </c>
      <c r="E6">
        <v>35.508000000000003</v>
      </c>
      <c r="F6">
        <v>20.99</v>
      </c>
    </row>
    <row r="7" spans="1:6" x14ac:dyDescent="0.25">
      <c r="A7" t="str">
        <f t="shared" si="0"/>
        <v>D10E43644</v>
      </c>
      <c r="B7" t="s">
        <v>109</v>
      </c>
      <c r="C7" s="9">
        <v>43644</v>
      </c>
      <c r="D7" t="s">
        <v>198</v>
      </c>
      <c r="E7">
        <v>33.543999999999997</v>
      </c>
      <c r="F7">
        <v>18.606999999999999</v>
      </c>
    </row>
    <row r="8" spans="1:6" x14ac:dyDescent="0.25">
      <c r="A8" t="str">
        <f t="shared" si="0"/>
        <v>D15B43683</v>
      </c>
      <c r="B8" t="s">
        <v>199</v>
      </c>
      <c r="C8" s="9">
        <v>43683</v>
      </c>
      <c r="D8" t="s">
        <v>200</v>
      </c>
      <c r="E8">
        <v>60.555999999999997</v>
      </c>
      <c r="F8">
        <v>32.633000000000003</v>
      </c>
    </row>
    <row r="9" spans="1:6" x14ac:dyDescent="0.25">
      <c r="A9" t="str">
        <f t="shared" si="0"/>
        <v>D14A43675</v>
      </c>
      <c r="B9" t="s">
        <v>99</v>
      </c>
      <c r="C9" s="9">
        <v>43675</v>
      </c>
      <c r="D9" t="s">
        <v>201</v>
      </c>
      <c r="E9">
        <v>89.626000000000005</v>
      </c>
      <c r="F9">
        <v>57.335000000000001</v>
      </c>
    </row>
    <row r="10" spans="1:6" x14ac:dyDescent="0.25">
      <c r="A10" t="str">
        <f t="shared" si="0"/>
        <v>D14A43640</v>
      </c>
      <c r="B10" t="s">
        <v>99</v>
      </c>
      <c r="C10" s="9">
        <v>43640</v>
      </c>
      <c r="D10" t="s">
        <v>202</v>
      </c>
      <c r="E10">
        <v>87.397000000000006</v>
      </c>
      <c r="F10">
        <v>53.726999999999997</v>
      </c>
    </row>
    <row r="11" spans="1:6" x14ac:dyDescent="0.25">
      <c r="A11" t="str">
        <f t="shared" si="0"/>
        <v>D14B43675</v>
      </c>
      <c r="B11" t="s">
        <v>203</v>
      </c>
      <c r="C11" s="9">
        <v>43675</v>
      </c>
      <c r="D11" t="s">
        <v>204</v>
      </c>
      <c r="E11">
        <v>49.341999999999999</v>
      </c>
      <c r="F11">
        <v>33.387</v>
      </c>
    </row>
    <row r="12" spans="1:6" x14ac:dyDescent="0.25">
      <c r="A12" t="str">
        <f t="shared" si="0"/>
        <v>D15A43683</v>
      </c>
      <c r="B12" t="s">
        <v>205</v>
      </c>
      <c r="C12" s="9">
        <v>43683</v>
      </c>
      <c r="D12" t="s">
        <v>206</v>
      </c>
      <c r="E12">
        <v>64.185000000000002</v>
      </c>
      <c r="F12">
        <v>19.312999999999999</v>
      </c>
    </row>
    <row r="13" spans="1:6" x14ac:dyDescent="0.25">
      <c r="A13" t="str">
        <f t="shared" si="0"/>
        <v>D2043668</v>
      </c>
      <c r="B13" t="s">
        <v>93</v>
      </c>
      <c r="C13" s="9">
        <v>43668</v>
      </c>
      <c r="D13" t="s">
        <v>207</v>
      </c>
      <c r="E13">
        <v>53.665999999999997</v>
      </c>
      <c r="F13">
        <v>24.335999999999999</v>
      </c>
    </row>
    <row r="14" spans="1:6" x14ac:dyDescent="0.25">
      <c r="A14" t="str">
        <f t="shared" si="0"/>
        <v>D2043636</v>
      </c>
      <c r="B14" t="s">
        <v>93</v>
      </c>
      <c r="C14" s="9">
        <v>43636</v>
      </c>
      <c r="D14" t="s">
        <v>208</v>
      </c>
      <c r="E14">
        <v>57.883000000000003</v>
      </c>
      <c r="F14">
        <v>24.146999999999998</v>
      </c>
    </row>
    <row r="15" spans="1:6" x14ac:dyDescent="0.25">
      <c r="A15" t="str">
        <f t="shared" si="0"/>
        <v>D22C43686</v>
      </c>
      <c r="B15" t="s">
        <v>209</v>
      </c>
      <c r="C15" s="9">
        <v>43686</v>
      </c>
      <c r="D15" t="s">
        <v>210</v>
      </c>
      <c r="E15">
        <v>45.914999999999999</v>
      </c>
      <c r="F15">
        <v>21.661999999999999</v>
      </c>
    </row>
    <row r="16" spans="1:6" x14ac:dyDescent="0.25">
      <c r="A16" t="str">
        <f t="shared" si="0"/>
        <v>D24B43692</v>
      </c>
      <c r="B16" t="s">
        <v>211</v>
      </c>
      <c r="C16" s="9">
        <v>43692</v>
      </c>
      <c r="D16" t="s">
        <v>212</v>
      </c>
      <c r="E16">
        <v>41.737000000000002</v>
      </c>
      <c r="F16">
        <v>33.654000000000003</v>
      </c>
    </row>
    <row r="17" spans="1:6" x14ac:dyDescent="0.25">
      <c r="A17" t="str">
        <f t="shared" si="0"/>
        <v>D26A43692</v>
      </c>
      <c r="B17" t="s">
        <v>213</v>
      </c>
      <c r="C17" s="9">
        <v>43692</v>
      </c>
      <c r="D17" t="s">
        <v>214</v>
      </c>
      <c r="E17">
        <v>51.676000000000002</v>
      </c>
      <c r="F17">
        <v>35.726999999999997</v>
      </c>
    </row>
    <row r="18" spans="1:6" x14ac:dyDescent="0.25">
      <c r="A18" t="str">
        <f t="shared" si="0"/>
        <v>D26B43692</v>
      </c>
      <c r="B18" t="s">
        <v>215</v>
      </c>
      <c r="C18" s="9">
        <v>43692</v>
      </c>
      <c r="D18" t="s">
        <v>216</v>
      </c>
      <c r="E18">
        <v>45.887999999999998</v>
      </c>
      <c r="F18">
        <v>32.319000000000003</v>
      </c>
    </row>
    <row r="19" spans="1:6" x14ac:dyDescent="0.25">
      <c r="A19" t="str">
        <f t="shared" si="0"/>
        <v>D26C43692</v>
      </c>
      <c r="B19" t="s">
        <v>217</v>
      </c>
      <c r="C19" s="9">
        <v>43692</v>
      </c>
      <c r="D19" t="s">
        <v>218</v>
      </c>
      <c r="E19">
        <v>28.965</v>
      </c>
      <c r="F19">
        <v>27.033999999999999</v>
      </c>
    </row>
    <row r="20" spans="1:6" x14ac:dyDescent="0.25">
      <c r="A20" t="str">
        <f t="shared" si="0"/>
        <v>D27A43684</v>
      </c>
      <c r="B20" t="s">
        <v>219</v>
      </c>
      <c r="C20" s="9">
        <v>43684</v>
      </c>
      <c r="D20" t="s">
        <v>220</v>
      </c>
      <c r="E20">
        <v>23.491</v>
      </c>
      <c r="F20">
        <v>14.111000000000001</v>
      </c>
    </row>
    <row r="21" spans="1:6" x14ac:dyDescent="0.25">
      <c r="A21" t="str">
        <f t="shared" si="0"/>
        <v>D27B43684</v>
      </c>
      <c r="B21" t="s">
        <v>221</v>
      </c>
      <c r="C21" s="9">
        <v>43684</v>
      </c>
      <c r="D21" t="s">
        <v>222</v>
      </c>
      <c r="E21">
        <v>24.873999999999999</v>
      </c>
      <c r="F21">
        <v>13.433</v>
      </c>
    </row>
    <row r="22" spans="1:6" x14ac:dyDescent="0.25">
      <c r="A22" t="str">
        <f t="shared" si="0"/>
        <v>D27C43684</v>
      </c>
      <c r="B22" t="s">
        <v>223</v>
      </c>
      <c r="C22" s="9">
        <v>43684</v>
      </c>
      <c r="D22" t="s">
        <v>224</v>
      </c>
      <c r="E22">
        <v>24.341000000000001</v>
      </c>
      <c r="F22">
        <v>10.641999999999999</v>
      </c>
    </row>
    <row r="23" spans="1:6" x14ac:dyDescent="0.25">
      <c r="A23" t="str">
        <f t="shared" si="0"/>
        <v>D30A43696</v>
      </c>
      <c r="B23" t="s">
        <v>225</v>
      </c>
      <c r="C23" s="9">
        <v>43696</v>
      </c>
      <c r="D23" t="s">
        <v>226</v>
      </c>
      <c r="E23">
        <v>26.959</v>
      </c>
      <c r="F23">
        <v>17.707999999999998</v>
      </c>
    </row>
    <row r="24" spans="1:6" x14ac:dyDescent="0.25">
      <c r="A24" t="str">
        <f t="shared" si="0"/>
        <v>D30B43696</v>
      </c>
      <c r="B24" t="s">
        <v>227</v>
      </c>
      <c r="C24" s="9">
        <v>43696</v>
      </c>
      <c r="D24" t="s">
        <v>228</v>
      </c>
      <c r="E24">
        <v>38.151000000000003</v>
      </c>
      <c r="F24">
        <v>27.161999999999999</v>
      </c>
    </row>
    <row r="25" spans="1:6" x14ac:dyDescent="0.25">
      <c r="A25" t="str">
        <f t="shared" si="0"/>
        <v>D31A43696</v>
      </c>
      <c r="B25" t="s">
        <v>122</v>
      </c>
      <c r="C25" s="9">
        <v>43696</v>
      </c>
      <c r="D25" t="s">
        <v>229</v>
      </c>
      <c r="E25">
        <v>118.004</v>
      </c>
      <c r="F25">
        <v>60.232999999999997</v>
      </c>
    </row>
    <row r="26" spans="1:6" x14ac:dyDescent="0.25">
      <c r="A26" t="str">
        <f t="shared" si="0"/>
        <v>D31A43649</v>
      </c>
      <c r="B26" t="s">
        <v>122</v>
      </c>
      <c r="C26" s="9">
        <v>43649</v>
      </c>
      <c r="D26" t="s">
        <v>230</v>
      </c>
      <c r="E26">
        <v>117.476</v>
      </c>
      <c r="F26">
        <v>53.209000000000003</v>
      </c>
    </row>
    <row r="27" spans="1:6" x14ac:dyDescent="0.25">
      <c r="A27" t="str">
        <f t="shared" si="0"/>
        <v>D31B43696</v>
      </c>
      <c r="B27" t="s">
        <v>113</v>
      </c>
      <c r="C27" s="9">
        <v>43696</v>
      </c>
      <c r="D27" t="s">
        <v>231</v>
      </c>
      <c r="E27">
        <v>76.944000000000003</v>
      </c>
      <c r="F27">
        <v>45.595999999999997</v>
      </c>
    </row>
    <row r="28" spans="1:6" x14ac:dyDescent="0.25">
      <c r="A28" t="str">
        <f t="shared" si="0"/>
        <v>D31B43648</v>
      </c>
      <c r="B28" t="s">
        <v>113</v>
      </c>
      <c r="C28" s="9">
        <v>43648</v>
      </c>
      <c r="D28" t="s">
        <v>232</v>
      </c>
      <c r="E28">
        <v>57.927</v>
      </c>
      <c r="F28">
        <v>36.026000000000003</v>
      </c>
    </row>
    <row r="29" spans="1:6" x14ac:dyDescent="0.25">
      <c r="A29" t="str">
        <f t="shared" si="0"/>
        <v>D31C43648</v>
      </c>
      <c r="B29" t="s">
        <v>118</v>
      </c>
      <c r="C29" s="9">
        <v>43648</v>
      </c>
      <c r="D29" t="s">
        <v>233</v>
      </c>
      <c r="E29">
        <v>70.084999999999994</v>
      </c>
      <c r="F29">
        <v>41.097999999999999</v>
      </c>
    </row>
    <row r="30" spans="1:6" x14ac:dyDescent="0.25">
      <c r="A30" t="str">
        <f t="shared" si="0"/>
        <v>D3643689</v>
      </c>
      <c r="B30" t="s">
        <v>234</v>
      </c>
      <c r="C30" s="9">
        <v>43689</v>
      </c>
      <c r="D30" t="s">
        <v>235</v>
      </c>
      <c r="E30">
        <v>52.781999999999996</v>
      </c>
      <c r="F30">
        <v>37.796999999999997</v>
      </c>
    </row>
    <row r="31" spans="1:6" x14ac:dyDescent="0.25">
      <c r="A31" t="str">
        <f t="shared" si="0"/>
        <v>D4443686</v>
      </c>
      <c r="B31" t="s">
        <v>236</v>
      </c>
      <c r="C31" s="9">
        <v>43686</v>
      </c>
      <c r="D31" t="s">
        <v>237</v>
      </c>
      <c r="E31">
        <v>33.784999999999997</v>
      </c>
      <c r="F31">
        <v>16.972000000000001</v>
      </c>
    </row>
    <row r="32" spans="1:6" x14ac:dyDescent="0.25">
      <c r="A32" t="str">
        <f t="shared" si="0"/>
        <v>D44A43699</v>
      </c>
      <c r="B32" t="s">
        <v>238</v>
      </c>
      <c r="C32" s="9">
        <v>43699</v>
      </c>
      <c r="D32" t="s">
        <v>239</v>
      </c>
      <c r="E32">
        <v>35.793999999999997</v>
      </c>
      <c r="F32">
        <v>10.526999999999999</v>
      </c>
    </row>
    <row r="33" spans="1:6" x14ac:dyDescent="0.25">
      <c r="A33" t="str">
        <f t="shared" si="0"/>
        <v>D44B43699</v>
      </c>
      <c r="B33" t="s">
        <v>133</v>
      </c>
      <c r="C33" s="9">
        <v>43699</v>
      </c>
      <c r="D33" t="s">
        <v>240</v>
      </c>
      <c r="E33">
        <v>43.091999999999999</v>
      </c>
      <c r="F33">
        <v>28.271000000000001</v>
      </c>
    </row>
    <row r="34" spans="1:6" x14ac:dyDescent="0.25">
      <c r="A34" t="str">
        <f t="shared" si="0"/>
        <v>D44B43654</v>
      </c>
      <c r="B34" t="s">
        <v>133</v>
      </c>
      <c r="C34" s="9">
        <v>43654</v>
      </c>
      <c r="D34" t="s">
        <v>241</v>
      </c>
      <c r="E34">
        <v>38.063000000000002</v>
      </c>
      <c r="F34">
        <v>29.294</v>
      </c>
    </row>
    <row r="35" spans="1:6" x14ac:dyDescent="0.25">
      <c r="A35" t="str">
        <f t="shared" si="0"/>
        <v>D45A43683</v>
      </c>
      <c r="B35" t="s">
        <v>242</v>
      </c>
      <c r="C35" s="9">
        <v>43683</v>
      </c>
      <c r="D35" t="s">
        <v>243</v>
      </c>
      <c r="E35">
        <v>98.831999999999994</v>
      </c>
      <c r="F35">
        <v>44.781999999999996</v>
      </c>
    </row>
    <row r="36" spans="1:6" x14ac:dyDescent="0.25">
      <c r="A36" t="str">
        <f t="shared" si="0"/>
        <v>D45B43683</v>
      </c>
      <c r="B36" t="s">
        <v>244</v>
      </c>
      <c r="C36" s="9">
        <v>43683</v>
      </c>
      <c r="D36" t="s">
        <v>245</v>
      </c>
      <c r="E36">
        <v>34.429000000000002</v>
      </c>
      <c r="F36">
        <v>16.07</v>
      </c>
    </row>
    <row r="37" spans="1:6" x14ac:dyDescent="0.25">
      <c r="A37" t="str">
        <f t="shared" si="0"/>
        <v>D45D43683</v>
      </c>
      <c r="B37" t="s">
        <v>246</v>
      </c>
      <c r="C37" s="9">
        <v>43683</v>
      </c>
      <c r="D37" t="s">
        <v>247</v>
      </c>
      <c r="E37">
        <v>71.998000000000005</v>
      </c>
      <c r="F37">
        <v>35.054000000000002</v>
      </c>
    </row>
    <row r="38" spans="1:6" x14ac:dyDescent="0.25">
      <c r="A38" t="str">
        <f t="shared" si="0"/>
        <v>D48A43668</v>
      </c>
      <c r="B38" t="s">
        <v>248</v>
      </c>
      <c r="C38" s="9">
        <v>43668</v>
      </c>
      <c r="D38" t="s">
        <v>249</v>
      </c>
      <c r="E38">
        <v>78.834999999999994</v>
      </c>
      <c r="F38">
        <v>30.206</v>
      </c>
    </row>
    <row r="39" spans="1:6" x14ac:dyDescent="0.25">
      <c r="A39" t="str">
        <f t="shared" si="0"/>
        <v>D48B43668</v>
      </c>
      <c r="B39" t="s">
        <v>250</v>
      </c>
      <c r="C39" s="9">
        <v>43668</v>
      </c>
      <c r="D39" t="s">
        <v>251</v>
      </c>
      <c r="E39">
        <v>44.725999999999999</v>
      </c>
      <c r="F39">
        <v>27.056000000000001</v>
      </c>
    </row>
    <row r="40" spans="1:6" x14ac:dyDescent="0.25">
      <c r="A40" t="str">
        <f t="shared" si="0"/>
        <v>D4943668</v>
      </c>
      <c r="B40" t="s">
        <v>252</v>
      </c>
      <c r="C40" s="9">
        <v>43668</v>
      </c>
      <c r="D40" t="s">
        <v>253</v>
      </c>
      <c r="E40">
        <v>38.192999999999998</v>
      </c>
      <c r="F40">
        <v>29.234000000000002</v>
      </c>
    </row>
    <row r="41" spans="1:6" x14ac:dyDescent="0.25">
      <c r="A41" t="str">
        <f t="shared" si="0"/>
        <v>D4A43672</v>
      </c>
      <c r="B41" t="s">
        <v>254</v>
      </c>
      <c r="C41" s="9">
        <v>43672</v>
      </c>
      <c r="D41" t="s">
        <v>255</v>
      </c>
      <c r="E41">
        <v>37.44</v>
      </c>
      <c r="F41">
        <v>20.611000000000001</v>
      </c>
    </row>
    <row r="42" spans="1:6" x14ac:dyDescent="0.25">
      <c r="A42" t="str">
        <f t="shared" si="0"/>
        <v>D4C43672</v>
      </c>
      <c r="B42" t="s">
        <v>256</v>
      </c>
      <c r="C42" s="9">
        <v>43672</v>
      </c>
      <c r="D42" t="s">
        <v>257</v>
      </c>
      <c r="E42">
        <v>24.779</v>
      </c>
      <c r="F42">
        <v>21.617999999999999</v>
      </c>
    </row>
    <row r="43" spans="1:6" x14ac:dyDescent="0.25">
      <c r="A43" t="str">
        <f t="shared" si="0"/>
        <v>D4D43671</v>
      </c>
      <c r="B43" t="s">
        <v>258</v>
      </c>
      <c r="C43" s="9">
        <v>43671</v>
      </c>
      <c r="D43" t="s">
        <v>259</v>
      </c>
      <c r="E43">
        <v>29.385999999999999</v>
      </c>
      <c r="F43">
        <v>20.925999999999998</v>
      </c>
    </row>
    <row r="44" spans="1:6" x14ac:dyDescent="0.25">
      <c r="A44" t="str">
        <f t="shared" si="0"/>
        <v>D4E43671</v>
      </c>
      <c r="B44" t="s">
        <v>260</v>
      </c>
      <c r="C44" s="9">
        <v>43671</v>
      </c>
      <c r="D44" t="s">
        <v>261</v>
      </c>
      <c r="E44">
        <v>49.31</v>
      </c>
      <c r="F44">
        <v>43.372999999999998</v>
      </c>
    </row>
    <row r="45" spans="1:6" x14ac:dyDescent="0.25">
      <c r="A45" t="str">
        <f t="shared" si="0"/>
        <v>D4G43671</v>
      </c>
      <c r="B45" t="s">
        <v>262</v>
      </c>
      <c r="C45" s="9">
        <v>43671</v>
      </c>
      <c r="D45" t="s">
        <v>263</v>
      </c>
      <c r="E45">
        <v>69.53</v>
      </c>
      <c r="F45">
        <v>25.369</v>
      </c>
    </row>
    <row r="46" spans="1:6" x14ac:dyDescent="0.25">
      <c r="A46" t="str">
        <f t="shared" si="0"/>
        <v>D4H43686</v>
      </c>
      <c r="B46" t="s">
        <v>264</v>
      </c>
      <c r="C46" s="9">
        <v>43686</v>
      </c>
      <c r="D46" t="s">
        <v>265</v>
      </c>
      <c r="E46">
        <v>33.811999999999998</v>
      </c>
      <c r="F46">
        <v>16.911999999999999</v>
      </c>
    </row>
    <row r="47" spans="1:6" x14ac:dyDescent="0.25">
      <c r="A47" t="str">
        <f t="shared" si="0"/>
        <v>D543703</v>
      </c>
      <c r="B47" t="s">
        <v>106</v>
      </c>
      <c r="C47" s="9">
        <v>43703</v>
      </c>
      <c r="D47" t="s">
        <v>266</v>
      </c>
      <c r="E47">
        <v>41.837000000000003</v>
      </c>
      <c r="F47">
        <v>26.594000000000001</v>
      </c>
    </row>
    <row r="48" spans="1:6" x14ac:dyDescent="0.25">
      <c r="A48" t="str">
        <f t="shared" si="0"/>
        <v>D543643</v>
      </c>
      <c r="B48" t="s">
        <v>106</v>
      </c>
      <c r="C48" s="9">
        <v>43643</v>
      </c>
      <c r="D48" t="s">
        <v>267</v>
      </c>
      <c r="E48">
        <v>27.113</v>
      </c>
      <c r="F48">
        <v>18.509</v>
      </c>
    </row>
    <row r="49" spans="1:6" x14ac:dyDescent="0.25">
      <c r="A49" t="str">
        <f t="shared" si="0"/>
        <v>D5143668</v>
      </c>
      <c r="B49" t="s">
        <v>268</v>
      </c>
      <c r="C49" s="9">
        <v>43668</v>
      </c>
      <c r="D49" t="s">
        <v>269</v>
      </c>
      <c r="E49">
        <v>90.766999999999996</v>
      </c>
      <c r="F49">
        <v>23.866</v>
      </c>
    </row>
    <row r="50" spans="1:6" x14ac:dyDescent="0.25">
      <c r="A50" t="str">
        <f t="shared" si="0"/>
        <v>D5243669</v>
      </c>
      <c r="B50" t="s">
        <v>89</v>
      </c>
      <c r="C50" s="9">
        <v>43669</v>
      </c>
      <c r="D50" t="s">
        <v>270</v>
      </c>
      <c r="E50">
        <v>65.353999999999999</v>
      </c>
      <c r="F50">
        <v>27.463000000000001</v>
      </c>
    </row>
    <row r="51" spans="1:6" x14ac:dyDescent="0.25">
      <c r="A51" t="str">
        <f t="shared" si="0"/>
        <v>D5243636</v>
      </c>
      <c r="B51" t="s">
        <v>89</v>
      </c>
      <c r="C51" s="9">
        <v>43636</v>
      </c>
      <c r="D51" t="s">
        <v>271</v>
      </c>
      <c r="E51">
        <v>61.76</v>
      </c>
      <c r="F51">
        <v>29.087</v>
      </c>
    </row>
    <row r="52" spans="1:6" x14ac:dyDescent="0.25">
      <c r="A52" t="str">
        <f t="shared" si="0"/>
        <v>D53A43669</v>
      </c>
      <c r="B52" t="s">
        <v>272</v>
      </c>
      <c r="C52" s="9">
        <v>43669</v>
      </c>
      <c r="D52" t="s">
        <v>273</v>
      </c>
      <c r="E52">
        <v>55.970999999999997</v>
      </c>
      <c r="F52">
        <v>21.608000000000001</v>
      </c>
    </row>
    <row r="53" spans="1:6" x14ac:dyDescent="0.25">
      <c r="A53" t="str">
        <f t="shared" si="0"/>
        <v>D54A43669</v>
      </c>
      <c r="B53" t="s">
        <v>274</v>
      </c>
      <c r="C53" s="9">
        <v>43669</v>
      </c>
      <c r="D53" t="s">
        <v>275</v>
      </c>
      <c r="E53">
        <v>88.495000000000005</v>
      </c>
      <c r="F53">
        <v>32.119999999999997</v>
      </c>
    </row>
    <row r="54" spans="1:6" x14ac:dyDescent="0.25">
      <c r="A54" t="str">
        <f t="shared" si="0"/>
        <v>D54B43668</v>
      </c>
      <c r="B54" t="s">
        <v>276</v>
      </c>
      <c r="C54" s="9">
        <v>43668</v>
      </c>
      <c r="D54" t="s">
        <v>277</v>
      </c>
      <c r="E54">
        <v>48.171999999999997</v>
      </c>
      <c r="F54">
        <v>32.469000000000001</v>
      </c>
    </row>
    <row r="55" spans="1:6" x14ac:dyDescent="0.25">
      <c r="A55" t="str">
        <f t="shared" si="0"/>
        <v>D55B43669</v>
      </c>
      <c r="B55" t="s">
        <v>278</v>
      </c>
      <c r="C55" s="9">
        <v>43669</v>
      </c>
      <c r="D55" t="s">
        <v>279</v>
      </c>
      <c r="E55">
        <v>29.093</v>
      </c>
      <c r="F55">
        <v>15.051</v>
      </c>
    </row>
    <row r="56" spans="1:6" x14ac:dyDescent="0.25">
      <c r="A56" t="str">
        <f t="shared" si="0"/>
        <v>D56A43678</v>
      </c>
      <c r="B56" t="s">
        <v>82</v>
      </c>
      <c r="C56" s="9">
        <v>43678</v>
      </c>
      <c r="D56" t="s">
        <v>280</v>
      </c>
      <c r="E56">
        <v>42.933</v>
      </c>
      <c r="F56">
        <v>24.762</v>
      </c>
    </row>
    <row r="57" spans="1:6" x14ac:dyDescent="0.25">
      <c r="A57" t="str">
        <f t="shared" si="0"/>
        <v>D56A43635</v>
      </c>
      <c r="B57" t="s">
        <v>82</v>
      </c>
      <c r="C57" s="9">
        <v>43635</v>
      </c>
      <c r="D57" t="s">
        <v>281</v>
      </c>
      <c r="E57">
        <v>43.646000000000001</v>
      </c>
      <c r="F57">
        <v>23.288</v>
      </c>
    </row>
    <row r="58" spans="1:6" x14ac:dyDescent="0.25">
      <c r="A58" t="str">
        <f t="shared" si="0"/>
        <v>D56B43678</v>
      </c>
      <c r="B58" t="s">
        <v>282</v>
      </c>
      <c r="C58" s="9">
        <v>43678</v>
      </c>
      <c r="D58" t="s">
        <v>283</v>
      </c>
      <c r="E58">
        <v>39.377000000000002</v>
      </c>
      <c r="F58">
        <v>33.917000000000002</v>
      </c>
    </row>
    <row r="59" spans="1:6" x14ac:dyDescent="0.25">
      <c r="A59" t="str">
        <f t="shared" si="0"/>
        <v>D56C43678</v>
      </c>
      <c r="B59" t="s">
        <v>86</v>
      </c>
      <c r="C59" s="9">
        <v>43678</v>
      </c>
      <c r="D59" t="s">
        <v>284</v>
      </c>
      <c r="E59">
        <v>47.966000000000001</v>
      </c>
      <c r="F59">
        <v>27.135999999999999</v>
      </c>
    </row>
    <row r="60" spans="1:6" x14ac:dyDescent="0.25">
      <c r="A60" t="str">
        <f t="shared" si="0"/>
        <v>D56C43635</v>
      </c>
      <c r="B60" t="s">
        <v>86</v>
      </c>
      <c r="C60" s="9">
        <v>43635</v>
      </c>
      <c r="D60" t="s">
        <v>285</v>
      </c>
      <c r="E60">
        <v>52.122</v>
      </c>
      <c r="F60">
        <v>25.396999999999998</v>
      </c>
    </row>
    <row r="61" spans="1:6" x14ac:dyDescent="0.25">
      <c r="A61" t="str">
        <f t="shared" si="0"/>
        <v>D56D43661</v>
      </c>
      <c r="B61" t="s">
        <v>146</v>
      </c>
      <c r="C61" s="9">
        <v>43661</v>
      </c>
      <c r="D61" t="s">
        <v>286</v>
      </c>
      <c r="E61">
        <v>53.883000000000003</v>
      </c>
      <c r="F61">
        <v>23.015999999999998</v>
      </c>
    </row>
    <row r="62" spans="1:6" x14ac:dyDescent="0.25">
      <c r="A62" t="str">
        <f t="shared" si="0"/>
        <v>D57A43700</v>
      </c>
      <c r="B62" t="s">
        <v>127</v>
      </c>
      <c r="C62" s="9">
        <v>43700</v>
      </c>
      <c r="D62" t="s">
        <v>287</v>
      </c>
      <c r="E62">
        <v>24.622</v>
      </c>
      <c r="F62">
        <v>23.273</v>
      </c>
    </row>
    <row r="63" spans="1:6" x14ac:dyDescent="0.25">
      <c r="A63" t="str">
        <f t="shared" si="0"/>
        <v>D57A43655</v>
      </c>
      <c r="B63" t="s">
        <v>127</v>
      </c>
      <c r="C63" s="9">
        <v>43655</v>
      </c>
      <c r="D63" t="s">
        <v>288</v>
      </c>
      <c r="E63">
        <v>16.218</v>
      </c>
      <c r="F63">
        <v>23.689</v>
      </c>
    </row>
    <row r="64" spans="1:6" x14ac:dyDescent="0.25">
      <c r="A64" t="str">
        <f t="shared" si="0"/>
        <v>D57B43700</v>
      </c>
      <c r="B64" t="s">
        <v>129</v>
      </c>
      <c r="C64" s="9">
        <v>43700</v>
      </c>
      <c r="D64" t="s">
        <v>289</v>
      </c>
      <c r="E64">
        <v>59.883000000000003</v>
      </c>
      <c r="F64">
        <v>27.933</v>
      </c>
    </row>
    <row r="65" spans="1:6" x14ac:dyDescent="0.25">
      <c r="A65" t="str">
        <f t="shared" si="0"/>
        <v>D57B43655</v>
      </c>
      <c r="B65" t="s">
        <v>129</v>
      </c>
      <c r="C65" s="9">
        <v>43655</v>
      </c>
      <c r="D65" t="s">
        <v>290</v>
      </c>
      <c r="E65">
        <v>56.448999999999998</v>
      </c>
      <c r="F65">
        <v>29.908999999999999</v>
      </c>
    </row>
    <row r="66" spans="1:6" x14ac:dyDescent="0.25">
      <c r="A66" t="str">
        <f t="shared" ref="A66:A129" si="1">B66&amp;C66</f>
        <v>D57C43700</v>
      </c>
      <c r="B66" t="s">
        <v>291</v>
      </c>
      <c r="C66" s="9">
        <v>43700</v>
      </c>
      <c r="D66" t="s">
        <v>292</v>
      </c>
      <c r="E66">
        <v>31.797000000000001</v>
      </c>
      <c r="F66">
        <v>30.936</v>
      </c>
    </row>
    <row r="67" spans="1:6" x14ac:dyDescent="0.25">
      <c r="A67" t="str">
        <f t="shared" si="1"/>
        <v>D57D43700</v>
      </c>
      <c r="B67" t="s">
        <v>293</v>
      </c>
      <c r="C67" s="9">
        <v>43700</v>
      </c>
      <c r="D67" t="s">
        <v>294</v>
      </c>
      <c r="E67">
        <v>35.860999999999997</v>
      </c>
      <c r="F67">
        <v>29.988</v>
      </c>
    </row>
    <row r="68" spans="1:6" x14ac:dyDescent="0.25">
      <c r="A68" t="str">
        <f t="shared" si="1"/>
        <v>D58A43699</v>
      </c>
      <c r="B68" t="s">
        <v>295</v>
      </c>
      <c r="C68" s="9">
        <v>43699</v>
      </c>
      <c r="D68" t="s">
        <v>296</v>
      </c>
      <c r="E68">
        <v>154.81899999999999</v>
      </c>
      <c r="F68">
        <v>118.839</v>
      </c>
    </row>
    <row r="69" spans="1:6" x14ac:dyDescent="0.25">
      <c r="A69" t="str">
        <f t="shared" si="1"/>
        <v>D58B43699</v>
      </c>
      <c r="B69" t="s">
        <v>297</v>
      </c>
      <c r="C69" s="9">
        <v>43699</v>
      </c>
      <c r="D69" t="s">
        <v>298</v>
      </c>
      <c r="E69">
        <v>72.816000000000003</v>
      </c>
      <c r="F69">
        <v>70.102999999999994</v>
      </c>
    </row>
    <row r="70" spans="1:6" x14ac:dyDescent="0.25">
      <c r="A70" t="str">
        <f t="shared" si="1"/>
        <v>D58C43699</v>
      </c>
      <c r="B70" t="s">
        <v>299</v>
      </c>
      <c r="C70" s="9">
        <v>43699</v>
      </c>
      <c r="D70" t="s">
        <v>300</v>
      </c>
      <c r="E70">
        <v>44.468000000000004</v>
      </c>
      <c r="F70">
        <v>19.064</v>
      </c>
    </row>
    <row r="71" spans="1:6" x14ac:dyDescent="0.25">
      <c r="A71" t="str">
        <f t="shared" si="1"/>
        <v>D58C43699</v>
      </c>
      <c r="B71" t="s">
        <v>299</v>
      </c>
      <c r="C71" s="9">
        <v>43699</v>
      </c>
      <c r="D71" t="s">
        <v>300</v>
      </c>
      <c r="E71">
        <v>44.41</v>
      </c>
      <c r="F71">
        <v>18.884</v>
      </c>
    </row>
    <row r="72" spans="1:6" x14ac:dyDescent="0.25">
      <c r="A72" t="str">
        <f t="shared" si="1"/>
        <v>D59A43700</v>
      </c>
      <c r="B72" t="s">
        <v>301</v>
      </c>
      <c r="C72" s="9">
        <v>43700</v>
      </c>
      <c r="D72" t="s">
        <v>302</v>
      </c>
      <c r="E72">
        <v>25.943999999999999</v>
      </c>
      <c r="F72">
        <v>21.506</v>
      </c>
    </row>
    <row r="73" spans="1:6" x14ac:dyDescent="0.25">
      <c r="A73" t="str">
        <f t="shared" si="1"/>
        <v>D59B43700</v>
      </c>
      <c r="B73" t="s">
        <v>303</v>
      </c>
      <c r="C73" s="9">
        <v>43700</v>
      </c>
      <c r="D73" t="s">
        <v>304</v>
      </c>
      <c r="E73">
        <v>20.096</v>
      </c>
      <c r="F73">
        <v>16.382999999999999</v>
      </c>
    </row>
    <row r="74" spans="1:6" x14ac:dyDescent="0.25">
      <c r="A74" t="str">
        <f t="shared" si="1"/>
        <v>D59D43700</v>
      </c>
      <c r="B74" t="s">
        <v>305</v>
      </c>
      <c r="C74" s="9">
        <v>43700</v>
      </c>
      <c r="D74" t="s">
        <v>306</v>
      </c>
      <c r="E74">
        <v>82.588999999999999</v>
      </c>
      <c r="F74">
        <v>39.453000000000003</v>
      </c>
    </row>
    <row r="75" spans="1:6" x14ac:dyDescent="0.25">
      <c r="A75" t="str">
        <f t="shared" si="1"/>
        <v>D60A43697</v>
      </c>
      <c r="B75" t="s">
        <v>307</v>
      </c>
      <c r="C75" s="9">
        <v>43697</v>
      </c>
      <c r="D75" t="s">
        <v>308</v>
      </c>
      <c r="E75">
        <v>22.241</v>
      </c>
      <c r="F75">
        <v>41.113999999999997</v>
      </c>
    </row>
    <row r="76" spans="1:6" x14ac:dyDescent="0.25">
      <c r="A76" t="str">
        <f t="shared" si="1"/>
        <v>D60B43697</v>
      </c>
      <c r="B76" t="s">
        <v>309</v>
      </c>
      <c r="C76" s="9">
        <v>43697</v>
      </c>
      <c r="D76" t="s">
        <v>310</v>
      </c>
      <c r="E76">
        <v>22.608000000000001</v>
      </c>
      <c r="F76">
        <v>22.625</v>
      </c>
    </row>
    <row r="77" spans="1:6" x14ac:dyDescent="0.25">
      <c r="A77" t="str">
        <f t="shared" si="1"/>
        <v>D60C43697</v>
      </c>
      <c r="B77" t="s">
        <v>311</v>
      </c>
      <c r="C77" s="9">
        <v>43697</v>
      </c>
      <c r="D77" t="s">
        <v>312</v>
      </c>
      <c r="E77">
        <v>236.958</v>
      </c>
      <c r="F77">
        <v>83.506</v>
      </c>
    </row>
    <row r="78" spans="1:6" x14ac:dyDescent="0.25">
      <c r="A78" t="str">
        <f t="shared" si="1"/>
        <v>D61A43676</v>
      </c>
      <c r="B78" t="s">
        <v>313</v>
      </c>
      <c r="C78" s="9">
        <v>43676</v>
      </c>
      <c r="D78" t="s">
        <v>314</v>
      </c>
      <c r="E78">
        <v>17.143000000000001</v>
      </c>
      <c r="F78">
        <v>26.125</v>
      </c>
    </row>
    <row r="79" spans="1:6" x14ac:dyDescent="0.25">
      <c r="A79" t="str">
        <f t="shared" si="1"/>
        <v>D61B43676</v>
      </c>
      <c r="B79" t="s">
        <v>103</v>
      </c>
      <c r="C79" s="9">
        <v>43676</v>
      </c>
      <c r="D79" t="s">
        <v>315</v>
      </c>
      <c r="E79">
        <v>40.073999999999998</v>
      </c>
      <c r="F79">
        <v>38.851999999999997</v>
      </c>
    </row>
    <row r="80" spans="1:6" x14ac:dyDescent="0.25">
      <c r="A80" t="str">
        <f t="shared" si="1"/>
        <v>D61B43641</v>
      </c>
      <c r="B80" t="s">
        <v>103</v>
      </c>
      <c r="C80" s="9">
        <v>43641</v>
      </c>
      <c r="D80" t="s">
        <v>316</v>
      </c>
      <c r="E80">
        <v>42.752000000000002</v>
      </c>
      <c r="F80">
        <v>31.384</v>
      </c>
    </row>
    <row r="81" spans="1:6" x14ac:dyDescent="0.25">
      <c r="A81" t="str">
        <f t="shared" si="1"/>
        <v>D61C43676</v>
      </c>
      <c r="B81" t="s">
        <v>317</v>
      </c>
      <c r="C81" s="9">
        <v>43676</v>
      </c>
      <c r="D81" t="s">
        <v>318</v>
      </c>
      <c r="E81">
        <v>31.791</v>
      </c>
      <c r="F81">
        <v>28.353999999999999</v>
      </c>
    </row>
    <row r="82" spans="1:6" x14ac:dyDescent="0.25">
      <c r="A82" t="str">
        <f t="shared" si="1"/>
        <v>D62B43678</v>
      </c>
      <c r="B82" t="s">
        <v>319</v>
      </c>
      <c r="C82" s="9">
        <v>43678</v>
      </c>
      <c r="D82" t="s">
        <v>320</v>
      </c>
      <c r="E82">
        <v>80.656999999999996</v>
      </c>
      <c r="F82">
        <v>38.073</v>
      </c>
    </row>
    <row r="83" spans="1:6" x14ac:dyDescent="0.25">
      <c r="A83" t="str">
        <f t="shared" si="1"/>
        <v>D62C43678</v>
      </c>
      <c r="B83" t="s">
        <v>321</v>
      </c>
      <c r="C83" s="9">
        <v>43678</v>
      </c>
      <c r="D83" t="s">
        <v>322</v>
      </c>
      <c r="E83">
        <v>70.355999999999995</v>
      </c>
      <c r="F83">
        <v>23.690999999999999</v>
      </c>
    </row>
    <row r="84" spans="1:6" x14ac:dyDescent="0.25">
      <c r="A84" t="str">
        <f t="shared" si="1"/>
        <v>D62E43678</v>
      </c>
      <c r="B84" t="s">
        <v>323</v>
      </c>
      <c r="C84" s="9">
        <v>43678</v>
      </c>
      <c r="D84" t="s">
        <v>324</v>
      </c>
      <c r="E84">
        <v>101.29900000000001</v>
      </c>
      <c r="F84">
        <v>63.511000000000003</v>
      </c>
    </row>
    <row r="85" spans="1:6" x14ac:dyDescent="0.25">
      <c r="A85" t="str">
        <f t="shared" si="1"/>
        <v>D63A43689</v>
      </c>
      <c r="B85" t="s">
        <v>325</v>
      </c>
      <c r="C85" s="9">
        <v>43689</v>
      </c>
      <c r="D85" t="s">
        <v>326</v>
      </c>
      <c r="E85">
        <v>93.01</v>
      </c>
      <c r="F85">
        <v>56.151000000000003</v>
      </c>
    </row>
    <row r="86" spans="1:6" x14ac:dyDescent="0.25">
      <c r="A86" t="str">
        <f t="shared" si="1"/>
        <v>D63B43689</v>
      </c>
      <c r="B86" t="s">
        <v>327</v>
      </c>
      <c r="C86" s="9">
        <v>43689</v>
      </c>
      <c r="D86" t="s">
        <v>328</v>
      </c>
      <c r="E86">
        <v>48.646999999999998</v>
      </c>
      <c r="F86">
        <v>47.853000000000002</v>
      </c>
    </row>
    <row r="87" spans="1:6" x14ac:dyDescent="0.25">
      <c r="A87" t="str">
        <f t="shared" si="1"/>
        <v>D64A43696</v>
      </c>
      <c r="B87" t="s">
        <v>329</v>
      </c>
      <c r="C87" s="9">
        <v>43696</v>
      </c>
      <c r="D87" t="s">
        <v>330</v>
      </c>
      <c r="E87">
        <v>29.855</v>
      </c>
      <c r="F87">
        <v>44.884</v>
      </c>
    </row>
    <row r="88" spans="1:6" x14ac:dyDescent="0.25">
      <c r="A88" t="str">
        <f t="shared" si="1"/>
        <v>D64B43696</v>
      </c>
      <c r="B88" t="s">
        <v>331</v>
      </c>
      <c r="C88" s="9">
        <v>43696</v>
      </c>
      <c r="D88" t="s">
        <v>332</v>
      </c>
      <c r="E88">
        <v>24.71</v>
      </c>
      <c r="F88">
        <v>27.471</v>
      </c>
    </row>
    <row r="89" spans="1:6" x14ac:dyDescent="0.25">
      <c r="A89" t="str">
        <f t="shared" si="1"/>
        <v>D64C43696</v>
      </c>
      <c r="B89" t="s">
        <v>333</v>
      </c>
      <c r="C89" s="9">
        <v>43696</v>
      </c>
      <c r="D89" t="s">
        <v>334</v>
      </c>
      <c r="E89">
        <v>43.476999999999997</v>
      </c>
      <c r="F89">
        <v>40.607999999999997</v>
      </c>
    </row>
    <row r="90" spans="1:6" x14ac:dyDescent="0.25">
      <c r="A90" t="str">
        <f t="shared" si="1"/>
        <v>D6543690</v>
      </c>
      <c r="B90" t="s">
        <v>140</v>
      </c>
      <c r="C90" s="9">
        <v>43690</v>
      </c>
      <c r="D90" t="s">
        <v>335</v>
      </c>
      <c r="E90">
        <v>33.329000000000001</v>
      </c>
      <c r="F90">
        <v>14.44</v>
      </c>
    </row>
    <row r="91" spans="1:6" x14ac:dyDescent="0.25">
      <c r="A91" t="str">
        <f t="shared" si="1"/>
        <v>D6543658</v>
      </c>
      <c r="B91" t="s">
        <v>140</v>
      </c>
      <c r="C91" s="9">
        <v>43658</v>
      </c>
      <c r="D91" t="s">
        <v>336</v>
      </c>
      <c r="E91">
        <v>36.426000000000002</v>
      </c>
      <c r="F91">
        <v>14.631</v>
      </c>
    </row>
    <row r="92" spans="1:6" x14ac:dyDescent="0.25">
      <c r="A92" t="str">
        <f t="shared" si="1"/>
        <v>D66A43679</v>
      </c>
      <c r="B92" t="s">
        <v>337</v>
      </c>
      <c r="C92" s="9">
        <v>43679</v>
      </c>
      <c r="D92" t="s">
        <v>338</v>
      </c>
      <c r="E92">
        <v>79.691999999999993</v>
      </c>
      <c r="F92">
        <v>28.094000000000001</v>
      </c>
    </row>
    <row r="93" spans="1:6" x14ac:dyDescent="0.25">
      <c r="A93" t="str">
        <f t="shared" si="1"/>
        <v>D66B43679</v>
      </c>
      <c r="B93" t="s">
        <v>339</v>
      </c>
      <c r="C93" s="9">
        <v>43679</v>
      </c>
      <c r="D93" t="s">
        <v>340</v>
      </c>
      <c r="E93">
        <v>67.057000000000002</v>
      </c>
      <c r="F93">
        <v>34.064999999999998</v>
      </c>
    </row>
    <row r="94" spans="1:6" x14ac:dyDescent="0.25">
      <c r="A94" t="str">
        <f t="shared" si="1"/>
        <v>D66C43679</v>
      </c>
      <c r="B94" t="s">
        <v>341</v>
      </c>
      <c r="C94" s="9">
        <v>43679</v>
      </c>
      <c r="D94" t="s">
        <v>342</v>
      </c>
      <c r="E94">
        <v>46.524000000000001</v>
      </c>
      <c r="F94">
        <v>20.728000000000002</v>
      </c>
    </row>
    <row r="95" spans="1:6" x14ac:dyDescent="0.25">
      <c r="A95" t="str">
        <f t="shared" si="1"/>
        <v>D67A43684</v>
      </c>
      <c r="B95" t="s">
        <v>343</v>
      </c>
      <c r="C95" s="9">
        <v>43684</v>
      </c>
      <c r="D95" t="s">
        <v>344</v>
      </c>
      <c r="E95">
        <v>89.587999999999994</v>
      </c>
      <c r="F95">
        <v>39.161999999999999</v>
      </c>
    </row>
    <row r="96" spans="1:6" x14ac:dyDescent="0.25">
      <c r="A96" t="str">
        <f t="shared" si="1"/>
        <v>D67B43684</v>
      </c>
      <c r="B96" t="s">
        <v>345</v>
      </c>
      <c r="C96" s="9">
        <v>43684</v>
      </c>
      <c r="D96" t="s">
        <v>346</v>
      </c>
      <c r="E96">
        <v>58.725999999999999</v>
      </c>
      <c r="F96">
        <v>21.843</v>
      </c>
    </row>
    <row r="97" spans="1:6" x14ac:dyDescent="0.25">
      <c r="A97" t="str">
        <f t="shared" si="1"/>
        <v>D69A43693</v>
      </c>
      <c r="B97" t="s">
        <v>347</v>
      </c>
      <c r="C97" s="9">
        <v>43693</v>
      </c>
      <c r="D97" t="s">
        <v>348</v>
      </c>
      <c r="E97">
        <v>38.055999999999997</v>
      </c>
      <c r="F97">
        <v>34.566000000000003</v>
      </c>
    </row>
    <row r="98" spans="1:6" x14ac:dyDescent="0.25">
      <c r="A98" t="str">
        <f t="shared" si="1"/>
        <v>D69B43693</v>
      </c>
      <c r="B98" t="s">
        <v>349</v>
      </c>
      <c r="C98" s="9">
        <v>43693</v>
      </c>
      <c r="D98" t="s">
        <v>350</v>
      </c>
      <c r="E98">
        <v>33.466999999999999</v>
      </c>
      <c r="F98">
        <v>16.512</v>
      </c>
    </row>
    <row r="99" spans="1:6" x14ac:dyDescent="0.25">
      <c r="A99" t="str">
        <f t="shared" si="1"/>
        <v>D69C43693</v>
      </c>
      <c r="B99" t="s">
        <v>351</v>
      </c>
      <c r="C99" s="9">
        <v>43693</v>
      </c>
      <c r="D99" t="s">
        <v>352</v>
      </c>
      <c r="E99">
        <v>29.373999999999999</v>
      </c>
      <c r="F99">
        <v>22.143000000000001</v>
      </c>
    </row>
    <row r="100" spans="1:6" x14ac:dyDescent="0.25">
      <c r="A100" t="str">
        <f t="shared" si="1"/>
        <v>D70A43693</v>
      </c>
      <c r="B100" t="s">
        <v>353</v>
      </c>
      <c r="C100" s="9">
        <v>43693</v>
      </c>
      <c r="D100" t="s">
        <v>354</v>
      </c>
      <c r="E100">
        <v>49.225999999999999</v>
      </c>
      <c r="F100">
        <v>25.954999999999998</v>
      </c>
    </row>
    <row r="101" spans="1:6" x14ac:dyDescent="0.25">
      <c r="A101" t="str">
        <f t="shared" si="1"/>
        <v>D70B43693</v>
      </c>
      <c r="B101" t="s">
        <v>355</v>
      </c>
      <c r="C101" s="9">
        <v>43693</v>
      </c>
      <c r="D101" t="s">
        <v>356</v>
      </c>
      <c r="E101">
        <v>125.446</v>
      </c>
      <c r="F101">
        <v>33.843000000000004</v>
      </c>
    </row>
    <row r="102" spans="1:6" x14ac:dyDescent="0.25">
      <c r="A102" t="str">
        <f t="shared" si="1"/>
        <v>D70C43693</v>
      </c>
      <c r="B102" t="s">
        <v>357</v>
      </c>
      <c r="C102" s="9">
        <v>43693</v>
      </c>
      <c r="D102" t="s">
        <v>358</v>
      </c>
      <c r="E102">
        <v>70.150000000000006</v>
      </c>
      <c r="F102">
        <v>3.819</v>
      </c>
    </row>
    <row r="103" spans="1:6" x14ac:dyDescent="0.25">
      <c r="A103" t="str">
        <f t="shared" si="1"/>
        <v>D74A43703</v>
      </c>
      <c r="B103" t="s">
        <v>359</v>
      </c>
      <c r="C103" s="9">
        <v>43703</v>
      </c>
      <c r="D103" t="s">
        <v>360</v>
      </c>
      <c r="E103">
        <v>45.554000000000002</v>
      </c>
      <c r="F103">
        <v>17.291</v>
      </c>
    </row>
    <row r="104" spans="1:6" x14ac:dyDescent="0.25">
      <c r="A104" t="str">
        <f t="shared" si="1"/>
        <v>D74B43703</v>
      </c>
      <c r="B104" t="s">
        <v>361</v>
      </c>
      <c r="C104" s="9">
        <v>43703</v>
      </c>
      <c r="D104" t="s">
        <v>362</v>
      </c>
      <c r="E104">
        <v>43.374000000000002</v>
      </c>
      <c r="F104">
        <v>25.713000000000001</v>
      </c>
    </row>
    <row r="105" spans="1:6" x14ac:dyDescent="0.25">
      <c r="A105" t="str">
        <f t="shared" si="1"/>
        <v>D74C43703</v>
      </c>
      <c r="B105" t="s">
        <v>363</v>
      </c>
      <c r="C105" s="9">
        <v>43703</v>
      </c>
      <c r="D105" t="s">
        <v>364</v>
      </c>
      <c r="E105">
        <v>80.497</v>
      </c>
      <c r="F105">
        <v>29.652000000000001</v>
      </c>
    </row>
    <row r="106" spans="1:6" x14ac:dyDescent="0.25">
      <c r="A106" t="str">
        <f t="shared" si="1"/>
        <v>D7543686</v>
      </c>
      <c r="B106" t="s">
        <v>96</v>
      </c>
      <c r="C106" s="9">
        <v>43686</v>
      </c>
      <c r="D106" t="s">
        <v>365</v>
      </c>
      <c r="E106">
        <v>42.767000000000003</v>
      </c>
      <c r="F106">
        <v>15.759</v>
      </c>
    </row>
    <row r="107" spans="1:6" x14ac:dyDescent="0.25">
      <c r="A107" t="str">
        <f t="shared" si="1"/>
        <v>D7543640</v>
      </c>
      <c r="B107" t="s">
        <v>96</v>
      </c>
      <c r="C107" s="9">
        <v>43640</v>
      </c>
      <c r="D107" t="s">
        <v>366</v>
      </c>
      <c r="E107">
        <v>34.837000000000003</v>
      </c>
      <c r="F107">
        <v>16.812000000000001</v>
      </c>
    </row>
    <row r="108" spans="1:6" x14ac:dyDescent="0.25">
      <c r="A108" t="str">
        <f t="shared" si="1"/>
        <v>D7643651</v>
      </c>
      <c r="B108" t="s">
        <v>125</v>
      </c>
      <c r="C108" s="9">
        <v>43651</v>
      </c>
      <c r="D108" t="s">
        <v>367</v>
      </c>
      <c r="E108">
        <v>14.497999999999999</v>
      </c>
      <c r="F108">
        <v>14.531000000000001</v>
      </c>
    </row>
    <row r="109" spans="1:6" x14ac:dyDescent="0.25">
      <c r="A109" t="str">
        <f t="shared" si="1"/>
        <v>D7A43697</v>
      </c>
      <c r="B109" t="s">
        <v>368</v>
      </c>
      <c r="C109" s="9">
        <v>43697</v>
      </c>
      <c r="D109" t="s">
        <v>369</v>
      </c>
      <c r="E109">
        <v>40.088999999999999</v>
      </c>
      <c r="F109">
        <v>23.074999999999999</v>
      </c>
    </row>
    <row r="110" spans="1:6" x14ac:dyDescent="0.25">
      <c r="A110" t="str">
        <f t="shared" si="1"/>
        <v>D7B43697</v>
      </c>
      <c r="B110" t="s">
        <v>370</v>
      </c>
      <c r="C110" s="9">
        <v>43697</v>
      </c>
      <c r="D110" t="s">
        <v>371</v>
      </c>
      <c r="E110">
        <v>22.145</v>
      </c>
      <c r="F110">
        <v>10.558</v>
      </c>
    </row>
    <row r="111" spans="1:6" x14ac:dyDescent="0.25">
      <c r="A111" t="str">
        <f t="shared" si="1"/>
        <v>D7I43697</v>
      </c>
      <c r="B111" t="s">
        <v>372</v>
      </c>
      <c r="C111" s="9">
        <v>43697</v>
      </c>
      <c r="D111" t="s">
        <v>373</v>
      </c>
      <c r="E111">
        <v>73.653999999999996</v>
      </c>
      <c r="F111">
        <v>50.860999999999997</v>
      </c>
    </row>
    <row r="112" spans="1:6" x14ac:dyDescent="0.25">
      <c r="A112" t="str">
        <f t="shared" si="1"/>
        <v>D8C43689</v>
      </c>
      <c r="B112" t="s">
        <v>374</v>
      </c>
      <c r="C112" s="9">
        <v>43689</v>
      </c>
      <c r="D112" t="s">
        <v>375</v>
      </c>
      <c r="E112">
        <v>63.651000000000003</v>
      </c>
      <c r="F112">
        <v>49.884999999999998</v>
      </c>
    </row>
    <row r="113" spans="1:6" x14ac:dyDescent="0.25">
      <c r="A113" t="str">
        <f t="shared" si="1"/>
        <v>D8E43657</v>
      </c>
      <c r="B113" t="s">
        <v>143</v>
      </c>
      <c r="C113" s="9">
        <v>43657</v>
      </c>
      <c r="D113" t="s">
        <v>376</v>
      </c>
      <c r="E113">
        <v>33.712000000000003</v>
      </c>
      <c r="F113">
        <v>16.279</v>
      </c>
    </row>
    <row r="114" spans="1:6" x14ac:dyDescent="0.25">
      <c r="A114" t="str">
        <f t="shared" si="1"/>
        <v>D8F43689</v>
      </c>
      <c r="B114" t="s">
        <v>377</v>
      </c>
      <c r="C114" s="9">
        <v>43689</v>
      </c>
      <c r="D114" t="s">
        <v>378</v>
      </c>
      <c r="E114">
        <v>129.40299999999999</v>
      </c>
      <c r="F114">
        <v>67.013000000000005</v>
      </c>
    </row>
    <row r="115" spans="1:6" x14ac:dyDescent="0.25">
      <c r="A115" t="str">
        <f t="shared" si="1"/>
        <v>D8G43690</v>
      </c>
      <c r="B115" t="s">
        <v>136</v>
      </c>
      <c r="C115" s="9">
        <v>43690</v>
      </c>
      <c r="D115" t="s">
        <v>379</v>
      </c>
      <c r="E115">
        <v>96.796000000000006</v>
      </c>
      <c r="F115">
        <v>59.820999999999998</v>
      </c>
    </row>
    <row r="116" spans="1:6" x14ac:dyDescent="0.25">
      <c r="A116" t="str">
        <f t="shared" si="1"/>
        <v>D8G43657</v>
      </c>
      <c r="B116" t="s">
        <v>136</v>
      </c>
      <c r="C116" s="9">
        <v>43657</v>
      </c>
      <c r="D116" t="s">
        <v>380</v>
      </c>
      <c r="E116">
        <v>93.263999999999996</v>
      </c>
      <c r="F116">
        <v>55.598999999999997</v>
      </c>
    </row>
    <row r="117" spans="1:6" x14ac:dyDescent="0.25">
      <c r="A117" t="str">
        <f t="shared" si="1"/>
        <v>W10E43644</v>
      </c>
      <c r="B117" t="s">
        <v>111</v>
      </c>
      <c r="C117" s="9">
        <v>43644</v>
      </c>
      <c r="D117" t="s">
        <v>381</v>
      </c>
      <c r="E117">
        <v>33.113</v>
      </c>
      <c r="F117">
        <v>57.276000000000003</v>
      </c>
    </row>
    <row r="118" spans="1:6" x14ac:dyDescent="0.25">
      <c r="A118" t="str">
        <f t="shared" si="1"/>
        <v>W14A43640</v>
      </c>
      <c r="B118" t="s">
        <v>100</v>
      </c>
      <c r="C118" s="9">
        <v>43640</v>
      </c>
      <c r="D118" t="s">
        <v>382</v>
      </c>
      <c r="E118">
        <v>70.203999999999994</v>
      </c>
      <c r="F118">
        <v>61.994</v>
      </c>
    </row>
    <row r="119" spans="1:6" x14ac:dyDescent="0.25">
      <c r="A119" t="str">
        <f t="shared" si="1"/>
        <v>W2043636</v>
      </c>
      <c r="B119" t="s">
        <v>94</v>
      </c>
      <c r="C119" s="9">
        <v>43636</v>
      </c>
      <c r="D119" t="s">
        <v>383</v>
      </c>
      <c r="E119">
        <v>51.947000000000003</v>
      </c>
      <c r="F119">
        <v>29.1</v>
      </c>
    </row>
    <row r="120" spans="1:6" x14ac:dyDescent="0.25">
      <c r="A120" t="str">
        <f t="shared" si="1"/>
        <v>W31A43649</v>
      </c>
      <c r="B120" t="s">
        <v>123</v>
      </c>
      <c r="C120" s="9">
        <v>43649</v>
      </c>
      <c r="D120" t="s">
        <v>384</v>
      </c>
      <c r="E120">
        <v>104.657</v>
      </c>
      <c r="F120">
        <v>88.177000000000007</v>
      </c>
    </row>
    <row r="121" spans="1:6" x14ac:dyDescent="0.25">
      <c r="A121" t="str">
        <f t="shared" si="1"/>
        <v>W31B43648</v>
      </c>
      <c r="B121" t="s">
        <v>116</v>
      </c>
      <c r="C121" s="9">
        <v>43648</v>
      </c>
      <c r="D121" t="s">
        <v>385</v>
      </c>
      <c r="E121">
        <v>80.852999999999994</v>
      </c>
      <c r="F121">
        <v>118.11799999999999</v>
      </c>
    </row>
    <row r="122" spans="1:6" x14ac:dyDescent="0.25">
      <c r="A122" t="str">
        <f t="shared" si="1"/>
        <v>W31C43648</v>
      </c>
      <c r="B122" t="s">
        <v>120</v>
      </c>
      <c r="C122" s="9">
        <v>43648</v>
      </c>
      <c r="D122" t="s">
        <v>386</v>
      </c>
      <c r="E122">
        <v>72.307000000000002</v>
      </c>
      <c r="F122">
        <v>65.179000000000002</v>
      </c>
    </row>
    <row r="123" spans="1:6" x14ac:dyDescent="0.25">
      <c r="A123" t="str">
        <f t="shared" si="1"/>
        <v>W44B43654</v>
      </c>
      <c r="B123" t="s">
        <v>134</v>
      </c>
      <c r="C123" s="9">
        <v>43654</v>
      </c>
      <c r="D123" t="s">
        <v>387</v>
      </c>
      <c r="E123">
        <v>46.59</v>
      </c>
      <c r="F123">
        <v>45.93</v>
      </c>
    </row>
    <row r="124" spans="1:6" x14ac:dyDescent="0.25">
      <c r="A124" t="str">
        <f t="shared" si="1"/>
        <v>W543643</v>
      </c>
      <c r="B124" t="s">
        <v>107</v>
      </c>
      <c r="C124" s="9">
        <v>43643</v>
      </c>
      <c r="D124" t="s">
        <v>388</v>
      </c>
      <c r="E124">
        <v>83.787999999999997</v>
      </c>
      <c r="F124">
        <v>46.012999999999998</v>
      </c>
    </row>
    <row r="125" spans="1:6" x14ac:dyDescent="0.25">
      <c r="A125" t="str">
        <f t="shared" si="1"/>
        <v>W5243636</v>
      </c>
      <c r="B125" t="s">
        <v>91</v>
      </c>
      <c r="C125" s="9">
        <v>43636</v>
      </c>
      <c r="D125" t="s">
        <v>389</v>
      </c>
      <c r="E125">
        <v>53.49</v>
      </c>
      <c r="F125">
        <v>28.638999999999999</v>
      </c>
    </row>
    <row r="126" spans="1:6" x14ac:dyDescent="0.25">
      <c r="A126" t="str">
        <f t="shared" si="1"/>
        <v>W56A43635</v>
      </c>
      <c r="B126" t="s">
        <v>85</v>
      </c>
      <c r="C126" s="9">
        <v>43635</v>
      </c>
      <c r="D126" t="s">
        <v>390</v>
      </c>
      <c r="E126">
        <v>44.682000000000002</v>
      </c>
      <c r="F126">
        <v>28.532</v>
      </c>
    </row>
    <row r="127" spans="1:6" x14ac:dyDescent="0.25">
      <c r="A127" t="str">
        <f t="shared" si="1"/>
        <v>W56C43635</v>
      </c>
      <c r="B127" t="s">
        <v>87</v>
      </c>
      <c r="C127" s="9">
        <v>43635</v>
      </c>
      <c r="D127" t="s">
        <v>391</v>
      </c>
      <c r="E127">
        <v>158.965</v>
      </c>
      <c r="F127">
        <v>126.864</v>
      </c>
    </row>
    <row r="128" spans="1:6" x14ac:dyDescent="0.25">
      <c r="A128" t="str">
        <f t="shared" si="1"/>
        <v>W56D43661</v>
      </c>
      <c r="B128" t="s">
        <v>149</v>
      </c>
      <c r="C128" s="9">
        <v>43661</v>
      </c>
      <c r="D128" t="s">
        <v>392</v>
      </c>
      <c r="E128">
        <v>52.890999999999998</v>
      </c>
      <c r="F128">
        <v>72.025999999999996</v>
      </c>
    </row>
    <row r="129" spans="1:6" x14ac:dyDescent="0.25">
      <c r="A129" t="str">
        <f t="shared" si="1"/>
        <v>W57A43655</v>
      </c>
      <c r="B129" t="s">
        <v>128</v>
      </c>
      <c r="C129" s="9">
        <v>43655</v>
      </c>
      <c r="D129" t="s">
        <v>393</v>
      </c>
      <c r="E129">
        <v>23.696999999999999</v>
      </c>
      <c r="F129">
        <v>32.822000000000003</v>
      </c>
    </row>
    <row r="130" spans="1:6" x14ac:dyDescent="0.25">
      <c r="A130" t="str">
        <f t="shared" ref="A130:A136" si="2">B130&amp;C130</f>
        <v>W57B43655</v>
      </c>
      <c r="B130" t="s">
        <v>131</v>
      </c>
      <c r="C130" s="9">
        <v>43655</v>
      </c>
      <c r="D130" t="s">
        <v>394</v>
      </c>
      <c r="E130">
        <v>30.8</v>
      </c>
      <c r="F130">
        <v>55.133000000000003</v>
      </c>
    </row>
    <row r="131" spans="1:6" x14ac:dyDescent="0.25">
      <c r="A131" t="str">
        <f t="shared" si="2"/>
        <v>W61B43641</v>
      </c>
      <c r="B131" t="s">
        <v>104</v>
      </c>
      <c r="C131" s="9">
        <v>43641</v>
      </c>
      <c r="D131" t="s">
        <v>395</v>
      </c>
      <c r="E131">
        <v>28.535</v>
      </c>
      <c r="F131">
        <v>61.155999999999999</v>
      </c>
    </row>
    <row r="132" spans="1:6" x14ac:dyDescent="0.25">
      <c r="A132" t="str">
        <f t="shared" si="2"/>
        <v>W6543658</v>
      </c>
      <c r="B132" t="s">
        <v>142</v>
      </c>
      <c r="C132" s="9">
        <v>43658</v>
      </c>
      <c r="D132" t="s">
        <v>396</v>
      </c>
      <c r="E132">
        <v>108.27500000000001</v>
      </c>
      <c r="F132">
        <v>37.725999999999999</v>
      </c>
    </row>
    <row r="133" spans="1:6" x14ac:dyDescent="0.25">
      <c r="A133" t="str">
        <f t="shared" si="2"/>
        <v>W7543640</v>
      </c>
      <c r="B133" t="s">
        <v>97</v>
      </c>
      <c r="C133" s="9">
        <v>43640</v>
      </c>
      <c r="D133" t="s">
        <v>397</v>
      </c>
      <c r="E133">
        <v>56.526000000000003</v>
      </c>
      <c r="F133">
        <v>26.352</v>
      </c>
    </row>
    <row r="134" spans="1:6" x14ac:dyDescent="0.25">
      <c r="A134" t="str">
        <f t="shared" si="2"/>
        <v>W7643651</v>
      </c>
      <c r="B134" t="s">
        <v>126</v>
      </c>
      <c r="C134" s="9">
        <v>43651</v>
      </c>
      <c r="D134" t="s">
        <v>398</v>
      </c>
      <c r="E134">
        <v>64.988</v>
      </c>
      <c r="F134">
        <v>32.652000000000001</v>
      </c>
    </row>
    <row r="135" spans="1:6" x14ac:dyDescent="0.25">
      <c r="A135" t="str">
        <f t="shared" si="2"/>
        <v>W8E43657</v>
      </c>
      <c r="B135" t="s">
        <v>144</v>
      </c>
      <c r="C135" s="9">
        <v>43657</v>
      </c>
      <c r="D135" t="s">
        <v>399</v>
      </c>
      <c r="E135">
        <v>18.353000000000002</v>
      </c>
      <c r="F135">
        <v>31.241</v>
      </c>
    </row>
    <row r="136" spans="1:6" x14ac:dyDescent="0.25">
      <c r="A136" t="str">
        <f t="shared" si="2"/>
        <v>W8G43657</v>
      </c>
      <c r="B136" t="s">
        <v>138</v>
      </c>
      <c r="C136" s="9">
        <v>43657</v>
      </c>
      <c r="D136" t="s">
        <v>400</v>
      </c>
      <c r="E136">
        <v>25.484000000000002</v>
      </c>
      <c r="F136">
        <v>31.225999999999999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1"/>
  <sheetViews>
    <sheetView workbookViewId="0">
      <selection activeCell="R22" sqref="R22"/>
    </sheetView>
  </sheetViews>
  <sheetFormatPr defaultColWidth="8.85546875" defaultRowHeight="15" x14ac:dyDescent="0.25"/>
  <cols>
    <col min="4" max="4" width="14.7109375" style="17" bestFit="1" customWidth="1"/>
    <col min="5" max="5" width="18" style="17" bestFit="1" customWidth="1"/>
    <col min="6" max="6" width="13.42578125" style="17" bestFit="1" customWidth="1"/>
    <col min="7" max="7" width="16.7109375" style="17" bestFit="1" customWidth="1"/>
    <col min="8" max="8" width="14.42578125" style="17" bestFit="1" customWidth="1"/>
    <col min="9" max="9" width="13.7109375" style="17" bestFit="1" customWidth="1"/>
    <col min="10" max="10" width="13.42578125" style="17" bestFit="1" customWidth="1"/>
    <col min="11" max="11" width="16.42578125" style="17" bestFit="1" customWidth="1"/>
    <col min="12" max="12" width="15" style="17" bestFit="1" customWidth="1"/>
    <col min="13" max="13" width="18.28515625" style="17" bestFit="1" customWidth="1"/>
    <col min="14" max="14" width="13.85546875" style="17" bestFit="1" customWidth="1"/>
    <col min="15" max="15" width="17" style="17" bestFit="1" customWidth="1"/>
  </cols>
  <sheetData>
    <row r="1" spans="1:15" x14ac:dyDescent="0.25">
      <c r="A1" t="s">
        <v>182</v>
      </c>
      <c r="B1" t="s">
        <v>0</v>
      </c>
      <c r="C1" t="s">
        <v>163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  <c r="L1" s="17" t="s">
        <v>159</v>
      </c>
      <c r="M1" s="17" t="s">
        <v>160</v>
      </c>
      <c r="N1" s="17" t="s">
        <v>161</v>
      </c>
      <c r="O1" s="17" t="s">
        <v>162</v>
      </c>
    </row>
    <row r="2" spans="1:15" x14ac:dyDescent="0.25">
      <c r="A2" t="s">
        <v>109</v>
      </c>
      <c r="B2" t="s">
        <v>168</v>
      </c>
      <c r="C2" t="s">
        <v>164</v>
      </c>
      <c r="D2" s="17">
        <v>472.03684140000001</v>
      </c>
      <c r="E2" s="17">
        <v>19.849181770000001</v>
      </c>
      <c r="F2" s="17">
        <v>16.81822515</v>
      </c>
      <c r="G2" s="17">
        <v>0.70720752899999995</v>
      </c>
      <c r="H2" s="17">
        <v>34.431787970000002</v>
      </c>
      <c r="I2" s="17">
        <v>0.22553960300000001</v>
      </c>
      <c r="J2" s="17">
        <v>4.8973304000000002E-2</v>
      </c>
      <c r="K2" s="17">
        <v>3.2079100000000001E-4</v>
      </c>
      <c r="L2" s="17">
        <v>0.30457672400000002</v>
      </c>
      <c r="M2" s="17">
        <v>1.280062E-3</v>
      </c>
      <c r="N2" s="17">
        <v>7.9735235529999997</v>
      </c>
      <c r="O2" s="17">
        <v>3.3510788999999999E-2</v>
      </c>
    </row>
    <row r="3" spans="1:15" x14ac:dyDescent="0.25">
      <c r="A3" t="s">
        <v>99</v>
      </c>
      <c r="B3" t="s">
        <v>169</v>
      </c>
      <c r="C3" t="s">
        <v>164</v>
      </c>
      <c r="D3" s="17">
        <v>384.07984629999999</v>
      </c>
      <c r="E3" s="17">
        <v>4.2853192</v>
      </c>
      <c r="F3" s="17">
        <v>14.748988389999999</v>
      </c>
      <c r="G3" s="17">
        <v>0.16455985300000001</v>
      </c>
      <c r="H3" s="17">
        <v>61.050888399999998</v>
      </c>
      <c r="I3" s="17">
        <v>0.37448646600000002</v>
      </c>
      <c r="J3" s="17">
        <v>9.0484266999999993E-2</v>
      </c>
      <c r="K3" s="17">
        <v>5.5503099999999999E-4</v>
      </c>
      <c r="L3" s="17">
        <v>0.350170643</v>
      </c>
      <c r="M3" s="17">
        <v>7.9660799999999997E-4</v>
      </c>
      <c r="N3" s="17">
        <v>9.9051242819999992</v>
      </c>
      <c r="O3" s="17">
        <v>2.2533291E-2</v>
      </c>
    </row>
    <row r="4" spans="1:15" x14ac:dyDescent="0.25">
      <c r="A4" t="s">
        <v>93</v>
      </c>
      <c r="B4">
        <v>20</v>
      </c>
      <c r="C4" t="s">
        <v>164</v>
      </c>
      <c r="D4" s="17">
        <v>838.38427449999995</v>
      </c>
      <c r="E4" s="17">
        <v>140.18203080000001</v>
      </c>
      <c r="F4" s="17">
        <v>32.995436069999997</v>
      </c>
      <c r="G4" s="17">
        <v>5.5170014209999998</v>
      </c>
      <c r="H4" s="17">
        <v>235.33840670000001</v>
      </c>
      <c r="I4" s="17">
        <v>30.685047239999999</v>
      </c>
      <c r="J4" s="17">
        <v>0.356307918</v>
      </c>
      <c r="K4" s="17">
        <v>4.6457888000000003E-2</v>
      </c>
      <c r="L4" s="17">
        <v>0.29107672600000001</v>
      </c>
      <c r="M4" s="17">
        <v>1.811525E-3</v>
      </c>
      <c r="N4" s="17">
        <v>8.4682952240000002</v>
      </c>
      <c r="O4" s="17">
        <v>5.2702692000000002E-2</v>
      </c>
    </row>
    <row r="5" spans="1:15" x14ac:dyDescent="0.25">
      <c r="A5" t="s">
        <v>122</v>
      </c>
      <c r="B5" t="s">
        <v>170</v>
      </c>
      <c r="C5" t="s">
        <v>164</v>
      </c>
      <c r="D5" s="17">
        <v>865.10347839999997</v>
      </c>
      <c r="E5" s="17">
        <v>6.0561380079999996</v>
      </c>
      <c r="F5" s="17">
        <v>31.7240438</v>
      </c>
      <c r="G5" s="17">
        <v>0.222083476</v>
      </c>
      <c r="H5" s="17">
        <v>487.1281482</v>
      </c>
      <c r="I5" s="17">
        <v>4.9510101869999996</v>
      </c>
      <c r="J5" s="17">
        <v>0.69686179000000004</v>
      </c>
      <c r="K5" s="17">
        <v>7.0826739999999997E-3</v>
      </c>
      <c r="L5" s="17">
        <v>0.28125207299999999</v>
      </c>
      <c r="M5" s="17">
        <v>6.8422600000000002E-4</v>
      </c>
      <c r="N5" s="17">
        <v>7.5758871670000003</v>
      </c>
      <c r="O5" s="17">
        <v>1.8430504E-2</v>
      </c>
    </row>
    <row r="6" spans="1:15" x14ac:dyDescent="0.25">
      <c r="A6" t="s">
        <v>113</v>
      </c>
      <c r="B6" t="s">
        <v>171</v>
      </c>
      <c r="C6" t="s">
        <v>164</v>
      </c>
      <c r="D6" s="17">
        <v>129.59199269999999</v>
      </c>
      <c r="E6" s="17">
        <v>10.730920859999999</v>
      </c>
      <c r="F6" s="17">
        <v>4.818073161</v>
      </c>
      <c r="G6" s="17">
        <v>0.39896262700000001</v>
      </c>
      <c r="H6" s="17">
        <v>815.09120610000002</v>
      </c>
      <c r="I6" s="17">
        <v>5.0120969210000004</v>
      </c>
      <c r="J6" s="17">
        <v>1.1843976409999999</v>
      </c>
      <c r="K6" s="17">
        <v>7.2830079999999997E-3</v>
      </c>
      <c r="L6" s="17">
        <v>0.28868375899999998</v>
      </c>
      <c r="M6" s="17">
        <v>6.7106999999999996E-4</v>
      </c>
      <c r="N6" s="17">
        <v>7.909646253</v>
      </c>
      <c r="O6" s="17">
        <v>1.8386632999999999E-2</v>
      </c>
    </row>
    <row r="7" spans="1:15" x14ac:dyDescent="0.25">
      <c r="A7" t="s">
        <v>118</v>
      </c>
      <c r="B7" t="s">
        <v>172</v>
      </c>
      <c r="C7" t="s">
        <v>164</v>
      </c>
      <c r="D7" s="17">
        <v>807.33933260000003</v>
      </c>
      <c r="E7" s="17">
        <v>9.3760125900000002</v>
      </c>
      <c r="F7" s="17">
        <v>30.58655284</v>
      </c>
      <c r="G7" s="17">
        <v>0.35521606999999999</v>
      </c>
      <c r="H7" s="17">
        <v>3998.3268069999999</v>
      </c>
      <c r="I7" s="17">
        <v>8.4991832029999994</v>
      </c>
      <c r="J7" s="17">
        <v>5.8993962370000004</v>
      </c>
      <c r="K7" s="17">
        <v>1.2540258E-2</v>
      </c>
      <c r="L7" s="17">
        <v>0.173919238</v>
      </c>
      <c r="M7" s="17">
        <v>2.574121E-3</v>
      </c>
      <c r="N7" s="17">
        <v>4.8632329649999999</v>
      </c>
      <c r="O7" s="17">
        <v>7.1979099000000005E-2</v>
      </c>
    </row>
    <row r="8" spans="1:15" x14ac:dyDescent="0.25">
      <c r="A8" t="s">
        <v>133</v>
      </c>
      <c r="B8" t="s">
        <v>173</v>
      </c>
      <c r="C8" t="s">
        <v>164</v>
      </c>
      <c r="D8" s="17">
        <v>292.91955519999999</v>
      </c>
      <c r="E8" s="17">
        <v>13.652372829999999</v>
      </c>
      <c r="F8" s="17">
        <v>9.6083709699999993</v>
      </c>
      <c r="G8" s="17">
        <v>0.44782623900000001</v>
      </c>
      <c r="H8" s="17">
        <v>574.27054450000003</v>
      </c>
      <c r="I8" s="17">
        <v>53.967030979999997</v>
      </c>
      <c r="J8" s="17">
        <v>0.76828577799999997</v>
      </c>
      <c r="K8" s="17">
        <v>7.2199598000000004E-2</v>
      </c>
      <c r="L8" s="17">
        <v>0.29082874399999997</v>
      </c>
      <c r="M8" s="17">
        <v>3.1314200000000002E-3</v>
      </c>
      <c r="N8" s="17">
        <v>6.99170377</v>
      </c>
      <c r="O8" s="17">
        <v>7.5281288000000002E-2</v>
      </c>
    </row>
    <row r="9" spans="1:15" x14ac:dyDescent="0.25">
      <c r="A9" t="s">
        <v>106</v>
      </c>
      <c r="B9">
        <v>5</v>
      </c>
      <c r="C9" t="s">
        <v>164</v>
      </c>
      <c r="D9" s="17">
        <v>429.06282040000002</v>
      </c>
      <c r="E9" s="17">
        <v>2.4001805489999999</v>
      </c>
      <c r="F9" s="17">
        <v>13.58122779</v>
      </c>
      <c r="G9" s="17">
        <v>7.5973487000000006E-2</v>
      </c>
      <c r="H9" s="17">
        <v>1.696779928</v>
      </c>
      <c r="I9" s="17">
        <v>2.5701462000000001E-2</v>
      </c>
      <c r="J9" s="17">
        <v>2.225192E-3</v>
      </c>
      <c r="K9" s="17">
        <v>3.3699999999999999E-5</v>
      </c>
      <c r="L9" s="17">
        <v>0.30669016500000001</v>
      </c>
      <c r="M9" s="17">
        <v>5.6369899999999997E-4</v>
      </c>
      <c r="N9" s="17">
        <v>7.0829869739999998</v>
      </c>
      <c r="O9" s="17">
        <v>1.3018584999999999E-2</v>
      </c>
    </row>
    <row r="10" spans="1:15" x14ac:dyDescent="0.25">
      <c r="A10" t="s">
        <v>89</v>
      </c>
      <c r="B10">
        <v>52</v>
      </c>
      <c r="C10" t="s">
        <v>164</v>
      </c>
      <c r="D10" s="17">
        <v>270.08859769999998</v>
      </c>
      <c r="E10" s="17">
        <v>6.6005856319999996</v>
      </c>
      <c r="F10" s="17">
        <v>10.891368480000001</v>
      </c>
      <c r="G10" s="17">
        <v>0.26616973399999999</v>
      </c>
      <c r="H10" s="17">
        <v>1083.830451</v>
      </c>
      <c r="I10" s="17">
        <v>31.893882189999999</v>
      </c>
      <c r="J10" s="17">
        <v>1.6708476779999999</v>
      </c>
      <c r="K10" s="17">
        <v>4.9168040000000003E-2</v>
      </c>
      <c r="L10" s="17">
        <v>0.26701517899999999</v>
      </c>
      <c r="M10" s="17">
        <v>2.8161190000000002E-3</v>
      </c>
      <c r="N10" s="17">
        <v>7.9686732039999999</v>
      </c>
      <c r="O10" s="17">
        <v>8.4042906000000001E-2</v>
      </c>
    </row>
    <row r="11" spans="1:15" x14ac:dyDescent="0.25">
      <c r="A11" t="s">
        <v>82</v>
      </c>
      <c r="B11" t="s">
        <v>174</v>
      </c>
      <c r="C11" t="s">
        <v>164</v>
      </c>
      <c r="D11" s="17">
        <v>241.7546414</v>
      </c>
      <c r="E11" s="17">
        <v>18.107817000000001</v>
      </c>
      <c r="F11" s="17">
        <v>8.9812044879999995</v>
      </c>
      <c r="G11" s="17">
        <v>0.67270686599999996</v>
      </c>
      <c r="H11" s="17">
        <v>92.998156019999996</v>
      </c>
      <c r="I11" s="17">
        <v>0.45447185200000001</v>
      </c>
      <c r="J11" s="17">
        <v>0.134399505</v>
      </c>
      <c r="K11" s="17">
        <v>6.5679599999999996E-4</v>
      </c>
      <c r="L11" s="17">
        <v>0.296283674</v>
      </c>
      <c r="M11" s="17">
        <v>2.3860790000000002E-3</v>
      </c>
      <c r="N11" s="17">
        <v>8.1094537310000003</v>
      </c>
      <c r="O11" s="17">
        <v>6.5308359999999996E-2</v>
      </c>
    </row>
    <row r="12" spans="1:15" x14ac:dyDescent="0.25">
      <c r="A12" t="s">
        <v>86</v>
      </c>
      <c r="B12" t="s">
        <v>175</v>
      </c>
      <c r="C12" t="s">
        <v>164</v>
      </c>
      <c r="D12" s="17">
        <v>697.33740339999997</v>
      </c>
      <c r="E12" s="17">
        <v>2.1388396369999998</v>
      </c>
      <c r="F12" s="17">
        <v>26.660833140000001</v>
      </c>
      <c r="G12" s="17">
        <v>8.1772820999999996E-2</v>
      </c>
      <c r="H12" s="17">
        <v>146.6691088</v>
      </c>
      <c r="I12" s="17">
        <v>1.651268156</v>
      </c>
      <c r="J12" s="17">
        <v>0.21635564500000001</v>
      </c>
      <c r="K12" s="17">
        <v>2.4358309999999998E-3</v>
      </c>
      <c r="L12" s="17">
        <v>0.27545199999999997</v>
      </c>
      <c r="M12" s="17">
        <v>1.9008409999999999E-3</v>
      </c>
      <c r="N12" s="17">
        <v>7.7827501159999999</v>
      </c>
      <c r="O12" s="17">
        <v>5.3707260999999999E-2</v>
      </c>
    </row>
    <row r="13" spans="1:15" x14ac:dyDescent="0.25">
      <c r="A13" t="s">
        <v>146</v>
      </c>
      <c r="B13" t="s">
        <v>176</v>
      </c>
      <c r="C13" t="s">
        <v>164</v>
      </c>
      <c r="D13" s="17">
        <v>829.4872173</v>
      </c>
      <c r="E13" s="17">
        <v>10.80438448</v>
      </c>
      <c r="F13" s="17">
        <v>27.123569979999999</v>
      </c>
      <c r="G13" s="17">
        <v>0.35329474900000002</v>
      </c>
      <c r="H13" s="17">
        <v>163.9279118</v>
      </c>
      <c r="I13" s="17">
        <v>1.088672174</v>
      </c>
      <c r="J13" s="17">
        <v>0.21678855299999999</v>
      </c>
      <c r="K13" s="17">
        <v>1.4397279999999999E-3</v>
      </c>
      <c r="L13" s="17">
        <v>0.263281926</v>
      </c>
      <c r="M13" s="17">
        <v>2.698546E-3</v>
      </c>
      <c r="N13" s="17">
        <v>6.3100143070000003</v>
      </c>
      <c r="O13" s="17">
        <v>6.4675397999999995E-2</v>
      </c>
    </row>
    <row r="14" spans="1:15" x14ac:dyDescent="0.25">
      <c r="A14" t="s">
        <v>127</v>
      </c>
      <c r="B14" t="s">
        <v>177</v>
      </c>
      <c r="C14" t="s">
        <v>164</v>
      </c>
      <c r="D14" s="17">
        <v>62.707006380000003</v>
      </c>
      <c r="E14" s="17">
        <v>16.13942346</v>
      </c>
      <c r="F14" s="17">
        <v>2.0450264680000001</v>
      </c>
      <c r="G14" s="17">
        <v>0.52634546000000004</v>
      </c>
      <c r="H14" s="17">
        <v>3910.3388570000002</v>
      </c>
      <c r="I14" s="17">
        <v>27.58385676</v>
      </c>
      <c r="J14" s="17">
        <v>5.2028601610000003</v>
      </c>
      <c r="K14" s="17">
        <v>3.6701409999999997E-2</v>
      </c>
      <c r="L14" s="17">
        <v>0.27061196799999998</v>
      </c>
      <c r="M14" s="17">
        <v>3.4196949999999999E-3</v>
      </c>
      <c r="N14" s="17">
        <v>6.46978235</v>
      </c>
      <c r="O14" s="17">
        <v>8.1757967000000001E-2</v>
      </c>
    </row>
    <row r="15" spans="1:15" x14ac:dyDescent="0.25">
      <c r="A15" t="s">
        <v>129</v>
      </c>
      <c r="B15" t="s">
        <v>178</v>
      </c>
      <c r="C15" t="s">
        <v>164</v>
      </c>
      <c r="D15" s="17">
        <v>184.6511118</v>
      </c>
      <c r="E15" s="17">
        <v>7.6108803470000002</v>
      </c>
      <c r="F15" s="17">
        <v>6.4590527350000002</v>
      </c>
      <c r="G15" s="17">
        <v>0.26622681599999998</v>
      </c>
      <c r="H15" s="17">
        <v>1227.37418</v>
      </c>
      <c r="I15" s="17">
        <v>17.12454932</v>
      </c>
      <c r="J15" s="17">
        <v>1.712073516</v>
      </c>
      <c r="K15" s="17">
        <v>2.3887162999999999E-2</v>
      </c>
      <c r="L15" s="17">
        <v>0.27035982400000003</v>
      </c>
      <c r="M15" s="17">
        <v>2.244195E-3</v>
      </c>
      <c r="N15" s="17">
        <v>6.9548603890000003</v>
      </c>
      <c r="O15" s="17">
        <v>5.7730699000000003E-2</v>
      </c>
    </row>
    <row r="16" spans="1:15" x14ac:dyDescent="0.25">
      <c r="A16" t="s">
        <v>103</v>
      </c>
      <c r="B16" t="s">
        <v>179</v>
      </c>
      <c r="C16" t="s">
        <v>164</v>
      </c>
      <c r="D16" s="17">
        <v>1231.329937</v>
      </c>
      <c r="E16" s="17">
        <v>13.25784359</v>
      </c>
      <c r="F16" s="17">
        <v>47.739886439999999</v>
      </c>
      <c r="G16" s="17">
        <v>0.51401978299999995</v>
      </c>
      <c r="H16" s="17">
        <v>124.51703879999999</v>
      </c>
      <c r="I16" s="17">
        <v>1.0178550609999999</v>
      </c>
      <c r="J16" s="17">
        <v>0.185229433</v>
      </c>
      <c r="K16" s="17">
        <v>1.514144E-3</v>
      </c>
      <c r="L16" s="17">
        <v>0.454841092</v>
      </c>
      <c r="M16" s="17">
        <v>2.6636239999999999E-3</v>
      </c>
      <c r="N16" s="17">
        <v>13.008339879999999</v>
      </c>
      <c r="O16" s="17">
        <v>7.6178966000000001E-2</v>
      </c>
    </row>
    <row r="17" spans="1:15" x14ac:dyDescent="0.25">
      <c r="A17" t="s">
        <v>140</v>
      </c>
      <c r="B17">
        <v>65</v>
      </c>
      <c r="C17" t="s">
        <v>164</v>
      </c>
      <c r="D17" s="17">
        <v>1085.780624</v>
      </c>
      <c r="E17" s="17">
        <v>9.21099347</v>
      </c>
      <c r="F17" s="17">
        <v>37.592379979999997</v>
      </c>
      <c r="G17" s="17">
        <v>0.31890711500000002</v>
      </c>
      <c r="H17" s="17">
        <v>1326.203677</v>
      </c>
      <c r="I17" s="17">
        <v>12.531495809999999</v>
      </c>
      <c r="J17" s="17">
        <v>1.849523282</v>
      </c>
      <c r="K17" s="17">
        <v>1.7476420999999999E-2</v>
      </c>
      <c r="L17" s="17">
        <v>0.51807945899999996</v>
      </c>
      <c r="M17" s="17">
        <v>2.5605839999999999E-3</v>
      </c>
      <c r="N17" s="17">
        <v>13.17247691</v>
      </c>
      <c r="O17" s="17">
        <v>6.5104352000000004E-2</v>
      </c>
    </row>
    <row r="18" spans="1:15" x14ac:dyDescent="0.25">
      <c r="A18" t="s">
        <v>96</v>
      </c>
      <c r="B18">
        <v>75</v>
      </c>
      <c r="C18" t="s">
        <v>164</v>
      </c>
      <c r="D18" s="17">
        <v>5853.4782160000004</v>
      </c>
      <c r="E18" s="17">
        <v>139.8469499</v>
      </c>
      <c r="F18" s="17">
        <v>207.5398587</v>
      </c>
      <c r="G18" s="17">
        <v>4.9583880149999997</v>
      </c>
      <c r="H18" s="17">
        <v>1906.662112</v>
      </c>
      <c r="I18" s="17">
        <v>108.8375314</v>
      </c>
      <c r="J18" s="17">
        <v>2.683931276</v>
      </c>
      <c r="K18" s="17">
        <v>0.15320619899999999</v>
      </c>
      <c r="L18" s="17">
        <v>0.48876588999999998</v>
      </c>
      <c r="M18" s="17">
        <v>4.1646269999999997E-3</v>
      </c>
      <c r="N18" s="17">
        <v>12.754332359999999</v>
      </c>
      <c r="O18" s="17">
        <v>0.108675835</v>
      </c>
    </row>
    <row r="19" spans="1:15" x14ac:dyDescent="0.25">
      <c r="A19" t="s">
        <v>125</v>
      </c>
      <c r="B19">
        <v>76</v>
      </c>
      <c r="C19" t="s">
        <v>164</v>
      </c>
      <c r="D19" s="17">
        <v>133.61873499999999</v>
      </c>
      <c r="E19" s="17">
        <v>78.43151417</v>
      </c>
      <c r="F19" s="17">
        <v>4.8488612570000003</v>
      </c>
      <c r="G19" s="17">
        <v>2.8461841859999999</v>
      </c>
      <c r="H19" s="17">
        <v>536.49914620000004</v>
      </c>
      <c r="I19" s="17">
        <v>155.47115909999999</v>
      </c>
      <c r="J19" s="17">
        <v>0.77502884299999997</v>
      </c>
      <c r="K19" s="17">
        <v>0.22459426699999999</v>
      </c>
      <c r="L19" s="17">
        <v>0.293619401</v>
      </c>
      <c r="M19" s="17">
        <v>5.0957620000000002E-3</v>
      </c>
      <c r="N19" s="17">
        <v>7.8385264479999996</v>
      </c>
      <c r="O19" s="17">
        <v>0.136037567</v>
      </c>
    </row>
    <row r="20" spans="1:15" x14ac:dyDescent="0.25">
      <c r="A20" t="s">
        <v>143</v>
      </c>
      <c r="B20" t="s">
        <v>180</v>
      </c>
      <c r="C20" t="s">
        <v>164</v>
      </c>
      <c r="D20" s="17">
        <v>418.14168549999999</v>
      </c>
      <c r="E20" s="17">
        <v>6.3989412300000001</v>
      </c>
      <c r="F20" s="17">
        <v>13.12400081</v>
      </c>
      <c r="G20" s="17">
        <v>0.19840476400000001</v>
      </c>
      <c r="H20" s="17">
        <v>1.567474203</v>
      </c>
      <c r="I20" s="17">
        <v>5.372673E-2</v>
      </c>
      <c r="J20" s="17">
        <v>2.0433729999999998E-3</v>
      </c>
      <c r="K20" s="17">
        <v>6.9900000000000005E-5</v>
      </c>
      <c r="L20" s="17">
        <v>0.30123502499999999</v>
      </c>
      <c r="M20" s="17">
        <v>3.2988589999999999E-3</v>
      </c>
      <c r="N20" s="17">
        <v>6.910579867</v>
      </c>
      <c r="O20" s="17">
        <v>7.5678552999999996E-2</v>
      </c>
    </row>
    <row r="21" spans="1:15" x14ac:dyDescent="0.25">
      <c r="A21" t="s">
        <v>136</v>
      </c>
      <c r="B21" t="s">
        <v>181</v>
      </c>
      <c r="C21" t="s">
        <v>164</v>
      </c>
      <c r="D21" s="17">
        <v>1603.8696179999999</v>
      </c>
      <c r="E21" s="17">
        <v>688.26853489999996</v>
      </c>
      <c r="F21" s="17">
        <v>54.213114019999999</v>
      </c>
      <c r="G21" s="17">
        <v>23.26447246</v>
      </c>
      <c r="H21" s="17">
        <v>1833.029348</v>
      </c>
      <c r="I21" s="17">
        <v>1057.41814</v>
      </c>
      <c r="J21" s="17">
        <v>2.511567372</v>
      </c>
      <c r="K21" s="17">
        <v>1.4488458150000001</v>
      </c>
      <c r="L21" s="17">
        <v>0.31280507000000002</v>
      </c>
      <c r="M21" s="17">
        <v>1.77545E-3</v>
      </c>
      <c r="N21" s="17">
        <v>7.746502854</v>
      </c>
      <c r="O21" s="17">
        <v>4.3968360999999997E-2</v>
      </c>
    </row>
    <row r="22" spans="1:15" x14ac:dyDescent="0.25">
      <c r="A22" t="s">
        <v>111</v>
      </c>
      <c r="B22" t="s">
        <v>168</v>
      </c>
      <c r="C22" t="s">
        <v>165</v>
      </c>
      <c r="D22" s="17">
        <v>209.4233351</v>
      </c>
      <c r="E22" s="17">
        <v>65.982404000000002</v>
      </c>
      <c r="F22" s="17">
        <v>7.5950938749999999</v>
      </c>
      <c r="G22" s="17">
        <v>2.3929642420000001</v>
      </c>
      <c r="H22" s="17">
        <v>105.2165234</v>
      </c>
      <c r="I22" s="17">
        <v>34.618841080000003</v>
      </c>
      <c r="J22" s="17">
        <v>0.15124533000000001</v>
      </c>
      <c r="K22" s="17">
        <v>4.9763457999999997E-2</v>
      </c>
      <c r="L22" s="17">
        <v>0.272930491</v>
      </c>
      <c r="M22" s="17">
        <v>1.2965838E-2</v>
      </c>
      <c r="N22" s="17">
        <v>7.2789072299999997</v>
      </c>
      <c r="O22" s="17">
        <v>0.34579182800000002</v>
      </c>
    </row>
    <row r="23" spans="1:15" x14ac:dyDescent="0.25">
      <c r="A23" t="s">
        <v>100</v>
      </c>
      <c r="B23" t="s">
        <v>169</v>
      </c>
      <c r="C23" t="s">
        <v>165</v>
      </c>
      <c r="D23" s="17">
        <v>168.87762960000001</v>
      </c>
      <c r="E23" s="17">
        <v>3.420941054</v>
      </c>
      <c r="F23" s="17">
        <v>6.0914059810000003</v>
      </c>
      <c r="G23" s="17">
        <v>0.123393139</v>
      </c>
      <c r="H23" s="17">
        <v>443.460262</v>
      </c>
      <c r="I23" s="17">
        <v>33.63830857</v>
      </c>
      <c r="J23" s="17">
        <v>0.629192851</v>
      </c>
      <c r="K23" s="17">
        <v>4.7726899000000003E-2</v>
      </c>
      <c r="L23" s="17">
        <v>0.18375791</v>
      </c>
      <c r="M23" s="17">
        <v>5.1381899999999999E-3</v>
      </c>
      <c r="N23" s="17">
        <v>4.8944570880000002</v>
      </c>
      <c r="O23" s="17">
        <v>0.13685752500000001</v>
      </c>
    </row>
    <row r="24" spans="1:15" x14ac:dyDescent="0.25">
      <c r="A24" t="s">
        <v>94</v>
      </c>
      <c r="B24">
        <v>20</v>
      </c>
      <c r="C24" t="s">
        <v>165</v>
      </c>
      <c r="D24" s="17">
        <v>160.63138609999999</v>
      </c>
      <c r="E24" s="17">
        <v>51.360338239999997</v>
      </c>
      <c r="F24" s="17">
        <v>6.229092101</v>
      </c>
      <c r="G24" s="17">
        <v>1.9916921910000001</v>
      </c>
      <c r="H24" s="17">
        <v>88.339253720000002</v>
      </c>
      <c r="I24" s="17">
        <v>2.0613637640000002</v>
      </c>
      <c r="J24" s="17">
        <v>0.132437889</v>
      </c>
      <c r="K24" s="17">
        <v>3.0903889999999998E-3</v>
      </c>
      <c r="L24" s="17">
        <v>0.27686277399999998</v>
      </c>
      <c r="M24" s="17">
        <v>2.7705719999999998E-3</v>
      </c>
      <c r="N24" s="17">
        <v>7.9214955829999996</v>
      </c>
      <c r="O24" s="17">
        <v>7.9270591000000001E-2</v>
      </c>
    </row>
    <row r="25" spans="1:15" x14ac:dyDescent="0.25">
      <c r="A25" t="s">
        <v>123</v>
      </c>
      <c r="B25" t="s">
        <v>170</v>
      </c>
      <c r="C25" t="s">
        <v>165</v>
      </c>
      <c r="D25" s="17">
        <v>328.36818099999999</v>
      </c>
      <c r="E25" s="17">
        <v>7.011415145</v>
      </c>
      <c r="F25" s="17">
        <v>5.4854670409999997</v>
      </c>
      <c r="G25" s="17">
        <v>0.117127325</v>
      </c>
      <c r="H25" s="17">
        <v>179.0522216</v>
      </c>
      <c r="I25" s="17">
        <v>0.79259128400000001</v>
      </c>
      <c r="J25" s="17">
        <v>8.7518952999999997E-2</v>
      </c>
      <c r="K25" s="17">
        <v>3.8741099999999999E-4</v>
      </c>
      <c r="L25" s="17">
        <v>0.27757935099999997</v>
      </c>
      <c r="M25" s="17">
        <v>1.265045E-3</v>
      </c>
      <c r="N25" s="17">
        <v>7.2813740290000002</v>
      </c>
      <c r="O25" s="17">
        <v>3.3184269000000002E-2</v>
      </c>
    </row>
    <row r="26" spans="1:15" x14ac:dyDescent="0.25">
      <c r="A26" t="s">
        <v>116</v>
      </c>
      <c r="B26" t="s">
        <v>171</v>
      </c>
      <c r="C26" t="s">
        <v>165</v>
      </c>
      <c r="D26" s="17">
        <v>727.84134280000001</v>
      </c>
      <c r="E26" s="17">
        <v>8.9967157980000003</v>
      </c>
      <c r="F26" s="17">
        <v>22.148769089999998</v>
      </c>
      <c r="G26" s="17">
        <v>0.27377694699999999</v>
      </c>
      <c r="H26" s="17">
        <v>51.936416479999998</v>
      </c>
      <c r="I26" s="17">
        <v>2.2996571920000002</v>
      </c>
      <c r="J26" s="17">
        <v>6.4167510999999997E-2</v>
      </c>
      <c r="K26" s="17">
        <v>2.8412289999999998E-3</v>
      </c>
      <c r="L26" s="17">
        <v>0.20075257799999999</v>
      </c>
      <c r="M26" s="17">
        <v>1.1010200000000001E-3</v>
      </c>
      <c r="N26" s="17">
        <v>4.5801804859999997</v>
      </c>
      <c r="O26" s="17">
        <v>2.5119826000000001E-2</v>
      </c>
    </row>
    <row r="27" spans="1:15" x14ac:dyDescent="0.25">
      <c r="A27" t="s">
        <v>120</v>
      </c>
      <c r="B27" t="s">
        <v>172</v>
      </c>
      <c r="C27" t="s">
        <v>165</v>
      </c>
      <c r="D27" s="17">
        <v>127.727074</v>
      </c>
      <c r="E27" s="17">
        <v>6.8809860360000004</v>
      </c>
      <c r="F27" s="17">
        <v>4.5926830949999999</v>
      </c>
      <c r="G27" s="17">
        <v>0.24741965199999999</v>
      </c>
      <c r="H27" s="17">
        <v>650.94149379999999</v>
      </c>
      <c r="I27" s="17">
        <v>19.107613319999999</v>
      </c>
      <c r="J27" s="17">
        <v>0.92669048799999998</v>
      </c>
      <c r="K27" s="17">
        <v>2.7201896999999999E-2</v>
      </c>
      <c r="L27" s="17">
        <v>0.24333246</v>
      </c>
      <c r="M27" s="17">
        <v>1.016365E-3</v>
      </c>
      <c r="N27" s="17">
        <v>6.4327613530000001</v>
      </c>
      <c r="O27" s="17">
        <v>2.6868733999999998E-2</v>
      </c>
    </row>
    <row r="28" spans="1:15" x14ac:dyDescent="0.25">
      <c r="A28" t="s">
        <v>134</v>
      </c>
      <c r="B28" t="s">
        <v>173</v>
      </c>
      <c r="C28" t="s">
        <v>165</v>
      </c>
      <c r="D28" s="17">
        <v>60.095326450000002</v>
      </c>
      <c r="E28" s="17">
        <v>7.1620430979999998</v>
      </c>
      <c r="F28" s="17">
        <v>1.9790098119999999</v>
      </c>
      <c r="G28" s="17">
        <v>0.23585450599999999</v>
      </c>
      <c r="H28" s="17">
        <v>1742.0091930000001</v>
      </c>
      <c r="I28" s="17">
        <v>105.6254282</v>
      </c>
      <c r="J28" s="17">
        <v>2.3381972119999999</v>
      </c>
      <c r="K28" s="17">
        <v>0.14177484400000001</v>
      </c>
      <c r="L28" s="17">
        <v>0.236696978</v>
      </c>
      <c r="M28" s="17">
        <v>2.7323009999999999E-3</v>
      </c>
      <c r="N28" s="17">
        <v>5.706972951</v>
      </c>
      <c r="O28" s="17">
        <v>6.5878193000000002E-2</v>
      </c>
    </row>
    <row r="29" spans="1:15" x14ac:dyDescent="0.25">
      <c r="A29" t="s">
        <v>107</v>
      </c>
      <c r="B29">
        <v>5</v>
      </c>
      <c r="C29" t="s">
        <v>165</v>
      </c>
      <c r="D29" s="17">
        <v>2125.9940190000002</v>
      </c>
      <c r="E29" s="17">
        <v>17.579755030000001</v>
      </c>
      <c r="F29" s="17">
        <v>65.445229190000006</v>
      </c>
      <c r="G29" s="17">
        <v>0.54116384500000003</v>
      </c>
      <c r="H29" s="17">
        <v>2589.9803940000002</v>
      </c>
      <c r="I29" s="17">
        <v>5.1236320940000004</v>
      </c>
      <c r="J29" s="17">
        <v>3.3509553250000002</v>
      </c>
      <c r="K29" s="17">
        <v>6.629032E-3</v>
      </c>
      <c r="L29" s="17">
        <v>0.21825691799999999</v>
      </c>
      <c r="M29" s="17">
        <v>1.190764E-3</v>
      </c>
      <c r="N29" s="17">
        <v>4.8981302470000001</v>
      </c>
      <c r="O29" s="17">
        <v>2.6723173999999999E-2</v>
      </c>
    </row>
    <row r="30" spans="1:15" x14ac:dyDescent="0.25">
      <c r="A30" t="s">
        <v>91</v>
      </c>
      <c r="B30">
        <v>52</v>
      </c>
      <c r="C30" t="s">
        <v>165</v>
      </c>
      <c r="D30" s="17">
        <v>85.684995470000004</v>
      </c>
      <c r="E30" s="17">
        <v>3.2843362759999999</v>
      </c>
      <c r="F30" s="17">
        <v>3.48193872</v>
      </c>
      <c r="G30" s="17">
        <v>0.133463946</v>
      </c>
      <c r="H30" s="17">
        <v>200.24286140000001</v>
      </c>
      <c r="I30" s="17">
        <v>3.4725533830000002</v>
      </c>
      <c r="J30" s="17">
        <v>0.31065868299999999</v>
      </c>
      <c r="K30" s="17">
        <v>5.3873519999999998E-3</v>
      </c>
      <c r="L30" s="17">
        <v>0.27025758700000002</v>
      </c>
      <c r="M30" s="17">
        <v>2.804754E-3</v>
      </c>
      <c r="N30" s="17">
        <v>8.1208573489999996</v>
      </c>
      <c r="O30" s="17">
        <v>8.4278884999999998E-2</v>
      </c>
    </row>
    <row r="31" spans="1:15" x14ac:dyDescent="0.25">
      <c r="A31" t="s">
        <v>85</v>
      </c>
      <c r="B31" t="s">
        <v>174</v>
      </c>
      <c r="C31" t="s">
        <v>165</v>
      </c>
      <c r="D31" s="17">
        <v>178.1507684</v>
      </c>
      <c r="E31" s="17">
        <v>77.895888499999998</v>
      </c>
      <c r="F31" s="17">
        <v>6.5875747609999999</v>
      </c>
      <c r="G31" s="17">
        <v>2.8803972830000002</v>
      </c>
      <c r="H31" s="17">
        <v>173.7286939</v>
      </c>
      <c r="I31" s="17">
        <v>57.34925964</v>
      </c>
      <c r="J31" s="17">
        <v>0.24809726800000001</v>
      </c>
      <c r="K31" s="17">
        <v>8.1898932999999993E-2</v>
      </c>
      <c r="L31" s="17">
        <v>0.29047516600000001</v>
      </c>
      <c r="M31" s="17">
        <v>5.8301969999999996E-3</v>
      </c>
      <c r="N31" s="17">
        <v>7.9971379300000001</v>
      </c>
      <c r="O31" s="17">
        <v>0.16051246899999999</v>
      </c>
    </row>
    <row r="32" spans="1:15" x14ac:dyDescent="0.25">
      <c r="A32" t="s">
        <v>87</v>
      </c>
      <c r="B32" t="s">
        <v>175</v>
      </c>
      <c r="C32" t="s">
        <v>165</v>
      </c>
      <c r="D32" s="17">
        <v>993.3488231</v>
      </c>
      <c r="E32" s="17">
        <v>3.72196806</v>
      </c>
      <c r="F32" s="17">
        <v>36.598993749999998</v>
      </c>
      <c r="G32" s="17">
        <v>0.137132377</v>
      </c>
      <c r="H32" s="17">
        <v>87.126341850000003</v>
      </c>
      <c r="I32" s="17">
        <v>0.38138381999999998</v>
      </c>
      <c r="J32" s="17">
        <v>0.12213354</v>
      </c>
      <c r="K32" s="17">
        <v>5.3462300000000002E-4</v>
      </c>
      <c r="L32" s="17">
        <v>0.37046441499999999</v>
      </c>
      <c r="M32" s="17">
        <v>1.838751E-3</v>
      </c>
      <c r="N32" s="17">
        <v>10.330811130000001</v>
      </c>
      <c r="O32" s="17">
        <v>5.1275608E-2</v>
      </c>
    </row>
    <row r="33" spans="1:15" x14ac:dyDescent="0.25">
      <c r="A33" t="s">
        <v>149</v>
      </c>
      <c r="B33" t="s">
        <v>176</v>
      </c>
      <c r="C33" t="s">
        <v>165</v>
      </c>
      <c r="D33" s="17">
        <v>97.446549020000006</v>
      </c>
      <c r="E33" s="17">
        <v>4.5639723679999999</v>
      </c>
      <c r="F33" s="17">
        <v>2.9281662700000002</v>
      </c>
      <c r="G33" s="17">
        <v>0.13714256799999999</v>
      </c>
      <c r="H33" s="17">
        <v>148.53908730000001</v>
      </c>
      <c r="I33" s="17">
        <v>0.55815459700000003</v>
      </c>
      <c r="J33" s="17">
        <v>0.17712720400000001</v>
      </c>
      <c r="K33" s="17">
        <v>6.65578E-4</v>
      </c>
      <c r="L33" s="17">
        <v>0.2697329</v>
      </c>
      <c r="M33" s="17">
        <v>1.501973E-3</v>
      </c>
      <c r="N33" s="17">
        <v>6.2470101009999999</v>
      </c>
      <c r="O33" s="17">
        <v>3.4785682999999998E-2</v>
      </c>
    </row>
    <row r="34" spans="1:15" x14ac:dyDescent="0.25">
      <c r="A34" t="s">
        <v>128</v>
      </c>
      <c r="B34" t="s">
        <v>177</v>
      </c>
      <c r="C34" t="s">
        <v>165</v>
      </c>
      <c r="D34" s="17">
        <v>3206.5658060000001</v>
      </c>
      <c r="E34" s="17">
        <v>394.03747329999999</v>
      </c>
      <c r="F34" s="17">
        <v>109.985373</v>
      </c>
      <c r="G34" s="17">
        <v>13.515505709999999</v>
      </c>
      <c r="H34" s="17">
        <v>2288.3752690000001</v>
      </c>
      <c r="I34" s="17">
        <v>10.3043409</v>
      </c>
      <c r="J34" s="17">
        <v>3.1509361949999999</v>
      </c>
      <c r="K34" s="17">
        <v>1.4188371999999999E-2</v>
      </c>
      <c r="L34" s="17">
        <v>0.22252375999999999</v>
      </c>
      <c r="M34" s="17">
        <v>1.591807E-3</v>
      </c>
      <c r="N34" s="17">
        <v>5.6067236029999998</v>
      </c>
      <c r="O34" s="17">
        <v>4.0107278000000003E-2</v>
      </c>
    </row>
    <row r="35" spans="1:15" x14ac:dyDescent="0.25">
      <c r="A35" t="s">
        <v>131</v>
      </c>
      <c r="B35" t="s">
        <v>178</v>
      </c>
      <c r="C35" t="s">
        <v>165</v>
      </c>
      <c r="D35" s="17">
        <v>59.66911623</v>
      </c>
      <c r="E35" s="17">
        <v>2.0423841760000001</v>
      </c>
      <c r="F35" s="17">
        <v>2.0766543660000001</v>
      </c>
      <c r="G35" s="17">
        <v>7.1080757999999994E-2</v>
      </c>
      <c r="H35" s="17">
        <v>4204.0894550000003</v>
      </c>
      <c r="I35" s="17">
        <v>463.70345680000003</v>
      </c>
      <c r="J35" s="17">
        <v>5.8469235570000002</v>
      </c>
      <c r="K35" s="17">
        <v>0.64490508400000002</v>
      </c>
      <c r="L35" s="17">
        <v>0.204588521</v>
      </c>
      <c r="M35" s="17">
        <v>8.9311299999999996E-4</v>
      </c>
      <c r="N35" s="17">
        <v>5.2323768150000003</v>
      </c>
      <c r="O35" s="17">
        <v>2.2841470999999999E-2</v>
      </c>
    </row>
    <row r="36" spans="1:15" x14ac:dyDescent="0.25">
      <c r="A36" t="s">
        <v>104</v>
      </c>
      <c r="B36" t="s">
        <v>179</v>
      </c>
      <c r="C36" t="s">
        <v>165</v>
      </c>
      <c r="D36" s="17">
        <v>64.512575040000002</v>
      </c>
      <c r="E36" s="17">
        <v>8.0196769149999998</v>
      </c>
      <c r="F36" s="17">
        <v>1.4867119120000001</v>
      </c>
      <c r="G36" s="17">
        <v>0.18481589400000001</v>
      </c>
      <c r="H36" s="17">
        <v>69.845750010000003</v>
      </c>
      <c r="I36" s="17">
        <v>0.368027365</v>
      </c>
      <c r="J36" s="17">
        <v>5.5622156999999998E-2</v>
      </c>
      <c r="K36" s="17">
        <v>2.9308099999999999E-4</v>
      </c>
      <c r="L36" s="17">
        <v>0.29945845900000001</v>
      </c>
      <c r="M36" s="17">
        <v>1.399785E-3</v>
      </c>
      <c r="N36" s="17">
        <v>7.2662369670000002</v>
      </c>
      <c r="O36" s="17">
        <v>3.3965215E-2</v>
      </c>
    </row>
    <row r="37" spans="1:15" x14ac:dyDescent="0.25">
      <c r="A37" t="s">
        <v>142</v>
      </c>
      <c r="B37">
        <v>65</v>
      </c>
      <c r="C37" t="s">
        <v>165</v>
      </c>
      <c r="D37" s="17">
        <v>9612.1042240000006</v>
      </c>
      <c r="E37" s="17">
        <v>70.197126999999995</v>
      </c>
      <c r="F37" s="17">
        <v>402.49821279999998</v>
      </c>
      <c r="G37" s="17">
        <v>2.93944151</v>
      </c>
      <c r="H37" s="17">
        <v>3037.265112</v>
      </c>
      <c r="I37" s="17">
        <v>40.439807049999999</v>
      </c>
      <c r="J37" s="17">
        <v>4.8343159289999997</v>
      </c>
      <c r="K37" s="17">
        <v>6.4366723000000001E-2</v>
      </c>
      <c r="L37" s="17">
        <v>0.112153317</v>
      </c>
      <c r="M37" s="17">
        <v>4.6643769999999999E-3</v>
      </c>
      <c r="N37" s="17">
        <v>3.4759191610000002</v>
      </c>
      <c r="O37" s="17">
        <v>0.14456103000000001</v>
      </c>
    </row>
    <row r="38" spans="1:15" x14ac:dyDescent="0.25">
      <c r="A38" t="s">
        <v>97</v>
      </c>
      <c r="B38">
        <v>75</v>
      </c>
      <c r="C38" t="s">
        <v>165</v>
      </c>
      <c r="D38" s="17">
        <v>226.229859</v>
      </c>
      <c r="E38" s="17">
        <v>48.164011090000002</v>
      </c>
      <c r="F38" s="17">
        <v>8.0970088459999996</v>
      </c>
      <c r="G38" s="17">
        <v>1.7238415199999999</v>
      </c>
      <c r="H38" s="17">
        <v>622.82165410000005</v>
      </c>
      <c r="I38" s="17">
        <v>12.64461595</v>
      </c>
      <c r="J38" s="17">
        <v>0.88272448400000003</v>
      </c>
      <c r="K38" s="17">
        <v>1.7921201000000001E-2</v>
      </c>
      <c r="L38" s="17">
        <v>0.22861483799999999</v>
      </c>
      <c r="M38" s="17">
        <v>2.3157109999999998E-3</v>
      </c>
      <c r="N38" s="17">
        <v>6.0191200140000003</v>
      </c>
      <c r="O38" s="17">
        <v>6.0969554000000002E-2</v>
      </c>
    </row>
    <row r="39" spans="1:15" x14ac:dyDescent="0.25">
      <c r="A39" t="s">
        <v>126</v>
      </c>
      <c r="B39">
        <v>76</v>
      </c>
      <c r="C39" t="s">
        <v>165</v>
      </c>
      <c r="D39" s="17">
        <v>1416.801704</v>
      </c>
      <c r="E39" s="17">
        <v>201.09621050000001</v>
      </c>
      <c r="F39" s="17">
        <v>53.275210700000002</v>
      </c>
      <c r="G39" s="17">
        <v>7.5617095550000002</v>
      </c>
      <c r="H39" s="17">
        <v>905.01969010000005</v>
      </c>
      <c r="I39" s="17">
        <v>1.4047062930000001</v>
      </c>
      <c r="J39" s="17">
        <v>1.3401815589999999</v>
      </c>
      <c r="K39" s="17">
        <v>2.0801330000000001E-3</v>
      </c>
      <c r="L39" s="17">
        <v>0.203338202</v>
      </c>
      <c r="M39" s="17">
        <v>1.671095E-3</v>
      </c>
      <c r="N39" s="17">
        <v>5.6273954020000003</v>
      </c>
      <c r="O39" s="17">
        <v>4.6247636000000002E-2</v>
      </c>
    </row>
    <row r="40" spans="1:15" x14ac:dyDescent="0.25">
      <c r="A40" t="s">
        <v>144</v>
      </c>
      <c r="B40" t="s">
        <v>180</v>
      </c>
      <c r="C40" t="s">
        <v>165</v>
      </c>
      <c r="D40" s="17">
        <v>75.550339059999999</v>
      </c>
      <c r="E40" s="17">
        <v>17.40646435</v>
      </c>
      <c r="F40" s="17">
        <v>2.3601863220000001</v>
      </c>
      <c r="G40" s="17">
        <v>0.54377650200000005</v>
      </c>
      <c r="H40" s="17">
        <v>729.67322149999995</v>
      </c>
      <c r="I40" s="17">
        <v>14.59230307</v>
      </c>
      <c r="J40" s="17">
        <v>0.94876770499999996</v>
      </c>
      <c r="K40" s="17">
        <v>1.8973844E-2</v>
      </c>
      <c r="L40" s="17">
        <v>0.22987237199999999</v>
      </c>
      <c r="M40" s="17">
        <v>4.0274250000000003E-3</v>
      </c>
      <c r="N40" s="17">
        <v>5.2444945699999996</v>
      </c>
      <c r="O40" s="17">
        <v>9.1884930000000004E-2</v>
      </c>
    </row>
    <row r="41" spans="1:15" x14ac:dyDescent="0.25">
      <c r="A41" t="s">
        <v>138</v>
      </c>
      <c r="B41" t="s">
        <v>181</v>
      </c>
      <c r="C41" t="s">
        <v>165</v>
      </c>
      <c r="D41" s="17">
        <v>77.064478440000002</v>
      </c>
      <c r="E41" s="17">
        <v>9.7070303570000007</v>
      </c>
      <c r="F41" s="17">
        <v>2.614341182</v>
      </c>
      <c r="G41" s="17">
        <v>0.32930203000000002</v>
      </c>
      <c r="H41" s="17">
        <v>1944.04493</v>
      </c>
      <c r="I41" s="17">
        <v>78.875291160000003</v>
      </c>
      <c r="J41" s="17">
        <v>2.6715543859999999</v>
      </c>
      <c r="K41" s="17">
        <v>0.108392366</v>
      </c>
      <c r="L41" s="17">
        <v>0.21441706399999999</v>
      </c>
      <c r="M41" s="17">
        <v>8.5717400000000004E-4</v>
      </c>
      <c r="N41" s="17">
        <v>5.3354088669999999</v>
      </c>
      <c r="O41" s="17">
        <v>2.1329341000000002E-2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1"/>
  <sheetViews>
    <sheetView workbookViewId="0">
      <selection activeCell="B1" sqref="B1:B1048576"/>
    </sheetView>
  </sheetViews>
  <sheetFormatPr defaultRowHeight="15" x14ac:dyDescent="0.25"/>
  <sheetData>
    <row r="1" spans="1:25" x14ac:dyDescent="0.25">
      <c r="A1" t="s">
        <v>0</v>
      </c>
      <c r="B1" t="s">
        <v>426</v>
      </c>
      <c r="C1" t="s">
        <v>427</v>
      </c>
      <c r="D1" t="s">
        <v>428</v>
      </c>
      <c r="E1" t="s">
        <v>429</v>
      </c>
      <c r="F1" t="s">
        <v>430</v>
      </c>
      <c r="G1" t="s">
        <v>431</v>
      </c>
      <c r="H1" t="s">
        <v>432</v>
      </c>
      <c r="I1" t="s">
        <v>433</v>
      </c>
      <c r="J1" t="s">
        <v>434</v>
      </c>
      <c r="K1" t="s">
        <v>435</v>
      </c>
      <c r="L1" t="s">
        <v>436</v>
      </c>
      <c r="M1" t="s">
        <v>437</v>
      </c>
      <c r="N1" t="s">
        <v>438</v>
      </c>
      <c r="O1" t="s">
        <v>439</v>
      </c>
      <c r="P1" t="s">
        <v>440</v>
      </c>
      <c r="Q1" t="s">
        <v>441</v>
      </c>
      <c r="R1" t="s">
        <v>442</v>
      </c>
      <c r="S1" t="s">
        <v>443</v>
      </c>
      <c r="T1" t="s">
        <v>444</v>
      </c>
      <c r="U1" t="s">
        <v>445</v>
      </c>
      <c r="V1" t="s">
        <v>446</v>
      </c>
      <c r="W1" t="s">
        <v>447</v>
      </c>
      <c r="X1" t="s">
        <v>448</v>
      </c>
      <c r="Y1" t="s">
        <v>449</v>
      </c>
    </row>
    <row r="2" spans="1:25" x14ac:dyDescent="0.25">
      <c r="A2" t="s">
        <v>109</v>
      </c>
      <c r="B2">
        <v>5.1681465360000001</v>
      </c>
      <c r="C2">
        <v>1.740271025</v>
      </c>
      <c r="D2">
        <v>7.8019411449999998</v>
      </c>
      <c r="E2">
        <v>2.6271492150000002</v>
      </c>
      <c r="F2">
        <v>1.105622831</v>
      </c>
      <c r="G2">
        <v>0.37229659900000001</v>
      </c>
      <c r="H2">
        <v>1.777585202</v>
      </c>
      <c r="I2">
        <v>0.59856662299999996</v>
      </c>
      <c r="J2">
        <v>0.111823982</v>
      </c>
      <c r="K2">
        <v>7.7451400000000002E-4</v>
      </c>
      <c r="L2">
        <v>0.16881180100000001</v>
      </c>
      <c r="M2">
        <v>1.1692219999999999E-3</v>
      </c>
      <c r="N2">
        <v>2.3922531E-2</v>
      </c>
      <c r="O2">
        <v>1.65692E-4</v>
      </c>
      <c r="P2">
        <v>3.9953746999999998E-2</v>
      </c>
      <c r="Q2">
        <v>2.76727E-4</v>
      </c>
      <c r="R2">
        <v>-1.7614755040000001</v>
      </c>
      <c r="S2">
        <v>8.0161267999999994E-2</v>
      </c>
      <c r="T2">
        <v>-2.659159936</v>
      </c>
      <c r="U2">
        <v>0.12101311200000001</v>
      </c>
      <c r="V2">
        <v>-0.37683287799999998</v>
      </c>
      <c r="W2">
        <v>1.7148918999999999E-2</v>
      </c>
      <c r="X2">
        <v>-0.64113929599999997</v>
      </c>
      <c r="Y2">
        <v>2.9176982000000001E-2</v>
      </c>
    </row>
    <row r="3" spans="1:25" x14ac:dyDescent="0.25">
      <c r="A3" t="s">
        <v>99</v>
      </c>
      <c r="B3">
        <v>-2.4415635849999999</v>
      </c>
      <c r="C3">
        <v>0.36066266400000002</v>
      </c>
      <c r="D3">
        <v>-3.6858350010000001</v>
      </c>
      <c r="E3">
        <v>0.54446383399999998</v>
      </c>
      <c r="F3">
        <v>-0.52232428500000005</v>
      </c>
      <c r="G3">
        <v>7.7156649999999993E-2</v>
      </c>
      <c r="H3">
        <v>-0.94608501</v>
      </c>
      <c r="I3">
        <v>0.13975369800000001</v>
      </c>
      <c r="J3">
        <v>0.18926110400000001</v>
      </c>
      <c r="K3">
        <v>1.1975810000000001E-3</v>
      </c>
      <c r="L3">
        <v>0.28571248599999999</v>
      </c>
      <c r="M3">
        <v>1.8078930000000001E-3</v>
      </c>
      <c r="N3">
        <v>4.0488674000000002E-2</v>
      </c>
      <c r="O3">
        <v>2.5619899999999998E-4</v>
      </c>
      <c r="P3">
        <v>7.5666362000000001E-2</v>
      </c>
      <c r="Q3">
        <v>4.78791E-4</v>
      </c>
      <c r="R3">
        <v>1.0524695019999999</v>
      </c>
      <c r="S3">
        <v>4.8003110000000002E-2</v>
      </c>
      <c r="T3">
        <v>1.588829778</v>
      </c>
      <c r="U3">
        <v>7.2466489999999995E-2</v>
      </c>
      <c r="V3">
        <v>0.22515505399999999</v>
      </c>
      <c r="W3">
        <v>1.0269317E-2</v>
      </c>
      <c r="X3">
        <v>0.43165495399999998</v>
      </c>
      <c r="Y3">
        <v>1.9687772999999999E-2</v>
      </c>
    </row>
    <row r="4" spans="1:25" x14ac:dyDescent="0.25">
      <c r="A4" t="s">
        <v>93</v>
      </c>
      <c r="B4">
        <v>35.797746629999999</v>
      </c>
      <c r="C4">
        <v>11.799361340000001</v>
      </c>
      <c r="D4">
        <v>54.041020379999999</v>
      </c>
      <c r="E4">
        <v>17.812560470000001</v>
      </c>
      <c r="F4">
        <v>7.6582205400000003</v>
      </c>
      <c r="G4">
        <v>2.5242402070000001</v>
      </c>
      <c r="H4">
        <v>14.22497879</v>
      </c>
      <c r="I4">
        <v>4.6887215150000001</v>
      </c>
      <c r="J4">
        <v>0.74480274899999999</v>
      </c>
      <c r="K4">
        <v>9.7889725999999996E-2</v>
      </c>
      <c r="L4">
        <v>1.1243696700000001</v>
      </c>
      <c r="M4">
        <v>0.147776359</v>
      </c>
      <c r="N4">
        <v>0.15933583100000001</v>
      </c>
      <c r="O4">
        <v>2.0941573000000002E-2</v>
      </c>
      <c r="P4">
        <v>0.30492478000000001</v>
      </c>
      <c r="Q4">
        <v>4.0076386999999998E-2</v>
      </c>
      <c r="R4">
        <v>-2.5170823339999999</v>
      </c>
      <c r="S4">
        <v>0.109535099</v>
      </c>
      <c r="T4">
        <v>-3.7998396699999999</v>
      </c>
      <c r="U4">
        <v>0.16535645600000001</v>
      </c>
      <c r="V4">
        <v>-0.53848002900000003</v>
      </c>
      <c r="W4">
        <v>2.3432870000000001E-2</v>
      </c>
      <c r="X4">
        <v>-1.059163861</v>
      </c>
      <c r="Y4">
        <v>4.6091308999999997E-2</v>
      </c>
    </row>
    <row r="5" spans="1:25" x14ac:dyDescent="0.25">
      <c r="A5" t="s">
        <v>122</v>
      </c>
      <c r="B5">
        <v>37.993803200000002</v>
      </c>
      <c r="C5">
        <v>0.50904613799999998</v>
      </c>
      <c r="D5">
        <v>57.356232910000003</v>
      </c>
      <c r="E5">
        <v>0.76846660300000003</v>
      </c>
      <c r="F5">
        <v>8.1280234510000007</v>
      </c>
      <c r="G5">
        <v>0.108900363</v>
      </c>
      <c r="H5">
        <v>14.058574610000001</v>
      </c>
      <c r="I5">
        <v>0.18835869299999999</v>
      </c>
      <c r="J5">
        <v>1.56443979</v>
      </c>
      <c r="K5">
        <v>1.5961675000000002E-2</v>
      </c>
      <c r="L5">
        <v>2.3617107380000002</v>
      </c>
      <c r="M5">
        <v>2.4096076000000001E-2</v>
      </c>
      <c r="N5">
        <v>0.33468098000000002</v>
      </c>
      <c r="O5">
        <v>3.4146850000000002E-3</v>
      </c>
      <c r="P5">
        <v>0.59883438</v>
      </c>
      <c r="Q5">
        <v>6.1097909999999998E-3</v>
      </c>
      <c r="R5">
        <v>-3.0884994890000002</v>
      </c>
      <c r="S5">
        <v>4.1071153999999999E-2</v>
      </c>
      <c r="T5">
        <v>-4.662462852</v>
      </c>
      <c r="U5">
        <v>6.2001865000000003E-2</v>
      </c>
      <c r="V5">
        <v>-0.660723438</v>
      </c>
      <c r="W5">
        <v>8.7863620000000007E-3</v>
      </c>
      <c r="X5">
        <v>-1.2090896099999999</v>
      </c>
      <c r="Y5">
        <v>1.6078585999999999E-2</v>
      </c>
    </row>
    <row r="6" spans="1:25" x14ac:dyDescent="0.25">
      <c r="A6" t="s">
        <v>113</v>
      </c>
      <c r="B6">
        <v>-23.994547799999999</v>
      </c>
      <c r="C6">
        <v>0.90823775500000004</v>
      </c>
      <c r="D6">
        <v>-36.222666760000003</v>
      </c>
      <c r="E6">
        <v>1.371094542</v>
      </c>
      <c r="F6">
        <v>-5.1331593790000003</v>
      </c>
      <c r="G6">
        <v>0.194299521</v>
      </c>
      <c r="H6">
        <v>-8.9413205389999995</v>
      </c>
      <c r="I6">
        <v>0.33844542300000002</v>
      </c>
      <c r="J6">
        <v>2.6454253159999999</v>
      </c>
      <c r="K6">
        <v>1.6304424000000001E-2</v>
      </c>
      <c r="L6">
        <v>3.9935888959999999</v>
      </c>
      <c r="M6">
        <v>2.4613495999999999E-2</v>
      </c>
      <c r="N6">
        <v>0.56593647400000002</v>
      </c>
      <c r="O6">
        <v>3.4880089999999998E-3</v>
      </c>
      <c r="P6">
        <v>1.0193655070000001</v>
      </c>
      <c r="Q6">
        <v>6.2826069999999999E-3</v>
      </c>
      <c r="R6">
        <v>-2.6694171199999999</v>
      </c>
      <c r="S6">
        <v>4.0693184E-2</v>
      </c>
      <c r="T6">
        <v>-4.02980742</v>
      </c>
      <c r="U6">
        <v>6.1431273000000002E-2</v>
      </c>
      <c r="V6">
        <v>-0.57106904599999997</v>
      </c>
      <c r="W6">
        <v>8.7055029999999999E-3</v>
      </c>
      <c r="X6">
        <v>-1.0524495869999999</v>
      </c>
      <c r="Y6">
        <v>1.6043774E-2</v>
      </c>
    </row>
    <row r="7" spans="1:25" x14ac:dyDescent="0.25">
      <c r="A7" t="s">
        <v>118</v>
      </c>
      <c r="B7">
        <v>33.423077489999997</v>
      </c>
      <c r="C7">
        <v>0.79486550600000005</v>
      </c>
      <c r="D7">
        <v>50.456170630000003</v>
      </c>
      <c r="E7">
        <v>1.1999454460000001</v>
      </c>
      <c r="F7">
        <v>7.1502070020000001</v>
      </c>
      <c r="G7">
        <v>0.17004576900000001</v>
      </c>
      <c r="H7">
        <v>12.677113240000001</v>
      </c>
      <c r="I7">
        <v>0.30148630199999998</v>
      </c>
      <c r="J7">
        <v>12.982295669999999</v>
      </c>
      <c r="K7">
        <v>2.7609173000000001E-2</v>
      </c>
      <c r="L7">
        <v>19.59834266</v>
      </c>
      <c r="M7">
        <v>4.1679380000000002E-2</v>
      </c>
      <c r="N7">
        <v>2.7773056330000001</v>
      </c>
      <c r="O7">
        <v>5.9064369999999996E-3</v>
      </c>
      <c r="P7">
        <v>5.0866711970000003</v>
      </c>
      <c r="Q7">
        <v>1.0817716E-2</v>
      </c>
      <c r="R7">
        <v>-9.6586023910000005</v>
      </c>
      <c r="S7">
        <v>0.15657834200000001</v>
      </c>
      <c r="T7">
        <v>-14.58082639</v>
      </c>
      <c r="U7">
        <v>0.23637391099999999</v>
      </c>
      <c r="V7">
        <v>-2.066267131</v>
      </c>
      <c r="W7">
        <v>3.3496841999999999E-2</v>
      </c>
      <c r="X7">
        <v>-3.8764996790000001</v>
      </c>
      <c r="Y7">
        <v>6.2843035000000005E-2</v>
      </c>
    </row>
    <row r="8" spans="1:25" x14ac:dyDescent="0.25">
      <c r="A8" t="s">
        <v>133</v>
      </c>
      <c r="B8">
        <v>-10.46902764</v>
      </c>
      <c r="C8">
        <v>1.189369557</v>
      </c>
      <c r="D8">
        <v>-15.80426115</v>
      </c>
      <c r="E8">
        <v>1.7954969380000001</v>
      </c>
      <c r="F8">
        <v>-2.2396416000000001</v>
      </c>
      <c r="G8">
        <v>0.25444211500000002</v>
      </c>
      <c r="H8">
        <v>-3.3287250940000002</v>
      </c>
      <c r="I8">
        <v>0.37817115600000001</v>
      </c>
      <c r="J8">
        <v>1.9909689939999999</v>
      </c>
      <c r="K8">
        <v>0.18771190900000001</v>
      </c>
      <c r="L8">
        <v>3.0056080650000001</v>
      </c>
      <c r="M8">
        <v>0.28337378899999999</v>
      </c>
      <c r="N8">
        <v>0.42592847499999997</v>
      </c>
      <c r="O8">
        <v>4.0157254000000003E-2</v>
      </c>
      <c r="P8">
        <v>0.66059692299999995</v>
      </c>
      <c r="Q8">
        <v>6.2282190000000001E-2</v>
      </c>
      <c r="R8">
        <v>-2.5980936840000002</v>
      </c>
      <c r="S8">
        <v>0.19428009500000001</v>
      </c>
      <c r="T8">
        <v>-3.9221360829999998</v>
      </c>
      <c r="U8">
        <v>0.29328925900000002</v>
      </c>
      <c r="V8">
        <v>-0.55581080599999999</v>
      </c>
      <c r="W8">
        <v>4.1562386999999999E-2</v>
      </c>
      <c r="X8">
        <v>-0.87490001799999995</v>
      </c>
      <c r="Y8">
        <v>6.5423221000000004E-2</v>
      </c>
    </row>
    <row r="9" spans="1:25" x14ac:dyDescent="0.25">
      <c r="A9" t="s">
        <v>106</v>
      </c>
      <c r="B9">
        <v>1.4338983460000001</v>
      </c>
      <c r="C9">
        <v>0.21546695199999999</v>
      </c>
      <c r="D9">
        <v>2.1646426669999999</v>
      </c>
      <c r="E9">
        <v>0.32527337699999997</v>
      </c>
      <c r="F9">
        <v>0.30675421800000002</v>
      </c>
      <c r="G9">
        <v>4.6094897000000003E-2</v>
      </c>
      <c r="H9">
        <v>0.42608976900000001</v>
      </c>
      <c r="I9">
        <v>6.4027037999999994E-2</v>
      </c>
      <c r="J9">
        <v>-6.2386500000000003E-4</v>
      </c>
      <c r="K9" s="23">
        <v>9.3399999999999993E-5</v>
      </c>
      <c r="L9">
        <v>-9.4180000000000002E-4</v>
      </c>
      <c r="M9">
        <v>1.4098E-4</v>
      </c>
      <c r="N9">
        <v>-1.3346399999999999E-4</v>
      </c>
      <c r="O9" s="23">
        <v>2.0000000000000002E-5</v>
      </c>
      <c r="P9">
        <v>-1.94236E-4</v>
      </c>
      <c r="Q9" s="23">
        <v>2.9099999999999999E-5</v>
      </c>
      <c r="R9">
        <v>-1.655290822</v>
      </c>
      <c r="S9">
        <v>3.5867441999999999E-2</v>
      </c>
      <c r="T9">
        <v>-2.4988613380000002</v>
      </c>
      <c r="U9">
        <v>5.4146234000000001E-2</v>
      </c>
      <c r="V9">
        <v>-0.354116763</v>
      </c>
      <c r="W9">
        <v>7.6731300000000002E-3</v>
      </c>
      <c r="X9">
        <v>-0.52121990900000004</v>
      </c>
      <c r="Y9">
        <v>1.1293981999999999E-2</v>
      </c>
    </row>
    <row r="10" spans="1:25" x14ac:dyDescent="0.25">
      <c r="A10" t="s">
        <v>89</v>
      </c>
      <c r="B10">
        <v>-12.03212658</v>
      </c>
      <c r="C10">
        <v>0.555372749</v>
      </c>
      <c r="D10">
        <v>-18.163947709999999</v>
      </c>
      <c r="E10">
        <v>0.83840221400000003</v>
      </c>
      <c r="F10">
        <v>-2.574035732</v>
      </c>
      <c r="G10">
        <v>0.118811026</v>
      </c>
      <c r="H10">
        <v>-4.9043772050000003</v>
      </c>
      <c r="I10">
        <v>0.22637373599999999</v>
      </c>
      <c r="J10">
        <v>3.431244559</v>
      </c>
      <c r="K10">
        <v>0.10114561499999999</v>
      </c>
      <c r="L10">
        <v>5.1798779140000004</v>
      </c>
      <c r="M10">
        <v>0.152691517</v>
      </c>
      <c r="N10">
        <v>0.73404697299999999</v>
      </c>
      <c r="O10">
        <v>2.1638106000000001E-2</v>
      </c>
      <c r="P10">
        <v>1.438853599</v>
      </c>
      <c r="Q10">
        <v>4.2414269999999997E-2</v>
      </c>
      <c r="R10">
        <v>-3.9736853490000001</v>
      </c>
      <c r="S10">
        <v>0.17035166900000001</v>
      </c>
      <c r="T10">
        <v>-5.9987577759999997</v>
      </c>
      <c r="U10">
        <v>0.25716641099999998</v>
      </c>
      <c r="V10">
        <v>-0.85009146199999996</v>
      </c>
      <c r="W10">
        <v>3.6443374000000001E-2</v>
      </c>
      <c r="X10">
        <v>-1.716311352</v>
      </c>
      <c r="Y10">
        <v>7.3578171999999997E-2</v>
      </c>
    </row>
    <row r="11" spans="1:25" x14ac:dyDescent="0.25">
      <c r="A11" t="s">
        <v>82</v>
      </c>
      <c r="B11">
        <v>-14.29238994</v>
      </c>
      <c r="C11">
        <v>1.5105112190000001</v>
      </c>
      <c r="D11">
        <v>-21.576088120000001</v>
      </c>
      <c r="E11">
        <v>2.2802990489999999</v>
      </c>
      <c r="F11">
        <v>-3.0575744139999999</v>
      </c>
      <c r="G11">
        <v>0.32314402800000003</v>
      </c>
      <c r="H11">
        <v>-5.4017926300000001</v>
      </c>
      <c r="I11">
        <v>0.57089600900000004</v>
      </c>
      <c r="J11">
        <v>0.29092652800000002</v>
      </c>
      <c r="K11">
        <v>1.4508769999999999E-3</v>
      </c>
      <c r="L11">
        <v>0.43918871799999998</v>
      </c>
      <c r="M11">
        <v>2.190273E-3</v>
      </c>
      <c r="N11">
        <v>6.2237981999999997E-2</v>
      </c>
      <c r="O11">
        <v>3.1038600000000001E-4</v>
      </c>
      <c r="P11">
        <v>0.11360888</v>
      </c>
      <c r="Q11">
        <v>5.6657799999999998E-4</v>
      </c>
      <c r="R11">
        <v>-2.1760500569999999</v>
      </c>
      <c r="S11">
        <v>0.14256011099999999</v>
      </c>
      <c r="T11">
        <v>-3.2850102739999998</v>
      </c>
      <c r="U11">
        <v>0.21521169900000001</v>
      </c>
      <c r="V11">
        <v>-0.46552291200000001</v>
      </c>
      <c r="W11">
        <v>3.0497918999999998E-2</v>
      </c>
      <c r="X11">
        <v>-0.87024116600000001</v>
      </c>
      <c r="Y11">
        <v>5.7012327000000002E-2</v>
      </c>
    </row>
    <row r="12" spans="1:25" x14ac:dyDescent="0.25">
      <c r="A12" t="s">
        <v>86</v>
      </c>
      <c r="B12">
        <v>23.488090939999999</v>
      </c>
      <c r="C12">
        <v>0.176737797</v>
      </c>
      <c r="D12">
        <v>35.458108979999999</v>
      </c>
      <c r="E12">
        <v>0.26680704199999999</v>
      </c>
      <c r="F12">
        <v>5.0248129400000003</v>
      </c>
      <c r="G12">
        <v>3.7809559E-2</v>
      </c>
      <c r="H12">
        <v>9.2330342190000003</v>
      </c>
      <c r="I12">
        <v>6.9474617000000002E-2</v>
      </c>
      <c r="J12">
        <v>0.45468285899999999</v>
      </c>
      <c r="K12">
        <v>5.1850830000000001E-3</v>
      </c>
      <c r="L12">
        <v>0.68639866900000002</v>
      </c>
      <c r="M12">
        <v>7.8275089999999999E-3</v>
      </c>
      <c r="N12">
        <v>9.7270413E-2</v>
      </c>
      <c r="O12">
        <v>1.1092459999999999E-3</v>
      </c>
      <c r="P12">
        <v>0.18425918199999999</v>
      </c>
      <c r="Q12">
        <v>2.101243E-3</v>
      </c>
      <c r="R12">
        <v>-3.3979726170000002</v>
      </c>
      <c r="S12">
        <v>0.112815163</v>
      </c>
      <c r="T12">
        <v>-5.1296499019999997</v>
      </c>
      <c r="U12">
        <v>0.17030810800000001</v>
      </c>
      <c r="V12">
        <v>-0.72692909900000002</v>
      </c>
      <c r="W12">
        <v>2.4134574999999998E-2</v>
      </c>
      <c r="X12">
        <v>-1.4141275419999999</v>
      </c>
      <c r="Y12">
        <v>4.6950063E-2</v>
      </c>
    </row>
    <row r="13" spans="1:25" x14ac:dyDescent="0.25">
      <c r="A13" t="s">
        <v>146</v>
      </c>
      <c r="B13">
        <v>35.219419209999998</v>
      </c>
      <c r="C13">
        <v>0.91384891700000004</v>
      </c>
      <c r="D13">
        <v>53.167965330000001</v>
      </c>
      <c r="E13">
        <v>1.3795652700000001</v>
      </c>
      <c r="F13">
        <v>7.5344988170000002</v>
      </c>
      <c r="G13">
        <v>0.19549991899999999</v>
      </c>
      <c r="H13">
        <v>11.50716686</v>
      </c>
      <c r="I13">
        <v>0.29857993700000002</v>
      </c>
      <c r="J13">
        <v>0.54311190899999995</v>
      </c>
      <c r="K13">
        <v>3.6484809999999999E-3</v>
      </c>
      <c r="L13">
        <v>0.81989299599999999</v>
      </c>
      <c r="M13">
        <v>5.5078230000000002E-3</v>
      </c>
      <c r="N13">
        <v>0.116188061</v>
      </c>
      <c r="O13">
        <v>7.8052000000000004E-4</v>
      </c>
      <c r="P13">
        <v>0.18487869400000001</v>
      </c>
      <c r="Q13">
        <v>1.2419659999999999E-3</v>
      </c>
      <c r="R13">
        <v>-4.1826202229999998</v>
      </c>
      <c r="S13">
        <v>0.16258272700000001</v>
      </c>
      <c r="T13">
        <v>-6.3141701929999998</v>
      </c>
      <c r="U13">
        <v>0.24543825499999999</v>
      </c>
      <c r="V13">
        <v>-0.89478895000000003</v>
      </c>
      <c r="W13">
        <v>3.4781362000000003E-2</v>
      </c>
      <c r="X13">
        <v>-1.446899956</v>
      </c>
      <c r="Y13">
        <v>5.6242482000000003E-2</v>
      </c>
    </row>
    <row r="14" spans="1:25" x14ac:dyDescent="0.25">
      <c r="A14" t="s">
        <v>127</v>
      </c>
      <c r="B14">
        <v>-30.348215939999999</v>
      </c>
      <c r="C14">
        <v>1.3979066250000001</v>
      </c>
      <c r="D14">
        <v>-45.814295880000003</v>
      </c>
      <c r="E14">
        <v>2.1103088200000002</v>
      </c>
      <c r="F14">
        <v>-6.4924011300000002</v>
      </c>
      <c r="G14">
        <v>0.2990545</v>
      </c>
      <c r="H14">
        <v>-9.6494986340000004</v>
      </c>
      <c r="I14">
        <v>0.44447746500000002</v>
      </c>
      <c r="J14">
        <v>13.52046517</v>
      </c>
      <c r="K14">
        <v>9.5420085000000002E-2</v>
      </c>
      <c r="L14">
        <v>20.410774490000001</v>
      </c>
      <c r="M14">
        <v>0.14404813799999999</v>
      </c>
      <c r="N14">
        <v>2.8924363629999998</v>
      </c>
      <c r="O14">
        <v>2.0413242000000002E-2</v>
      </c>
      <c r="P14">
        <v>4.4860455960000003</v>
      </c>
      <c r="Q14">
        <v>3.1660068E-2</v>
      </c>
      <c r="R14">
        <v>-3.8311292360000002</v>
      </c>
      <c r="S14">
        <v>0.210994604</v>
      </c>
      <c r="T14">
        <v>-5.7835521129999998</v>
      </c>
      <c r="U14">
        <v>0.31852182800000001</v>
      </c>
      <c r="V14">
        <v>-0.819594398</v>
      </c>
      <c r="W14">
        <v>4.5138126000000001E-2</v>
      </c>
      <c r="X14">
        <v>-1.290120929</v>
      </c>
      <c r="Y14">
        <v>7.1051780999999994E-2</v>
      </c>
    </row>
    <row r="15" spans="1:25" x14ac:dyDescent="0.25">
      <c r="A15" t="s">
        <v>129</v>
      </c>
      <c r="B15">
        <v>-19.532080059999998</v>
      </c>
      <c r="C15">
        <v>0.65074876400000004</v>
      </c>
      <c r="D15">
        <v>-29.486032940000001</v>
      </c>
      <c r="E15">
        <v>0.98238382400000002</v>
      </c>
      <c r="F15">
        <v>-4.178502581</v>
      </c>
      <c r="G15">
        <v>0.13921484000000001</v>
      </c>
      <c r="H15">
        <v>-6.7645381489999998</v>
      </c>
      <c r="I15">
        <v>0.22537358199999999</v>
      </c>
      <c r="J15">
        <v>4.1005718770000001</v>
      </c>
      <c r="K15">
        <v>5.7299158000000003E-2</v>
      </c>
      <c r="L15">
        <v>6.1903083079999996</v>
      </c>
      <c r="M15">
        <v>8.6499996999999995E-2</v>
      </c>
      <c r="N15">
        <v>0.87723632699999998</v>
      </c>
      <c r="O15">
        <v>1.2258023E-2</v>
      </c>
      <c r="P15">
        <v>1.4746530790000001</v>
      </c>
      <c r="Q15">
        <v>2.0605999E-2</v>
      </c>
      <c r="R15">
        <v>-3.8109426420000001</v>
      </c>
      <c r="S15">
        <v>0.137179783</v>
      </c>
      <c r="T15">
        <v>-5.7530780110000004</v>
      </c>
      <c r="U15">
        <v>0.20708944400000001</v>
      </c>
      <c r="V15">
        <v>-0.81527587499999998</v>
      </c>
      <c r="W15">
        <v>2.9346904E-2</v>
      </c>
      <c r="X15">
        <v>-1.3966210290000001</v>
      </c>
      <c r="Y15">
        <v>5.0273170999999998E-2</v>
      </c>
    </row>
    <row r="16" spans="1:25" x14ac:dyDescent="0.25">
      <c r="A16" t="s">
        <v>103</v>
      </c>
      <c r="B16">
        <v>67.848932820000002</v>
      </c>
      <c r="C16">
        <v>1.099348123</v>
      </c>
      <c r="D16">
        <v>102.42615549999999</v>
      </c>
      <c r="E16">
        <v>1.6595987160000001</v>
      </c>
      <c r="F16">
        <v>14.51493851</v>
      </c>
      <c r="G16">
        <v>0.23518380799999999</v>
      </c>
      <c r="H16">
        <v>26.96118392</v>
      </c>
      <c r="I16">
        <v>0.43684883000000002</v>
      </c>
      <c r="J16">
        <v>0.38443359300000002</v>
      </c>
      <c r="K16">
        <v>3.1903980000000001E-3</v>
      </c>
      <c r="L16">
        <v>0.58034892100000002</v>
      </c>
      <c r="M16">
        <v>4.81629E-3</v>
      </c>
      <c r="N16">
        <v>8.2241970999999997E-2</v>
      </c>
      <c r="O16">
        <v>6.8252299999999998E-4</v>
      </c>
      <c r="P16">
        <v>0.157388421</v>
      </c>
      <c r="Q16">
        <v>1.30616E-3</v>
      </c>
      <c r="R16">
        <v>7.2598343300000003</v>
      </c>
      <c r="S16">
        <v>0.15832721899999999</v>
      </c>
      <c r="T16">
        <v>10.959596400000001</v>
      </c>
      <c r="U16">
        <v>0.23901405100000001</v>
      </c>
      <c r="V16">
        <v>1.553098103</v>
      </c>
      <c r="W16">
        <v>3.3870980000000002E-2</v>
      </c>
      <c r="X16">
        <v>3.0548679550000002</v>
      </c>
      <c r="Y16">
        <v>6.6622559999999997E-2</v>
      </c>
    </row>
    <row r="17" spans="1:25" x14ac:dyDescent="0.25">
      <c r="A17" t="s">
        <v>140</v>
      </c>
      <c r="B17">
        <v>59.057063200000002</v>
      </c>
      <c r="C17">
        <v>0.80865438599999995</v>
      </c>
      <c r="D17">
        <v>89.153766829999995</v>
      </c>
      <c r="E17">
        <v>1.220761424</v>
      </c>
      <c r="F17">
        <v>12.63409173</v>
      </c>
      <c r="G17">
        <v>0.17299562700000001</v>
      </c>
      <c r="H17">
        <v>19.69489724</v>
      </c>
      <c r="I17">
        <v>0.26967756500000001</v>
      </c>
      <c r="J17">
        <v>4.590899093</v>
      </c>
      <c r="K17">
        <v>4.3441291999999999E-2</v>
      </c>
      <c r="L17">
        <v>6.9305164389999998</v>
      </c>
      <c r="M17">
        <v>6.5579875999999995E-2</v>
      </c>
      <c r="N17">
        <v>0.98213214599999998</v>
      </c>
      <c r="O17">
        <v>9.2934060000000006E-3</v>
      </c>
      <c r="P17">
        <v>1.5932231059999999</v>
      </c>
      <c r="Q17">
        <v>1.5075842000000001E-2</v>
      </c>
      <c r="R17">
        <v>11.616245859999999</v>
      </c>
      <c r="S17">
        <v>0.16045558900000001</v>
      </c>
      <c r="T17">
        <v>17.53612554</v>
      </c>
      <c r="U17">
        <v>0.24222708300000001</v>
      </c>
      <c r="V17">
        <v>2.4850662680000002</v>
      </c>
      <c r="W17">
        <v>3.4326303000000002E-2</v>
      </c>
      <c r="X17">
        <v>4.100676311</v>
      </c>
      <c r="Y17">
        <v>5.6642777999999998E-2</v>
      </c>
    </row>
    <row r="18" spans="1:25" x14ac:dyDescent="0.25">
      <c r="A18" t="s">
        <v>96</v>
      </c>
      <c r="B18">
        <v>463.64375100000001</v>
      </c>
      <c r="C18">
        <v>11.91811354</v>
      </c>
      <c r="D18">
        <v>699.92621759999997</v>
      </c>
      <c r="E18">
        <v>17.991831250000001</v>
      </c>
      <c r="F18">
        <v>99.187419090000006</v>
      </c>
      <c r="G18">
        <v>2.549644893</v>
      </c>
      <c r="H18">
        <v>163.37396509999999</v>
      </c>
      <c r="I18">
        <v>4.1995809519999998</v>
      </c>
      <c r="J18">
        <v>6.3277446480000004</v>
      </c>
      <c r="K18">
        <v>0.36155943299999999</v>
      </c>
      <c r="L18">
        <v>9.5524944919999992</v>
      </c>
      <c r="M18">
        <v>0.54581761399999995</v>
      </c>
      <c r="N18">
        <v>1.353695933</v>
      </c>
      <c r="O18">
        <v>7.7348496000000003E-2</v>
      </c>
      <c r="P18">
        <v>2.3129949490000001</v>
      </c>
      <c r="Q18">
        <v>0.13216164499999999</v>
      </c>
      <c r="R18">
        <v>9.5162094929999999</v>
      </c>
      <c r="S18">
        <v>0.25394873899999998</v>
      </c>
      <c r="T18">
        <v>14.365867120000001</v>
      </c>
      <c r="U18">
        <v>0.38336628</v>
      </c>
      <c r="V18">
        <v>2.0358049839999999</v>
      </c>
      <c r="W18">
        <v>5.4327315000000001E-2</v>
      </c>
      <c r="X18">
        <v>3.547891285</v>
      </c>
      <c r="Y18">
        <v>9.4678717999999995E-2</v>
      </c>
    </row>
    <row r="19" spans="1:25" x14ac:dyDescent="0.25">
      <c r="A19" t="s">
        <v>125</v>
      </c>
      <c r="B19">
        <v>-24.623932539999998</v>
      </c>
      <c r="C19">
        <v>6.9105219590000004</v>
      </c>
      <c r="D19">
        <v>-37.172798999999998</v>
      </c>
      <c r="E19">
        <v>10.4322672</v>
      </c>
      <c r="F19">
        <v>-5.2678038069999999</v>
      </c>
      <c r="G19">
        <v>1.4783696239999999</v>
      </c>
      <c r="H19">
        <v>-8.5870978559999998</v>
      </c>
      <c r="I19">
        <v>2.4099046</v>
      </c>
      <c r="J19">
        <v>1.8405952699999999</v>
      </c>
      <c r="K19">
        <v>0.53524703200000001</v>
      </c>
      <c r="L19">
        <v>2.7786007750000001</v>
      </c>
      <c r="M19">
        <v>0.80802001499999998</v>
      </c>
      <c r="N19">
        <v>0.393758989</v>
      </c>
      <c r="O19">
        <v>0.114505526</v>
      </c>
      <c r="P19">
        <v>0.66624167999999995</v>
      </c>
      <c r="Q19">
        <v>0.19374377800000001</v>
      </c>
      <c r="R19">
        <v>-2.4628998229999999</v>
      </c>
      <c r="S19">
        <v>0.321099144</v>
      </c>
      <c r="T19">
        <v>-3.7180446269999998</v>
      </c>
      <c r="U19">
        <v>0.48473792300000001</v>
      </c>
      <c r="V19">
        <v>-0.52688875099999999</v>
      </c>
      <c r="W19">
        <v>6.8692817000000003E-2</v>
      </c>
      <c r="X19">
        <v>-0.90880532300000005</v>
      </c>
      <c r="Y19">
        <v>0.11848497</v>
      </c>
    </row>
    <row r="20" spans="1:25" x14ac:dyDescent="0.25">
      <c r="A20" t="s">
        <v>143</v>
      </c>
      <c r="B20">
        <v>0.449353742</v>
      </c>
      <c r="C20">
        <v>0.56964249300000003</v>
      </c>
      <c r="D20">
        <v>0.67835372400000005</v>
      </c>
      <c r="E20">
        <v>0.85994411599999998</v>
      </c>
      <c r="F20">
        <v>9.6130354000000001E-2</v>
      </c>
      <c r="G20">
        <v>0.121863755</v>
      </c>
      <c r="H20">
        <v>0.13352761899999999</v>
      </c>
      <c r="I20">
        <v>0.16927199800000001</v>
      </c>
      <c r="J20">
        <v>-1.0872360000000001E-3</v>
      </c>
      <c r="K20">
        <v>1.9407300000000001E-4</v>
      </c>
      <c r="L20">
        <v>-1.6413140000000001E-3</v>
      </c>
      <c r="M20">
        <v>2.9297699999999998E-4</v>
      </c>
      <c r="N20">
        <v>-2.3259299999999999E-4</v>
      </c>
      <c r="O20" s="23">
        <v>4.1499999999999999E-5</v>
      </c>
      <c r="P20">
        <v>-3.3850299999999998E-4</v>
      </c>
      <c r="Q20" s="23">
        <v>6.0399999999999998E-5</v>
      </c>
      <c r="R20">
        <v>-1.9890332850000001</v>
      </c>
      <c r="S20">
        <v>0.20850162799999999</v>
      </c>
      <c r="T20">
        <v>-3.0026858789999999</v>
      </c>
      <c r="U20">
        <v>0.31475837899999998</v>
      </c>
      <c r="V20">
        <v>-0.425514369</v>
      </c>
      <c r="W20">
        <v>4.4604802999999998E-2</v>
      </c>
      <c r="X20">
        <v>-0.62630912599999999</v>
      </c>
      <c r="Y20">
        <v>6.5653236000000004E-2</v>
      </c>
    </row>
    <row r="21" spans="1:25" x14ac:dyDescent="0.25">
      <c r="A21" t="s">
        <v>136</v>
      </c>
      <c r="B21">
        <v>104.45769799999999</v>
      </c>
      <c r="C21">
        <v>60.376366609999998</v>
      </c>
      <c r="D21">
        <v>157.69150629999999</v>
      </c>
      <c r="E21">
        <v>91.145414610000003</v>
      </c>
      <c r="F21">
        <v>22.346660450000002</v>
      </c>
      <c r="G21">
        <v>12.91633062</v>
      </c>
      <c r="H21">
        <v>34.013175400000002</v>
      </c>
      <c r="I21">
        <v>19.659555839999999</v>
      </c>
      <c r="J21">
        <v>6.3786250449999997</v>
      </c>
      <c r="K21">
        <v>3.6833868239999998</v>
      </c>
      <c r="L21">
        <v>9.6293045940000006</v>
      </c>
      <c r="M21">
        <v>5.5605171039999997</v>
      </c>
      <c r="N21">
        <v>1.3645807889999999</v>
      </c>
      <c r="O21">
        <v>0.78798782899999997</v>
      </c>
      <c r="P21">
        <v>2.1643675419999999</v>
      </c>
      <c r="Q21">
        <v>1.2498309320000001</v>
      </c>
      <c r="R21">
        <v>-1.2429314250000001</v>
      </c>
      <c r="S21">
        <v>0.110892962</v>
      </c>
      <c r="T21">
        <v>-1.8763550449999999</v>
      </c>
      <c r="U21">
        <v>0.167406314</v>
      </c>
      <c r="V21">
        <v>-0.265900619</v>
      </c>
      <c r="W21">
        <v>2.3723358E-2</v>
      </c>
      <c r="X21">
        <v>-0.428522874</v>
      </c>
      <c r="Y21">
        <v>3.8232334999999999E-2</v>
      </c>
    </row>
    <row r="22" spans="1:25" x14ac:dyDescent="0.25">
      <c r="A22" t="s">
        <v>111</v>
      </c>
      <c r="B22">
        <v>-17.753951749999999</v>
      </c>
      <c r="C22">
        <v>5.7517926060000004</v>
      </c>
      <c r="D22">
        <v>-26.801733599999999</v>
      </c>
      <c r="E22">
        <v>8.6830253509999995</v>
      </c>
      <c r="F22">
        <v>-3.7981071659999999</v>
      </c>
      <c r="G22">
        <v>1.230482375</v>
      </c>
      <c r="H22">
        <v>-6.2559529559999998</v>
      </c>
      <c r="I22">
        <v>2.0267568859999998</v>
      </c>
      <c r="J22">
        <v>0.350593343</v>
      </c>
      <c r="K22">
        <v>0.117439423</v>
      </c>
      <c r="L22">
        <v>0.529262978</v>
      </c>
      <c r="M22">
        <v>0.17728898800000001</v>
      </c>
      <c r="N22">
        <v>7.5002518000000004E-2</v>
      </c>
      <c r="O22">
        <v>2.5123843999999999E-2</v>
      </c>
      <c r="P22">
        <v>0.128153185</v>
      </c>
      <c r="Q22">
        <v>4.2927900999999997E-2</v>
      </c>
      <c r="R22">
        <v>-3.725145318</v>
      </c>
      <c r="S22">
        <v>0.80803058299999997</v>
      </c>
      <c r="T22">
        <v>-5.623556593</v>
      </c>
      <c r="U22">
        <v>1.219819719</v>
      </c>
      <c r="V22">
        <v>-0.79692123299999995</v>
      </c>
      <c r="W22">
        <v>0.17286217700000001</v>
      </c>
      <c r="X22">
        <v>-1.388831406</v>
      </c>
      <c r="Y22">
        <v>0.301254892</v>
      </c>
    </row>
    <row r="23" spans="1:25" x14ac:dyDescent="0.25">
      <c r="A23" t="s">
        <v>100</v>
      </c>
      <c r="B23">
        <v>-20.748125349999999</v>
      </c>
      <c r="C23">
        <v>0.29064094400000001</v>
      </c>
      <c r="D23">
        <v>-31.321800119999999</v>
      </c>
      <c r="E23">
        <v>0.438757593</v>
      </c>
      <c r="F23">
        <v>-4.4386514420000003</v>
      </c>
      <c r="G23">
        <v>6.2176887E-2</v>
      </c>
      <c r="H23">
        <v>-7.4651140109999998</v>
      </c>
      <c r="I23">
        <v>0.10457175</v>
      </c>
      <c r="J23">
        <v>1.4498067160000001</v>
      </c>
      <c r="K23">
        <v>0.110439205</v>
      </c>
      <c r="L23">
        <v>2.1886582730000002</v>
      </c>
      <c r="M23">
        <v>0.16672131300000001</v>
      </c>
      <c r="N23">
        <v>0.310157499</v>
      </c>
      <c r="O23">
        <v>2.3626286E-2</v>
      </c>
      <c r="P23">
        <v>0.54047941300000002</v>
      </c>
      <c r="Q23">
        <v>4.1171086000000003E-2</v>
      </c>
      <c r="R23">
        <v>-9.0848809169999996</v>
      </c>
      <c r="S23">
        <v>0.313398862</v>
      </c>
      <c r="T23">
        <v>-13.714724560000001</v>
      </c>
      <c r="U23">
        <v>0.47311341899999998</v>
      </c>
      <c r="V23">
        <v>-1.9435307580000001</v>
      </c>
      <c r="W23">
        <v>6.7045493999999997E-2</v>
      </c>
      <c r="X23">
        <v>-3.4582064830000001</v>
      </c>
      <c r="Y23">
        <v>0.11929688300000001</v>
      </c>
    </row>
    <row r="24" spans="1:25" x14ac:dyDescent="0.25">
      <c r="A24" t="s">
        <v>94</v>
      </c>
      <c r="B24">
        <v>-21.307751440000001</v>
      </c>
      <c r="C24">
        <v>4.3348622749999999</v>
      </c>
      <c r="D24">
        <v>-32.166623280000003</v>
      </c>
      <c r="E24">
        <v>6.5439979499999996</v>
      </c>
      <c r="F24">
        <v>-4.5583723880000004</v>
      </c>
      <c r="G24">
        <v>0.92735812799999995</v>
      </c>
      <c r="H24">
        <v>-8.3159655870000009</v>
      </c>
      <c r="I24">
        <v>1.6918052379999999</v>
      </c>
      <c r="J24">
        <v>0.277830566</v>
      </c>
      <c r="K24">
        <v>6.6231609999999998E-3</v>
      </c>
      <c r="L24">
        <v>0.41941878199999999</v>
      </c>
      <c r="M24">
        <v>9.9984610000000002E-3</v>
      </c>
      <c r="N24">
        <v>5.9436360000000001E-2</v>
      </c>
      <c r="O24">
        <v>1.4168939999999999E-3</v>
      </c>
      <c r="P24">
        <v>0.111829657</v>
      </c>
      <c r="Q24">
        <v>2.6658900000000002E-3</v>
      </c>
      <c r="R24">
        <v>-3.3798762139999998</v>
      </c>
      <c r="S24">
        <v>0.16769014800000001</v>
      </c>
      <c r="T24">
        <v>-5.1023311949999997</v>
      </c>
      <c r="U24">
        <v>0.25314852399999999</v>
      </c>
      <c r="V24">
        <v>-0.72305773100000004</v>
      </c>
      <c r="W24">
        <v>3.5873993999999999E-2</v>
      </c>
      <c r="X24">
        <v>-1.396339811</v>
      </c>
      <c r="Y24">
        <v>6.9278404000000002E-2</v>
      </c>
    </row>
    <row r="25" spans="1:25" x14ac:dyDescent="0.25">
      <c r="A25" t="s">
        <v>123</v>
      </c>
      <c r="B25">
        <v>-3.1234967939999998</v>
      </c>
      <c r="C25">
        <v>0.25849460000000002</v>
      </c>
      <c r="D25">
        <v>-4.7152955089999997</v>
      </c>
      <c r="E25">
        <v>0.39022880700000001</v>
      </c>
      <c r="F25">
        <v>-0.66821041999999997</v>
      </c>
      <c r="G25">
        <v>5.5299811999999997E-2</v>
      </c>
      <c r="H25">
        <v>-1.2017075859999999</v>
      </c>
      <c r="I25">
        <v>9.9451014000000004E-2</v>
      </c>
      <c r="J25">
        <v>0.188131457</v>
      </c>
      <c r="K25">
        <v>8.4156300000000003E-4</v>
      </c>
      <c r="L25">
        <v>0.28400714700000002</v>
      </c>
      <c r="M25">
        <v>1.2704420000000001E-3</v>
      </c>
      <c r="N25">
        <v>4.0247008000000001E-2</v>
      </c>
      <c r="O25">
        <v>1.8003600000000001E-4</v>
      </c>
      <c r="P25">
        <v>7.4709421999999998E-2</v>
      </c>
      <c r="Q25">
        <v>3.3419599999999998E-4</v>
      </c>
      <c r="R25">
        <v>-3.1021481639999999</v>
      </c>
      <c r="S25">
        <v>7.1189327999999996E-2</v>
      </c>
      <c r="T25">
        <v>-4.6830671749999997</v>
      </c>
      <c r="U25">
        <v>0.107468886</v>
      </c>
      <c r="V25">
        <v>-0.66364330199999999</v>
      </c>
      <c r="W25">
        <v>1.522955E-2</v>
      </c>
      <c r="X25">
        <v>-1.2631109519999999</v>
      </c>
      <c r="Y25">
        <v>2.8986372E-2</v>
      </c>
    </row>
    <row r="26" spans="1:25" x14ac:dyDescent="0.25">
      <c r="A26" t="s">
        <v>116</v>
      </c>
      <c r="B26">
        <v>26.374907870000001</v>
      </c>
      <c r="C26">
        <v>0.75388892100000005</v>
      </c>
      <c r="D26">
        <v>39.81610766</v>
      </c>
      <c r="E26">
        <v>1.1380863429999999</v>
      </c>
      <c r="F26">
        <v>5.6423903800000001</v>
      </c>
      <c r="G26">
        <v>0.161279638</v>
      </c>
      <c r="H26">
        <v>8.0794215909999991</v>
      </c>
      <c r="I26">
        <v>0.23093868100000001</v>
      </c>
      <c r="J26">
        <v>0.166565149</v>
      </c>
      <c r="K26">
        <v>7.6504590000000001E-3</v>
      </c>
      <c r="L26">
        <v>0.25145020099999998</v>
      </c>
      <c r="M26">
        <v>1.1549291999999999E-2</v>
      </c>
      <c r="N26">
        <v>3.5633322000000002E-2</v>
      </c>
      <c r="O26">
        <v>1.636665E-3</v>
      </c>
      <c r="P26">
        <v>5.3361993000000003E-2</v>
      </c>
      <c r="Q26">
        <v>2.4509549999999999E-3</v>
      </c>
      <c r="R26">
        <v>-8.0539267930000005</v>
      </c>
      <c r="S26">
        <v>6.7202506999999995E-2</v>
      </c>
      <c r="T26">
        <v>-12.15837484</v>
      </c>
      <c r="U26">
        <v>0.10145029699999999</v>
      </c>
      <c r="V26">
        <v>-1.722978495</v>
      </c>
      <c r="W26">
        <v>1.4376648000000001E-2</v>
      </c>
      <c r="X26">
        <v>-2.613847636</v>
      </c>
      <c r="Y26">
        <v>2.1810119999999999E-2</v>
      </c>
    </row>
    <row r="27" spans="1:25" x14ac:dyDescent="0.25">
      <c r="A27" t="s">
        <v>120</v>
      </c>
      <c r="B27">
        <v>-24.414862299999999</v>
      </c>
      <c r="C27">
        <v>0.58871812400000001</v>
      </c>
      <c r="D27">
        <v>-36.85718224</v>
      </c>
      <c r="E27">
        <v>0.88874108500000004</v>
      </c>
      <c r="F27">
        <v>-5.2230773609999996</v>
      </c>
      <c r="G27">
        <v>0.12594461000000001</v>
      </c>
      <c r="H27">
        <v>-8.6931131399999995</v>
      </c>
      <c r="I27">
        <v>0.209617945</v>
      </c>
      <c r="J27">
        <v>2.1593581899999998</v>
      </c>
      <c r="K27">
        <v>6.3567858000000005E-2</v>
      </c>
      <c r="L27">
        <v>3.259811886</v>
      </c>
      <c r="M27">
        <v>9.5963356E-2</v>
      </c>
      <c r="N27">
        <v>0.46195201699999999</v>
      </c>
      <c r="O27">
        <v>1.3599086999999999E-2</v>
      </c>
      <c r="P27">
        <v>0.79710476200000002</v>
      </c>
      <c r="Q27">
        <v>2.3465417999999998E-2</v>
      </c>
      <c r="R27">
        <v>-5.4655149649999997</v>
      </c>
      <c r="S27">
        <v>6.2155104000000003E-2</v>
      </c>
      <c r="T27">
        <v>-8.2508546890000005</v>
      </c>
      <c r="U27">
        <v>9.3830633999999996E-2</v>
      </c>
      <c r="V27">
        <v>-1.1692389299999999</v>
      </c>
      <c r="W27">
        <v>1.3296855999999999E-2</v>
      </c>
      <c r="X27">
        <v>-2.058919543</v>
      </c>
      <c r="Y27">
        <v>2.3414510999999999E-2</v>
      </c>
    </row>
    <row r="28" spans="1:25" x14ac:dyDescent="0.25">
      <c r="A28" t="s">
        <v>134</v>
      </c>
      <c r="B28">
        <v>-30.771703550000002</v>
      </c>
      <c r="C28">
        <v>0.62433878899999995</v>
      </c>
      <c r="D28">
        <v>-46.453601569999996</v>
      </c>
      <c r="E28">
        <v>0.94251477800000005</v>
      </c>
      <c r="F28">
        <v>-6.582997937</v>
      </c>
      <c r="G28">
        <v>0.13356494699999999</v>
      </c>
      <c r="H28">
        <v>-9.8174224720000005</v>
      </c>
      <c r="I28">
        <v>0.19918941600000001</v>
      </c>
      <c r="J28">
        <v>6.0531883190000002</v>
      </c>
      <c r="K28">
        <v>0.36742465800000002</v>
      </c>
      <c r="L28">
        <v>9.1380185659999995</v>
      </c>
      <c r="M28">
        <v>0.55467188000000001</v>
      </c>
      <c r="N28">
        <v>1.2949600320000001</v>
      </c>
      <c r="O28">
        <v>7.8603245000000002E-2</v>
      </c>
      <c r="P28">
        <v>2.014856698</v>
      </c>
      <c r="Q28">
        <v>0.122300512</v>
      </c>
      <c r="R28">
        <v>-5.9544072410000002</v>
      </c>
      <c r="S28">
        <v>0.16945703000000001</v>
      </c>
      <c r="T28">
        <v>-8.9888966030000006</v>
      </c>
      <c r="U28">
        <v>0.25581584499999999</v>
      </c>
      <c r="V28">
        <v>-1.273827772</v>
      </c>
      <c r="W28">
        <v>3.6251983000000002E-2</v>
      </c>
      <c r="X28">
        <v>-2.0118747159999999</v>
      </c>
      <c r="Y28">
        <v>5.7256130000000002E-2</v>
      </c>
    </row>
    <row r="29" spans="1:25" x14ac:dyDescent="0.25">
      <c r="A29" t="s">
        <v>107</v>
      </c>
      <c r="B29">
        <v>156.0390965</v>
      </c>
      <c r="C29">
        <v>1.601449388</v>
      </c>
      <c r="D29">
        <v>235.55985469999999</v>
      </c>
      <c r="E29">
        <v>2.4175811939999998</v>
      </c>
      <c r="F29">
        <v>33.38148142</v>
      </c>
      <c r="G29">
        <v>0.34259845300000002</v>
      </c>
      <c r="H29">
        <v>44.377342579999997</v>
      </c>
      <c r="I29">
        <v>0.45545039500000001</v>
      </c>
      <c r="J29">
        <v>9.6676934110000001</v>
      </c>
      <c r="K29">
        <v>1.9138934E-2</v>
      </c>
      <c r="L29">
        <v>14.594550379999999</v>
      </c>
      <c r="M29">
        <v>2.8892531999999999E-2</v>
      </c>
      <c r="N29">
        <v>2.0682119750000001</v>
      </c>
      <c r="O29">
        <v>4.0943969999999996E-3</v>
      </c>
      <c r="P29">
        <v>2.888579418</v>
      </c>
      <c r="Q29">
        <v>5.7184610000000002E-3</v>
      </c>
      <c r="R29">
        <v>-7.3835435949999999</v>
      </c>
      <c r="S29">
        <v>7.6821370999999999E-2</v>
      </c>
      <c r="T29">
        <v>-11.14635047</v>
      </c>
      <c r="U29">
        <v>0.115971134</v>
      </c>
      <c r="V29">
        <v>-1.5795632559999999</v>
      </c>
      <c r="W29">
        <v>1.6434414000000001E-2</v>
      </c>
      <c r="X29">
        <v>-2.2252231469999999</v>
      </c>
      <c r="Y29">
        <v>2.3152121000000001E-2</v>
      </c>
    </row>
    <row r="30" spans="1:25" x14ac:dyDescent="0.25">
      <c r="A30" t="s">
        <v>91</v>
      </c>
      <c r="B30">
        <v>-27.56394547</v>
      </c>
      <c r="C30">
        <v>0.27650544399999999</v>
      </c>
      <c r="D30">
        <v>-41.611103479999997</v>
      </c>
      <c r="E30">
        <v>0.41741834999999999</v>
      </c>
      <c r="F30">
        <v>-5.8967614810000004</v>
      </c>
      <c r="G30">
        <v>5.9152876E-2</v>
      </c>
      <c r="H30">
        <v>-11.317750719999999</v>
      </c>
      <c r="I30">
        <v>0.11353308199999999</v>
      </c>
      <c r="J30">
        <v>0.62875455099999999</v>
      </c>
      <c r="K30">
        <v>1.1006379E-2</v>
      </c>
      <c r="L30">
        <v>0.94918090300000002</v>
      </c>
      <c r="M30">
        <v>1.6615458E-2</v>
      </c>
      <c r="N30">
        <v>0.134509612</v>
      </c>
      <c r="O30">
        <v>2.3545969999999999E-3</v>
      </c>
      <c r="P30">
        <v>0.26548570999999999</v>
      </c>
      <c r="Q30">
        <v>4.6473399999999998E-3</v>
      </c>
      <c r="R30">
        <v>-3.776134189</v>
      </c>
      <c r="S30">
        <v>0.169600749</v>
      </c>
      <c r="T30">
        <v>-5.7005304490000004</v>
      </c>
      <c r="U30">
        <v>0.256032806</v>
      </c>
      <c r="V30">
        <v>-0.807829295</v>
      </c>
      <c r="W30">
        <v>3.6282729E-2</v>
      </c>
      <c r="X30">
        <v>-1.6433408199999999</v>
      </c>
      <c r="Y30">
        <v>7.3808773999999994E-2</v>
      </c>
    </row>
    <row r="31" spans="1:25" x14ac:dyDescent="0.25">
      <c r="A31" t="s">
        <v>85</v>
      </c>
      <c r="B31">
        <v>-19.306098290000001</v>
      </c>
      <c r="C31">
        <v>6.4010836729999996</v>
      </c>
      <c r="D31">
        <v>-29.144886190000001</v>
      </c>
      <c r="E31">
        <v>9.6632086049999995</v>
      </c>
      <c r="F31">
        <v>-4.1301582479999999</v>
      </c>
      <c r="G31">
        <v>1.369385369</v>
      </c>
      <c r="H31">
        <v>-7.3749019069999999</v>
      </c>
      <c r="I31">
        <v>2.4452047989999999</v>
      </c>
      <c r="J31">
        <v>0.53673590599999998</v>
      </c>
      <c r="K31">
        <v>0.17910722500000001</v>
      </c>
      <c r="L31">
        <v>0.81026765000000001</v>
      </c>
      <c r="M31">
        <v>0.270383979</v>
      </c>
      <c r="N31">
        <v>0.114824041</v>
      </c>
      <c r="O31">
        <v>3.8316452000000001E-2</v>
      </c>
      <c r="P31">
        <v>0.21171658800000001</v>
      </c>
      <c r="Q31">
        <v>7.0649215000000001E-2</v>
      </c>
      <c r="R31">
        <v>-2.5116223199999999</v>
      </c>
      <c r="S31">
        <v>0.34675135000000001</v>
      </c>
      <c r="T31">
        <v>-3.791597119</v>
      </c>
      <c r="U31">
        <v>0.52346302600000005</v>
      </c>
      <c r="V31">
        <v>-0.53731196699999995</v>
      </c>
      <c r="W31">
        <v>7.4180599999999999E-2</v>
      </c>
      <c r="X31">
        <v>-1.015312003</v>
      </c>
      <c r="Y31">
        <v>0.140172671</v>
      </c>
    </row>
    <row r="32" spans="1:25" x14ac:dyDescent="0.25">
      <c r="A32" t="s">
        <v>87</v>
      </c>
      <c r="B32">
        <v>46.045803569999997</v>
      </c>
      <c r="C32">
        <v>0.29535270000000002</v>
      </c>
      <c r="D32">
        <v>69.511699579999998</v>
      </c>
      <c r="E32">
        <v>0.445870559</v>
      </c>
      <c r="F32">
        <v>9.8505898250000001</v>
      </c>
      <c r="G32">
        <v>6.3184874000000002E-2</v>
      </c>
      <c r="H32">
        <v>18.165649779999999</v>
      </c>
      <c r="I32">
        <v>0.116520362</v>
      </c>
      <c r="J32">
        <v>0.253544147</v>
      </c>
      <c r="K32">
        <v>1.134178E-3</v>
      </c>
      <c r="L32">
        <v>0.382755501</v>
      </c>
      <c r="M32">
        <v>1.7121790000000001E-3</v>
      </c>
      <c r="N32">
        <v>5.4240759999999999E-2</v>
      </c>
      <c r="O32">
        <v>2.42635E-4</v>
      </c>
      <c r="P32">
        <v>0.10309771199999999</v>
      </c>
      <c r="Q32">
        <v>4.61187E-4</v>
      </c>
      <c r="R32">
        <v>2.204005607</v>
      </c>
      <c r="S32">
        <v>0.107327331</v>
      </c>
      <c r="T32">
        <v>3.3272125529999999</v>
      </c>
      <c r="U32">
        <v>0.16202356300000001</v>
      </c>
      <c r="V32">
        <v>0.47150344900000002</v>
      </c>
      <c r="W32">
        <v>2.2960562E-2</v>
      </c>
      <c r="X32">
        <v>0.92061158499999995</v>
      </c>
      <c r="Y32">
        <v>4.4830549999999997E-2</v>
      </c>
    </row>
    <row r="33" spans="1:25" x14ac:dyDescent="0.25">
      <c r="A33" t="s">
        <v>149</v>
      </c>
      <c r="B33">
        <v>-25.024784789999998</v>
      </c>
      <c r="C33">
        <v>0.36183999999999999</v>
      </c>
      <c r="D33">
        <v>-37.777933869999998</v>
      </c>
      <c r="E33">
        <v>0.54624116499999997</v>
      </c>
      <c r="F33">
        <v>-5.3535582249999996</v>
      </c>
      <c r="G33">
        <v>7.7408517999999996E-2</v>
      </c>
      <c r="H33">
        <v>-8.0110842879999993</v>
      </c>
      <c r="I33">
        <v>0.11583439199999999</v>
      </c>
      <c r="J33">
        <v>0.45182272499999998</v>
      </c>
      <c r="K33">
        <v>1.71941E-3</v>
      </c>
      <c r="L33">
        <v>0.68208095099999999</v>
      </c>
      <c r="M33">
        <v>2.5956569999999999E-3</v>
      </c>
      <c r="N33">
        <v>9.6658543999999999E-2</v>
      </c>
      <c r="O33">
        <v>3.6783399999999999E-4</v>
      </c>
      <c r="P33">
        <v>0.150874805</v>
      </c>
      <c r="Q33">
        <v>5.7415400000000001E-4</v>
      </c>
      <c r="R33">
        <v>-3.7392148139999999</v>
      </c>
      <c r="S33">
        <v>8.9185548000000003E-2</v>
      </c>
      <c r="T33">
        <v>-5.6447961959999997</v>
      </c>
      <c r="U33">
        <v>0.13463635199999999</v>
      </c>
      <c r="V33">
        <v>-0.79993112399999999</v>
      </c>
      <c r="W33">
        <v>1.9079486E-2</v>
      </c>
      <c r="X33">
        <v>-1.267657883</v>
      </c>
      <c r="Y33">
        <v>3.0235429000000001E-2</v>
      </c>
    </row>
    <row r="34" spans="1:25" x14ac:dyDescent="0.25">
      <c r="A34" t="s">
        <v>128</v>
      </c>
      <c r="B34">
        <v>239.7503586</v>
      </c>
      <c r="C34">
        <v>33.818308119999998</v>
      </c>
      <c r="D34">
        <v>361.93211129999997</v>
      </c>
      <c r="E34">
        <v>51.052818969999997</v>
      </c>
      <c r="F34">
        <v>51.289851849999998</v>
      </c>
      <c r="G34">
        <v>7.2347587840000003</v>
      </c>
      <c r="H34">
        <v>81.057171319999995</v>
      </c>
      <c r="I34">
        <v>11.433627919999999</v>
      </c>
      <c r="J34">
        <v>7.7255088089999999</v>
      </c>
      <c r="K34">
        <v>3.4815674999999997E-2</v>
      </c>
      <c r="L34">
        <v>11.66258824</v>
      </c>
      <c r="M34">
        <v>5.2558463999999999E-2</v>
      </c>
      <c r="N34">
        <v>1.6527199560000001</v>
      </c>
      <c r="O34">
        <v>7.4481260000000002E-3</v>
      </c>
      <c r="P34">
        <v>2.7159011419999999</v>
      </c>
      <c r="Q34">
        <v>1.2239444E-2</v>
      </c>
      <c r="R34">
        <v>-6.7520584430000001</v>
      </c>
      <c r="S34">
        <v>9.7548133999999995E-2</v>
      </c>
      <c r="T34">
        <v>-10.19304739</v>
      </c>
      <c r="U34">
        <v>0.147260685</v>
      </c>
      <c r="V34">
        <v>-1.444469486</v>
      </c>
      <c r="W34">
        <v>2.0868496E-2</v>
      </c>
      <c r="X34">
        <v>-2.4161058689999999</v>
      </c>
      <c r="Y34">
        <v>3.4905891000000001E-2</v>
      </c>
    </row>
    <row r="35" spans="1:25" x14ac:dyDescent="0.25">
      <c r="A35" t="s">
        <v>131</v>
      </c>
      <c r="B35">
        <v>-30.267519879999998</v>
      </c>
      <c r="C35">
        <v>0.17491298999999999</v>
      </c>
      <c r="D35">
        <v>-45.692475440000003</v>
      </c>
      <c r="E35">
        <v>0.26405227599999997</v>
      </c>
      <c r="F35">
        <v>-6.475137803</v>
      </c>
      <c r="G35">
        <v>3.7419177999999997E-2</v>
      </c>
      <c r="H35">
        <v>-10.41052049</v>
      </c>
      <c r="I35">
        <v>6.0161364000000002E-2</v>
      </c>
      <c r="J35">
        <v>14.11045086</v>
      </c>
      <c r="K35">
        <v>1.5570492060000001</v>
      </c>
      <c r="L35">
        <v>21.301429120000002</v>
      </c>
      <c r="M35">
        <v>2.3505537589999999</v>
      </c>
      <c r="N35">
        <v>3.0186521439999998</v>
      </c>
      <c r="O35">
        <v>0.33309991100000003</v>
      </c>
      <c r="P35">
        <v>5.0415427299999998</v>
      </c>
      <c r="Q35">
        <v>0.55632028899999997</v>
      </c>
      <c r="R35">
        <v>-7.837953196</v>
      </c>
      <c r="S35">
        <v>5.4639158E-2</v>
      </c>
      <c r="T35">
        <v>-11.83233662</v>
      </c>
      <c r="U35">
        <v>8.2484404999999997E-2</v>
      </c>
      <c r="V35">
        <v>-1.676775211</v>
      </c>
      <c r="W35">
        <v>1.1688967999999999E-2</v>
      </c>
      <c r="X35">
        <v>-2.8528468230000001</v>
      </c>
      <c r="Y35">
        <v>1.9887480999999999E-2</v>
      </c>
    </row>
    <row r="36" spans="1:25" x14ac:dyDescent="0.25">
      <c r="A36" t="s">
        <v>104</v>
      </c>
      <c r="B36">
        <v>-19.635558369999998</v>
      </c>
      <c r="C36">
        <v>0.45175281900000003</v>
      </c>
      <c r="D36">
        <v>-29.64224596</v>
      </c>
      <c r="E36">
        <v>0.68197541900000003</v>
      </c>
      <c r="F36">
        <v>-4.200639722</v>
      </c>
      <c r="G36">
        <v>9.6643589000000002E-2</v>
      </c>
      <c r="H36">
        <v>-6.8003757570000003</v>
      </c>
      <c r="I36">
        <v>0.156455389</v>
      </c>
      <c r="J36">
        <v>0.12985397900000001</v>
      </c>
      <c r="K36">
        <v>7.0302600000000004E-4</v>
      </c>
      <c r="L36">
        <v>0.19603025800000001</v>
      </c>
      <c r="M36">
        <v>1.061303E-3</v>
      </c>
      <c r="N36">
        <v>2.7779693000000001E-2</v>
      </c>
      <c r="O36">
        <v>1.5039900000000001E-4</v>
      </c>
      <c r="P36">
        <v>4.6698258999999999E-2</v>
      </c>
      <c r="Q36">
        <v>2.52823E-4</v>
      </c>
      <c r="R36">
        <v>-1.916914507</v>
      </c>
      <c r="S36">
        <v>8.0708200999999993E-2</v>
      </c>
      <c r="T36">
        <v>-2.8938138769999999</v>
      </c>
      <c r="U36">
        <v>0.121838773</v>
      </c>
      <c r="V36">
        <v>-0.41008598099999999</v>
      </c>
      <c r="W36">
        <v>1.7265925000000001E-2</v>
      </c>
      <c r="X36">
        <v>-0.70250417399999998</v>
      </c>
      <c r="Y36">
        <v>2.9577661000000002E-2</v>
      </c>
    </row>
    <row r="37" spans="1:25" x14ac:dyDescent="0.25">
      <c r="A37" t="s">
        <v>142</v>
      </c>
      <c r="B37">
        <v>783.9163939</v>
      </c>
      <c r="C37">
        <v>5.9820190860000002</v>
      </c>
      <c r="D37">
        <v>1183.4164390000001</v>
      </c>
      <c r="E37">
        <v>9.0305800170000001</v>
      </c>
      <c r="F37">
        <v>167.70342260000001</v>
      </c>
      <c r="G37">
        <v>1.2797347809999999</v>
      </c>
      <c r="H37">
        <v>327.84957179999998</v>
      </c>
      <c r="I37">
        <v>2.5018004610000002</v>
      </c>
      <c r="J37">
        <v>9.7008434060000006</v>
      </c>
      <c r="K37">
        <v>0.129241836</v>
      </c>
      <c r="L37">
        <v>14.6445943</v>
      </c>
      <c r="M37">
        <v>0.195106155</v>
      </c>
      <c r="N37">
        <v>2.0753037619999999</v>
      </c>
      <c r="O37">
        <v>2.7648737E-2</v>
      </c>
      <c r="P37">
        <v>4.1677040700000001</v>
      </c>
      <c r="Q37">
        <v>5.5525247E-2</v>
      </c>
      <c r="R37">
        <v>-13.50756674</v>
      </c>
      <c r="S37">
        <v>0.28566723700000002</v>
      </c>
      <c r="T37">
        <v>-20.391302759999999</v>
      </c>
      <c r="U37">
        <v>0.43124918299999998</v>
      </c>
      <c r="V37">
        <v>-2.8896769990000002</v>
      </c>
      <c r="W37">
        <v>6.1112860999999997E-2</v>
      </c>
      <c r="X37">
        <v>-5.9914168569999999</v>
      </c>
      <c r="Y37">
        <v>0.12671057099999999</v>
      </c>
    </row>
    <row r="38" spans="1:25" x14ac:dyDescent="0.25">
      <c r="A38" t="s">
        <v>97</v>
      </c>
      <c r="B38">
        <v>-15.913458479999999</v>
      </c>
      <c r="C38">
        <v>4.1017628820000001</v>
      </c>
      <c r="D38">
        <v>-24.023286800000001</v>
      </c>
      <c r="E38">
        <v>6.1921062750000004</v>
      </c>
      <c r="F38">
        <v>-3.4043699969999999</v>
      </c>
      <c r="G38">
        <v>0.87749111899999999</v>
      </c>
      <c r="H38">
        <v>-5.6661181740000002</v>
      </c>
      <c r="I38">
        <v>1.4604665130000001</v>
      </c>
      <c r="J38">
        <v>2.0566420289999998</v>
      </c>
      <c r="K38">
        <v>4.1879885999999998E-2</v>
      </c>
      <c r="L38">
        <v>3.10474944</v>
      </c>
      <c r="M38">
        <v>6.3222744999999997E-2</v>
      </c>
      <c r="N38">
        <v>0.43997792400000002</v>
      </c>
      <c r="O38">
        <v>8.9593740000000009E-3</v>
      </c>
      <c r="P38">
        <v>0.75918815299999998</v>
      </c>
      <c r="Q38">
        <v>1.5459527000000001E-2</v>
      </c>
      <c r="R38">
        <v>-6.3396877969999998</v>
      </c>
      <c r="S38">
        <v>0.141040102</v>
      </c>
      <c r="T38">
        <v>-9.5705241179999998</v>
      </c>
      <c r="U38">
        <v>0.21291706199999999</v>
      </c>
      <c r="V38">
        <v>-1.356250934</v>
      </c>
      <c r="W38">
        <v>3.0172742999999998E-2</v>
      </c>
      <c r="X38">
        <v>-2.3882300550000002</v>
      </c>
      <c r="Y38">
        <v>5.3131355999999998E-2</v>
      </c>
    </row>
    <row r="39" spans="1:25" x14ac:dyDescent="0.25">
      <c r="A39" t="s">
        <v>126</v>
      </c>
      <c r="B39">
        <v>87.997257730000001</v>
      </c>
      <c r="C39">
        <v>17.630475950000001</v>
      </c>
      <c r="D39">
        <v>132.84248439999999</v>
      </c>
      <c r="E39">
        <v>26.615331959999999</v>
      </c>
      <c r="F39">
        <v>18.825274499999999</v>
      </c>
      <c r="G39">
        <v>3.7716919569999998</v>
      </c>
      <c r="H39">
        <v>31.994689050000002</v>
      </c>
      <c r="I39">
        <v>6.4102178900000002</v>
      </c>
      <c r="J39">
        <v>3.0643179580000002</v>
      </c>
      <c r="K39">
        <v>4.7660530000000001E-3</v>
      </c>
      <c r="L39">
        <v>4.6259579110000004</v>
      </c>
      <c r="M39">
        <v>7.1949329999999997E-3</v>
      </c>
      <c r="N39">
        <v>0.65555027700000001</v>
      </c>
      <c r="O39">
        <v>1.019603E-3</v>
      </c>
      <c r="P39">
        <v>1.1537060729999999</v>
      </c>
      <c r="Q39">
        <v>1.7944040000000001E-3</v>
      </c>
      <c r="R39">
        <v>-8.1156003069999993</v>
      </c>
      <c r="S39">
        <v>0.10483321499999999</v>
      </c>
      <c r="T39">
        <v>-12.25147846</v>
      </c>
      <c r="U39">
        <v>0.158258394</v>
      </c>
      <c r="V39">
        <v>-1.736172324</v>
      </c>
      <c r="W39">
        <v>2.2426995000000002E-2</v>
      </c>
      <c r="X39">
        <v>-3.1217545470000001</v>
      </c>
      <c r="Y39">
        <v>4.0325244000000003E-2</v>
      </c>
    </row>
    <row r="40" spans="1:25" x14ac:dyDescent="0.25">
      <c r="A40" t="s">
        <v>144</v>
      </c>
      <c r="B40">
        <v>-30.102061190000001</v>
      </c>
      <c r="C40">
        <v>1.5523226320000001</v>
      </c>
      <c r="D40">
        <v>-45.442695569999998</v>
      </c>
      <c r="E40">
        <v>2.3434184240000002</v>
      </c>
      <c r="F40">
        <v>-6.4397411849999999</v>
      </c>
      <c r="G40">
        <v>0.33208875399999999</v>
      </c>
      <c r="H40">
        <v>-8.8847767149999992</v>
      </c>
      <c r="I40">
        <v>0.45817593299999998</v>
      </c>
      <c r="J40">
        <v>2.6387039080000001</v>
      </c>
      <c r="K40">
        <v>5.2905353000000002E-2</v>
      </c>
      <c r="L40">
        <v>3.9834421180000001</v>
      </c>
      <c r="M40">
        <v>7.9867017999999998E-2</v>
      </c>
      <c r="N40">
        <v>0.56449856099999995</v>
      </c>
      <c r="O40">
        <v>1.1318055E-2</v>
      </c>
      <c r="P40">
        <v>0.81634825200000005</v>
      </c>
      <c r="Q40">
        <v>1.6367578000000001E-2</v>
      </c>
      <c r="R40">
        <v>-6.5061177819999996</v>
      </c>
      <c r="S40">
        <v>0.25481114100000002</v>
      </c>
      <c r="T40">
        <v>-9.8217702730000003</v>
      </c>
      <c r="U40">
        <v>0.38466818000000003</v>
      </c>
      <c r="V40">
        <v>-1.3918553410000001</v>
      </c>
      <c r="W40">
        <v>5.4511809000000001E-2</v>
      </c>
      <c r="X40">
        <v>-2.0349187139999998</v>
      </c>
      <c r="Y40">
        <v>7.9697290000000004E-2</v>
      </c>
    </row>
    <row r="41" spans="1:25" x14ac:dyDescent="0.25">
      <c r="A41" t="s">
        <v>138</v>
      </c>
      <c r="B41">
        <v>-29.486111480000002</v>
      </c>
      <c r="C41">
        <v>0.85178821500000002</v>
      </c>
      <c r="D41">
        <v>-44.512845130000002</v>
      </c>
      <c r="E41">
        <v>1.2858771470000001</v>
      </c>
      <c r="F41">
        <v>-6.3079709169999996</v>
      </c>
      <c r="G41">
        <v>0.182223258</v>
      </c>
      <c r="H41">
        <v>-9.6339352659999999</v>
      </c>
      <c r="I41">
        <v>0.27830297399999998</v>
      </c>
      <c r="J41">
        <v>6.7636007930000002</v>
      </c>
      <c r="K41">
        <v>0.27468203499999999</v>
      </c>
      <c r="L41">
        <v>10.21047196</v>
      </c>
      <c r="M41">
        <v>0.414665695</v>
      </c>
      <c r="N41">
        <v>1.446938743</v>
      </c>
      <c r="O41">
        <v>5.8762794E-2</v>
      </c>
      <c r="P41">
        <v>2.3023720519999999</v>
      </c>
      <c r="Q41">
        <v>9.3503483999999998E-2</v>
      </c>
      <c r="R41">
        <v>-7.3991887839999997</v>
      </c>
      <c r="S41">
        <v>5.3618261E-2</v>
      </c>
      <c r="T41">
        <v>-11.169968770000001</v>
      </c>
      <c r="U41">
        <v>8.0943238000000001E-2</v>
      </c>
      <c r="V41">
        <v>-1.5829102349999999</v>
      </c>
      <c r="W41">
        <v>1.1470566999999999E-2</v>
      </c>
      <c r="X41">
        <v>-2.559612241</v>
      </c>
      <c r="Y41">
        <v>1.8548243999999998E-2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SO4_ALK_CL</vt:lpstr>
      <vt:lpstr>Triplex</vt:lpstr>
      <vt:lpstr>TP</vt:lpstr>
      <vt:lpstr>TN</vt:lpstr>
      <vt:lpstr>CHL</vt:lpstr>
      <vt:lpstr>TICTOC</vt:lpstr>
      <vt:lpstr>GHG</vt:lpstr>
      <vt:lpstr>Flux</vt:lpstr>
      <vt:lpstr>Ebullition</vt:lpstr>
    </vt:vector>
  </TitlesOfParts>
  <Manager/>
  <Company>University of Regina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Finlaylab</dc:creator>
  <cp:keywords/>
  <dc:description/>
  <cp:lastModifiedBy>limno</cp:lastModifiedBy>
  <cp:revision/>
  <dcterms:created xsi:type="dcterms:W3CDTF">2018-05-02T17:51:13Z</dcterms:created>
  <dcterms:modified xsi:type="dcterms:W3CDTF">2021-08-19T16:29:19Z</dcterms:modified>
  <cp:category/>
  <cp:contentStatus/>
</cp:coreProperties>
</file>